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J:\groups\udotfy17\03_IntersectionModelDevelopment\Data\Roadway Input\"/>
    </mc:Choice>
  </mc:AlternateContent>
  <bookViews>
    <workbookView xWindow="0" yWindow="0" windowWidth="28800" windowHeight="12330"/>
  </bookViews>
  <sheets>
    <sheet name="Intersections_2014" sheetId="1" r:id="rId1"/>
  </sheets>
  <calcPr calcId="162913"/>
</workbook>
</file>

<file path=xl/calcChain.xml><?xml version="1.0" encoding="utf-8"?>
<calcChain xmlns="http://schemas.openxmlformats.org/spreadsheetml/2006/main">
  <c r="C6" i="1" l="1"/>
  <c r="C15" i="1"/>
  <c r="C27" i="1"/>
  <c r="C29" i="1"/>
  <c r="C40" i="1"/>
  <c r="C72" i="1"/>
  <c r="C80" i="1"/>
  <c r="C84" i="1"/>
  <c r="C85" i="1"/>
  <c r="C89" i="1"/>
  <c r="C90" i="1"/>
  <c r="C99" i="1"/>
  <c r="C119" i="1"/>
  <c r="C129" i="1"/>
  <c r="C130" i="1"/>
  <c r="C131" i="1"/>
  <c r="C134" i="1"/>
  <c r="C135" i="1"/>
  <c r="C165" i="1"/>
  <c r="C190" i="1"/>
  <c r="C201" i="1"/>
  <c r="C208" i="1"/>
  <c r="C217" i="1"/>
  <c r="C221" i="1"/>
  <c r="C229" i="1"/>
  <c r="C238" i="1"/>
  <c r="C247" i="1"/>
  <c r="C250" i="1"/>
  <c r="C252" i="1"/>
  <c r="C261" i="1"/>
  <c r="C263" i="1"/>
  <c r="C271" i="1"/>
  <c r="C273" i="1"/>
  <c r="C275" i="1"/>
  <c r="C276" i="1"/>
  <c r="C277" i="1"/>
  <c r="C279" i="1"/>
  <c r="C280" i="1"/>
  <c r="C282" i="1"/>
  <c r="C293" i="1"/>
  <c r="C298" i="1"/>
  <c r="C299" i="1"/>
  <c r="C302" i="1"/>
  <c r="C303" i="1"/>
  <c r="C304" i="1"/>
  <c r="C307" i="1"/>
  <c r="C308" i="1"/>
  <c r="C311" i="1"/>
  <c r="C328" i="1"/>
  <c r="C331" i="1"/>
  <c r="C332" i="1"/>
  <c r="C335" i="1"/>
  <c r="C338" i="1"/>
  <c r="C341" i="1"/>
  <c r="C344" i="1"/>
  <c r="C347" i="1"/>
  <c r="C348" i="1"/>
  <c r="C349" i="1"/>
  <c r="C350" i="1"/>
  <c r="C362" i="1"/>
  <c r="C365" i="1"/>
  <c r="C366" i="1"/>
  <c r="C380" i="1"/>
  <c r="C384" i="1"/>
  <c r="C386" i="1"/>
  <c r="C387" i="1"/>
  <c r="C389" i="1"/>
  <c r="C392" i="1"/>
  <c r="C393" i="1"/>
  <c r="C394" i="1"/>
  <c r="C411" i="1"/>
  <c r="C414" i="1"/>
  <c r="C431" i="1"/>
  <c r="C482" i="1"/>
  <c r="C484" i="1"/>
  <c r="C486" i="1"/>
  <c r="C503" i="1"/>
  <c r="C504" i="1"/>
  <c r="C508" i="1"/>
  <c r="C510" i="1"/>
  <c r="C517" i="1"/>
  <c r="C518" i="1"/>
  <c r="C519" i="1"/>
  <c r="C520" i="1"/>
  <c r="C522" i="1"/>
  <c r="C523" i="1"/>
  <c r="C524" i="1"/>
  <c r="C530" i="1"/>
  <c r="C533" i="1"/>
  <c r="C538" i="1"/>
  <c r="C583" i="1"/>
  <c r="C591" i="1"/>
  <c r="C608" i="1"/>
  <c r="C615" i="1"/>
  <c r="C651" i="1"/>
  <c r="C656" i="1"/>
  <c r="C659" i="1"/>
  <c r="C686" i="1"/>
  <c r="C709" i="1"/>
  <c r="C734" i="1"/>
  <c r="C736" i="1"/>
  <c r="C758" i="1"/>
  <c r="C771" i="1"/>
  <c r="C785" i="1"/>
  <c r="C797" i="1"/>
  <c r="C805" i="1"/>
  <c r="C811" i="1"/>
  <c r="C815" i="1"/>
  <c r="C827" i="1"/>
  <c r="C830" i="1"/>
  <c r="C831" i="1"/>
  <c r="C832" i="1"/>
  <c r="C853" i="1"/>
  <c r="C854" i="1"/>
  <c r="C862" i="1"/>
  <c r="C872" i="1"/>
  <c r="C902" i="1"/>
  <c r="C925" i="1"/>
  <c r="C930" i="1"/>
  <c r="C934" i="1"/>
  <c r="C935" i="1"/>
  <c r="C968" i="1"/>
  <c r="C970" i="1"/>
  <c r="C1012" i="1"/>
  <c r="C1013" i="1"/>
  <c r="C1014" i="1"/>
  <c r="C1023" i="1"/>
  <c r="C1026" i="1"/>
  <c r="C1027" i="1"/>
  <c r="C1040" i="1"/>
  <c r="C1042" i="1"/>
  <c r="C1063" i="1"/>
  <c r="C1070" i="1"/>
  <c r="C1071" i="1"/>
  <c r="C1092" i="1"/>
  <c r="C1095" i="1"/>
  <c r="C1096" i="1"/>
  <c r="C1097" i="1"/>
  <c r="C1098" i="1"/>
  <c r="C1099" i="1"/>
  <c r="C1117" i="1"/>
  <c r="C1123" i="1"/>
  <c r="C1128" i="1"/>
  <c r="C1131" i="1"/>
  <c r="C1132" i="1"/>
  <c r="C1133" i="1"/>
  <c r="C1142" i="1"/>
  <c r="C1145" i="1"/>
  <c r="C1151" i="1"/>
  <c r="C1155" i="1"/>
  <c r="C1195" i="1"/>
  <c r="C1219" i="1"/>
  <c r="C1246" i="1"/>
  <c r="C1254" i="1"/>
  <c r="C1272" i="1"/>
  <c r="C1281" i="1"/>
  <c r="C1287" i="1"/>
  <c r="C1288" i="1"/>
  <c r="C1293" i="1"/>
  <c r="C1299" i="1"/>
  <c r="C1300" i="1"/>
  <c r="C1301" i="1"/>
  <c r="C1313" i="1"/>
  <c r="C1319" i="1"/>
  <c r="C1327" i="1"/>
  <c r="C1342" i="1"/>
  <c r="C1358" i="1"/>
  <c r="C1360" i="1"/>
  <c r="C1362" i="1"/>
  <c r="C1370" i="1"/>
  <c r="C1372" i="1"/>
  <c r="C1373" i="1"/>
  <c r="C1395" i="1"/>
  <c r="C1397" i="1"/>
  <c r="C1404" i="1"/>
  <c r="C1405" i="1"/>
  <c r="C1410" i="1"/>
  <c r="C1411" i="1"/>
  <c r="C1416" i="1"/>
  <c r="C1418" i="1"/>
  <c r="C1423" i="1"/>
  <c r="C1442" i="1"/>
  <c r="C1448" i="1"/>
  <c r="C1450" i="1"/>
  <c r="C1451" i="1"/>
  <c r="C1452" i="1"/>
  <c r="C1454" i="1"/>
  <c r="C1463" i="1"/>
  <c r="C1464" i="1"/>
  <c r="C1467" i="1"/>
  <c r="C1468" i="1"/>
  <c r="C1469" i="1"/>
  <c r="C1471" i="1"/>
  <c r="C1481" i="1"/>
  <c r="C1487" i="1"/>
  <c r="C1488" i="1"/>
  <c r="C1503" i="1"/>
  <c r="C1506" i="1"/>
  <c r="C1507" i="1"/>
  <c r="C1511" i="1"/>
  <c r="C1523" i="1"/>
  <c r="C1540" i="1"/>
  <c r="C1543" i="1"/>
  <c r="C1554" i="1"/>
  <c r="C1555" i="1"/>
  <c r="C1558" i="1"/>
  <c r="C1574" i="1"/>
  <c r="C1575" i="1"/>
  <c r="C1579" i="1"/>
  <c r="C1582" i="1"/>
  <c r="C1595" i="1"/>
  <c r="C1600" i="1"/>
  <c r="C1605" i="1"/>
  <c r="C1612" i="1"/>
  <c r="C1622" i="1"/>
  <c r="C1630" i="1"/>
  <c r="C1631" i="1"/>
  <c r="C1633" i="1"/>
  <c r="C1637" i="1"/>
  <c r="C1638" i="1"/>
  <c r="C1651" i="1"/>
  <c r="C1669" i="1"/>
  <c r="C1682" i="1"/>
  <c r="C1685" i="1"/>
  <c r="C1698" i="1"/>
  <c r="C1700" i="1"/>
  <c r="C1703" i="1"/>
  <c r="C1708" i="1"/>
  <c r="C1715" i="1"/>
  <c r="C1729" i="1"/>
  <c r="C1732" i="1"/>
  <c r="C1735" i="1"/>
  <c r="C1737" i="1"/>
  <c r="C1738" i="1"/>
  <c r="C1739" i="1"/>
  <c r="C1744" i="1"/>
  <c r="C1745" i="1"/>
  <c r="C1747" i="1"/>
  <c r="C1755" i="1"/>
  <c r="C1766" i="1"/>
  <c r="C1769" i="1"/>
  <c r="C1770" i="1"/>
  <c r="C1782" i="1"/>
  <c r="C1786" i="1"/>
  <c r="C1797" i="1"/>
  <c r="C1798" i="1"/>
  <c r="C1799" i="1"/>
  <c r="C1802" i="1"/>
  <c r="C1803" i="1"/>
  <c r="C1804" i="1"/>
  <c r="C1806" i="1"/>
  <c r="C1809" i="1"/>
  <c r="C1811" i="1"/>
  <c r="C1812" i="1"/>
  <c r="C1813" i="1"/>
  <c r="C1814" i="1"/>
  <c r="C1815" i="1"/>
  <c r="C1827" i="1"/>
  <c r="C1828" i="1"/>
  <c r="C1829" i="1"/>
  <c r="C1832" i="1"/>
  <c r="C1834" i="1"/>
  <c r="C1838" i="1"/>
  <c r="C1841" i="1"/>
  <c r="C1847" i="1"/>
  <c r="C1874" i="1"/>
  <c r="C1890" i="1"/>
  <c r="C1897" i="1"/>
  <c r="C1914" i="1"/>
  <c r="C1934" i="1"/>
  <c r="C1939" i="1"/>
  <c r="C1940" i="1"/>
  <c r="C1941" i="1"/>
  <c r="C1942" i="1"/>
  <c r="C1943" i="1"/>
  <c r="C1944" i="1"/>
  <c r="C1947" i="1"/>
  <c r="C1949" i="1"/>
  <c r="C1954" i="1"/>
  <c r="C1956" i="1"/>
  <c r="C1961" i="1"/>
  <c r="C1975" i="1"/>
  <c r="C1977" i="1"/>
  <c r="C1978" i="1"/>
  <c r="C1979" i="1"/>
  <c r="C1985" i="1"/>
  <c r="C1986" i="1"/>
  <c r="C1989" i="1"/>
  <c r="C2010" i="1"/>
  <c r="C2037" i="1"/>
  <c r="C2039" i="1"/>
  <c r="C2045" i="1"/>
  <c r="C2057" i="1"/>
  <c r="C2062" i="1"/>
  <c r="C2078" i="1"/>
  <c r="C2081" i="1"/>
  <c r="C2097" i="1"/>
  <c r="C2108" i="1"/>
  <c r="C2110" i="1"/>
  <c r="C2116" i="1"/>
  <c r="C2123" i="1"/>
  <c r="C2135" i="1"/>
  <c r="C2137" i="1"/>
  <c r="C2161" i="1"/>
  <c r="C2170" i="1"/>
  <c r="C2172" i="1"/>
  <c r="C2175" i="1"/>
  <c r="C2189" i="1"/>
  <c r="C2193" i="1"/>
  <c r="C2203" i="1"/>
  <c r="C2223" i="1"/>
  <c r="C2234" i="1"/>
  <c r="C2235" i="1"/>
  <c r="C2236" i="1"/>
  <c r="C2261" i="1"/>
  <c r="C2263" i="1"/>
  <c r="C2300" i="1"/>
  <c r="C2313" i="1"/>
  <c r="C2342" i="1"/>
  <c r="C2355" i="1"/>
  <c r="C2357" i="1"/>
  <c r="C2360" i="1"/>
  <c r="C2362" i="1"/>
  <c r="C2367" i="1"/>
  <c r="C2369" i="1"/>
  <c r="C2370" i="1"/>
  <c r="C2395" i="1"/>
  <c r="C2398" i="1"/>
  <c r="C2400" i="1"/>
  <c r="C2407" i="1"/>
  <c r="C2409" i="1"/>
  <c r="C2422" i="1"/>
  <c r="C2428" i="1"/>
  <c r="C2433" i="1"/>
  <c r="C2435" i="1"/>
  <c r="C2453" i="1"/>
  <c r="C2456" i="1"/>
  <c r="C2470" i="1"/>
  <c r="C2471" i="1"/>
  <c r="C2489" i="1"/>
  <c r="C2504" i="1"/>
  <c r="C2505" i="1"/>
  <c r="C2509" i="1"/>
  <c r="C2512" i="1"/>
  <c r="C2531" i="1"/>
  <c r="C2533" i="1"/>
  <c r="C2545" i="1"/>
  <c r="C2547" i="1"/>
  <c r="C2553" i="1"/>
  <c r="C2561" i="1"/>
  <c r="C2568" i="1"/>
  <c r="C2570" i="1"/>
  <c r="C2586" i="1"/>
  <c r="C2597" i="1"/>
  <c r="C2610" i="1"/>
  <c r="C2612" i="1"/>
  <c r="C2613" i="1"/>
  <c r="C2614" i="1"/>
  <c r="C2619" i="1"/>
  <c r="C2627" i="1"/>
  <c r="C2640" i="1"/>
  <c r="C2652" i="1"/>
  <c r="C2670" i="1"/>
  <c r="C2677" i="1"/>
  <c r="C2691" i="1"/>
  <c r="C2693" i="1"/>
  <c r="C2700" i="1"/>
  <c r="C2703" i="1"/>
  <c r="C2706" i="1"/>
  <c r="C2707" i="1"/>
  <c r="C2725" i="1"/>
  <c r="C2728" i="1"/>
  <c r="C2739" i="1"/>
  <c r="C2740" i="1"/>
  <c r="C2763" i="1"/>
  <c r="C2778" i="1"/>
  <c r="C2806" i="1"/>
  <c r="C2811" i="1"/>
  <c r="C2833" i="1"/>
  <c r="C2850" i="1"/>
  <c r="C2852" i="1"/>
  <c r="C2853" i="1"/>
  <c r="C2860" i="1"/>
  <c r="C2862" i="1"/>
  <c r="C2863" i="1"/>
  <c r="C2866" i="1"/>
  <c r="C2870" i="1"/>
  <c r="C2872" i="1"/>
  <c r="C2874" i="1"/>
  <c r="C2875" i="1"/>
  <c r="C2877" i="1"/>
  <c r="C2895" i="1"/>
  <c r="C2900" i="1"/>
  <c r="C2917" i="1"/>
  <c r="C2925" i="1"/>
  <c r="C2929" i="1"/>
  <c r="C2930" i="1"/>
  <c r="C2934" i="1"/>
  <c r="C2937" i="1"/>
  <c r="C2940" i="1"/>
  <c r="C2946" i="1"/>
  <c r="C2950" i="1"/>
  <c r="C2964" i="1"/>
  <c r="C2972" i="1"/>
  <c r="C2975" i="1"/>
  <c r="C2989" i="1"/>
  <c r="C2991" i="1"/>
  <c r="C3004" i="1"/>
  <c r="C3018" i="1"/>
  <c r="C3027" i="1"/>
  <c r="C3030" i="1"/>
  <c r="C3032" i="1"/>
  <c r="C3035" i="1"/>
  <c r="C3053" i="1"/>
  <c r="C3064" i="1"/>
  <c r="C3068" i="1"/>
  <c r="C3081" i="1"/>
  <c r="C3091" i="1"/>
  <c r="C3101" i="1"/>
  <c r="C3106" i="1"/>
  <c r="C3111" i="1"/>
  <c r="C3114" i="1"/>
  <c r="C3128" i="1"/>
  <c r="C3132" i="1"/>
  <c r="C3142" i="1"/>
  <c r="C3148" i="1"/>
  <c r="C3152" i="1"/>
  <c r="C3154" i="1"/>
  <c r="C3159" i="1"/>
  <c r="C3160" i="1"/>
  <c r="C3171" i="1"/>
  <c r="C3174" i="1"/>
  <c r="C3175" i="1"/>
  <c r="C3213" i="1"/>
  <c r="C3215" i="1"/>
  <c r="C3217" i="1"/>
  <c r="C3219" i="1"/>
  <c r="C3222" i="1"/>
  <c r="C3223" i="1"/>
  <c r="C3224" i="1"/>
  <c r="C3241" i="1"/>
  <c r="C3245" i="1"/>
  <c r="C3246" i="1"/>
  <c r="C3247" i="1"/>
  <c r="C3250" i="1"/>
  <c r="C3252" i="1"/>
  <c r="C3255" i="1"/>
  <c r="C3257" i="1"/>
  <c r="C3258" i="1"/>
  <c r="C3269" i="1"/>
  <c r="C3281" i="1"/>
  <c r="C3282" i="1"/>
  <c r="C3283" i="1"/>
  <c r="C3284" i="1"/>
  <c r="C3285" i="1"/>
  <c r="C3286" i="1"/>
  <c r="C3287" i="1"/>
  <c r="C3288" i="1"/>
  <c r="C3289" i="1"/>
  <c r="C3290" i="1"/>
  <c r="C3292" i="1"/>
  <c r="C3304" i="1"/>
  <c r="C3306" i="1"/>
  <c r="C3308" i="1"/>
  <c r="C3309" i="1"/>
  <c r="C3310" i="1"/>
  <c r="C3313" i="1"/>
  <c r="C3314" i="1"/>
  <c r="C3317" i="1"/>
  <c r="C3318" i="1"/>
  <c r="C3319" i="1"/>
  <c r="C3331" i="1"/>
  <c r="C3334" i="1"/>
  <c r="C3339" i="1"/>
  <c r="C3345" i="1"/>
  <c r="C3346" i="1"/>
  <c r="C3347" i="1"/>
  <c r="C3349" i="1"/>
  <c r="C3355" i="1"/>
  <c r="C3359" i="1"/>
  <c r="C3372" i="1"/>
  <c r="C3373" i="1"/>
  <c r="C3374" i="1"/>
  <c r="C3376" i="1"/>
  <c r="C3377" i="1"/>
  <c r="C3378" i="1"/>
  <c r="C3379" i="1"/>
  <c r="C3380" i="1"/>
  <c r="C3383" i="1"/>
  <c r="C3384" i="1"/>
  <c r="C3386" i="1"/>
  <c r="C3387" i="1"/>
  <c r="C3390" i="1"/>
  <c r="C3391" i="1"/>
  <c r="C3392" i="1"/>
  <c r="C3393" i="1"/>
  <c r="C3395" i="1"/>
  <c r="C3396" i="1"/>
  <c r="C3399" i="1"/>
  <c r="C3402" i="1"/>
  <c r="C3407" i="1"/>
  <c r="C3408" i="1"/>
  <c r="C3410" i="1"/>
  <c r="C3411" i="1"/>
  <c r="C3413" i="1"/>
  <c r="C3418" i="1"/>
  <c r="C3420" i="1"/>
  <c r="C3421" i="1"/>
  <c r="C3422" i="1"/>
  <c r="C3423" i="1"/>
  <c r="C3424" i="1"/>
  <c r="C3428" i="1"/>
  <c r="C3429" i="1"/>
  <c r="C3430" i="1"/>
  <c r="C3437" i="1"/>
  <c r="C3438" i="1"/>
  <c r="C3440" i="1"/>
  <c r="C3448" i="1"/>
  <c r="C3456" i="1"/>
  <c r="C3458" i="1"/>
  <c r="C3460" i="1"/>
  <c r="C3461" i="1"/>
  <c r="C3462" i="1"/>
  <c r="C3463" i="1"/>
  <c r="C3466" i="1"/>
  <c r="C3467" i="1"/>
  <c r="C3469" i="1"/>
  <c r="C3470" i="1"/>
  <c r="C3472" i="1"/>
  <c r="C3473" i="1"/>
  <c r="C3474" i="1"/>
  <c r="C3475" i="1"/>
  <c r="C3484" i="1"/>
  <c r="C3500" i="1"/>
  <c r="C3502" i="1"/>
  <c r="C3534" i="1"/>
  <c r="C3536" i="1"/>
  <c r="C3537" i="1"/>
  <c r="C3538" i="1"/>
  <c r="C3544" i="1"/>
  <c r="C3549" i="1"/>
  <c r="C3557" i="1"/>
  <c r="C3558" i="1"/>
  <c r="C3560" i="1"/>
  <c r="C3564" i="1"/>
  <c r="C3565" i="1"/>
  <c r="C3569" i="1"/>
  <c r="C3576" i="1"/>
  <c r="C3583" i="1"/>
  <c r="C3596" i="1"/>
  <c r="C3609" i="1"/>
  <c r="C3617" i="1"/>
  <c r="C3620" i="1"/>
  <c r="C3624" i="1"/>
  <c r="C3625" i="1"/>
  <c r="C3626" i="1"/>
  <c r="C3633" i="1"/>
  <c r="C3634" i="1"/>
  <c r="C3637" i="1"/>
  <c r="C3639" i="1"/>
  <c r="C3640" i="1"/>
  <c r="C3641" i="1"/>
  <c r="C3643" i="1"/>
  <c r="C3650" i="1"/>
  <c r="C3653" i="1"/>
  <c r="C3655" i="1"/>
  <c r="C3657" i="1"/>
  <c r="C3658" i="1"/>
  <c r="C3662" i="1"/>
  <c r="C3663" i="1"/>
  <c r="C3676" i="1"/>
  <c r="C3693" i="1"/>
  <c r="C3694" i="1"/>
  <c r="C3695" i="1"/>
  <c r="C3698" i="1"/>
  <c r="C3708" i="1"/>
  <c r="C3709" i="1"/>
  <c r="C3710" i="1"/>
  <c r="C3711" i="1"/>
  <c r="C3712" i="1"/>
  <c r="C3713" i="1"/>
  <c r="C3714" i="1"/>
  <c r="C3734" i="1"/>
  <c r="C3764" i="1"/>
  <c r="C3773" i="1"/>
  <c r="C3783" i="1"/>
  <c r="C3806" i="1"/>
  <c r="C3807" i="1"/>
  <c r="C3810" i="1"/>
  <c r="C3820" i="1"/>
  <c r="C3826" i="1"/>
  <c r="C3827" i="1"/>
  <c r="C3835" i="1"/>
  <c r="C3844" i="1"/>
  <c r="C3856" i="1"/>
  <c r="C3884" i="1"/>
  <c r="C3891" i="1"/>
  <c r="C3908" i="1"/>
  <c r="C3912" i="1"/>
  <c r="C3938" i="1"/>
  <c r="C3945" i="1"/>
  <c r="C3948" i="1"/>
  <c r="C3956" i="1"/>
  <c r="C3961" i="1"/>
  <c r="C3991" i="1"/>
  <c r="C3993" i="1"/>
  <c r="C3997" i="1"/>
  <c r="C4008" i="1"/>
  <c r="C4013" i="1"/>
  <c r="C4019" i="1"/>
  <c r="C4028" i="1"/>
  <c r="C4041" i="1"/>
  <c r="C4044" i="1"/>
  <c r="C4046" i="1"/>
  <c r="C4047" i="1"/>
  <c r="C4050" i="1"/>
  <c r="C4055" i="1"/>
  <c r="C4072" i="1"/>
  <c r="C4076" i="1"/>
  <c r="C4101" i="1"/>
  <c r="C4102" i="1"/>
  <c r="C4113" i="1"/>
  <c r="C4117" i="1"/>
  <c r="C4155" i="1"/>
  <c r="C4178" i="1"/>
  <c r="C4179" i="1"/>
  <c r="C4180" i="1"/>
  <c r="C4181" i="1"/>
  <c r="C4201" i="1"/>
  <c r="C4203" i="1"/>
  <c r="C4205" i="1"/>
  <c r="C4216" i="1"/>
  <c r="C4222" i="1"/>
  <c r="C4227" i="1"/>
  <c r="C4228" i="1"/>
  <c r="C4237" i="1"/>
  <c r="C4247" i="1"/>
  <c r="C4262" i="1"/>
  <c r="C4267" i="1"/>
  <c r="C4292" i="1"/>
  <c r="C4296" i="1"/>
  <c r="C4299" i="1"/>
  <c r="C4308" i="1"/>
  <c r="C4312" i="1"/>
  <c r="C4327" i="1"/>
  <c r="C4329" i="1"/>
  <c r="C4354" i="1"/>
  <c r="C4371" i="1"/>
  <c r="C4373" i="1"/>
  <c r="C4376" i="1"/>
  <c r="C4379" i="1"/>
  <c r="C4388" i="1"/>
  <c r="C4389" i="1"/>
  <c r="C4401" i="1"/>
  <c r="C4402" i="1"/>
  <c r="C4404" i="1"/>
  <c r="C4405" i="1"/>
  <c r="C4406" i="1"/>
  <c r="C4407" i="1"/>
  <c r="C4409" i="1"/>
  <c r="C4410" i="1"/>
  <c r="C4413" i="1"/>
  <c r="C4414" i="1"/>
  <c r="C4416" i="1"/>
  <c r="C4419" i="1"/>
  <c r="C4420" i="1"/>
  <c r="C4432" i="1"/>
  <c r="C4433" i="1"/>
  <c r="C4440" i="1"/>
  <c r="C4446" i="1"/>
  <c r="C4447" i="1"/>
  <c r="C4448" i="1"/>
  <c r="C4449" i="1"/>
  <c r="C4455" i="1"/>
  <c r="C4466" i="1"/>
  <c r="C4474" i="1"/>
  <c r="C4476" i="1"/>
  <c r="C4480" i="1"/>
  <c r="C4490" i="1"/>
  <c r="C4493" i="1"/>
  <c r="C4494" i="1"/>
  <c r="C4495" i="1"/>
  <c r="C4496" i="1"/>
  <c r="C4497" i="1"/>
  <c r="C4498" i="1"/>
  <c r="C4499" i="1"/>
  <c r="C4500" i="1"/>
  <c r="C4501" i="1"/>
  <c r="C4502" i="1"/>
  <c r="C4504" i="1"/>
  <c r="C4505" i="1"/>
  <c r="C4506" i="1"/>
  <c r="C4507" i="1"/>
  <c r="C4518" i="1"/>
  <c r="C4519" i="1"/>
  <c r="C4523" i="1"/>
  <c r="C4524" i="1"/>
  <c r="C4525" i="1"/>
  <c r="C4531" i="1"/>
  <c r="C4532" i="1"/>
  <c r="C4533" i="1"/>
  <c r="C4534" i="1"/>
  <c r="C4535" i="1"/>
  <c r="C4538" i="1"/>
  <c r="C4539" i="1"/>
  <c r="C4551" i="1"/>
  <c r="C4561" i="1"/>
  <c r="C4563" i="1"/>
  <c r="C4564" i="1"/>
  <c r="C4566" i="1"/>
  <c r="C4576" i="1"/>
  <c r="C4577" i="1"/>
  <c r="C4578" i="1"/>
  <c r="C4589" i="1"/>
  <c r="C4597" i="1"/>
  <c r="C4598" i="1"/>
  <c r="C4599" i="1"/>
  <c r="C4606" i="1"/>
  <c r="C4614" i="1"/>
  <c r="C4619" i="1"/>
  <c r="C4632" i="1"/>
  <c r="C4657" i="1"/>
  <c r="C4658" i="1"/>
  <c r="C4659" i="1"/>
  <c r="C4660" i="1"/>
  <c r="C4661" i="1"/>
  <c r="C4668" i="1"/>
  <c r="C4698" i="1"/>
  <c r="C4723" i="1"/>
  <c r="C4730" i="1"/>
  <c r="C4760" i="1"/>
  <c r="C4766" i="1"/>
  <c r="C4785" i="1"/>
  <c r="C4796" i="1"/>
  <c r="C4817" i="1"/>
  <c r="C4822" i="1"/>
  <c r="C4826" i="1"/>
  <c r="C4827" i="1"/>
  <c r="C4828" i="1"/>
  <c r="C4829" i="1"/>
  <c r="C4836" i="1"/>
  <c r="C4855" i="1"/>
  <c r="C4856" i="1"/>
  <c r="C4858" i="1"/>
  <c r="C4867" i="1"/>
  <c r="C4873" i="1"/>
  <c r="C4888" i="1"/>
  <c r="C4902" i="1"/>
  <c r="C4914" i="1"/>
  <c r="C4930" i="1"/>
  <c r="C4932" i="1"/>
  <c r="C4933" i="1"/>
  <c r="C4935" i="1"/>
  <c r="C4937" i="1"/>
  <c r="C4939" i="1"/>
  <c r="C4942" i="1"/>
  <c r="C4943" i="1"/>
  <c r="C4945" i="1"/>
  <c r="C4954" i="1"/>
  <c r="C4958" i="1"/>
  <c r="C4959" i="1"/>
  <c r="C4960" i="1"/>
  <c r="C4961" i="1"/>
  <c r="C4962" i="1"/>
  <c r="C4963" i="1"/>
  <c r="C4964" i="1"/>
  <c r="C4965" i="1"/>
  <c r="C4967" i="1"/>
  <c r="C4980" i="1"/>
  <c r="C4983" i="1"/>
  <c r="C4985" i="1"/>
  <c r="C4988" i="1"/>
  <c r="C4989" i="1"/>
  <c r="C4990" i="1"/>
  <c r="C4998" i="1"/>
  <c r="C5007" i="1"/>
  <c r="C5008" i="1"/>
  <c r="C5014" i="1"/>
  <c r="C5019" i="1"/>
  <c r="C5024" i="1"/>
  <c r="C5035" i="1"/>
  <c r="C5038" i="1"/>
  <c r="C5042" i="1"/>
  <c r="C5047" i="1"/>
  <c r="C5052" i="1"/>
  <c r="C5057" i="1"/>
  <c r="C5058" i="1"/>
  <c r="C5086" i="1"/>
  <c r="C5097" i="1"/>
  <c r="C5101" i="1"/>
  <c r="C5127" i="1"/>
  <c r="C5142" i="1"/>
  <c r="C5143" i="1"/>
  <c r="C5146" i="1"/>
  <c r="C5152" i="1"/>
  <c r="C5179" i="1"/>
  <c r="C5184" i="1"/>
  <c r="C5187" i="1"/>
  <c r="C5215" i="1"/>
  <c r="C5218" i="1"/>
  <c r="C5235" i="1"/>
  <c r="C5240" i="1"/>
  <c r="C5252" i="1"/>
  <c r="C5256" i="1"/>
  <c r="C5261" i="1"/>
  <c r="C5275" i="1"/>
  <c r="C5277" i="1"/>
  <c r="C5291" i="1"/>
  <c r="C5298" i="1"/>
  <c r="C5299" i="1"/>
  <c r="C5300" i="1"/>
  <c r="C5305" i="1"/>
  <c r="C5307" i="1"/>
  <c r="C5308" i="1"/>
  <c r="C5309" i="1"/>
  <c r="C5310" i="1"/>
  <c r="C5311" i="1"/>
  <c r="C5313" i="1"/>
  <c r="C5326" i="1"/>
  <c r="C5329" i="1"/>
  <c r="C5330" i="1"/>
  <c r="C5332" i="1"/>
  <c r="C5333" i="1"/>
  <c r="C5334" i="1"/>
  <c r="C5338" i="1"/>
  <c r="C5339" i="1"/>
  <c r="C5340" i="1"/>
  <c r="C5341" i="1"/>
  <c r="C5343" i="1"/>
  <c r="C5344" i="1"/>
  <c r="C5345" i="1"/>
  <c r="C5346" i="1"/>
  <c r="C5350" i="1"/>
  <c r="C5374" i="1"/>
  <c r="C5380" i="1"/>
  <c r="C5383" i="1"/>
  <c r="C5384" i="1"/>
  <c r="C5401" i="1"/>
  <c r="C5410" i="1"/>
  <c r="C5421" i="1"/>
  <c r="C5430" i="1"/>
  <c r="C5432" i="1"/>
  <c r="C5441" i="1"/>
  <c r="C5452" i="1"/>
  <c r="C5473" i="1"/>
  <c r="C5496" i="1"/>
  <c r="C5498" i="1"/>
  <c r="C5499" i="1"/>
  <c r="C5516" i="1"/>
  <c r="C5522" i="1"/>
  <c r="C5523" i="1"/>
  <c r="C5532" i="1"/>
  <c r="C5545" i="1"/>
  <c r="C5551" i="1"/>
  <c r="C5570" i="1"/>
  <c r="C5600" i="1"/>
  <c r="C5603" i="1"/>
  <c r="C5607" i="1"/>
  <c r="C5608" i="1"/>
  <c r="C5609" i="1"/>
  <c r="C5610" i="1"/>
  <c r="C5620" i="1"/>
  <c r="C5628" i="1"/>
  <c r="C5651" i="1"/>
  <c r="C5653" i="1"/>
  <c r="C5654" i="1"/>
  <c r="C5655" i="1"/>
  <c r="C5656" i="1"/>
  <c r="C5657" i="1"/>
  <c r="C5658" i="1"/>
  <c r="C5661" i="1"/>
  <c r="C5664" i="1"/>
  <c r="C5676" i="1"/>
  <c r="C5679" i="1"/>
  <c r="C5680" i="1"/>
  <c r="C5681" i="1"/>
  <c r="C5684" i="1"/>
  <c r="C5686" i="1"/>
  <c r="C5689" i="1"/>
  <c r="C5699" i="1"/>
  <c r="C5701" i="1"/>
  <c r="C5702" i="1"/>
  <c r="C5704" i="1"/>
  <c r="C5705" i="1"/>
  <c r="C5713" i="1"/>
  <c r="C5714" i="1"/>
  <c r="C5720" i="1"/>
  <c r="C5721" i="1"/>
  <c r="C5724" i="1"/>
  <c r="C5736" i="1"/>
  <c r="C5740" i="1"/>
  <c r="C5741" i="1"/>
  <c r="C5742" i="1"/>
  <c r="C5743" i="1"/>
  <c r="C5744" i="1"/>
  <c r="C5745" i="1"/>
  <c r="C5751" i="1"/>
  <c r="C5754" i="1"/>
  <c r="C5757" i="1"/>
  <c r="C5758" i="1"/>
  <c r="C5759" i="1"/>
  <c r="C5760" i="1"/>
  <c r="C5763" i="1"/>
  <c r="C5765" i="1"/>
  <c r="C5766" i="1"/>
  <c r="C5768" i="1"/>
  <c r="C5769" i="1"/>
  <c r="C5770" i="1"/>
  <c r="C5773" i="1"/>
  <c r="C5774" i="1"/>
  <c r="C5776" i="1"/>
  <c r="C5801" i="1"/>
  <c r="C5806" i="1"/>
  <c r="C5809" i="1"/>
  <c r="C5810" i="1"/>
  <c r="C5811" i="1"/>
  <c r="C5812" i="1"/>
  <c r="C5814" i="1"/>
  <c r="C5818" i="1"/>
  <c r="C5820" i="1"/>
  <c r="C5842" i="1"/>
  <c r="C5847" i="1"/>
  <c r="C5848" i="1"/>
  <c r="C5849" i="1"/>
  <c r="C5850" i="1"/>
  <c r="C5852" i="1"/>
  <c r="C5856" i="1"/>
  <c r="C5859" i="1"/>
  <c r="C5860" i="1"/>
  <c r="C5861" i="1"/>
  <c r="C5862" i="1"/>
  <c r="C5867" i="1"/>
  <c r="C5868" i="1"/>
  <c r="C5875" i="1"/>
  <c r="C5883" i="1"/>
  <c r="C5889" i="1"/>
  <c r="C5891" i="1"/>
  <c r="C5893" i="1"/>
  <c r="C5897" i="1"/>
  <c r="C5929" i="1"/>
  <c r="C5957" i="1"/>
  <c r="C5958" i="1"/>
  <c r="C5975" i="1"/>
  <c r="C5983" i="1"/>
  <c r="C5986" i="1"/>
  <c r="C5987" i="1"/>
  <c r="C5988" i="1"/>
  <c r="C5989" i="1"/>
  <c r="C5991" i="1"/>
  <c r="C5992" i="1"/>
  <c r="C5994" i="1"/>
  <c r="C5995" i="1"/>
  <c r="C5996" i="1"/>
  <c r="C5997" i="1"/>
  <c r="C5998" i="1"/>
  <c r="C5999" i="1"/>
  <c r="C6006" i="1"/>
  <c r="C6007" i="1"/>
  <c r="C6011" i="1"/>
  <c r="C6014" i="1"/>
  <c r="C6016" i="1"/>
  <c r="C6019" i="1"/>
  <c r="C6021" i="1"/>
  <c r="C6028" i="1"/>
  <c r="C6032" i="1"/>
  <c r="C6033" i="1"/>
  <c r="C6047" i="1"/>
  <c r="C6048" i="1"/>
  <c r="C6049" i="1"/>
  <c r="C6050" i="1"/>
  <c r="C6051" i="1"/>
  <c r="C6052" i="1"/>
  <c r="C6053" i="1"/>
  <c r="C6055" i="1"/>
  <c r="C6057" i="1"/>
  <c r="C6059" i="1"/>
  <c r="C6061" i="1"/>
  <c r="C6062" i="1"/>
  <c r="C6063" i="1"/>
  <c r="C6065" i="1"/>
  <c r="C6083" i="1"/>
  <c r="C6094" i="1"/>
  <c r="C6097" i="1"/>
  <c r="C6110" i="1"/>
  <c r="C6124" i="1"/>
  <c r="C6139" i="1"/>
  <c r="C6142" i="1"/>
  <c r="C6143" i="1"/>
  <c r="C6144" i="1"/>
  <c r="C6145" i="1"/>
  <c r="C6147" i="1"/>
  <c r="C6148" i="1"/>
  <c r="C6151" i="1"/>
  <c r="C6152" i="1"/>
  <c r="C6155" i="1"/>
  <c r="C6165" i="1"/>
  <c r="C6168" i="1"/>
  <c r="C6175" i="1"/>
  <c r="C6177" i="1"/>
  <c r="C6178" i="1"/>
  <c r="C6179" i="1"/>
  <c r="C6185" i="1"/>
  <c r="C6186" i="1"/>
  <c r="C6193" i="1"/>
  <c r="C6204" i="1"/>
  <c r="C6208" i="1"/>
  <c r="C6210" i="1"/>
  <c r="C6211" i="1"/>
  <c r="C6212" i="1"/>
  <c r="C6213" i="1"/>
  <c r="C6214" i="1"/>
  <c r="C6215" i="1"/>
  <c r="C6223" i="1"/>
  <c r="C6230" i="1"/>
  <c r="C6239" i="1"/>
  <c r="C6248" i="1"/>
  <c r="C6255" i="1"/>
  <c r="C6270" i="1"/>
  <c r="C6272" i="1"/>
  <c r="C6275" i="1"/>
  <c r="C6276" i="1"/>
  <c r="C6277" i="1"/>
  <c r="C6279" i="1"/>
  <c r="C6280" i="1"/>
  <c r="C6281" i="1"/>
  <c r="C6288" i="1"/>
  <c r="C6291" i="1"/>
  <c r="C6298" i="1"/>
  <c r="C6299" i="1"/>
  <c r="C6315" i="1"/>
  <c r="C6323" i="1"/>
  <c r="C6339" i="1"/>
  <c r="C6345" i="1"/>
  <c r="C6366" i="1"/>
  <c r="C6370" i="1"/>
  <c r="C6371" i="1"/>
  <c r="C6387" i="1"/>
  <c r="C6388" i="1"/>
  <c r="C6400" i="1"/>
  <c r="C6407" i="1"/>
  <c r="C6420" i="1"/>
  <c r="C6422" i="1"/>
  <c r="C6432" i="1"/>
  <c r="C6442" i="1"/>
  <c r="C6444" i="1"/>
  <c r="C6446" i="1"/>
  <c r="C6448" i="1"/>
  <c r="C6449" i="1"/>
  <c r="C6457" i="1"/>
  <c r="C6459" i="1"/>
  <c r="C6473" i="1"/>
  <c r="C6474" i="1"/>
  <c r="C6475" i="1"/>
  <c r="C6476" i="1"/>
  <c r="C6478" i="1"/>
  <c r="C6479" i="1"/>
  <c r="C6482" i="1"/>
  <c r="C6483" i="1"/>
  <c r="C6506" i="1"/>
  <c r="C6520" i="1"/>
  <c r="C6529" i="1"/>
  <c r="C6534" i="1"/>
  <c r="C6545" i="1"/>
  <c r="C6550" i="1"/>
  <c r="C6556" i="1"/>
  <c r="C6570" i="1"/>
  <c r="C6581" i="1"/>
  <c r="C6585" i="1"/>
  <c r="C6610" i="1"/>
  <c r="C6616" i="1"/>
  <c r="C6648" i="1"/>
  <c r="C6649" i="1"/>
  <c r="C6650" i="1"/>
  <c r="C6651" i="1"/>
  <c r="C6653" i="1"/>
  <c r="C6654" i="1"/>
  <c r="C6655" i="1"/>
  <c r="C6656" i="1"/>
  <c r="C6663" i="1"/>
  <c r="C6664" i="1"/>
  <c r="C6666" i="1"/>
  <c r="C6677" i="1"/>
  <c r="C6685" i="1"/>
  <c r="C6693" i="1"/>
  <c r="C6694" i="1"/>
  <c r="C6696" i="1"/>
  <c r="C6698" i="1"/>
  <c r="C6699" i="1"/>
  <c r="C6700" i="1"/>
  <c r="C6701" i="1"/>
  <c r="C6702" i="1"/>
  <c r="C6719" i="1"/>
  <c r="C6734" i="1"/>
  <c r="C6735" i="1"/>
  <c r="C6737" i="1"/>
  <c r="C6739" i="1"/>
  <c r="C6743" i="1"/>
  <c r="C6762" i="1"/>
  <c r="C6763" i="1"/>
  <c r="C6764" i="1"/>
  <c r="C6792" i="1"/>
  <c r="C6822" i="1"/>
  <c r="C6824" i="1"/>
  <c r="C6840" i="1"/>
  <c r="C6846" i="1"/>
  <c r="C6851" i="1"/>
  <c r="C6863" i="1"/>
  <c r="C6865" i="1"/>
  <c r="C6867" i="1"/>
  <c r="C6868" i="1"/>
  <c r="C6881" i="1"/>
  <c r="C6883" i="1"/>
  <c r="C6885" i="1"/>
  <c r="C6887" i="1"/>
  <c r="C6913" i="1"/>
  <c r="C6915" i="1"/>
  <c r="C6916" i="1"/>
  <c r="C6917" i="1"/>
  <c r="C6931" i="1"/>
  <c r="C6951" i="1"/>
  <c r="C6966" i="1"/>
  <c r="C6967" i="1"/>
  <c r="C6970" i="1"/>
  <c r="C6999" i="1"/>
  <c r="C7002" i="1"/>
  <c r="C7004" i="1"/>
  <c r="C7005" i="1"/>
  <c r="C7014" i="1"/>
  <c r="C7027" i="1"/>
  <c r="C7035" i="1"/>
  <c r="C7036" i="1"/>
  <c r="C7037" i="1"/>
  <c r="C7038" i="1"/>
  <c r="C7040" i="1"/>
  <c r="C7041" i="1"/>
  <c r="C7044" i="1"/>
  <c r="C7054" i="1"/>
  <c r="C7055" i="1"/>
  <c r="C7056" i="1"/>
  <c r="C7057" i="1"/>
  <c r="C7059" i="1"/>
  <c r="C7060" i="1"/>
  <c r="C7061" i="1"/>
  <c r="C7063" i="1"/>
  <c r="C7066" i="1"/>
  <c r="C7079" i="1"/>
  <c r="C7086" i="1"/>
  <c r="C7091" i="1"/>
  <c r="C7092" i="1"/>
  <c r="C7093" i="1"/>
  <c r="C7094" i="1"/>
  <c r="C7095" i="1"/>
  <c r="C7101" i="1"/>
  <c r="C7102" i="1"/>
  <c r="C7110" i="1"/>
  <c r="C7111" i="1"/>
  <c r="C7112" i="1"/>
  <c r="C7113" i="1"/>
  <c r="C7115" i="1"/>
  <c r="C7116" i="1"/>
  <c r="C7117" i="1"/>
  <c r="C7118" i="1"/>
  <c r="C7119" i="1"/>
  <c r="C7122" i="1"/>
  <c r="C7131" i="1"/>
  <c r="C7132" i="1"/>
  <c r="C7133" i="1"/>
  <c r="C7134" i="1"/>
  <c r="C7135" i="1"/>
  <c r="C7139" i="1"/>
  <c r="C7140" i="1"/>
  <c r="C7151" i="1"/>
  <c r="C7152" i="1"/>
  <c r="C7153" i="1"/>
  <c r="C7154" i="1"/>
  <c r="C7155" i="1"/>
  <c r="C7156" i="1"/>
  <c r="C7161" i="1"/>
  <c r="C7163" i="1"/>
  <c r="C7170" i="1"/>
  <c r="C7177" i="1"/>
  <c r="C7180" i="1"/>
  <c r="C7184" i="1"/>
  <c r="C7194" i="1"/>
  <c r="C7205" i="1"/>
  <c r="C7217" i="1"/>
  <c r="C7219" i="1"/>
  <c r="C7225" i="1"/>
  <c r="C7240" i="1"/>
  <c r="C7245" i="1"/>
  <c r="C7249" i="1"/>
  <c r="C7250" i="1"/>
  <c r="C7252" i="1"/>
  <c r="C7253" i="1"/>
  <c r="C7254" i="1"/>
  <c r="C7255" i="1"/>
  <c r="C7258" i="1"/>
  <c r="C7259" i="1"/>
  <c r="C7262" i="1"/>
  <c r="C7268" i="1"/>
  <c r="C7271" i="1"/>
  <c r="C7272" i="1"/>
  <c r="C7275" i="1"/>
  <c r="C7276" i="1"/>
  <c r="C7279" i="1"/>
  <c r="C7282" i="1"/>
  <c r="C7288" i="1"/>
  <c r="C7296" i="1"/>
  <c r="C7298" i="1"/>
  <c r="C7302" i="1"/>
  <c r="C7303" i="1"/>
  <c r="C7310" i="1"/>
  <c r="C7312" i="1"/>
  <c r="C7313" i="1"/>
  <c r="C7325" i="1"/>
  <c r="C7329" i="1"/>
  <c r="C7334" i="1"/>
  <c r="C7340" i="1"/>
  <c r="C7362" i="1"/>
  <c r="C7363" i="1"/>
  <c r="C7370" i="1"/>
  <c r="C7372" i="1"/>
  <c r="C7380" i="1"/>
  <c r="C7381" i="1"/>
  <c r="C7391" i="1"/>
  <c r="C7398" i="1"/>
  <c r="C7414" i="1"/>
  <c r="C7453" i="1"/>
  <c r="C7455" i="1"/>
  <c r="C7456" i="1"/>
  <c r="C7457" i="1"/>
  <c r="C7459" i="1"/>
  <c r="C7460" i="1"/>
  <c r="C7463" i="1"/>
  <c r="C7471" i="1"/>
  <c r="C7478" i="1"/>
  <c r="C7488" i="1"/>
  <c r="C7500" i="1"/>
  <c r="C7501" i="1"/>
  <c r="C7512" i="1"/>
  <c r="C7513" i="1"/>
  <c r="C7519" i="1"/>
  <c r="C7559" i="1"/>
  <c r="C7574" i="1"/>
  <c r="C7581" i="1"/>
  <c r="C7597" i="1"/>
  <c r="C7599" i="1"/>
  <c r="C7605" i="1"/>
  <c r="C7606" i="1"/>
  <c r="C7608" i="1"/>
  <c r="C7610" i="1"/>
  <c r="C7611" i="1"/>
  <c r="C7613" i="1"/>
  <c r="C7614" i="1"/>
  <c r="C7615" i="1"/>
  <c r="C7628" i="1"/>
  <c r="C7636" i="1"/>
  <c r="C7647" i="1"/>
  <c r="C7648" i="1"/>
  <c r="C7649" i="1"/>
  <c r="C7650" i="1"/>
  <c r="C7652" i="1"/>
  <c r="C7653" i="1"/>
  <c r="C7655" i="1"/>
  <c r="C7657" i="1"/>
  <c r="C7660" i="1"/>
  <c r="C7677" i="1"/>
  <c r="C7684" i="1"/>
  <c r="C7685" i="1"/>
  <c r="C7688" i="1"/>
  <c r="C7698" i="1"/>
  <c r="C7699" i="1"/>
  <c r="C7700" i="1"/>
  <c r="C7718" i="1"/>
  <c r="C7730" i="1"/>
  <c r="C7738" i="1"/>
  <c r="C7742" i="1"/>
  <c r="C7743" i="1"/>
  <c r="C7744" i="1"/>
  <c r="C7745" i="1"/>
  <c r="C7746" i="1"/>
  <c r="C7760" i="1"/>
  <c r="C7771" i="1"/>
  <c r="C7787" i="1"/>
  <c r="C7788" i="1"/>
  <c r="C7794" i="1"/>
  <c r="C7797" i="1"/>
  <c r="C7798" i="1"/>
  <c r="C7800" i="1"/>
  <c r="C7801" i="1"/>
  <c r="C7802" i="1"/>
  <c r="C7803" i="1"/>
  <c r="C7836" i="1"/>
  <c r="C7837" i="1"/>
  <c r="C7838" i="1"/>
  <c r="C7840" i="1"/>
  <c r="C7841" i="1"/>
  <c r="C7842" i="1"/>
  <c r="C7843" i="1"/>
  <c r="C7844" i="1"/>
  <c r="C7845" i="1"/>
  <c r="C7846" i="1"/>
  <c r="C7848" i="1"/>
  <c r="C7856" i="1"/>
  <c r="C7860" i="1"/>
  <c r="C7887" i="1"/>
  <c r="C7894" i="1"/>
  <c r="C7902" i="1"/>
  <c r="C7908" i="1"/>
  <c r="C7919" i="1"/>
  <c r="C7922" i="1"/>
  <c r="C7924" i="1"/>
  <c r="C7926" i="1"/>
  <c r="C7927" i="1"/>
  <c r="C7931" i="1"/>
  <c r="C7932" i="1"/>
  <c r="C7935" i="1"/>
  <c r="C7981" i="1"/>
  <c r="C7989" i="1"/>
  <c r="C8003" i="1"/>
  <c r="C8004" i="1"/>
  <c r="C8005" i="1"/>
  <c r="C8016" i="1"/>
  <c r="C8023" i="1"/>
  <c r="C8025" i="1"/>
  <c r="C8028" i="1"/>
  <c r="C8029" i="1"/>
  <c r="C8042" i="1"/>
  <c r="C8054" i="1"/>
  <c r="C8062" i="1"/>
  <c r="C8086" i="1"/>
  <c r="C8088" i="1"/>
  <c r="C8105" i="1"/>
  <c r="C8106" i="1"/>
  <c r="C8111" i="1"/>
  <c r="C8122" i="1"/>
  <c r="C8125" i="1"/>
  <c r="C8127" i="1"/>
  <c r="C8129" i="1"/>
  <c r="C8132" i="1"/>
  <c r="C8148" i="1"/>
  <c r="C8150" i="1"/>
  <c r="C8159" i="1"/>
  <c r="C8161" i="1"/>
  <c r="C8162" i="1"/>
  <c r="C8163" i="1"/>
  <c r="C8164" i="1"/>
  <c r="C8165" i="1"/>
  <c r="C8166" i="1"/>
  <c r="C8167" i="1"/>
  <c r="C8168" i="1"/>
  <c r="C8175" i="1"/>
  <c r="C8188" i="1"/>
  <c r="C8192" i="1"/>
  <c r="C8193" i="1"/>
  <c r="C8195" i="1"/>
  <c r="C8197" i="1"/>
  <c r="C8199" i="1"/>
  <c r="C8200" i="1"/>
  <c r="C8203" i="1"/>
  <c r="C8205" i="1"/>
  <c r="C8230" i="1"/>
  <c r="C8233" i="1"/>
  <c r="C8239" i="1"/>
  <c r="C8251" i="1"/>
  <c r="C8253" i="1"/>
  <c r="C8259" i="1"/>
  <c r="C8262" i="1"/>
  <c r="C8263" i="1"/>
  <c r="C8274" i="1"/>
  <c r="C8276" i="1"/>
  <c r="C8278" i="1"/>
  <c r="C8282" i="1"/>
  <c r="C8301" i="1"/>
  <c r="C8313" i="1"/>
  <c r="C8326" i="1"/>
  <c r="C8340" i="1"/>
  <c r="C8347" i="1"/>
  <c r="C8349" i="1"/>
  <c r="C8352" i="1"/>
  <c r="C8353" i="1"/>
  <c r="C8358" i="1"/>
  <c r="C8370" i="1"/>
  <c r="C8385" i="1"/>
  <c r="C8386" i="1"/>
  <c r="C8389" i="1"/>
  <c r="C8390" i="1"/>
  <c r="C8391" i="1"/>
  <c r="C8392" i="1"/>
  <c r="C8397" i="1"/>
  <c r="C8398" i="1"/>
  <c r="C8400" i="1"/>
  <c r="C8404" i="1"/>
  <c r="C8416" i="1"/>
  <c r="C8424" i="1"/>
  <c r="C8426" i="1"/>
  <c r="C8428" i="1"/>
  <c r="C8429" i="1"/>
  <c r="C8431" i="1"/>
  <c r="C8432" i="1"/>
  <c r="C8439" i="1"/>
  <c r="C8440" i="1"/>
  <c r="C8442" i="1"/>
  <c r="C8444" i="1"/>
  <c r="C8445" i="1"/>
  <c r="C8454" i="1"/>
  <c r="C8455" i="1"/>
  <c r="C8460" i="1"/>
  <c r="C8462" i="1"/>
  <c r="C8466" i="1"/>
  <c r="C8472" i="1"/>
  <c r="C8479" i="1"/>
  <c r="C8494" i="1"/>
  <c r="C8495" i="1"/>
  <c r="C8496" i="1"/>
  <c r="C8498" i="1"/>
  <c r="C8499" i="1"/>
  <c r="C8501" i="1"/>
  <c r="C8518" i="1"/>
  <c r="C8534" i="1"/>
  <c r="C8536" i="1"/>
  <c r="C8539" i="1"/>
  <c r="C8562" i="1"/>
  <c r="C8566" i="1"/>
  <c r="C8574" i="1"/>
  <c r="C8575" i="1"/>
  <c r="C8584" i="1"/>
  <c r="C8593" i="1"/>
  <c r="C8598" i="1"/>
  <c r="C8601" i="1"/>
  <c r="C8604" i="1"/>
  <c r="C8607" i="1"/>
  <c r="C8608" i="1"/>
  <c r="C8610" i="1"/>
  <c r="C8620" i="1"/>
  <c r="C8624" i="1"/>
  <c r="C8627" i="1"/>
  <c r="C8631" i="1"/>
  <c r="C8635" i="1"/>
  <c r="C8641" i="1"/>
  <c r="C8656" i="1"/>
  <c r="C8706" i="1"/>
  <c r="C8718" i="1"/>
  <c r="C8730" i="1"/>
  <c r="C8743" i="1"/>
  <c r="C8744" i="1"/>
  <c r="C8756" i="1"/>
  <c r="C8767" i="1"/>
  <c r="C8768" i="1"/>
  <c r="C8774" i="1"/>
  <c r="C8777" i="1"/>
  <c r="C8809" i="1"/>
  <c r="C8815" i="1"/>
  <c r="C8825" i="1"/>
  <c r="C8830" i="1"/>
  <c r="C8838" i="1"/>
  <c r="C8843" i="1"/>
  <c r="C8851" i="1"/>
  <c r="C8853" i="1"/>
  <c r="C8867" i="1"/>
  <c r="C8869" i="1"/>
  <c r="C8882" i="1"/>
  <c r="C8891" i="1"/>
  <c r="C8895" i="1"/>
  <c r="C8898" i="1"/>
  <c r="C8899" i="1"/>
  <c r="C8910" i="1"/>
  <c r="C8923" i="1"/>
  <c r="C8924" i="1"/>
  <c r="C8926" i="1"/>
  <c r="C8927" i="1"/>
  <c r="C8928" i="1"/>
  <c r="C8929" i="1"/>
  <c r="C8938" i="1"/>
  <c r="C8944" i="1"/>
  <c r="C8957" i="1"/>
  <c r="C8972" i="1"/>
  <c r="C8977" i="1"/>
  <c r="C8981" i="1"/>
  <c r="C8982" i="1"/>
  <c r="C8988" i="1"/>
  <c r="C8995" i="1"/>
  <c r="C8999" i="1"/>
  <c r="C9000" i="1"/>
  <c r="C9005" i="1"/>
  <c r="C9012" i="1"/>
  <c r="C9014" i="1"/>
  <c r="C9037" i="1"/>
  <c r="C9038" i="1"/>
  <c r="C9043" i="1"/>
  <c r="C9053" i="1"/>
  <c r="C9055" i="1"/>
  <c r="C9062" i="1"/>
  <c r="C9063" i="1"/>
  <c r="C9064" i="1"/>
  <c r="C9065" i="1"/>
  <c r="C9072" i="1"/>
  <c r="C9073" i="1"/>
  <c r="C9075" i="1"/>
  <c r="C9090" i="1"/>
  <c r="C9091" i="1"/>
  <c r="C9094" i="1"/>
  <c r="C9096" i="1"/>
  <c r="C9097" i="1"/>
  <c r="C9100" i="1"/>
  <c r="C9101" i="1"/>
  <c r="C9102" i="1"/>
  <c r="C9113" i="1"/>
  <c r="C9118" i="1"/>
  <c r="C9127" i="1"/>
  <c r="C9133" i="1"/>
  <c r="C9148" i="1"/>
  <c r="C9151" i="1"/>
  <c r="C9152" i="1"/>
  <c r="C9159" i="1"/>
  <c r="C9169" i="1"/>
  <c r="C9172" i="1"/>
  <c r="C9180" i="1"/>
  <c r="C9184" i="1"/>
  <c r="C9190" i="1"/>
  <c r="C9193" i="1"/>
  <c r="C9195" i="1"/>
  <c r="C9196" i="1"/>
  <c r="C9198" i="1"/>
  <c r="C9207" i="1"/>
  <c r="C9226" i="1"/>
  <c r="C9243" i="1"/>
  <c r="C9244" i="1"/>
  <c r="C9246" i="1"/>
  <c r="C9247" i="1"/>
  <c r="C9249" i="1"/>
  <c r="C9252" i="1"/>
  <c r="C9271" i="1"/>
  <c r="C9272" i="1"/>
  <c r="C9273" i="1"/>
  <c r="C9274" i="1"/>
  <c r="C9275" i="1"/>
  <c r="C9276" i="1"/>
  <c r="C9278" i="1"/>
  <c r="C9279" i="1"/>
  <c r="C9280" i="1"/>
  <c r="C9281" i="1"/>
  <c r="C9282" i="1"/>
  <c r="C9284" i="1"/>
  <c r="C9285" i="1"/>
  <c r="C9286" i="1"/>
  <c r="C9287" i="1"/>
  <c r="C9288" i="1"/>
  <c r="C9296" i="1"/>
  <c r="C9298" i="1"/>
  <c r="C9299" i="1"/>
  <c r="C9300" i="1"/>
  <c r="C9303" i="1"/>
  <c r="C9304" i="1"/>
  <c r="C9306" i="1"/>
  <c r="C9310" i="1"/>
  <c r="C9312" i="1"/>
  <c r="C9314" i="1"/>
  <c r="C9319" i="1"/>
  <c r="C9324" i="1"/>
  <c r="C9352" i="1"/>
  <c r="C9353" i="1"/>
  <c r="C9357" i="1"/>
  <c r="C9377" i="1"/>
  <c r="C9397" i="1"/>
  <c r="C9402" i="1"/>
  <c r="C9403" i="1"/>
  <c r="C9407" i="1"/>
  <c r="C9412" i="1"/>
  <c r="C9413" i="1"/>
  <c r="C9414" i="1"/>
  <c r="C9416" i="1"/>
  <c r="C9433" i="1"/>
  <c r="C9434" i="1"/>
  <c r="C9439" i="1"/>
  <c r="C9448" i="1"/>
  <c r="C9452" i="1"/>
  <c r="C9467" i="1"/>
  <c r="C9477" i="1"/>
  <c r="C9479" i="1"/>
  <c r="C9480" i="1"/>
  <c r="C9483" i="1"/>
  <c r="C9484" i="1"/>
  <c r="C9486" i="1"/>
  <c r="C9488" i="1"/>
  <c r="C9490" i="1"/>
  <c r="C9496" i="1"/>
  <c r="C9500" i="1"/>
  <c r="C9512" i="1"/>
  <c r="C9520" i="1"/>
  <c r="C9532" i="1"/>
  <c r="C9533" i="1"/>
  <c r="C9537" i="1"/>
  <c r="C9548" i="1"/>
  <c r="C9557" i="1"/>
  <c r="C9567" i="1"/>
  <c r="C9572" i="1"/>
  <c r="C9574" i="1"/>
  <c r="C9575" i="1"/>
  <c r="C9577" i="1"/>
  <c r="C9585" i="1"/>
  <c r="C9586" i="1"/>
  <c r="C9587" i="1"/>
  <c r="C9589" i="1"/>
  <c r="C9592" i="1"/>
  <c r="C9594" i="1"/>
  <c r="C9596" i="1"/>
  <c r="C9597" i="1"/>
  <c r="C9598" i="1"/>
  <c r="C9601" i="1"/>
  <c r="C9604" i="1"/>
  <c r="C9605" i="1"/>
  <c r="C9606" i="1"/>
  <c r="C9607" i="1"/>
  <c r="C9613" i="1"/>
  <c r="C9621" i="1"/>
  <c r="C9624" i="1"/>
  <c r="C9627" i="1"/>
  <c r="C9628" i="1"/>
  <c r="C9629" i="1"/>
  <c r="C9630" i="1"/>
  <c r="C9631" i="1"/>
  <c r="C9632" i="1"/>
  <c r="C9647" i="1"/>
  <c r="C9663" i="1"/>
  <c r="C9672" i="1"/>
  <c r="C9688" i="1"/>
  <c r="C9709" i="1"/>
  <c r="C9745" i="1"/>
  <c r="C9750" i="1"/>
  <c r="C9768" i="1"/>
  <c r="C9769" i="1"/>
  <c r="C9783" i="1"/>
  <c r="C9786" i="1"/>
  <c r="C9787" i="1"/>
  <c r="C9800" i="1"/>
  <c r="C9812" i="1"/>
  <c r="C9819" i="1"/>
  <c r="C9827" i="1"/>
  <c r="C9828" i="1"/>
  <c r="C9842" i="1"/>
  <c r="C9843" i="1"/>
  <c r="C9844" i="1"/>
  <c r="C9846" i="1"/>
  <c r="C9851" i="1"/>
  <c r="C9858" i="1"/>
  <c r="C9861" i="1"/>
  <c r="C9863" i="1"/>
  <c r="C9867" i="1"/>
  <c r="C9868" i="1"/>
  <c r="C9869" i="1"/>
  <c r="C9876" i="1"/>
  <c r="C9892" i="1"/>
  <c r="C9900" i="1"/>
  <c r="C9901" i="1"/>
  <c r="C9914" i="1"/>
  <c r="C9920" i="1"/>
  <c r="C9921" i="1"/>
  <c r="C9922" i="1"/>
  <c r="C9927" i="1"/>
  <c r="C9953" i="1"/>
  <c r="C9964" i="1"/>
  <c r="C9966" i="1"/>
  <c r="C9973" i="1"/>
  <c r="C9981" i="1"/>
  <c r="C9983" i="1"/>
  <c r="C9985" i="1"/>
  <c r="C9986" i="1"/>
  <c r="C9987" i="1"/>
  <c r="C9989" i="1"/>
  <c r="C9995" i="1"/>
  <c r="C10017" i="1"/>
  <c r="C10031" i="1"/>
  <c r="C10049" i="1"/>
  <c r="C10053" i="1"/>
  <c r="C10058" i="1"/>
  <c r="C10063" i="1"/>
  <c r="C10071" i="1"/>
  <c r="C10081" i="1"/>
  <c r="C10101" i="1"/>
  <c r="C10104" i="1"/>
  <c r="C10106" i="1"/>
  <c r="C10107" i="1"/>
  <c r="C10109" i="1"/>
  <c r="C10111" i="1"/>
  <c r="C10120" i="1"/>
  <c r="C10123" i="1"/>
  <c r="C10129" i="1"/>
</calcChain>
</file>

<file path=xl/sharedStrings.xml><?xml version="1.0" encoding="utf-8"?>
<sst xmlns="http://schemas.openxmlformats.org/spreadsheetml/2006/main" count="91409" uniqueCount="1218">
  <si>
    <t>OBJECTID</t>
  </si>
  <si>
    <t>LAYER_ID</t>
  </si>
  <si>
    <t>INTERSECTION_ID</t>
  </si>
  <si>
    <t>ROUTE_NAME</t>
  </si>
  <si>
    <t>START_ACCUM</t>
  </si>
  <si>
    <t>SIGNALIZED</t>
  </si>
  <si>
    <t>CONTROL</t>
  </si>
  <si>
    <t>SR_SR_INTE</t>
  </si>
  <si>
    <t>ROUTE_1_IN</t>
  </si>
  <si>
    <t>ROUTE_2_IN</t>
  </si>
  <si>
    <t>REGION</t>
  </si>
  <si>
    <t>STATION</t>
  </si>
  <si>
    <t>COLLECTED_DATE</t>
  </si>
  <si>
    <t>BEGIN_LATITUDE</t>
  </si>
  <si>
    <t>BEGIN_LONGITUDE</t>
  </si>
  <si>
    <t>BEGIN_ALTITUDE</t>
  </si>
  <si>
    <t>ROUTE_DIR_ID</t>
  </si>
  <si>
    <t>ERR_CD</t>
  </si>
  <si>
    <t>0265P</t>
  </si>
  <si>
    <t>YES</t>
  </si>
  <si>
    <t xml:space="preserve"> </t>
  </si>
  <si>
    <t>NO</t>
  </si>
  <si>
    <t>3411 - Region 3 Maint Admin</t>
  </si>
  <si>
    <t>3427 - Orem/Provo</t>
  </si>
  <si>
    <t>2014-03-23T00:00:00.000Z</t>
  </si>
  <si>
    <t>0063P</t>
  </si>
  <si>
    <t>STOP</t>
  </si>
  <si>
    <t>4411 - Region 4 Maint Admin</t>
  </si>
  <si>
    <t>4470 - Escalante</t>
  </si>
  <si>
    <t>2014-08-24T00:00:00.000Z</t>
  </si>
  <si>
    <t>0210P</t>
  </si>
  <si>
    <t>2411 - Region 2 Maint Admin</t>
  </si>
  <si>
    <t>2433 - Cottonwood</t>
  </si>
  <si>
    <t>2014-05-17T00:00:00.000Z</t>
  </si>
  <si>
    <t>0113P</t>
  </si>
  <si>
    <t>3431 - Heber</t>
  </si>
  <si>
    <t>2014-05-15T00:00:00.000Z</t>
  </si>
  <si>
    <t>0128P</t>
  </si>
  <si>
    <t>4453 - Moab</t>
  </si>
  <si>
    <t>2014-05-14T00:00:00.000Z</t>
  </si>
  <si>
    <t>0101P</t>
  </si>
  <si>
    <t>1411 - Region 1 Maint Admin</t>
  </si>
  <si>
    <t>1435 - Wellsville</t>
  </si>
  <si>
    <t>2014-05-06T00:00:00.000Z</t>
  </si>
  <si>
    <t>0106P</t>
  </si>
  <si>
    <t>1427 - Centerville</t>
  </si>
  <si>
    <t>2014-04-10T00:00:00.000Z</t>
  </si>
  <si>
    <t>0175P</t>
  </si>
  <si>
    <t>2431 - West Jordan</t>
  </si>
  <si>
    <t>2014-03-22T00:00:00.000Z</t>
  </si>
  <si>
    <t>0143P</t>
  </si>
  <si>
    <t>4478 - Parowan</t>
  </si>
  <si>
    <t>2014-04-12T00:00:00.000Z</t>
  </si>
  <si>
    <t>0289P</t>
  </si>
  <si>
    <t>4476 - Cedar City</t>
  </si>
  <si>
    <t>2014-03-15T00:00:00.000Z</t>
  </si>
  <si>
    <t>0097P</t>
  </si>
  <si>
    <t>1421 - Clinton</t>
  </si>
  <si>
    <t>2014-04-18T00:00:00.000Z</t>
  </si>
  <si>
    <t>0052P</t>
  </si>
  <si>
    <t>3425 - Provo Canyon</t>
  </si>
  <si>
    <t>0189P</t>
  </si>
  <si>
    <t>2014-08-30T00:00:00.000Z</t>
  </si>
  <si>
    <t>0062P</t>
  </si>
  <si>
    <t>4468 - Junction</t>
  </si>
  <si>
    <t>0186P</t>
  </si>
  <si>
    <t>2425 - Salt Lake Metro</t>
  </si>
  <si>
    <t>2014-03-10T00:00:00.000Z</t>
  </si>
  <si>
    <t>0266P</t>
  </si>
  <si>
    <t>2432 - Murray</t>
  </si>
  <si>
    <t>2014-03-09T00:00:00.000Z</t>
  </si>
  <si>
    <t>0228P</t>
  </si>
  <si>
    <t>4473 - Purgatory</t>
  </si>
  <si>
    <t>2014-04-22T00:00:00.000Z</t>
  </si>
  <si>
    <t>0120P</t>
  </si>
  <si>
    <t>4464 - Richfield</t>
  </si>
  <si>
    <t>2014-03-17T00:00:00.000Z</t>
  </si>
  <si>
    <t>0172P</t>
  </si>
  <si>
    <t>2424 - Salt Lake West</t>
  </si>
  <si>
    <t>2014-04-07T00:00:00.000Z</t>
  </si>
  <si>
    <t>0104P</t>
  </si>
  <si>
    <t>1422 - Ogden</t>
  </si>
  <si>
    <t>2014-04-17T00:00:00.000Z</t>
  </si>
  <si>
    <t>0074P</t>
  </si>
  <si>
    <t>3423 - Lehi</t>
  </si>
  <si>
    <t>2014-04-04T00:00:00.000Z</t>
  </si>
  <si>
    <t>0273P</t>
  </si>
  <si>
    <t>1424 - Clearfield</t>
  </si>
  <si>
    <t>0071P</t>
  </si>
  <si>
    <t>2427 - Salt Lake South</t>
  </si>
  <si>
    <t>2014-03-18T00:00:00.000Z</t>
  </si>
  <si>
    <t>0023P</t>
  </si>
  <si>
    <t>0232P</t>
  </si>
  <si>
    <t>2014-04-09T00:00:00.000Z</t>
  </si>
  <si>
    <t>0200P</t>
  </si>
  <si>
    <t>1436 - Logan</t>
  </si>
  <si>
    <t>0043P</t>
  </si>
  <si>
    <t>3436 - Manila</t>
  </si>
  <si>
    <t>2014-05-21T00:00:00.000Z</t>
  </si>
  <si>
    <t>0079P</t>
  </si>
  <si>
    <t>0108P</t>
  </si>
  <si>
    <t>0107P</t>
  </si>
  <si>
    <t>0160P</t>
  </si>
  <si>
    <t>4479 - Beaver</t>
  </si>
  <si>
    <t>2014-03-06T00:00:00.000Z</t>
  </si>
  <si>
    <t>0271P</t>
  </si>
  <si>
    <t>2014-03-13T00:00:00.000Z</t>
  </si>
  <si>
    <t>0204P</t>
  </si>
  <si>
    <t>0026P</t>
  </si>
  <si>
    <t>0165P</t>
  </si>
  <si>
    <t>0057P</t>
  </si>
  <si>
    <t>4456 - Huntington</t>
  </si>
  <si>
    <t>2014-05-10T00:00:00.000Z</t>
  </si>
  <si>
    <t>0060P</t>
  </si>
  <si>
    <t>0193P</t>
  </si>
  <si>
    <t>0173P</t>
  </si>
  <si>
    <t>0091P</t>
  </si>
  <si>
    <t>2014-04-23T00:00:00.000Z</t>
  </si>
  <si>
    <t>0040P</t>
  </si>
  <si>
    <t>3445 - Strawberry / Seal Crew</t>
  </si>
  <si>
    <t>2014-05-16T00:00:00.000Z</t>
  </si>
  <si>
    <t>0276P</t>
  </si>
  <si>
    <t>4467 - Hanksville</t>
  </si>
  <si>
    <t>2014-04-30T00:00:00.000Z</t>
  </si>
  <si>
    <t>0068P</t>
  </si>
  <si>
    <t>2014-03-24T00:00:00.000Z</t>
  </si>
  <si>
    <t>0134P</t>
  </si>
  <si>
    <t>0061P</t>
  </si>
  <si>
    <t>0252P</t>
  </si>
  <si>
    <t>0150P</t>
  </si>
  <si>
    <t>2437 - Kamas</t>
  </si>
  <si>
    <t>2014-05-19T00:00:00.000Z</t>
  </si>
  <si>
    <t>0121P</t>
  </si>
  <si>
    <t>3435 - Roosevelt</t>
  </si>
  <si>
    <t>2014-05-23T00:00:00.000Z</t>
  </si>
  <si>
    <t>0151P</t>
  </si>
  <si>
    <t>0066P</t>
  </si>
  <si>
    <t>1426 - Morgan</t>
  </si>
  <si>
    <t>2014-05-25T00:00:00.000Z</t>
  </si>
  <si>
    <t>0156P</t>
  </si>
  <si>
    <t>3426 - Spanish Fork</t>
  </si>
  <si>
    <t>2014-04-02T00:00:00.000Z</t>
  </si>
  <si>
    <t>0021P</t>
  </si>
  <si>
    <t>4480 - Milford</t>
  </si>
  <si>
    <t>2014-04-01T00:00:00.000Z</t>
  </si>
  <si>
    <t>0491P</t>
  </si>
  <si>
    <t>4452 - Monticello</t>
  </si>
  <si>
    <t>2014-05-01T00:00:00.000Z</t>
  </si>
  <si>
    <t>0302P</t>
  </si>
  <si>
    <t>2436 - Wanship</t>
  </si>
  <si>
    <t>0019P</t>
  </si>
  <si>
    <t>4455 - Green River</t>
  </si>
  <si>
    <t>2014-04-25T00:00:00.000Z</t>
  </si>
  <si>
    <t>0146P</t>
  </si>
  <si>
    <t>0054P</t>
  </si>
  <si>
    <t>3422 - Nephi</t>
  </si>
  <si>
    <t>0235P</t>
  </si>
  <si>
    <t>0055P</t>
  </si>
  <si>
    <t>4459 - Wellington</t>
  </si>
  <si>
    <t>2014-05-13T00:00:00.000Z</t>
  </si>
  <si>
    <t>0017P</t>
  </si>
  <si>
    <t>0219P</t>
  </si>
  <si>
    <t>4475 - Beryl</t>
  </si>
  <si>
    <t>2014-05-05T00:00:00.000Z</t>
  </si>
  <si>
    <t>0099P</t>
  </si>
  <si>
    <t>4482 - Meadow</t>
  </si>
  <si>
    <t>2014-03-16T00:00:00.000Z</t>
  </si>
  <si>
    <t>0208P</t>
  </si>
  <si>
    <t>3433 - Tabiona</t>
  </si>
  <si>
    <t>2014-05-20T00:00:00.000Z</t>
  </si>
  <si>
    <t>0284P</t>
  </si>
  <si>
    <t>0171P</t>
  </si>
  <si>
    <t>0132P</t>
  </si>
  <si>
    <t>4483 - Delta</t>
  </si>
  <si>
    <t>2014-04-16T00:00:00.000Z</t>
  </si>
  <si>
    <t>0109P</t>
  </si>
  <si>
    <t>0013P</t>
  </si>
  <si>
    <t>1423 - Brigham City</t>
  </si>
  <si>
    <t>2014-08-18T00:00:00.000Z</t>
  </si>
  <si>
    <t>0269P</t>
  </si>
  <si>
    <t>0082P</t>
  </si>
  <si>
    <t>1432 - Bothwell</t>
  </si>
  <si>
    <t>0260P</t>
  </si>
  <si>
    <t>4463 - Salina</t>
  </si>
  <si>
    <t>0130P</t>
  </si>
  <si>
    <t>0037P</t>
  </si>
  <si>
    <t>-JMS58aBFZTjdMCXAte6M-</t>
  </si>
  <si>
    <t>0282P</t>
  </si>
  <si>
    <t>2434 - Parleys Canyon</t>
  </si>
  <si>
    <t>0203P</t>
  </si>
  <si>
    <t>2014-05-08T00:00:00.000Z</t>
  </si>
  <si>
    <t>0110P</t>
  </si>
  <si>
    <t>0077P</t>
  </si>
  <si>
    <t>3421 - Eureka</t>
  </si>
  <si>
    <t>2014-04-03T00:00:00.000Z</t>
  </si>
  <si>
    <t>0127P</t>
  </si>
  <si>
    <t>0034P</t>
  </si>
  <si>
    <t>0141P</t>
  </si>
  <si>
    <t>3424 - Santaquin</t>
  </si>
  <si>
    <t>0153P</t>
  </si>
  <si>
    <t>2014-08-23T00:00:00.000Z</t>
  </si>
  <si>
    <t>0064P</t>
  </si>
  <si>
    <t>4484 - Scipio</t>
  </si>
  <si>
    <t>0039P</t>
  </si>
  <si>
    <t>2014-08-17T00:00:00.000Z</t>
  </si>
  <si>
    <t>0202P</t>
  </si>
  <si>
    <t>2014-03-21T00:00:00.000Z</t>
  </si>
  <si>
    <t>-IpZO9KeHkTtzXCURV0x2-</t>
  </si>
  <si>
    <t>0224P</t>
  </si>
  <si>
    <t>2435 - Silver Summit</t>
  </si>
  <si>
    <t>0162P</t>
  </si>
  <si>
    <t>4450 - Bluff</t>
  </si>
  <si>
    <t>2014-05-02T00:00:00.000Z</t>
  </si>
  <si>
    <t>0006P</t>
  </si>
  <si>
    <t>2014-04-15T00:00:00.000Z</t>
  </si>
  <si>
    <t>0114P</t>
  </si>
  <si>
    <t>0157P</t>
  </si>
  <si>
    <t>0018P</t>
  </si>
  <si>
    <t>0256P</t>
  </si>
  <si>
    <t>0316P</t>
  </si>
  <si>
    <t>0012P</t>
  </si>
  <si>
    <t>0028P</t>
  </si>
  <si>
    <t>-JXenyglI-L_IarcRmqV0-</t>
  </si>
  <si>
    <t>1433 - Riverside</t>
  </si>
  <si>
    <t>0198P</t>
  </si>
  <si>
    <t>0211P</t>
  </si>
  <si>
    <t>2014-08-26T00:00:00.000Z</t>
  </si>
  <si>
    <t>0123P</t>
  </si>
  <si>
    <t>0078P</t>
  </si>
  <si>
    <t>0117P</t>
  </si>
  <si>
    <t>4461 - Mt Pleasant</t>
  </si>
  <si>
    <t>0126P</t>
  </si>
  <si>
    <t>0248P</t>
  </si>
  <si>
    <t>0045P</t>
  </si>
  <si>
    <t>3437 - Vernal</t>
  </si>
  <si>
    <t>2014-05-22T00:00:00.000Z</t>
  </si>
  <si>
    <t>0111P</t>
  </si>
  <si>
    <t>0279P</t>
  </si>
  <si>
    <t>2014-04-24T00:00:00.000Z</t>
  </si>
  <si>
    <t>0102P</t>
  </si>
  <si>
    <t>0046P</t>
  </si>
  <si>
    <t>0010P</t>
  </si>
  <si>
    <t>4457 - Emery</t>
  </si>
  <si>
    <t>2014-05-09T00:00:00.000Z</t>
  </si>
  <si>
    <t>0024P</t>
  </si>
  <si>
    <t>0044P</t>
  </si>
  <si>
    <t>-JWWrIaUFh1IpqeA1X4Md-</t>
  </si>
  <si>
    <t>4469 - Panguitch</t>
  </si>
  <si>
    <t>-JLumgBIIsyK5aWRahSEs-</t>
  </si>
  <si>
    <t>0140P</t>
  </si>
  <si>
    <t>0119P</t>
  </si>
  <si>
    <t>0100P</t>
  </si>
  <si>
    <t>0311P</t>
  </si>
  <si>
    <t>3434 - Duchesne</t>
  </si>
  <si>
    <t>0158P</t>
  </si>
  <si>
    <t>1425 - Huntsville</t>
  </si>
  <si>
    <t>2014-08-16T00:00:00.000Z</t>
  </si>
  <si>
    <t>0164P</t>
  </si>
  <si>
    <t>089AP</t>
  </si>
  <si>
    <t>4472 - Kanab</t>
  </si>
  <si>
    <t>0053P</t>
  </si>
  <si>
    <t>-JMZQik-Hmi3mgBG3Qlys-</t>
  </si>
  <si>
    <t>0145P</t>
  </si>
  <si>
    <t>3428 - Saratoga</t>
  </si>
  <si>
    <t>0222P</t>
  </si>
  <si>
    <t>0072P</t>
  </si>
  <si>
    <t>4466 - Loa</t>
  </si>
  <si>
    <t>2014-08-29T00:00:00.000Z</t>
  </si>
  <si>
    <t>0083P</t>
  </si>
  <si>
    <t>0303P</t>
  </si>
  <si>
    <t>2014-04-29T00:00:00.000Z</t>
  </si>
  <si>
    <t>0073P</t>
  </si>
  <si>
    <t>0089P</t>
  </si>
  <si>
    <t>-IoqBfFsIdiGk5tYXy_cn-</t>
  </si>
  <si>
    <t>-IoqLiJuICP5vKPCsHLV3-</t>
  </si>
  <si>
    <t>-IoqPdBoHDDJ1nQ0VWtK6-</t>
  </si>
  <si>
    <t>-IoqR1tVHIe5DdC2aTUV4-</t>
  </si>
  <si>
    <t>2014-05-26T00:00:00.000Z</t>
  </si>
  <si>
    <t>0014P</t>
  </si>
  <si>
    <t>4471 - Long Valley Jct</t>
  </si>
  <si>
    <t>2014-04-21T00:00:00.000Z</t>
  </si>
  <si>
    <t>0036P</t>
  </si>
  <si>
    <t>2423 - Tooele</t>
  </si>
  <si>
    <t>2014-03-31T00:00:00.000Z</t>
  </si>
  <si>
    <t>0196P</t>
  </si>
  <si>
    <t>2422 - Grantsville</t>
  </si>
  <si>
    <t>-Iovr9aeFcqjyU-CLn4SC-</t>
  </si>
  <si>
    <t>-JT7sxtjFRuUQSusuKfla-</t>
  </si>
  <si>
    <t>0191P</t>
  </si>
  <si>
    <t>-JX_Z7e7GWHf_U3roCvdo-</t>
  </si>
  <si>
    <t>0030P</t>
  </si>
  <si>
    <t>1431 - Snowville</t>
  </si>
  <si>
    <t>0087P</t>
  </si>
  <si>
    <t>-IoSgfx8Fs9HOq22ENwNV-</t>
  </si>
  <si>
    <t>-IoVvFajFhi7Q-31h6oNQk</t>
  </si>
  <si>
    <t>-IoVwW4wINigcARNlIWo4-</t>
  </si>
  <si>
    <t>-IoVyQ_iGTqi0Ua1kRiSt-</t>
  </si>
  <si>
    <t>-IoWUUsFH7Xr7jarCckcJ-</t>
  </si>
  <si>
    <t>-IoWo-ocHqDtyXrP_iEF6-</t>
  </si>
  <si>
    <t>-IoWoDhKGFDMS8ZAMLrGE-</t>
  </si>
  <si>
    <t>-IoWpvA8FsaS-8YpCbuAn-</t>
  </si>
  <si>
    <t>-IoWqa3UFpeJljoQ7A_Qb-</t>
  </si>
  <si>
    <t>2014-08-21T00:00:00.000Z</t>
  </si>
  <si>
    <t>0009P</t>
  </si>
  <si>
    <t>0038P</t>
  </si>
  <si>
    <t>0088P</t>
  </si>
  <si>
    <t>0264P</t>
  </si>
  <si>
    <t>4460 - Colton</t>
  </si>
  <si>
    <t>0031P</t>
  </si>
  <si>
    <t>0147P</t>
  </si>
  <si>
    <t>0138P</t>
  </si>
  <si>
    <t>-Ip5PlaMHnPARqRTiITRl-</t>
  </si>
  <si>
    <t>0257P</t>
  </si>
  <si>
    <t>2014-04-14T00:00:00.000Z</t>
  </si>
  <si>
    <t>-Ip5nGHhGmeFfcCjxQq9r-</t>
  </si>
  <si>
    <t>0029P</t>
  </si>
  <si>
    <t>0035P</t>
  </si>
  <si>
    <t>0163P</t>
  </si>
  <si>
    <t>2014-05-03T00:00:00.000Z</t>
  </si>
  <si>
    <t>0056P</t>
  </si>
  <si>
    <t>0050P</t>
  </si>
  <si>
    <t>-JME4lijGD9X6X3yPQaYK-</t>
  </si>
  <si>
    <t>0085P</t>
  </si>
  <si>
    <t>0032P</t>
  </si>
  <si>
    <t>-Ip-cjqGF4Le3U0J8aLYX-</t>
  </si>
  <si>
    <t>1437 - Laketown</t>
  </si>
  <si>
    <t>0261P</t>
  </si>
  <si>
    <t>4451 - Blanding</t>
  </si>
  <si>
    <t>2014-08-31T00:00:00.000Z</t>
  </si>
  <si>
    <t>-JQDUD2nGQqBQWnCPPIPW-</t>
  </si>
  <si>
    <t>-JPmOwzlHKuit-Wj-1SCUF</t>
  </si>
  <si>
    <t>0155P</t>
  </si>
  <si>
    <t>0112P</t>
  </si>
  <si>
    <t>0154P</t>
  </si>
  <si>
    <t>0144P</t>
  </si>
  <si>
    <t>2014-08-28T00:00:00.000Z</t>
  </si>
  <si>
    <t>0190P</t>
  </si>
  <si>
    <t>4465 - Sevier</t>
  </si>
  <si>
    <t>0059P</t>
  </si>
  <si>
    <t>0142P</t>
  </si>
  <si>
    <t>0007P</t>
  </si>
  <si>
    <t>-IpZ_TrYGymWVsxl6Nr9d-</t>
  </si>
  <si>
    <t>-JWT0sfbHViuJFqlGzdS--</t>
  </si>
  <si>
    <t>0116P</t>
  </si>
  <si>
    <t>-JLjLXQjH3DVX0IBf34Vl-</t>
  </si>
  <si>
    <t>0118P</t>
  </si>
  <si>
    <t>0096P</t>
  </si>
  <si>
    <t>0016P</t>
  </si>
  <si>
    <t>0095P</t>
  </si>
  <si>
    <t>-JYmMpcvI5TOEJZp_cFBl-</t>
  </si>
  <si>
    <t>4462 - Gunnison</t>
  </si>
  <si>
    <t>0051P</t>
  </si>
  <si>
    <t>0199P</t>
  </si>
  <si>
    <t>0065P</t>
  </si>
  <si>
    <t>0022P</t>
  </si>
  <si>
    <t>-JO4oTdgGOLdocF7rNHJQ-</t>
  </si>
  <si>
    <t>-IoLtK8OFPqRHsLNB4afl-</t>
  </si>
  <si>
    <t>-JScKI8XHcy0Ly63cIl80-</t>
  </si>
  <si>
    <t>-JSc89ecH2D4nQbJmZlbG-</t>
  </si>
  <si>
    <t>-IovcwuTFx56u3ERoz-qr-</t>
  </si>
  <si>
    <t>-IpdYQBwH85gE9UNZJynl-</t>
  </si>
  <si>
    <t>YIELD</t>
  </si>
  <si>
    <t>2430 - Salt Lake Central</t>
  </si>
  <si>
    <t>0218P</t>
  </si>
  <si>
    <t>0115P</t>
  </si>
  <si>
    <t>2014-03-29T00:00:00.000Z</t>
  </si>
  <si>
    <t>2014-08-25T00:00:00.000Z</t>
  </si>
  <si>
    <t>0315P</t>
  </si>
  <si>
    <t>2014-08-15T00:00:00.000Z</t>
  </si>
  <si>
    <t>0178P</t>
  </si>
  <si>
    <t>0168P</t>
  </si>
  <si>
    <t>-JYcUFkcF3TsqUUKcJiNF-</t>
  </si>
  <si>
    <t>0058P</t>
  </si>
  <si>
    <t>2421 - Wendover</t>
  </si>
  <si>
    <t>0149P</t>
  </si>
  <si>
    <t>0225P</t>
  </si>
  <si>
    <t>0159P</t>
  </si>
  <si>
    <t>0180P</t>
  </si>
  <si>
    <t>0015NR25711P</t>
  </si>
  <si>
    <t>2014-03-28T00:00:00.000Z</t>
  </si>
  <si>
    <t>-Ip-NDR-Hc5rQ9CZfjZ0X-</t>
  </si>
  <si>
    <t>-IovcsUfFYusvevcFBSNP-</t>
  </si>
  <si>
    <t>-JOaxwpJF9yHi2EpyqVRG-</t>
  </si>
  <si>
    <t>0209P</t>
  </si>
  <si>
    <t>2014-04-08T00:00:00.000Z</t>
  </si>
  <si>
    <t>-IowQ6P5I3aSLXdlkMVUk-</t>
  </si>
  <si>
    <t>2014-04-28T00:00:00.000Z</t>
  </si>
  <si>
    <t>-IoqkgxbGGqByluGdCi3t-</t>
  </si>
  <si>
    <t>-JNZxMWmHpTDlm2mr2iPu-</t>
  </si>
  <si>
    <t>-IoIQY2hGuTrSLpXbByNj-</t>
  </si>
  <si>
    <t>0092P</t>
  </si>
  <si>
    <t>0174P</t>
  </si>
  <si>
    <t>2014-04-11T00:00:00.000Z</t>
  </si>
  <si>
    <t>0124P</t>
  </si>
  <si>
    <t>-IpdHhGyFw1E3IK_n9sgE-</t>
  </si>
  <si>
    <t>0133P</t>
  </si>
  <si>
    <t>0167P</t>
  </si>
  <si>
    <t>0090P</t>
  </si>
  <si>
    <t>0015NR03603P</t>
  </si>
  <si>
    <t>0161P</t>
  </si>
  <si>
    <t>4481 - Cove Fort</t>
  </si>
  <si>
    <t>0103P</t>
  </si>
  <si>
    <t>0290P</t>
  </si>
  <si>
    <t>0008P</t>
  </si>
  <si>
    <t>0094P</t>
  </si>
  <si>
    <t>4454 - Thompson</t>
  </si>
  <si>
    <t>0070PR11605P</t>
  </si>
  <si>
    <t>-JYmMXGJINPTWAbAf2q1e-</t>
  </si>
  <si>
    <t>0258P</t>
  </si>
  <si>
    <t>0020P</t>
  </si>
  <si>
    <t>-JPjgnDHFx9-EqzLHVExR-</t>
  </si>
  <si>
    <t>-JTIYeHxHaP-4zFczle7v-</t>
  </si>
  <si>
    <t>0125P</t>
  </si>
  <si>
    <t>0201P</t>
  </si>
  <si>
    <t>0137P</t>
  </si>
  <si>
    <t>-JRqOfMtHVaONdGdwx7t6-</t>
  </si>
  <si>
    <t>-JOj1RhtIuyiZ3PpUjROd-</t>
  </si>
  <si>
    <t>0085N</t>
  </si>
  <si>
    <t>0262P</t>
  </si>
  <si>
    <t>-Ip_JSCyG2PTqEgF3ylJl-</t>
  </si>
  <si>
    <t>-IpVC5BFG5P-1Ylkat8zs-</t>
  </si>
  <si>
    <t>-JNPvJKeIILv9l3qNRM-n-</t>
  </si>
  <si>
    <t>2014-05-27T00:00:00.000Z</t>
  </si>
  <si>
    <t>-JYlTIBYFjLZIHgoZJENz-</t>
  </si>
  <si>
    <t>-Ip0y5UBG7PWPl0MYSKuq-</t>
  </si>
  <si>
    <t>-JT7VyiDFMH9StXjS-tqk-</t>
  </si>
  <si>
    <t>-Ioq0kGWGWasWwuy0-LsW-</t>
  </si>
  <si>
    <t>-IoRzEK4GnDmY9G7nGuvW-</t>
  </si>
  <si>
    <t>-IoNFvibGjDd3ItP0f9cT-</t>
  </si>
  <si>
    <t>-IpiUH1AIbXuVeJUgyix5-</t>
  </si>
  <si>
    <t>-IoNOaRPFTu1LaIJNE8se-</t>
  </si>
  <si>
    <t>-IoNQVy7Isi2Xd5GyJnHy-</t>
  </si>
  <si>
    <t>-JODse1TGQD7oQxkr0kLn-</t>
  </si>
  <si>
    <t>2438 - Echo</t>
  </si>
  <si>
    <t>0152P</t>
  </si>
  <si>
    <t>-IoMAr5WH49m9ddFyrDyH-</t>
  </si>
  <si>
    <t>0301P</t>
  </si>
  <si>
    <t>0081P</t>
  </si>
  <si>
    <t>-IoMDj7BGO5TiVyHMOoDh-</t>
  </si>
  <si>
    <t>-IoMDtQyI5qDw2t410xiB-</t>
  </si>
  <si>
    <t>-IoMEiJSIsaSQ-mmGBswW-</t>
  </si>
  <si>
    <t>-IovnHpMGyLC08M2wMHF5-</t>
  </si>
  <si>
    <t>-JQ84ZGsIKXAuUM23bZNu-</t>
  </si>
  <si>
    <t>-IoM5mohISHrShrMzYQr0-</t>
  </si>
  <si>
    <t>-JRIIhK-IiPPD36miiwq0-</t>
  </si>
  <si>
    <t>0226P</t>
  </si>
  <si>
    <t>-JLRBTYEHNaecJdoQ1qy4-</t>
  </si>
  <si>
    <t>-IoMu6NaHdTAU-0q4Qr2VF</t>
  </si>
  <si>
    <t>-IoMuBXjGbXVFGTgbQ7Mf-</t>
  </si>
  <si>
    <t>-JMEUyiCIRP9Kvm5yHJ0i-</t>
  </si>
  <si>
    <t>-JY6xmFnG0DSRQwmAOxe6-</t>
  </si>
  <si>
    <t>-JOZ9AJ7GY9oFLnhVnf5w-</t>
  </si>
  <si>
    <t>-JMJo0A5GcPifU27c5Gq2-</t>
  </si>
  <si>
    <t>-JNOQSkcFm9RQsGNANBYX-</t>
  </si>
  <si>
    <t>-IrjxNA8GB13hec1Rt1l5-</t>
  </si>
  <si>
    <t>-IoLdOgeGrylcdQvImk9a-</t>
  </si>
  <si>
    <t>-IpeRpl3H4iWM929DMRxD-</t>
  </si>
  <si>
    <t>-Iov3gIZIdDC3BRyU4tXb-</t>
  </si>
  <si>
    <t>-IpiFx1lH6PNWE6fcuvpQ-</t>
  </si>
  <si>
    <t>-IoMJnERH4q5HT9HfgtVk-</t>
  </si>
  <si>
    <t>-IoMKW6_Fy992UydcVpYc-</t>
  </si>
  <si>
    <t>-IoN9HgVGTithS5-NHw5H-</t>
  </si>
  <si>
    <t>-Ip-WQTSIEmvprGVG_oY4-</t>
  </si>
  <si>
    <t>-Ip-c9LIGF1gYBbj1QUCCk</t>
  </si>
  <si>
    <t>-Ip-eaz4GNmaH57pIEWhj-</t>
  </si>
  <si>
    <t>-Ip-f52NHEXkjIsSwPp8_-</t>
  </si>
  <si>
    <t>-Ip-sAjtFKen_eP7-MNcQ-</t>
  </si>
  <si>
    <t>-Ip-sL8dFOmSgCiXi2aCi-</t>
  </si>
  <si>
    <t>-JNZB87TI1XgoYt4qZ6N9-</t>
  </si>
  <si>
    <t>-JPu14edFC9goKzMxtTel-</t>
  </si>
  <si>
    <t>0136P</t>
  </si>
  <si>
    <t>-IoMpPoDFNXELtlI6BQ49-</t>
  </si>
  <si>
    <t>-IoMsbkTHYHU-LknhfkyT-</t>
  </si>
  <si>
    <t>-IoMszMhIyD7wagFAayBc-</t>
  </si>
  <si>
    <t>-JX8GATaHTToJoyZsiz2z-</t>
  </si>
  <si>
    <t>-JXURPVvF2qGmQ4ZrBppG-</t>
  </si>
  <si>
    <t>-IovScIIFG17ZvBlTHVKB-</t>
  </si>
  <si>
    <t>0076P</t>
  </si>
  <si>
    <t>-JLiEwEQIjHJhEoRJ2ZEZ-</t>
  </si>
  <si>
    <t>-IoMLFZAIhPSX9rTVEBDd-</t>
  </si>
  <si>
    <t>-JOiHPBdIbPj-8_8lOZo7k</t>
  </si>
  <si>
    <t>-Ip-PNz5F0L9IOWOCcKp3-</t>
  </si>
  <si>
    <t>-JOiNBvAH1Xq-9-0AuzUM-</t>
  </si>
  <si>
    <t>-IoMQC4eFFufDW0cfMXtE-</t>
  </si>
  <si>
    <t>-IoMQIdXFl5KwBPkOzZB6-</t>
  </si>
  <si>
    <t>-IoMQQNgI6acb7A3BOJ2M-</t>
  </si>
  <si>
    <t>-IpV5TtLF3HxHrSzqohYG-</t>
  </si>
  <si>
    <t>-IoMuNUGFjy2LemZ-X6s_-</t>
  </si>
  <si>
    <t>-IoMuWzdIFTANgSew66Gi-</t>
  </si>
  <si>
    <t>-IoMv0jCGm1Dr44r7He4_-</t>
  </si>
  <si>
    <t>-JOiHa8_HeLfJ-paJmNGh-</t>
  </si>
  <si>
    <t>-IoMoCgLGKPhpuBe7-UT2-</t>
  </si>
  <si>
    <t>-IoMoecmItHLpJzwbtLms-</t>
  </si>
  <si>
    <t>-JNLVHkcH09DngIHJMqu6-</t>
  </si>
  <si>
    <t>0313P</t>
  </si>
  <si>
    <t>-IoHmbirGFDX3KUIQQu2Y-</t>
  </si>
  <si>
    <t>-JQyNKLKFTLF3xtOLc3Qj-</t>
  </si>
  <si>
    <t>-JSYVgptH3HIEbVQu52JY-</t>
  </si>
  <si>
    <t>-IoHz_egHQaoa1B0ulit3-</t>
  </si>
  <si>
    <t>-IoHzt2JHXXUzEyUPM5Wk-</t>
  </si>
  <si>
    <t>-JMDn8LWH2Ds83spk9MWr-</t>
  </si>
  <si>
    <t>4477 - Cedar Mountain</t>
  </si>
  <si>
    <t>-IovHfnQFb1--1MD_IOkV-</t>
  </si>
  <si>
    <t>-IpTxBKIG4eSwbzSiyBak-</t>
  </si>
  <si>
    <t>OTHER</t>
  </si>
  <si>
    <t>-IoIIKVHG3qvnO-6rzqCvk</t>
  </si>
  <si>
    <t>-IoIJkQ3Hx9GWsYnizzyT-</t>
  </si>
  <si>
    <t>-JQy4BYPGtXv1V9vsAHb_-</t>
  </si>
  <si>
    <t>-JX9xzb0FJ1WsIzJFS1TE-</t>
  </si>
  <si>
    <t>-JQxuHhzH2TABGdBLk59V-</t>
  </si>
  <si>
    <t>-IoHX0LiGLXZzTMJxDOyH-</t>
  </si>
  <si>
    <t>-IpV0VUsHYDomZkzpxM35-</t>
  </si>
  <si>
    <t>-JQy7IQUIiTEYdU3E9sC0-</t>
  </si>
  <si>
    <t>-IpB4JeyH0a7PijCatuJo-</t>
  </si>
  <si>
    <t>-JNLDyC_I8qM61EDoKlPb-</t>
  </si>
  <si>
    <t>-IoI7qTaFcepWIXcgECqV-</t>
  </si>
  <si>
    <t>-IovdthJFyDV-8hFMeg7wF</t>
  </si>
  <si>
    <t>-JKkQ8uKITPc-1qBK9OqGF</t>
  </si>
  <si>
    <t>-Ip9vG3rGcyXOa90ciGEr-</t>
  </si>
  <si>
    <t>0139P</t>
  </si>
  <si>
    <t>-JdY4Vr_ICLpz2dPPzHVc-</t>
  </si>
  <si>
    <t>-Ip5I6bgGt9_3dP_aUNhC-</t>
  </si>
  <si>
    <t>-IrB9FTbHuTwa06ODb9Ur-</t>
  </si>
  <si>
    <t>-IpPEjtsHhy6JR16GCtOY-</t>
  </si>
  <si>
    <t>-JNWSbBwFyDWn-6RmyjWBk</t>
  </si>
  <si>
    <t>-IoMIBduHpXYAAJLd-4azF</t>
  </si>
  <si>
    <t>-IoN-SA_HeiD8X1z5lhTl-</t>
  </si>
  <si>
    <t>-IoN07oEGhe_4d7y_Pnbe-</t>
  </si>
  <si>
    <t>-IoN0qf2IoPTy-r7WxlY3-</t>
  </si>
  <si>
    <t>-IoN11_hIBLzgX7w9sS94-</t>
  </si>
  <si>
    <t>-IoN1PrsIHa43mhSUhgyT-</t>
  </si>
  <si>
    <t>-IoN20yLIkLIoXhgu_5tK-</t>
  </si>
  <si>
    <t>-IozwFN0GXaG-5FWiZy8nV</t>
  </si>
  <si>
    <t>-Ip5UYqOFlHhONpEdZ00Q-</t>
  </si>
  <si>
    <t>-IpALQXGFM97ofuLjFZfC-</t>
  </si>
  <si>
    <t>-IpTvChdFGmgMk-Zj9Yt7-</t>
  </si>
  <si>
    <t>-IovfH9hHlHJpLSVdTTga-</t>
  </si>
  <si>
    <t>-Iov2dzaG5u3WteIniDpx-</t>
  </si>
  <si>
    <t>-JLzxfIHHMy0oSLTuAThp-</t>
  </si>
  <si>
    <t>-JMExoJqIfu53SgjtivXT-</t>
  </si>
  <si>
    <t>-JNOT4-4G-ec-BZ6pR_PS-</t>
  </si>
  <si>
    <t>0122P</t>
  </si>
  <si>
    <t>-Iov_MAKH4u4Gbj2jORBX-</t>
  </si>
  <si>
    <t>-IpVD5A_FfHaK-21C6iJMF</t>
  </si>
  <si>
    <t>-IpTvhKmHJT3BR66VJy8k-</t>
  </si>
  <si>
    <t>-JXAs0TPGeTYKBF8osmp--</t>
  </si>
  <si>
    <t>-IoN4Aq2FULeKTCCjDlGz-</t>
  </si>
  <si>
    <t>-JNOOcA0F_uTgt-4dDILJ-</t>
  </si>
  <si>
    <t>-IpQKLXRFyqVWWUWijW2y-</t>
  </si>
  <si>
    <t>-IpVWV1GICqYQIWCWBuN6-</t>
  </si>
  <si>
    <t>-IowbgD2HWDte5TtJz46u-</t>
  </si>
  <si>
    <t>-IovCGQ8IByx65CgNVutD-</t>
  </si>
  <si>
    <t>-IoMQatBIDXFyWztzCJlD-</t>
  </si>
  <si>
    <t>-IoMJ2gtHiDH14t4mgF26-</t>
  </si>
  <si>
    <t>-IoMJIGYI-TDPnbdh9I82-</t>
  </si>
  <si>
    <t>-IoMJWaqFB9QetuXSg_41-</t>
  </si>
  <si>
    <t>-IovIH4YI3T8bUlIDd3np-</t>
  </si>
  <si>
    <t>-IovKTdiFwaiy0bJT1lwt-</t>
  </si>
  <si>
    <t>-IovLZFTICmSgojWoBcpf-</t>
  </si>
  <si>
    <t>-IovMdcRI49KDfGPd8h37-</t>
  </si>
  <si>
    <t>-IovMmlqFJ9MVQU5vnXby-</t>
  </si>
  <si>
    <t>-IovNOJKGLuo5eP6j-9QrF</t>
  </si>
  <si>
    <t>-IovQeoLH-iJIcBFKyoYw-</t>
  </si>
  <si>
    <t>-IovXUn-HjP_2D56tXtwG-</t>
  </si>
  <si>
    <t>-IoMCzJkH5Hy9bLZBmftU-</t>
  </si>
  <si>
    <t>-IovvfDPF4ybntJwKroaY-</t>
  </si>
  <si>
    <t>-JSxW_DcGHiFTE1fBkOk9-</t>
  </si>
  <si>
    <t>-IpyJs1GGJuS229q5ybUq-</t>
  </si>
  <si>
    <t>-JMlwrfiHSL-hBlI_avX8-</t>
  </si>
  <si>
    <t>-Iov9voYHGPbt6XirAIwB-</t>
  </si>
  <si>
    <t>-IowaelQFxLLqQyyYvVOY-</t>
  </si>
  <si>
    <t>-IoS7JVlG2TkU7QqO4j3h-</t>
  </si>
  <si>
    <t>-IoSBQeuG1yPbtlVz67YV-</t>
  </si>
  <si>
    <t>-IoSC5JuIlHRNoEfwSzvM-</t>
  </si>
  <si>
    <t>-IoSFn2TI69MTJeIx_tw1-</t>
  </si>
  <si>
    <t>-IoSPi4IH5mlX2mCO8I_0-</t>
  </si>
  <si>
    <t>-IoSTiv9IwHodeI7Sm4jY-</t>
  </si>
  <si>
    <t>-IoIQN7kGXPQOCOidO8PB-</t>
  </si>
  <si>
    <t>-JNOUko4FdXAXvXaJqpJh-</t>
  </si>
  <si>
    <t>-IoMFfNQF-9Tgd12lFy-t-</t>
  </si>
  <si>
    <t>-IoLgEKSHh53Qax5zszRr-</t>
  </si>
  <si>
    <t>-IoLihliF-5yyPyE0KT_ek</t>
  </si>
  <si>
    <t>-IoLk4OgFILm9qO-13d3Jk</t>
  </si>
  <si>
    <t>-Ip-SK2SFNTl0WmLocgh7-</t>
  </si>
  <si>
    <t>-IoXiOFeF9iSlKzO3cspO-</t>
  </si>
  <si>
    <t>-IoXjyVCGai2jcIMjnem--</t>
  </si>
  <si>
    <t>-Ioa4FbPFjiRiTeVRqeUL-</t>
  </si>
  <si>
    <t>-Ioa4nj1HDinC_TaBj_DJ-</t>
  </si>
  <si>
    <t>-Ioa7_h6IwehRZxrz3p8g-</t>
  </si>
  <si>
    <t>-Ioa8Fn2GQLZt9gPG-f6I-</t>
  </si>
  <si>
    <t>-IowcvnQGyLwgXB0K5jNZ-</t>
  </si>
  <si>
    <t>-Iowd3DGG69t0206ODT9V-</t>
  </si>
  <si>
    <t>-IoLcXwmFS96RSiKf3FjL-</t>
  </si>
  <si>
    <t>-IoLcvNiH3qhq81MHGMHA-</t>
  </si>
  <si>
    <t>-JYKuzNEFMPzVEg5x449x-</t>
  </si>
  <si>
    <t>-IoLrM7VFBuydGiVzvBjN-</t>
  </si>
  <si>
    <t>-IoLsfogFj9cVEKOWk8yC-</t>
  </si>
  <si>
    <t>-IoLu0tUIky0aGnoBS743-</t>
  </si>
  <si>
    <t>-IoM8VSsHCiXfGS3SXI_r-</t>
  </si>
  <si>
    <t>0093P</t>
  </si>
  <si>
    <t>0241P</t>
  </si>
  <si>
    <t>0280P</t>
  </si>
  <si>
    <t>0259P</t>
  </si>
  <si>
    <t>-JLemcCwFRuBgGBBCqBcX-</t>
  </si>
  <si>
    <t>0105P</t>
  </si>
  <si>
    <t>-IpOR3fWIPPYTsA7Vmfg6-</t>
  </si>
  <si>
    <t>-JXAwBLFGJi364J7e6mYk-</t>
  </si>
  <si>
    <t>-IoRcetIHC5VypAjDMMKr-</t>
  </si>
  <si>
    <t>-IoRcvj1GsT1LAA5ek1Kg-</t>
  </si>
  <si>
    <t>-IoRfWBDFXyY-Zy2iyxEb-</t>
  </si>
  <si>
    <t>-IoRg1rTFoef_tFKXyU0--</t>
  </si>
  <si>
    <t>-IowZbAFHKqAGYxvOF3u3-</t>
  </si>
  <si>
    <t>-Iow_6Z4ID1biENEeAAhW-</t>
  </si>
  <si>
    <t>-IozzQVdFNy97I2t7AjcW-</t>
  </si>
  <si>
    <t>-Ip-GWj4Hk5Se1VmJau9Z-</t>
  </si>
  <si>
    <t>-JN0iPRkGKi-q0_FQ1cUC-</t>
  </si>
  <si>
    <t>-Ip_QI3_G-9yvBFYl_QtOV</t>
  </si>
  <si>
    <t>-JPIg5fkHf1W7dzQ6ubzz-</t>
  </si>
  <si>
    <t>-IpUScScHtXG5rgggNT58-</t>
  </si>
  <si>
    <t>-JWMLdFtF_yEKPwLPTRdy-</t>
  </si>
  <si>
    <t>-IpUenMgGx14-in-X4CUz-</t>
  </si>
  <si>
    <t>-IoRizsyHiPAmfSJT1chC-</t>
  </si>
  <si>
    <t>-IoRjI5pGrmHVEP2u1SEZ-</t>
  </si>
  <si>
    <t>-IoRmfPBImekyd4I42WUp-</t>
  </si>
  <si>
    <t>-IoRwU9_GrDSiWW1p1SfS-</t>
  </si>
  <si>
    <t>-IpUSyLhFC5cqT19wA1Be-</t>
  </si>
  <si>
    <t>-IpUTXDKI9qNcOwxjJ5gQ-</t>
  </si>
  <si>
    <t>-IpUTopYI4u6AS1PYtV4e-</t>
  </si>
  <si>
    <t>-IpUVnvLFeDHRsV1AY7bV-</t>
  </si>
  <si>
    <t>-JO-yzlBGJD5MzoL17pYL-</t>
  </si>
  <si>
    <t>-IpUB5t9Iniab4S2Uzvhy-</t>
  </si>
  <si>
    <t>-IovcT9zG2aDI3Vk31-DM-</t>
  </si>
  <si>
    <t>-JMsLL4OGk1t41dh7ljtK-</t>
  </si>
  <si>
    <t>-IowLAD9FhHv0uykQXwje-</t>
  </si>
  <si>
    <t>-IowK5HZGUqWilmP8LkBf-</t>
  </si>
  <si>
    <t>-Ip5NQRdGqH61piUHCMIJ-</t>
  </si>
  <si>
    <t>0048P</t>
  </si>
  <si>
    <t>-IowSGHNFb5qiQjjOVkFw-</t>
  </si>
  <si>
    <t>-Ior4oGNGjej8kIYs5FBx-</t>
  </si>
  <si>
    <t>-JNXTo_SH7104xXTGoCY_-</t>
  </si>
  <si>
    <t>-IpQHegOIRPUrNvtmcFLv-</t>
  </si>
  <si>
    <t>-Ip-HG6XFp5Ups7QN7SoN-</t>
  </si>
  <si>
    <t>-Iov0V_bHKTMVIQ-1qphp-</t>
  </si>
  <si>
    <t>-JQhGZhwH-aKzzrUmmYJv-</t>
  </si>
  <si>
    <t>-IoNW6y1IQPK11vWzPhCR-</t>
  </si>
  <si>
    <t>-IpUy1FGFKukPBXz4BXfD-</t>
  </si>
  <si>
    <t>-JSioNM8GXaPpEeHdqyPz-</t>
  </si>
  <si>
    <t>-IpUzSi1H9H9qh1OraCdh-</t>
  </si>
  <si>
    <t>-IpZJfH6F4Dv58Tf6sjKb-</t>
  </si>
  <si>
    <t>-JO5H28cI_uu4AtgSgX9x-</t>
  </si>
  <si>
    <t>-JOi2vHcHzazUrZ0kUlNm-</t>
  </si>
  <si>
    <t>-Ip-GZ0xGn9tlcV7JWLIF-</t>
  </si>
  <si>
    <t>-IozxL4eFayLcUcPiGjxQ-</t>
  </si>
  <si>
    <t>2014-09-01T00:00:00.000Z</t>
  </si>
  <si>
    <t>-JYlP6WgIdqcyBOjeYlyS-</t>
  </si>
  <si>
    <t>-Iov07H6IJqJH6v3qTmPz-</t>
  </si>
  <si>
    <t>-JMljqmJFVXmhu1QvF-6ek</t>
  </si>
  <si>
    <t>-Ip5O5NwIKaRDpbkfdtqE-</t>
  </si>
  <si>
    <t>-IowXn6AFD5Mm5-9wrSIZF</t>
  </si>
  <si>
    <t>-IoIRXQUFmX55vA7Nr0Oo-</t>
  </si>
  <si>
    <t>-JNPfamuGjDHgXCN1ybE3-</t>
  </si>
  <si>
    <t>-Ioamze1FD1Qco7kZaCy5-</t>
  </si>
  <si>
    <t>-IoarI-0GWLQCrZJppl7u-</t>
  </si>
  <si>
    <t>-IopXnztI-mIrAJ-jX-6TV</t>
  </si>
  <si>
    <t>-Ip44M2BG6TaR1Qw7nmai-</t>
  </si>
  <si>
    <t>-Ip44e17FfDzVsV8A5mbB-</t>
  </si>
  <si>
    <t>-Ip44wTQICaFL7PRqj4Xs-</t>
  </si>
  <si>
    <t>-Ip5OkISHtTD1owwBhbSh-</t>
  </si>
  <si>
    <t>-IovtqQeGYye-4KWiHnFXV</t>
  </si>
  <si>
    <t>-IpYm6GCHQuFObd9F1qzu-</t>
  </si>
  <si>
    <t>-IpYlNgXHwDOtEODICx2I-</t>
  </si>
  <si>
    <t>-IovplUPHg5z0i2HeXdTn-</t>
  </si>
  <si>
    <t>-IpUVyAjI-Hmsr1K5nSQY-</t>
  </si>
  <si>
    <t>-IpYyXu2INmnt137UjdF6-</t>
  </si>
  <si>
    <t>-IpUrzmaHbuSD97RDbmE3-</t>
  </si>
  <si>
    <t>-IoRJqhUHBaPnvC-WTKQ3-</t>
  </si>
  <si>
    <t>-Iop_WrrIOHNBFalVYevq-</t>
  </si>
  <si>
    <t>-IoparLEGQ1EcaxuNyU7o-</t>
  </si>
  <si>
    <t>-Iov0SOtIhyermrZxDCsM-</t>
  </si>
  <si>
    <t>-IpUwR8VGu1pUPHX--0rbF</t>
  </si>
  <si>
    <t>-IoRR8sTF5X-AV8g6R_Tj-</t>
  </si>
  <si>
    <t>-Ip4X28VFL5ZYPULvSNwF-</t>
  </si>
  <si>
    <t>-IowHJ_pHkyMFiHmVN0fl-</t>
  </si>
  <si>
    <t>2014-05-18T00:00:00.000Z</t>
  </si>
  <si>
    <t>-JX0Es3pFPmRnXqPDfBrF-</t>
  </si>
  <si>
    <t>-Iov-42SGEqEHw27UFtjDV</t>
  </si>
  <si>
    <t>-JN-igBwGuTspyrGCIiVf-</t>
  </si>
  <si>
    <t>-JLyfiLuH8qThWU5xhLyu-</t>
  </si>
  <si>
    <t>-JO5DLtuIK1rzYc57H-_U-</t>
  </si>
  <si>
    <t>-Iov-nVvG5HLoTsv6Z9Uy-</t>
  </si>
  <si>
    <t>-JXc-P-4IGX61J-8oGy1MV</t>
  </si>
  <si>
    <t>-Ip9uZTjGKL6z74eFmUf_-</t>
  </si>
  <si>
    <t>-Ip9Y7PKI4mmy7K_4R9j_-</t>
  </si>
  <si>
    <t>-Ip9aSnJIn9VHV5QFIVPi-</t>
  </si>
  <si>
    <t>-Ip9cfypFn9-0hwUFwm_9k</t>
  </si>
  <si>
    <t>-Ip9dcKUGdD8J4Sri_CRT-</t>
  </si>
  <si>
    <t>-Ip9eVQmIpyAbwPl_vEsJ-</t>
  </si>
  <si>
    <t>-Ip9eeqLH6eBORPXSiLM9-</t>
  </si>
  <si>
    <t>0025P</t>
  </si>
  <si>
    <t>-IoRxjeTItLerOhYL6NC3-</t>
  </si>
  <si>
    <t>-IpV7QFMI5iWyV2-sO9Qt-</t>
  </si>
  <si>
    <t>-IovF47yHIq_BtarhJv66-</t>
  </si>
  <si>
    <t>-IoaGMalIniONx-K4a9WL-</t>
  </si>
  <si>
    <t>-IopZiyGI8qwYp_jHFSjb-</t>
  </si>
  <si>
    <t>-JYlThf7I1DbmIWmrJwcx-</t>
  </si>
  <si>
    <t>-IpUjKhlI2Hil9QPm7bt2-</t>
  </si>
  <si>
    <t>-Ip-HMOQF9asylWGn-83wF</t>
  </si>
  <si>
    <t>-JN08hQtIR1p0mAbmpbAV-</t>
  </si>
  <si>
    <t>-JN0GSoPGPaxTCbbr6lhP-</t>
  </si>
  <si>
    <t>-IoIP8yiGu1fbAncUu-36-</t>
  </si>
  <si>
    <t>0319P</t>
  </si>
  <si>
    <t>-JNzz-1LI99h7wf7dOzpM-</t>
  </si>
  <si>
    <t>-JY24bUQF-5BIUMWMHS1y-</t>
  </si>
  <si>
    <t>-IpP62SOHUHPmYmm9W7Wy-</t>
  </si>
  <si>
    <t>-Ip5Mc-9IxuJGnbo-kuSo-</t>
  </si>
  <si>
    <t>0227P</t>
  </si>
  <si>
    <t>0274P</t>
  </si>
  <si>
    <t>0287P</t>
  </si>
  <si>
    <t>0270P</t>
  </si>
  <si>
    <t>-Ip9rhOpH-X5cory1dajs-</t>
  </si>
  <si>
    <t>-Ip9s_kTGfqs2KsB4Rwq4-</t>
  </si>
  <si>
    <t>-JTXYpOJGlX1f-5O8Z9Z_V</t>
  </si>
  <si>
    <t>-IpP0FGxIGHXtHykIVONL-</t>
  </si>
  <si>
    <t>-Ip9LzbaIUeS5oYHsVH3h-</t>
  </si>
  <si>
    <t>-Ip9M9QDIiPe0pow1DlAu-</t>
  </si>
  <si>
    <t>-JLyNpKDFO9Oryw5JnrgU-</t>
  </si>
  <si>
    <t>-JXdO0B8G_T_oIyTKqJ5j-</t>
  </si>
  <si>
    <t>-JN-Y823GsHgcHKIPWbGT-</t>
  </si>
  <si>
    <t>-IpiV-OOHAX_XGi7SzqW3-</t>
  </si>
  <si>
    <t>-JLzkqKLFCXxxCZ3UHLBC-</t>
  </si>
  <si>
    <t>-JQy0ueiHrLEApZbbRb73-</t>
  </si>
  <si>
    <t>0148P</t>
  </si>
  <si>
    <t>-JPu0etdGvXfP5HnjlVsq-</t>
  </si>
  <si>
    <t>-IpVLuqAIQ1_sxxGIpIGq-</t>
  </si>
  <si>
    <t>-JTIcWp_GMiBc6zjwAEtz-</t>
  </si>
  <si>
    <t>0042P</t>
  </si>
  <si>
    <t>-IpTvEYtIl17GZX1QUmOQ-</t>
  </si>
  <si>
    <t>-JRMrTBZGUuDMe0bd34i7-</t>
  </si>
  <si>
    <t>-IpZWzPnG4HOlQzjRWWbn-</t>
  </si>
  <si>
    <t>-IpVFjv9GsP4nW82k3CKX-</t>
  </si>
  <si>
    <t>-Ip4ZdfhFfaZYWaFrxH0A-</t>
  </si>
  <si>
    <t>-JMpjczTGNPx1osUehqqr-</t>
  </si>
  <si>
    <t>0085B</t>
  </si>
  <si>
    <t>-JLiIBsXFQiGUcckNi09d-</t>
  </si>
  <si>
    <t>-IpV6CK-H01_17WCORiH4-</t>
  </si>
  <si>
    <t>-JXV7pdJFHugYaN9Y6Xe8-</t>
  </si>
  <si>
    <t>-JLkQpvbG1atS3-yatqwh-</t>
  </si>
  <si>
    <t>-Ip-va-XI8PpXzpRgnEBx-</t>
  </si>
  <si>
    <t>-Ip0-MJqGoDX7AaelxQ4z-</t>
  </si>
  <si>
    <t>-Ip01MSkHaHwVMxHv7tiC-</t>
  </si>
  <si>
    <t>-IpP5j0dHDPRt1B3GrDIa-</t>
  </si>
  <si>
    <t>-IoIf7_xHH9wp-8VKZ3KQF</t>
  </si>
  <si>
    <t>-IoLySILH-9kAAUHL-kjik</t>
  </si>
  <si>
    <t>-IrjTtG4HQiVnUrcFLOzm-</t>
  </si>
  <si>
    <t>-Ip9rcIMId5-C3KzfCEAvF</t>
  </si>
  <si>
    <t>-IoMYaj3IW5ANuq6W_YsR-</t>
  </si>
  <si>
    <t>-IouyU69GZDKLOGgHWydk-</t>
  </si>
  <si>
    <t>-JYlNCkqGQeNPve60jn3o-</t>
  </si>
  <si>
    <t>-IpVBdJFGmLTr05PP_nAy-</t>
  </si>
  <si>
    <t>-IoIC_z8IoP0312MPs2Ur-</t>
  </si>
  <si>
    <t>-IoIDBLzIYy6_-0tnJhcMk</t>
  </si>
  <si>
    <t>-IoII2SkHSP_SQ_-wJhUk-</t>
  </si>
  <si>
    <t>-IovFhBDF2iPsccmTXiZR-</t>
  </si>
  <si>
    <t>-JOiHwt6HAXC8Zq-5LV5Ok</t>
  </si>
  <si>
    <t>-IoXK0f2IULjbI4_WwIWJ-</t>
  </si>
  <si>
    <t>0086P</t>
  </si>
  <si>
    <t>-IoMMOKoGIP940xNK7QXf-</t>
  </si>
  <si>
    <t>-JRzslipFXy-I3G6A9Bo9-</t>
  </si>
  <si>
    <t>-JY5jRaqGUyG2NbnxXdUc-</t>
  </si>
  <si>
    <t>-Ip5O064HLmMBEx-kaFtT-</t>
  </si>
  <si>
    <t>-JLunA9nGUy9SboaXOG4B-</t>
  </si>
  <si>
    <t>-Ip5KDNHIeaG4_IE6WnxK-</t>
  </si>
  <si>
    <t>-IoR4gG-HpaguGDLvl40E-</t>
  </si>
  <si>
    <t>0089N</t>
  </si>
  <si>
    <t>-JRWWmwvFJHg725Ms2MtP-</t>
  </si>
  <si>
    <t>-IoqbceVFYmVAq09lAgcU-</t>
  </si>
  <si>
    <t>-Ioqbq5eGUT3dXIwVIOr9-</t>
  </si>
  <si>
    <t>-IoIQyIpGPDWOUldl2dbb-</t>
  </si>
  <si>
    <t>-IpVIvOIHO9InoHdtzxDx-</t>
  </si>
  <si>
    <t>-IouzBp0H-adtMRknMPQQ-</t>
  </si>
  <si>
    <t>-IoSZ2ISHDyLNSHcHpfeb-</t>
  </si>
  <si>
    <t>-Ip0Ha_pFmymBQfnNpZAD-</t>
  </si>
  <si>
    <t>-Ip0LuiZG7qHBclCwEAVU-</t>
  </si>
  <si>
    <t>-Ip0OifuI-HapmDSiafaK-</t>
  </si>
  <si>
    <t>-Ip0Pbt3GNHMO8-pqb8CJ-</t>
  </si>
  <si>
    <t>-JL6s5CPFV9E_eL3WoXF5-</t>
  </si>
  <si>
    <t>-JRIyhf4HFulmEBZii77Q-</t>
  </si>
  <si>
    <t>-JNQAdU0HwHPjwwtHu7xF-</t>
  </si>
  <si>
    <t>-IpU5wKiH1uYa4Yf0Ib0P-</t>
  </si>
  <si>
    <t>-IpUCDlYIf5YoP0NgPDFU-</t>
  </si>
  <si>
    <t>-IpUDaQxHcaHgkEK7Gbj5-</t>
  </si>
  <si>
    <t>-IpUJNASHRmSyfwG0UYjX-</t>
  </si>
  <si>
    <t>-IpUMpWrFtqxeIHawroyJ-</t>
  </si>
  <si>
    <t>-IoN-0eMITTg1JdBEptQsV</t>
  </si>
  <si>
    <t>-IoMPiCiIf1srTDFWWydL-</t>
  </si>
  <si>
    <t>-IoMnwXeFWi6UjUHzNsoF-</t>
  </si>
  <si>
    <t>-IoMo0YUF4iUGa2sSR4Ir-</t>
  </si>
  <si>
    <t>-JLz0klaIMumaoMh_L5jW-</t>
  </si>
  <si>
    <t>-Ip_dAzkHpPChKwwYHm3E-</t>
  </si>
  <si>
    <t>-Ip9V9M3I7yLKEdkdW1-5k</t>
  </si>
  <si>
    <t>-Ip9Xg-oF-1cFrDXlkZNO-</t>
  </si>
  <si>
    <t>-Iopxxt0HY1-2OQwi1XAlF</t>
  </si>
  <si>
    <t>-Ip5J0PDFxmc99d4wY9tt-</t>
  </si>
  <si>
    <t>-JNV9uevFkqzJoptRo8IB-</t>
  </si>
  <si>
    <t>-IpdApbJI7iuJvxcz5UwA-</t>
  </si>
  <si>
    <t>-JOiNhtmFO9fj72Ly4-Qf-</t>
  </si>
  <si>
    <t>-IovthKmGzisedgbpuCjh-</t>
  </si>
  <si>
    <t>-IoqWudQHNqOwDJU_43QB-</t>
  </si>
  <si>
    <t>-IoMvUZhIdupP1nDluhjk-</t>
  </si>
  <si>
    <t>-IoMwXhUG6DN5SxZ_RsLZ-</t>
  </si>
  <si>
    <t>-JScKo5AFfelVGaeaVobZ-</t>
  </si>
  <si>
    <t>-JNVdtpiG1XoMgeQ6tMdb-</t>
  </si>
  <si>
    <t>-Ip0kd7HIAuIpH7-Dpt9--</t>
  </si>
  <si>
    <t>-Ip0lEaPHdH6G6KefMbA3-</t>
  </si>
  <si>
    <t>-Ip3yKT3G4XRtzhwZWE7c-</t>
  </si>
  <si>
    <t>-Ip419QIH6HI2oyxaJAOu-</t>
  </si>
  <si>
    <t>-IpZPJihFpXkQH_g7ItO8-</t>
  </si>
  <si>
    <t>-JOckFeuHlXoLtGZBARA1-</t>
  </si>
  <si>
    <t>-Ip5DcM9I956cESuRZsN--</t>
  </si>
  <si>
    <t>-JLymyggI2TLnwHbBbF3L-</t>
  </si>
  <si>
    <t>-JO0JLR8F0muD0nfvAEKq-</t>
  </si>
  <si>
    <t>-JRHpFsOGYafg_8dlgqbG-</t>
  </si>
  <si>
    <t>-IpUGve-GNmE2WttySR2x-</t>
  </si>
  <si>
    <t>-JMIuCphIDLd8jJk8x1KF-</t>
  </si>
  <si>
    <t>-JNJsSWFHP5_2DzHQ25Ro-</t>
  </si>
  <si>
    <t>-JMJD_S9Ha1tgJbSGalw8-</t>
  </si>
  <si>
    <t>-JOXdND0Hc1oVSji7EevU-</t>
  </si>
  <si>
    <t>-IpZ3M8gGL55pUPtoMq6q-</t>
  </si>
  <si>
    <t>-Ip9jttdFHazeqqV-7qeW-</t>
  </si>
  <si>
    <t>-Ip9kIg_GIPb8ockZVYw7-</t>
  </si>
  <si>
    <t>-IpOVnAsI1TBrLevSDEnb-</t>
  </si>
  <si>
    <t>-IpZJ-aDF_5wPfwDTVOAS-</t>
  </si>
  <si>
    <t>-Iq1m-BYIZa3LFSxX5rVw-</t>
  </si>
  <si>
    <t>-IsTlXUsFOHIcn9DoXN4Z-</t>
  </si>
  <si>
    <t>-IpO_aaVIg5ZVKq-2hKSDF</t>
  </si>
  <si>
    <t>-IpZUbHAFIyvab33Vjody-</t>
  </si>
  <si>
    <t>-IpZUh1nHgqFiRQU42raB-</t>
  </si>
  <si>
    <t>-IpZVjnfGSu8OBMpnyEu4-</t>
  </si>
  <si>
    <t>-IpZgUrJH0mFsca1LnrHk-</t>
  </si>
  <si>
    <t>-JN-ddz0Hpi_DKjcbUuhp-</t>
  </si>
  <si>
    <t>-JN4JBTuF5LylI1dhZvMe-</t>
  </si>
  <si>
    <t>-JYlUTtsHBmiTANBgfH_U-</t>
  </si>
  <si>
    <t>-JYlUAarHHDBAbZYV-6ovF</t>
  </si>
  <si>
    <t>-Ip5OwSoF39BE5CAnodQG-</t>
  </si>
  <si>
    <t>-JNQ3oLmFxTlG5oNxWjhC-</t>
  </si>
  <si>
    <t>-IovdJJgG7TTYN0cbAlrF-</t>
  </si>
  <si>
    <t>-JN0Bi4QH6unXghV76lJb-</t>
  </si>
  <si>
    <t>-JMljVdPGnH25Ljc4tX9o-</t>
  </si>
  <si>
    <t>-Iouzw9SF6Tf3gUKzngvJ-</t>
  </si>
  <si>
    <t>-IoqfBCmFm9RVkPwimXj8-</t>
  </si>
  <si>
    <t>-JO26qvtFgyKEzfXzGPLq-</t>
  </si>
  <si>
    <t>-IoRSvbYG-eBYiMw-SuVc-</t>
  </si>
  <si>
    <t>-IpPC_QwFXTaGhM3gMVUG-</t>
  </si>
  <si>
    <t>-JLk4dTXGb1YNwg2jP2b8-</t>
  </si>
  <si>
    <t>-IoM-U-oI9TzaQ1nAsGMY-</t>
  </si>
  <si>
    <t>-IoQusYkFAyvDJMH_UAY3-</t>
  </si>
  <si>
    <t>-Ip-HkO3HVDa-eemR2ta2-</t>
  </si>
  <si>
    <t>-IpPI5WRHaX22LnFaijDd-</t>
  </si>
  <si>
    <t>-IpTU_FGHrX5RIPcL4oUU-</t>
  </si>
  <si>
    <t>-IpTW5t2FdLmi7XVzi76Z-</t>
  </si>
  <si>
    <t>-IpTWQjFHfarPjvcqqsXm-</t>
  </si>
  <si>
    <t>-IpPIwenFEeUuy3ADOSpp-</t>
  </si>
  <si>
    <t>-IoM75SeILPMzlBYFPbb6-</t>
  </si>
  <si>
    <t>-IoMbTNiIpevLnglFXH2N-</t>
  </si>
  <si>
    <t>-IoMcMWJIdX3LBl929D-7F</t>
  </si>
  <si>
    <t>-IoMdWSrIGuXOdcXWCMqc-</t>
  </si>
  <si>
    <t>-JMH9K9EGE9y2yVX8KOUB-</t>
  </si>
  <si>
    <t>-Ip0-5tNIDet__rrSyK4-V</t>
  </si>
  <si>
    <t>-Iov5Gj4Fs1jQ-kArKMpi-</t>
  </si>
  <si>
    <t>-JP51K3DGzXfskp72AugK-</t>
  </si>
  <si>
    <t>-IoLzqmyHE5KJZ4iAaYim-</t>
  </si>
  <si>
    <t>-IoI5TuxGLuLzU1b94ePK-</t>
  </si>
  <si>
    <t>-IoI5g4lGfy5aB-7A2Hiw-</t>
  </si>
  <si>
    <t>-JLyaDe8HAmMiEeCdhyrt-</t>
  </si>
  <si>
    <t>-IovasIhGM9zleXMfjxRg-</t>
  </si>
  <si>
    <t>-JOinwZ8HaTWll4OnGnIB-</t>
  </si>
  <si>
    <t>-JOi1yXaFOXJ9MsziXh-T-</t>
  </si>
  <si>
    <t>-Iow6mnmHwqWl4fYy-oFD-</t>
  </si>
  <si>
    <t>-JY1ef3xIJHpP-5B50kN-V</t>
  </si>
  <si>
    <t>-IoRWxALF_ucnwR6hVQgx-</t>
  </si>
  <si>
    <t>-IoRYQPzIguL3jNfXBdMT-</t>
  </si>
  <si>
    <t>-IorJ6CvIATLShQ5LaIQF-</t>
  </si>
  <si>
    <t>-IpUPLrEH1yPtFxsAwD1G-</t>
  </si>
  <si>
    <t>-Ioq9J7tHEXqMxc-SwVNf-</t>
  </si>
  <si>
    <t>-JOiGPtFIrLuKAGhaxdGg-</t>
  </si>
  <si>
    <t>-JODr9x0H6mOu8DQ47ApF-</t>
  </si>
  <si>
    <t>-Ip9yfWZIPyppNkvkPFce-</t>
  </si>
  <si>
    <t>-JO26fTHF9LMCnK0A5VU7-</t>
  </si>
  <si>
    <t>-IpOSaK8FSXOow_sK81un-</t>
  </si>
  <si>
    <t>-IpPIJa8H7eFCYVmihxiQ-</t>
  </si>
  <si>
    <t>-IpUP7qkIvDLcF1bg_ki7-</t>
  </si>
  <si>
    <t>-IpTimVrH3Da9cR6qiTAR-</t>
  </si>
  <si>
    <t>-IpTjqrMHo1h0fhCl-7nz-</t>
  </si>
  <si>
    <t>-IpTphF3GA58Q-1ZawOq_F</t>
  </si>
  <si>
    <t>-IpYtKXLF49dc6gq92umA-</t>
  </si>
  <si>
    <t>-IpQOHp4GlmT5YKjWBAm2-</t>
  </si>
  <si>
    <t>-IoXhKjtIoHvtatRpiGL3-</t>
  </si>
  <si>
    <t>-Ip9G03_GMHYWrm8DfI6i-</t>
  </si>
  <si>
    <t>-Ip-6IlBGZP48rbQHhSMTV</t>
  </si>
  <si>
    <t>-JN-r5tdFIyo0OoGIeV-PV</t>
  </si>
  <si>
    <t>-JNLisuVFPXFUzQppJcAw-</t>
  </si>
  <si>
    <t>-IoRR3NxIeenuCD6wq9Tr-</t>
  </si>
  <si>
    <t>-JNQ94H0HE1-xPb-IEE0H-</t>
  </si>
  <si>
    <t>-JOUcB0KGUPjNVn55r9HE-</t>
  </si>
  <si>
    <t>-JNL6zIDFQyhzgFtqCbGb-</t>
  </si>
  <si>
    <t>-IovvPLwIAuJft6SncF68-</t>
  </si>
  <si>
    <t>-JX9ITczGSDGWjl-Hx7Yv-</t>
  </si>
  <si>
    <t>-IoI1vpUI29slNDOpMvsy-</t>
  </si>
  <si>
    <t>-IoXclz8GheUM1mJJ3yHW-</t>
  </si>
  <si>
    <t>-JRwUNQoIhqVLarH9ewyj-</t>
  </si>
  <si>
    <t>-JXT_aZcH9eHiDV3aft2F-</t>
  </si>
  <si>
    <t>-JMIZX2EFSyvtEvOoEINa-</t>
  </si>
  <si>
    <t>-JN-fTFfGRqcyIYnLqM-7F</t>
  </si>
  <si>
    <t>-Ip-aVbXI-LNOpm2XS6kY-</t>
  </si>
  <si>
    <t>089A</t>
  </si>
  <si>
    <t>-IoRKkhyF7mpmHlfJmXxL-</t>
  </si>
  <si>
    <t>-IoXGaBZFC5xoe6v2hIZy-</t>
  </si>
  <si>
    <t>-IoXNWZLHQPdu30VrZ7Cl-</t>
  </si>
  <si>
    <t>-IoXNwloIQmAWoDGaxH6b-</t>
  </si>
  <si>
    <t>-IoXOn2SGADNse4N9tmtE-</t>
  </si>
  <si>
    <t>-Ip3zNJNH0yBuBO-ZEUrk-</t>
  </si>
  <si>
    <t>-Iow3k3gITiAlHtcDcxjo-</t>
  </si>
  <si>
    <t>0080NR16204P</t>
  </si>
  <si>
    <t>0080NR00404P</t>
  </si>
  <si>
    <t>0310P</t>
  </si>
  <si>
    <t>-Iq26nluIH1V2t2Fb81bb-</t>
  </si>
  <si>
    <t>0080PR16902P</t>
  </si>
  <si>
    <t>0080NR19104P</t>
  </si>
  <si>
    <t>-Ip9uTt7GiachLDcsln43-</t>
  </si>
  <si>
    <t>-JKCcfY6HcTmFNejVgtN_-</t>
  </si>
  <si>
    <t>-JQKS4Q2HxLneTbbpdkKV-</t>
  </si>
  <si>
    <t>0015NR03304P</t>
  </si>
  <si>
    <t>0080NR16904P</t>
  </si>
  <si>
    <t>0015NR02704P</t>
  </si>
  <si>
    <t>0015NR12004P</t>
  </si>
  <si>
    <t>0080PR13102P</t>
  </si>
  <si>
    <t>0314P</t>
  </si>
  <si>
    <t>-IpdV4ZCFIaoXThvejiYg-</t>
  </si>
  <si>
    <t>-IoI_hNjGRm1fiRvwjAVR-</t>
  </si>
  <si>
    <t>-IoIa372HCT1LttQIFndA-</t>
  </si>
  <si>
    <t>-IoI7DjHH4ed67CN6TQgt-</t>
  </si>
  <si>
    <t>-Ip44DU0HXim5cg0BpOD0-</t>
  </si>
  <si>
    <t>-JMpjH-PHaygtTA9-6nJpk</t>
  </si>
  <si>
    <t>-Ip0dgQNFVXvwGg7VH6UQ-</t>
  </si>
  <si>
    <t>0275P</t>
  </si>
  <si>
    <t>-IpP5OWMFxLvTTBwiecmA-</t>
  </si>
  <si>
    <t>0084PR02402P</t>
  </si>
  <si>
    <t>0015PX00109P</t>
  </si>
  <si>
    <t>2014-03-25T00:00:00.000Z</t>
  </si>
  <si>
    <t>-Iovk959G9PAd7_Wz_rQa-</t>
  </si>
  <si>
    <t>2014-08-22T00:00:00.000Z</t>
  </si>
  <si>
    <t>-IpPNnBsGwqf0wJLFigmo-</t>
  </si>
  <si>
    <t>-IpPPigzG9uRx7OXDYL_A-</t>
  </si>
  <si>
    <t>-IpPVN3EIPuwlSmdJKqgW-</t>
  </si>
  <si>
    <t>-IpPeSt0H-P4S2_mhVJR9-</t>
  </si>
  <si>
    <t>-IpQ4jhgH3ijZhWJVAzgD-</t>
  </si>
  <si>
    <t>-IoIY72aFQ5BSrKpzgvBt-</t>
  </si>
  <si>
    <t>-IpPerLrF1TMqR8byizSy-</t>
  </si>
  <si>
    <t>-Ip-0HY9Fia-g20L4r2UPV</t>
  </si>
  <si>
    <t>-JYr2wCPFATlz2NR2mdCl-</t>
  </si>
  <si>
    <t>-Ip0klM8FvazQHp-RemVJ-</t>
  </si>
  <si>
    <t>-Iq23QTGI_HleKsNmTFlT-</t>
  </si>
  <si>
    <t>-IpZdmlTHHiRZlUL1ALki-</t>
  </si>
  <si>
    <t>-IpZeFrfIXiNmE3oQzI2T-</t>
  </si>
  <si>
    <t>-IpZenRkI8eXE9xP6pLMZ-</t>
  </si>
  <si>
    <t>-Ip46KgoFX9OILh6H3Wxw-</t>
  </si>
  <si>
    <t>-Ip4CM-CH_P3YlHjJTinF-</t>
  </si>
  <si>
    <t>-Ip4QkqrHeTEeQ-2jZgT-V</t>
  </si>
  <si>
    <t>-Iq1mCgSHayqjh3rN8hZX-</t>
  </si>
  <si>
    <t>-IpQTkdSFF5p0cHNDwErA-</t>
  </si>
  <si>
    <t>0075P</t>
  </si>
  <si>
    <t>0015NX00114P</t>
  </si>
  <si>
    <t>0070NR18704P</t>
  </si>
  <si>
    <t>2014-03-27T00:00:00.000Z</t>
  </si>
  <si>
    <t>0067PR00406P</t>
  </si>
  <si>
    <t>0084NR10804P</t>
  </si>
  <si>
    <t>2014-08-20T00:00:00.000Z</t>
  </si>
  <si>
    <t>0070PR11602P</t>
  </si>
  <si>
    <t>2014-03-26T00:00:00.000Z</t>
  </si>
  <si>
    <t>0080PR18502P</t>
  </si>
  <si>
    <t>-JQKOF3QF2HSyLzN-Mdxb-</t>
  </si>
  <si>
    <t>0015NR03004P</t>
  </si>
  <si>
    <t>0080NR14104P</t>
  </si>
  <si>
    <t>0080PR13702P</t>
  </si>
  <si>
    <t>-JQQSB9ZI5XogTYLc6W_E-</t>
  </si>
  <si>
    <t>0015NR23304P</t>
  </si>
  <si>
    <t>0015NR13804P</t>
  </si>
  <si>
    <t>0306P</t>
  </si>
  <si>
    <t>-IoM-bmgFfymrlAWcgGeh-</t>
  </si>
  <si>
    <t>-JRQkAoWF7qDBnzPygPYn-</t>
  </si>
  <si>
    <t>-IoIR6V5Hke8W8-6RTjXwV</t>
  </si>
  <si>
    <t>-IoISDWKF9emVjWUN8r2n-</t>
  </si>
  <si>
    <t>-JYcUKBkIk9s5LxOnI9Y6-</t>
  </si>
  <si>
    <t>0015PR10005P</t>
  </si>
  <si>
    <t>-JQrR21oHRaD5-n_tfAWa-</t>
  </si>
  <si>
    <t>0015NR39803P</t>
  </si>
  <si>
    <t>-IrAvFAaGqypE0srejXgQ-</t>
  </si>
  <si>
    <t>-IpYfS1KHwqqHegRpetdX-</t>
  </si>
  <si>
    <t>-JPAG7t4FW1oIh8uXr1ng-</t>
  </si>
  <si>
    <t>0240P</t>
  </si>
  <si>
    <t>-Ip0emm3HKyHn1T6kenfH-</t>
  </si>
  <si>
    <t>-JP7R17NGqPM3ow7F9SFh-</t>
  </si>
  <si>
    <t>-JMkTY5QIayf4UTy7G8IU-</t>
  </si>
  <si>
    <t>0070PR21402P</t>
  </si>
  <si>
    <t>-IpdxQW7GG9nAuqFqf8N4-</t>
  </si>
  <si>
    <t>-IrB1_C5Iwe35rrA-SpyC-</t>
  </si>
  <si>
    <t>0070NR00704P</t>
  </si>
  <si>
    <t>0080NR11104P</t>
  </si>
  <si>
    <t>-IrAbcYeIyyg_N_9l6IgP-</t>
  </si>
  <si>
    <t>0018PR00902P</t>
  </si>
  <si>
    <t>0015PR13805P</t>
  </si>
  <si>
    <t>-JMHYUvoFBiRBPB0SQsCA-</t>
  </si>
  <si>
    <t>-JP34RHsFHTeRtNxm-245k</t>
  </si>
  <si>
    <t>-Ip-OUTLFaeLryyKAL5_M-</t>
  </si>
  <si>
    <t>0015PR05105P</t>
  </si>
  <si>
    <t>0015PR12905P</t>
  </si>
  <si>
    <t>-JN0VHv0G4uQ5KgpWPJ5D-</t>
  </si>
  <si>
    <t>-Ip0YDsqGKL_jbUlnPLHP-</t>
  </si>
  <si>
    <t>-Ip0JKFMI1Tw9euSIisKC-</t>
  </si>
  <si>
    <t>0089PR39602P</t>
  </si>
  <si>
    <t>0268P</t>
  </si>
  <si>
    <t>0015PR14605P</t>
  </si>
  <si>
    <t>-IpZ6ZsZI9HtjLqBhq-nd-</t>
  </si>
  <si>
    <t>-IpZ7kbuFeuxt6aOWLjNS-</t>
  </si>
  <si>
    <t>-IpV18lFF89EOhTJ464aU-</t>
  </si>
  <si>
    <t>-IpPLxrUIdulcHi9Yo8y5-</t>
  </si>
  <si>
    <t>-IozyP3jHj5sINO_VxHDI-</t>
  </si>
  <si>
    <t>-JYlTybsGzD5wOhzZrDnZ-</t>
  </si>
  <si>
    <t>-IpQWyp5HUTF0LPYTVqLl-</t>
  </si>
  <si>
    <t>-JPlBXoYHXm-DC9XlbzFG-</t>
  </si>
  <si>
    <t>-JNLLOuEIGPr5QE2UJaye-</t>
  </si>
  <si>
    <t>-IpU6r2TFjHI4OtNvIh9m-</t>
  </si>
  <si>
    <t>-Iovjw-2H45MhnN4tVGk7F</t>
  </si>
  <si>
    <t>-JMH-_r6GhyaDiyAdps8v-</t>
  </si>
  <si>
    <t>0084PR01702P</t>
  </si>
  <si>
    <t>0015NR13504P</t>
  </si>
  <si>
    <t>0084NR02404P</t>
  </si>
  <si>
    <t>0015NR18804P</t>
  </si>
  <si>
    <t>-JXneKofI5LHLLmoHXa5z-</t>
  </si>
  <si>
    <t>-JP5kyE0Ijm0TW7SmZPFw-</t>
  </si>
  <si>
    <t>0080PR11102P</t>
  </si>
  <si>
    <t>0070PR17502P</t>
  </si>
  <si>
    <t>0015NR22504P</t>
  </si>
  <si>
    <t>0080NR13704P</t>
  </si>
  <si>
    <t>0080PR13202P</t>
  </si>
  <si>
    <t>-Iq3UfVQIAy1XpOZIrZiK-</t>
  </si>
  <si>
    <t>0080NR13204P</t>
  </si>
  <si>
    <t>0084PR01202P</t>
  </si>
  <si>
    <t>0080PR18702P</t>
  </si>
  <si>
    <t>0084PR02002P</t>
  </si>
  <si>
    <t>-JRTkkrcITq-j0SpJH405-</t>
  </si>
  <si>
    <t>0089NR39604P</t>
  </si>
  <si>
    <t>-IqJkqMtFiaMqJ_TsQ7Sk-</t>
  </si>
  <si>
    <t>0243P</t>
  </si>
  <si>
    <t>-JM-P5wkHILeGd6gndTEB-</t>
  </si>
  <si>
    <t>-IoIAP0eIAPUYEQ3KaD1--</t>
  </si>
  <si>
    <t>-JQVGixoH8TVnruqWk5wi-</t>
  </si>
  <si>
    <t>0015PR18405P</t>
  </si>
  <si>
    <t>-JQGSsexG-5mjlvn-FM55V</t>
  </si>
  <si>
    <t>0015PR22202P</t>
  </si>
  <si>
    <t>0015PR02702P</t>
  </si>
  <si>
    <t>-JRvJYwqGSDlstot5xa70-</t>
  </si>
  <si>
    <t>0080PR14002P</t>
  </si>
  <si>
    <t>-IqBy6pRFy9mjwNzVyu9g-</t>
  </si>
  <si>
    <t>0080NR07004P</t>
  </si>
  <si>
    <t>0080PR04102P</t>
  </si>
  <si>
    <t>0080NR05604P</t>
  </si>
  <si>
    <t>0080NR06204P</t>
  </si>
  <si>
    <t>0080PR05602P</t>
  </si>
  <si>
    <t>0070PR22102P</t>
  </si>
  <si>
    <t>-JQrY-hJIcXPko7KagBEc-</t>
  </si>
  <si>
    <t>0015PR39802P</t>
  </si>
  <si>
    <t>-IoIC7A1IZHuzDyzSGhKj-</t>
  </si>
  <si>
    <t>-IoICh_6F-1nb_3ZZfxjUF</t>
  </si>
  <si>
    <t>-JMzz0j2GJylYt9ic3PDj-</t>
  </si>
  <si>
    <t>-IpVDWuuFpmEswDHU3JI4-</t>
  </si>
  <si>
    <t>0015NR03104P</t>
  </si>
  <si>
    <t>0070NR06304P</t>
  </si>
  <si>
    <t>-JQPKNl5HeLyHWiRMSPwL-</t>
  </si>
  <si>
    <t>0015NR11204P</t>
  </si>
  <si>
    <t>0070NR19304P</t>
  </si>
  <si>
    <t>0070NR11604P</t>
  </si>
  <si>
    <t>0080NR15004P</t>
  </si>
  <si>
    <t>0080NR04104P</t>
  </si>
  <si>
    <t>0084NR03904P</t>
  </si>
  <si>
    <t>0015PR07101P</t>
  </si>
  <si>
    <t>-JMDPyHPIcuytvPh7V6YI-</t>
  </si>
  <si>
    <t>-JMEpMTRI7a6GODA3ul5_-</t>
  </si>
  <si>
    <t>-IpP43vTFK1JDeFPDZpqW-</t>
  </si>
  <si>
    <t>-JWSSih6G8LN6uByZHx6e-</t>
  </si>
  <si>
    <t>-IopcWBYF3y-yA44s3rC6-</t>
  </si>
  <si>
    <t>-Iopcr1KFT5orlCuZeymw-</t>
  </si>
  <si>
    <t>-IopsLqkIC5cH7722WzA2-</t>
  </si>
  <si>
    <t>-JOiNWR1IWHlQFO-kFvBU-</t>
  </si>
  <si>
    <t>-JQJRt4YFmXmkmAYhQxJb-</t>
  </si>
  <si>
    <t>-IovakMPIkL0-5s7qnnOwV</t>
  </si>
  <si>
    <t>0070PR08602P</t>
  </si>
  <si>
    <t>0084NR01604P</t>
  </si>
  <si>
    <t>-IqCrJGXFiiXDuM9NiH9v-</t>
  </si>
  <si>
    <t>0015NR05104P</t>
  </si>
  <si>
    <t>0084NR10604P</t>
  </si>
  <si>
    <t>0084PR01602P</t>
  </si>
  <si>
    <t>0015PR03602P</t>
  </si>
  <si>
    <t>-Iq-yUFvHSLn-9E-zGZ1vk</t>
  </si>
  <si>
    <t>0084PR03202P</t>
  </si>
  <si>
    <t>0070PR01705P</t>
  </si>
  <si>
    <t>-JQtgjHTGhXyX8WQyjHZL-</t>
  </si>
  <si>
    <t>0080NR04904P</t>
  </si>
  <si>
    <t>0018NR00904P</t>
  </si>
  <si>
    <t>0015PR17802P</t>
  </si>
  <si>
    <t>-JXgj5-9IXm8PCTW9SSaW-</t>
  </si>
  <si>
    <t>0084NR02004P</t>
  </si>
  <si>
    <t>-IpUzaByIUDkw0M1kE-Lo-</t>
  </si>
  <si>
    <t>0084NR01204P</t>
  </si>
  <si>
    <t>0015NR20704P</t>
  </si>
  <si>
    <t>-Ip0G9F8I79QnJZYzR9Jr-</t>
  </si>
  <si>
    <t>-JOi-dueFT5YgRLHomg7G-</t>
  </si>
  <si>
    <t>-Ip07tEVFv1dgSQiVUuJK-</t>
  </si>
  <si>
    <t>-JMWnQx9GTiBxnAJQ0shh-</t>
  </si>
  <si>
    <t>-IpPC5caI_TmuG9p5ELMD-</t>
  </si>
  <si>
    <t>-IqHp8LhIzaTiBLxLjjCU-</t>
  </si>
  <si>
    <t>0015NR10004P</t>
  </si>
  <si>
    <t>0070NR10804P</t>
  </si>
  <si>
    <t>-IqTtlrxHt5ncf02BgloG-</t>
  </si>
  <si>
    <t>0015PR03302P</t>
  </si>
  <si>
    <t>0040PR00202P</t>
  </si>
  <si>
    <t>0080NR07704P</t>
  </si>
  <si>
    <t>0015NR07104P</t>
  </si>
  <si>
    <t>-JQrBzeJIxmUrrhvMsFDd-</t>
  </si>
  <si>
    <t>0070PR00702P</t>
  </si>
  <si>
    <t>0070PR19302P</t>
  </si>
  <si>
    <t>-JQKJcGOFXPvYs9mm7uLZ-</t>
  </si>
  <si>
    <t>0015NR01304P</t>
  </si>
  <si>
    <t>0070PR07302P</t>
  </si>
  <si>
    <t>0040NR00204P</t>
  </si>
  <si>
    <t>0015PR17402P</t>
  </si>
  <si>
    <t>0084PR10802P</t>
  </si>
  <si>
    <t>0070NR08604P</t>
  </si>
  <si>
    <t>-IpVSojmG45SLu-FVPzMl-</t>
  </si>
  <si>
    <t>-IpVT856HkuHBTjUa-aCL-</t>
  </si>
  <si>
    <t>-IpVTErHIcHQA2-7Y-rnKF</t>
  </si>
  <si>
    <t>-IpVTNA7GYLODUNsiwapL-</t>
  </si>
  <si>
    <t>0318P</t>
  </si>
  <si>
    <t>-IpU2v54IIq7_Ly6N6-6w-</t>
  </si>
  <si>
    <t>-IoIHQRrFZi89ZwGYtYgI-</t>
  </si>
  <si>
    <t>-JP6tDF9FcT7V6-6ieU-lk</t>
  </si>
  <si>
    <t>-IpTkR8WHfD94FApp1l1q-</t>
  </si>
  <si>
    <t>0070PR20402P</t>
  </si>
  <si>
    <t>-JX_SPXqFGaX9Mrm7ol3f-</t>
  </si>
  <si>
    <t>-JX_SZKXIyeuRhLIsEDlq-</t>
  </si>
  <si>
    <t>-IoI1dXGIRP-w7rMkFqAJ-</t>
  </si>
  <si>
    <t>-JQPx-y7IKqq1qZWJDUPG-</t>
  </si>
  <si>
    <t>0015NR24204P</t>
  </si>
  <si>
    <t>-JQLNET1FQmU2Rq29R8mN-</t>
  </si>
  <si>
    <t>0080PR00402P</t>
  </si>
  <si>
    <t>0015NR16304P</t>
  </si>
  <si>
    <t>0015NR04004P</t>
  </si>
  <si>
    <t>0015PR10002P</t>
  </si>
  <si>
    <t>0070PR04002P</t>
  </si>
  <si>
    <t>-Iq7o0mXGHujzJcPltvQO-</t>
  </si>
  <si>
    <t>0080PR19102P</t>
  </si>
  <si>
    <t>-JQPbOJnHfe6V4gKGMeFL-</t>
  </si>
  <si>
    <t>0015NR20204P</t>
  </si>
  <si>
    <t>0015NR12904P</t>
  </si>
  <si>
    <t>0084NR01704P</t>
  </si>
  <si>
    <t>0070PR09902P</t>
  </si>
  <si>
    <t>0070NR21404P</t>
  </si>
  <si>
    <t>-JQVG0o1GZLdbaLsFUD2H-</t>
  </si>
  <si>
    <t>0015PR18402P</t>
  </si>
  <si>
    <t>0080PR07002P</t>
  </si>
  <si>
    <t>0070NR04004P</t>
  </si>
  <si>
    <t>-JOimJ87F9TbLFxH-7cr2V</t>
  </si>
  <si>
    <t>-JNThSl2HdmS9LCW79q80-</t>
  </si>
  <si>
    <t>-IoICzH5IEDILvsJAKhQg-</t>
  </si>
  <si>
    <t>-IoIDcZNImiw_Oz3a_3JF-</t>
  </si>
  <si>
    <t>-IpYpqEdFQ57-5Q3kx1Z3F</t>
  </si>
  <si>
    <t>-IpVIG5yHgTk3-jqLI8dG-</t>
  </si>
  <si>
    <t>-IozyYxJF6m9B6t5gJoW5-</t>
  </si>
  <si>
    <t>-IpVO8OuHMTZAVo2Tu-8FF</t>
  </si>
  <si>
    <t>-IpVOqEJHSeWzgQOLFTyf-</t>
  </si>
  <si>
    <t>-IpVQFuuGsPyjjux_Hzrx-</t>
  </si>
  <si>
    <t>-IpVQqZqF-Xy_tnoZLDbH-</t>
  </si>
  <si>
    <t>-JQsa6qAIkD0Y-5K28MVPF</t>
  </si>
  <si>
    <t>-IpdGaYOGPedIWr3YGZuH-</t>
  </si>
  <si>
    <t>-JQEtxieGbLVnO27CRuQy-</t>
  </si>
  <si>
    <t>-JPvJLmfITug8AfMlA7-7k</t>
  </si>
  <si>
    <t>0015PR03605P</t>
  </si>
  <si>
    <t>-JLfxNMuIJLlZ9bGIyVDJ-</t>
  </si>
  <si>
    <t>0067NR00404P</t>
  </si>
  <si>
    <t>-Iq-sTNUHH5IoHXmjPM01-</t>
  </si>
  <si>
    <t>0084NR03204P</t>
  </si>
  <si>
    <t>0070NR20404P</t>
  </si>
  <si>
    <t>-IqDy8z7F3e8blQSvPN46-</t>
  </si>
  <si>
    <t>0080NR18704P</t>
  </si>
  <si>
    <t>0070NR09904P</t>
  </si>
  <si>
    <t>-IqBu61yG51I30DObbN_x-</t>
  </si>
  <si>
    <t>0070NR22104P</t>
  </si>
  <si>
    <t>0015NR07804P</t>
  </si>
  <si>
    <t>-JLegZbdF1meyGkKB6xJh-</t>
  </si>
  <si>
    <t>-JO5BepCIxeJa3WAEND1P-</t>
  </si>
  <si>
    <t>-IovgCADG4i09KLYSKndE-</t>
  </si>
  <si>
    <t>-Iq8MFFsGy1jaxjx7M7sh-</t>
  </si>
  <si>
    <t>0070NR17504P</t>
  </si>
  <si>
    <t>-Iq8RoKkGCH7lR0aAKIVy-</t>
  </si>
  <si>
    <t>0070NR07304P</t>
  </si>
  <si>
    <t>-Iq9fhexFoiKifE4-5qpIk</t>
  </si>
  <si>
    <t>0080NR14004P</t>
  </si>
  <si>
    <t>0015NR15804P</t>
  </si>
  <si>
    <t>-JRajlp0Gx11LrNhg0gzC-</t>
  </si>
  <si>
    <t>0070PR16402P</t>
  </si>
  <si>
    <t>0084PR03902P</t>
  </si>
  <si>
    <t>0070PR06302P</t>
  </si>
  <si>
    <t>0084PR10602P</t>
  </si>
  <si>
    <t>0070PR10802P</t>
  </si>
  <si>
    <t>-Iq7HtEIGYTwSNUvu2_pw-</t>
  </si>
  <si>
    <t>0080NR18504P</t>
  </si>
  <si>
    <t>0080PR15002P</t>
  </si>
  <si>
    <t>-IqXRtIdG7XkQJUMUQatH-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</si>
</sst>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R10151"/>
  <sheetViews>
    <sheetView tabSelected="1" workbookViewId="0">
      <selection activeCell="C1" sqref="C1"/>
    </sheetView>
  </sheetViews>
  <sheetFormatPr defaultRowHeight="15" x14ac:dyDescent="0.25"/>
  <cols>
    <col min="3" max="3" width="13.140625" customWidth="1"/>
    <col min="17" max="17" width="15.570312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94</v>
      </c>
      <c r="C2">
        <v>28866114</v>
      </c>
      <c r="D2" t="s">
        <v>18</v>
      </c>
      <c r="E2">
        <v>1.46</v>
      </c>
      <c r="F2" t="s">
        <v>19</v>
      </c>
      <c r="G2" t="s">
        <v>20</v>
      </c>
      <c r="H2" t="s">
        <v>21</v>
      </c>
      <c r="I2" t="s">
        <v>20</v>
      </c>
      <c r="J2" t="s">
        <v>20</v>
      </c>
      <c r="K2" t="s">
        <v>22</v>
      </c>
      <c r="L2" t="s">
        <v>23</v>
      </c>
      <c r="M2" t="s">
        <v>24</v>
      </c>
      <c r="N2">
        <v>40.273535000000003</v>
      </c>
      <c r="O2">
        <v>-111.700011</v>
      </c>
      <c r="P2">
        <v>4682.7939040000001</v>
      </c>
      <c r="Q2">
        <v>1281</v>
      </c>
      <c r="R2">
        <v>0</v>
      </c>
    </row>
    <row r="3" spans="1:18" x14ac:dyDescent="0.25">
      <c r="A3">
        <v>2</v>
      </c>
      <c r="B3">
        <v>94</v>
      </c>
      <c r="C3">
        <v>28804591</v>
      </c>
      <c r="D3" t="s">
        <v>25</v>
      </c>
      <c r="E3">
        <v>1.462</v>
      </c>
      <c r="F3" t="s">
        <v>21</v>
      </c>
      <c r="G3" t="s">
        <v>26</v>
      </c>
      <c r="H3" t="s">
        <v>21</v>
      </c>
      <c r="I3" t="s">
        <v>20</v>
      </c>
      <c r="J3" t="s">
        <v>20</v>
      </c>
      <c r="K3" t="s">
        <v>27</v>
      </c>
      <c r="L3" t="s">
        <v>28</v>
      </c>
      <c r="M3" t="s">
        <v>29</v>
      </c>
      <c r="N3">
        <v>37.675803000000002</v>
      </c>
      <c r="O3">
        <v>-112.15594400000001</v>
      </c>
      <c r="P3">
        <v>7576.3618530000003</v>
      </c>
      <c r="Q3">
        <v>316</v>
      </c>
      <c r="R3">
        <v>0</v>
      </c>
    </row>
    <row r="4" spans="1:18" x14ac:dyDescent="0.25">
      <c r="A4">
        <v>3</v>
      </c>
      <c r="B4">
        <v>94</v>
      </c>
      <c r="C4">
        <v>31405441</v>
      </c>
      <c r="D4" t="s">
        <v>30</v>
      </c>
      <c r="E4">
        <v>1.4630000000000001</v>
      </c>
      <c r="F4" t="s">
        <v>21</v>
      </c>
      <c r="G4" t="s">
        <v>26</v>
      </c>
      <c r="H4" t="s">
        <v>21</v>
      </c>
      <c r="I4" t="s">
        <v>20</v>
      </c>
      <c r="J4" t="s">
        <v>20</v>
      </c>
      <c r="K4" t="s">
        <v>31</v>
      </c>
      <c r="L4" t="s">
        <v>32</v>
      </c>
      <c r="M4" t="s">
        <v>33</v>
      </c>
      <c r="N4">
        <v>40.599595999999998</v>
      </c>
      <c r="O4">
        <v>-111.79744599999999</v>
      </c>
      <c r="P4">
        <v>5001.447921</v>
      </c>
      <c r="Q4">
        <v>415</v>
      </c>
      <c r="R4">
        <v>0</v>
      </c>
    </row>
    <row r="5" spans="1:18" x14ac:dyDescent="0.25">
      <c r="A5">
        <v>4</v>
      </c>
      <c r="B5">
        <v>94</v>
      </c>
      <c r="C5">
        <v>31347865</v>
      </c>
      <c r="D5" t="s">
        <v>34</v>
      </c>
      <c r="E5">
        <v>1.4630000000000001</v>
      </c>
      <c r="F5" t="s">
        <v>21</v>
      </c>
      <c r="G5" t="s">
        <v>26</v>
      </c>
      <c r="H5" t="s">
        <v>21</v>
      </c>
      <c r="I5" t="s">
        <v>20</v>
      </c>
      <c r="J5" t="s">
        <v>20</v>
      </c>
      <c r="K5" t="s">
        <v>22</v>
      </c>
      <c r="L5" t="s">
        <v>35</v>
      </c>
      <c r="M5" t="s">
        <v>36</v>
      </c>
      <c r="N5">
        <v>40.476773999999999</v>
      </c>
      <c r="O5">
        <v>-111.471863</v>
      </c>
      <c r="P5">
        <v>5376.1199399999996</v>
      </c>
      <c r="Q5">
        <v>1400</v>
      </c>
      <c r="R5">
        <v>0</v>
      </c>
    </row>
    <row r="6" spans="1:18" x14ac:dyDescent="0.25">
      <c r="A6">
        <v>5</v>
      </c>
      <c r="B6">
        <v>94</v>
      </c>
      <c r="C6" t="e">
        <f>-Ip9vB2BFGHUGtJM4qqofF</f>
        <v>#NAME?</v>
      </c>
      <c r="D6" t="s">
        <v>37</v>
      </c>
      <c r="E6">
        <v>1.4630000000000001</v>
      </c>
      <c r="F6" t="s">
        <v>21</v>
      </c>
      <c r="G6" t="s">
        <v>20</v>
      </c>
      <c r="H6" t="s">
        <v>21</v>
      </c>
      <c r="I6" t="s">
        <v>20</v>
      </c>
      <c r="J6" t="s">
        <v>20</v>
      </c>
      <c r="K6" t="s">
        <v>27</v>
      </c>
      <c r="L6" t="s">
        <v>38</v>
      </c>
      <c r="M6" t="s">
        <v>39</v>
      </c>
      <c r="N6">
        <v>38.609665999999997</v>
      </c>
      <c r="O6">
        <v>-109.55744799999999</v>
      </c>
      <c r="P6">
        <v>3906.0078619999999</v>
      </c>
      <c r="Q6">
        <v>1319</v>
      </c>
      <c r="R6">
        <v>0</v>
      </c>
    </row>
    <row r="7" spans="1:18" x14ac:dyDescent="0.25">
      <c r="A7">
        <v>6</v>
      </c>
      <c r="B7">
        <v>94</v>
      </c>
      <c r="C7">
        <v>31310394</v>
      </c>
      <c r="D7" t="s">
        <v>40</v>
      </c>
      <c r="E7">
        <v>1.468</v>
      </c>
      <c r="F7" t="s">
        <v>21</v>
      </c>
      <c r="G7" t="s">
        <v>26</v>
      </c>
      <c r="H7" t="s">
        <v>21</v>
      </c>
      <c r="I7" t="s">
        <v>20</v>
      </c>
      <c r="J7" t="s">
        <v>20</v>
      </c>
      <c r="K7" t="s">
        <v>41</v>
      </c>
      <c r="L7" t="s">
        <v>42</v>
      </c>
      <c r="M7" t="s">
        <v>43</v>
      </c>
      <c r="N7">
        <v>41.643908000000003</v>
      </c>
      <c r="O7">
        <v>-111.909109</v>
      </c>
      <c r="P7">
        <v>4461.5181080000002</v>
      </c>
      <c r="Q7">
        <v>1391</v>
      </c>
      <c r="R7">
        <v>0</v>
      </c>
    </row>
    <row r="8" spans="1:18" x14ac:dyDescent="0.25">
      <c r="A8">
        <v>7</v>
      </c>
      <c r="B8">
        <v>94</v>
      </c>
      <c r="C8">
        <v>516709</v>
      </c>
      <c r="D8" t="s">
        <v>44</v>
      </c>
      <c r="E8">
        <v>1.468</v>
      </c>
      <c r="F8" t="s">
        <v>21</v>
      </c>
      <c r="G8" t="s">
        <v>26</v>
      </c>
      <c r="H8" t="s">
        <v>21</v>
      </c>
      <c r="I8" t="s">
        <v>20</v>
      </c>
      <c r="J8" t="s">
        <v>20</v>
      </c>
      <c r="K8" t="s">
        <v>41</v>
      </c>
      <c r="L8" t="s">
        <v>45</v>
      </c>
      <c r="M8" t="s">
        <v>46</v>
      </c>
      <c r="N8">
        <v>40.898701000000003</v>
      </c>
      <c r="O8">
        <v>-111.878986</v>
      </c>
      <c r="P8">
        <v>4286.2092190000003</v>
      </c>
      <c r="Q8">
        <v>1395</v>
      </c>
      <c r="R8">
        <v>0</v>
      </c>
    </row>
    <row r="9" spans="1:18" x14ac:dyDescent="0.25">
      <c r="A9">
        <v>8</v>
      </c>
      <c r="B9">
        <v>94</v>
      </c>
      <c r="C9">
        <v>3395608</v>
      </c>
      <c r="D9" t="s">
        <v>47</v>
      </c>
      <c r="E9">
        <v>1.4690000000000001</v>
      </c>
      <c r="F9" t="s">
        <v>21</v>
      </c>
      <c r="G9" t="s">
        <v>26</v>
      </c>
      <c r="H9" t="s">
        <v>21</v>
      </c>
      <c r="I9" t="s">
        <v>20</v>
      </c>
      <c r="J9" t="s">
        <v>20</v>
      </c>
      <c r="K9" t="s">
        <v>31</v>
      </c>
      <c r="L9" t="s">
        <v>48</v>
      </c>
      <c r="M9" t="s">
        <v>49</v>
      </c>
      <c r="N9">
        <v>40.544120999999997</v>
      </c>
      <c r="O9">
        <v>-111.955974</v>
      </c>
      <c r="P9">
        <v>4454.3280590000004</v>
      </c>
      <c r="Q9">
        <v>6715</v>
      </c>
      <c r="R9">
        <v>0</v>
      </c>
    </row>
    <row r="10" spans="1:18" x14ac:dyDescent="0.25">
      <c r="A10">
        <v>9</v>
      </c>
      <c r="B10">
        <v>94</v>
      </c>
      <c r="C10">
        <v>31597035</v>
      </c>
      <c r="D10" t="s">
        <v>50</v>
      </c>
      <c r="E10">
        <v>1.5369999999999999</v>
      </c>
      <c r="F10" t="s">
        <v>21</v>
      </c>
      <c r="G10" t="s">
        <v>26</v>
      </c>
      <c r="H10" t="s">
        <v>21</v>
      </c>
      <c r="I10" t="s">
        <v>20</v>
      </c>
      <c r="J10" t="s">
        <v>20</v>
      </c>
      <c r="K10" t="s">
        <v>27</v>
      </c>
      <c r="L10" t="s">
        <v>51</v>
      </c>
      <c r="M10" t="s">
        <v>52</v>
      </c>
      <c r="N10">
        <v>37.838698000000001</v>
      </c>
      <c r="O10">
        <v>-112.843541</v>
      </c>
      <c r="P10">
        <v>5864.8572610000001</v>
      </c>
      <c r="Q10">
        <v>1418</v>
      </c>
      <c r="R10">
        <v>0</v>
      </c>
    </row>
    <row r="11" spans="1:18" x14ac:dyDescent="0.25">
      <c r="A11">
        <v>10</v>
      </c>
      <c r="B11">
        <v>94</v>
      </c>
      <c r="C11">
        <v>31535044</v>
      </c>
      <c r="D11" t="s">
        <v>53</v>
      </c>
      <c r="E11">
        <v>1.538</v>
      </c>
      <c r="F11" t="s">
        <v>21</v>
      </c>
      <c r="G11" t="s">
        <v>26</v>
      </c>
      <c r="H11" t="s">
        <v>21</v>
      </c>
      <c r="I11" t="s">
        <v>20</v>
      </c>
      <c r="J11" t="s">
        <v>20</v>
      </c>
      <c r="K11" t="s">
        <v>27</v>
      </c>
      <c r="L11" t="s">
        <v>54</v>
      </c>
      <c r="M11" t="s">
        <v>55</v>
      </c>
      <c r="N11">
        <v>37.674204000000003</v>
      </c>
      <c r="O11">
        <v>-113.069258</v>
      </c>
      <c r="P11">
        <v>5765.3613089999999</v>
      </c>
      <c r="Q11">
        <v>1285</v>
      </c>
      <c r="R11">
        <v>0</v>
      </c>
    </row>
    <row r="12" spans="1:18" x14ac:dyDescent="0.25">
      <c r="A12">
        <v>11</v>
      </c>
      <c r="B12">
        <v>94</v>
      </c>
      <c r="C12">
        <v>1690486</v>
      </c>
      <c r="D12" t="s">
        <v>56</v>
      </c>
      <c r="E12">
        <v>1.5389999999999999</v>
      </c>
      <c r="F12" t="s">
        <v>21</v>
      </c>
      <c r="G12" t="s">
        <v>20</v>
      </c>
      <c r="H12" t="s">
        <v>21</v>
      </c>
      <c r="I12" t="s">
        <v>20</v>
      </c>
      <c r="J12" t="s">
        <v>20</v>
      </c>
      <c r="K12" t="s">
        <v>41</v>
      </c>
      <c r="L12" t="s">
        <v>57</v>
      </c>
      <c r="M12" t="s">
        <v>58</v>
      </c>
      <c r="N12">
        <v>41.163829999999997</v>
      </c>
      <c r="O12">
        <v>-112.09326900000001</v>
      </c>
      <c r="P12">
        <v>4187.1718440000004</v>
      </c>
      <c r="Q12">
        <v>1459</v>
      </c>
      <c r="R12">
        <v>0</v>
      </c>
    </row>
    <row r="13" spans="1:18" x14ac:dyDescent="0.25">
      <c r="A13">
        <v>12</v>
      </c>
      <c r="B13">
        <v>94</v>
      </c>
      <c r="C13">
        <v>28085777</v>
      </c>
      <c r="D13" t="s">
        <v>59</v>
      </c>
      <c r="E13">
        <v>1.542</v>
      </c>
      <c r="F13" t="s">
        <v>19</v>
      </c>
      <c r="G13" t="s">
        <v>20</v>
      </c>
      <c r="H13" t="s">
        <v>21</v>
      </c>
      <c r="I13" t="s">
        <v>20</v>
      </c>
      <c r="J13" t="s">
        <v>20</v>
      </c>
      <c r="K13" t="s">
        <v>22</v>
      </c>
      <c r="L13" t="s">
        <v>60</v>
      </c>
      <c r="M13" t="s">
        <v>24</v>
      </c>
      <c r="N13">
        <v>40.312072000000001</v>
      </c>
      <c r="O13">
        <v>-111.70549800000001</v>
      </c>
      <c r="P13">
        <v>4702.0108540000001</v>
      </c>
      <c r="Q13">
        <v>313</v>
      </c>
      <c r="R13">
        <v>0</v>
      </c>
    </row>
    <row r="14" spans="1:18" x14ac:dyDescent="0.25">
      <c r="A14">
        <v>13</v>
      </c>
      <c r="B14">
        <v>94</v>
      </c>
      <c r="C14">
        <v>31785808</v>
      </c>
      <c r="D14" t="s">
        <v>61</v>
      </c>
      <c r="E14">
        <v>1.5429999999999999</v>
      </c>
      <c r="F14" t="s">
        <v>21</v>
      </c>
      <c r="G14" t="s">
        <v>26</v>
      </c>
      <c r="H14" t="s">
        <v>21</v>
      </c>
      <c r="I14" t="s">
        <v>20</v>
      </c>
      <c r="J14" t="s">
        <v>20</v>
      </c>
      <c r="K14" t="s">
        <v>22</v>
      </c>
      <c r="L14" t="s">
        <v>23</v>
      </c>
      <c r="M14" t="s">
        <v>62</v>
      </c>
      <c r="N14">
        <v>40.228361999999997</v>
      </c>
      <c r="O14">
        <v>-111.65872</v>
      </c>
      <c r="P14">
        <v>4474.3273939999999</v>
      </c>
      <c r="Q14">
        <v>403</v>
      </c>
      <c r="R14">
        <v>0</v>
      </c>
    </row>
    <row r="15" spans="1:18" x14ac:dyDescent="0.25">
      <c r="A15">
        <v>14</v>
      </c>
      <c r="B15">
        <v>94</v>
      </c>
      <c r="C15" t="e">
        <f>-JX9xiIBGWqu42_hZRiUNV</f>
        <v>#NAME?</v>
      </c>
      <c r="D15" t="s">
        <v>63</v>
      </c>
      <c r="E15">
        <v>1.5429999999999999</v>
      </c>
      <c r="F15" t="s">
        <v>21</v>
      </c>
      <c r="G15" t="s">
        <v>26</v>
      </c>
      <c r="H15" t="s">
        <v>21</v>
      </c>
      <c r="I15" t="s">
        <v>20</v>
      </c>
      <c r="J15" t="s">
        <v>20</v>
      </c>
      <c r="K15" t="s">
        <v>27</v>
      </c>
      <c r="L15" t="s">
        <v>64</v>
      </c>
      <c r="M15" t="s">
        <v>29</v>
      </c>
      <c r="N15">
        <v>38.208354999999997</v>
      </c>
      <c r="O15">
        <v>-112.196488</v>
      </c>
      <c r="P15">
        <v>5945.3669669999999</v>
      </c>
      <c r="Q15">
        <v>1365</v>
      </c>
      <c r="R15">
        <v>0</v>
      </c>
    </row>
    <row r="16" spans="1:18" x14ac:dyDescent="0.25">
      <c r="A16">
        <v>15</v>
      </c>
      <c r="B16">
        <v>94</v>
      </c>
      <c r="C16">
        <v>946779</v>
      </c>
      <c r="D16" t="s">
        <v>65</v>
      </c>
      <c r="E16">
        <v>1.544</v>
      </c>
      <c r="F16" t="s">
        <v>21</v>
      </c>
      <c r="G16" t="s">
        <v>26</v>
      </c>
      <c r="H16" t="s">
        <v>21</v>
      </c>
      <c r="I16" t="s">
        <v>20</v>
      </c>
      <c r="J16" t="s">
        <v>20</v>
      </c>
      <c r="K16" t="s">
        <v>31</v>
      </c>
      <c r="L16" t="s">
        <v>66</v>
      </c>
      <c r="M16" t="s">
        <v>67</v>
      </c>
      <c r="N16">
        <v>40.775950000000002</v>
      </c>
      <c r="O16">
        <v>-111.88968800000001</v>
      </c>
      <c r="P16">
        <v>4425.1769480000003</v>
      </c>
      <c r="Q16">
        <v>402</v>
      </c>
      <c r="R16">
        <v>0</v>
      </c>
    </row>
    <row r="17" spans="1:18" x14ac:dyDescent="0.25">
      <c r="A17">
        <v>16</v>
      </c>
      <c r="B17">
        <v>94</v>
      </c>
      <c r="C17">
        <v>733584</v>
      </c>
      <c r="D17" t="s">
        <v>68</v>
      </c>
      <c r="E17">
        <v>1.544</v>
      </c>
      <c r="F17" t="s">
        <v>21</v>
      </c>
      <c r="G17" t="s">
        <v>26</v>
      </c>
      <c r="H17" t="s">
        <v>21</v>
      </c>
      <c r="I17" t="s">
        <v>20</v>
      </c>
      <c r="J17" t="s">
        <v>20</v>
      </c>
      <c r="K17" t="s">
        <v>31</v>
      </c>
      <c r="L17" t="s">
        <v>69</v>
      </c>
      <c r="M17" t="s">
        <v>70</v>
      </c>
      <c r="N17">
        <v>40.671143999999998</v>
      </c>
      <c r="O17">
        <v>-111.92523300000001</v>
      </c>
      <c r="P17">
        <v>4219.2726050000001</v>
      </c>
      <c r="Q17">
        <v>431</v>
      </c>
      <c r="R17">
        <v>0</v>
      </c>
    </row>
    <row r="18" spans="1:18" x14ac:dyDescent="0.25">
      <c r="A18">
        <v>17</v>
      </c>
      <c r="B18">
        <v>94</v>
      </c>
      <c r="C18">
        <v>31655776</v>
      </c>
      <c r="D18" t="s">
        <v>71</v>
      </c>
      <c r="E18">
        <v>1.5449999999999999</v>
      </c>
      <c r="F18" t="s">
        <v>21</v>
      </c>
      <c r="G18" t="s">
        <v>26</v>
      </c>
      <c r="H18" t="s">
        <v>21</v>
      </c>
      <c r="I18" t="s">
        <v>20</v>
      </c>
      <c r="J18" t="s">
        <v>20</v>
      </c>
      <c r="K18" t="s">
        <v>27</v>
      </c>
      <c r="L18" t="s">
        <v>72</v>
      </c>
      <c r="M18" t="s">
        <v>73</v>
      </c>
      <c r="N18">
        <v>37.243402000000003</v>
      </c>
      <c r="O18">
        <v>-113.352451</v>
      </c>
      <c r="P18">
        <v>3482.6179750000001</v>
      </c>
      <c r="Q18">
        <v>423</v>
      </c>
      <c r="R18">
        <v>0</v>
      </c>
    </row>
    <row r="19" spans="1:18" x14ac:dyDescent="0.25">
      <c r="A19">
        <v>18</v>
      </c>
      <c r="B19">
        <v>94</v>
      </c>
      <c r="C19">
        <v>31406272</v>
      </c>
      <c r="D19" t="s">
        <v>74</v>
      </c>
      <c r="E19">
        <v>1.5449999999999999</v>
      </c>
      <c r="F19" t="s">
        <v>19</v>
      </c>
      <c r="G19" t="s">
        <v>20</v>
      </c>
      <c r="H19" t="s">
        <v>21</v>
      </c>
      <c r="I19" t="s">
        <v>20</v>
      </c>
      <c r="J19" t="s">
        <v>20</v>
      </c>
      <c r="K19" t="s">
        <v>27</v>
      </c>
      <c r="L19" t="s">
        <v>75</v>
      </c>
      <c r="M19" t="s">
        <v>76</v>
      </c>
      <c r="N19">
        <v>38.756987000000002</v>
      </c>
      <c r="O19">
        <v>-112.08487</v>
      </c>
      <c r="P19">
        <v>5231.6648770000002</v>
      </c>
      <c r="Q19">
        <v>332</v>
      </c>
      <c r="R19">
        <v>0</v>
      </c>
    </row>
    <row r="20" spans="1:18" x14ac:dyDescent="0.25">
      <c r="A20">
        <v>19</v>
      </c>
      <c r="B20">
        <v>94</v>
      </c>
      <c r="C20">
        <v>536132</v>
      </c>
      <c r="D20" t="s">
        <v>77</v>
      </c>
      <c r="E20">
        <v>1.5449999999999999</v>
      </c>
      <c r="F20" t="s">
        <v>21</v>
      </c>
      <c r="G20" t="s">
        <v>26</v>
      </c>
      <c r="H20" t="s">
        <v>21</v>
      </c>
      <c r="I20" t="s">
        <v>20</v>
      </c>
      <c r="J20" t="s">
        <v>20</v>
      </c>
      <c r="K20" t="s">
        <v>31</v>
      </c>
      <c r="L20" t="s">
        <v>78</v>
      </c>
      <c r="M20" t="s">
        <v>79</v>
      </c>
      <c r="N20">
        <v>40.661054</v>
      </c>
      <c r="O20">
        <v>-112.02466800000001</v>
      </c>
      <c r="P20">
        <v>4651.5782079999999</v>
      </c>
      <c r="Q20">
        <v>1436</v>
      </c>
      <c r="R20">
        <v>0</v>
      </c>
    </row>
    <row r="21" spans="1:18" x14ac:dyDescent="0.25">
      <c r="A21">
        <v>20</v>
      </c>
      <c r="B21">
        <v>94</v>
      </c>
      <c r="C21">
        <v>31565360</v>
      </c>
      <c r="D21" t="s">
        <v>80</v>
      </c>
      <c r="E21">
        <v>1.546</v>
      </c>
      <c r="F21" t="s">
        <v>21</v>
      </c>
      <c r="G21" t="s">
        <v>26</v>
      </c>
      <c r="H21" t="s">
        <v>21</v>
      </c>
      <c r="I21" t="s">
        <v>20</v>
      </c>
      <c r="J21" t="s">
        <v>20</v>
      </c>
      <c r="K21" t="s">
        <v>41</v>
      </c>
      <c r="L21" t="s">
        <v>81</v>
      </c>
      <c r="M21" t="s">
        <v>82</v>
      </c>
      <c r="N21">
        <v>41.229971999999997</v>
      </c>
      <c r="O21">
        <v>-111.995856</v>
      </c>
      <c r="P21">
        <v>4228.6058569999996</v>
      </c>
      <c r="Q21">
        <v>1393</v>
      </c>
      <c r="R21">
        <v>0</v>
      </c>
    </row>
    <row r="22" spans="1:18" x14ac:dyDescent="0.25">
      <c r="A22">
        <v>21</v>
      </c>
      <c r="B22">
        <v>94</v>
      </c>
      <c r="C22">
        <v>483901</v>
      </c>
      <c r="D22" t="s">
        <v>83</v>
      </c>
      <c r="E22">
        <v>1.552</v>
      </c>
      <c r="F22" t="s">
        <v>19</v>
      </c>
      <c r="G22" t="s">
        <v>20</v>
      </c>
      <c r="H22" t="s">
        <v>21</v>
      </c>
      <c r="I22" t="s">
        <v>20</v>
      </c>
      <c r="J22" t="s">
        <v>20</v>
      </c>
      <c r="K22" t="s">
        <v>22</v>
      </c>
      <c r="L22" t="s">
        <v>84</v>
      </c>
      <c r="M22" t="s">
        <v>85</v>
      </c>
      <c r="N22">
        <v>40.399172999999998</v>
      </c>
      <c r="O22">
        <v>-111.79488499999999</v>
      </c>
      <c r="P22">
        <v>4713.0042059999996</v>
      </c>
      <c r="Q22">
        <v>319</v>
      </c>
      <c r="R22">
        <v>0</v>
      </c>
    </row>
    <row r="23" spans="1:18" x14ac:dyDescent="0.25">
      <c r="A23">
        <v>22</v>
      </c>
      <c r="B23">
        <v>94</v>
      </c>
      <c r="C23">
        <v>517602</v>
      </c>
      <c r="D23" t="s">
        <v>44</v>
      </c>
      <c r="E23">
        <v>1.5549999999999999</v>
      </c>
      <c r="F23" t="s">
        <v>21</v>
      </c>
      <c r="G23" t="s">
        <v>26</v>
      </c>
      <c r="H23" t="s">
        <v>21</v>
      </c>
      <c r="I23" t="s">
        <v>20</v>
      </c>
      <c r="J23" t="s">
        <v>20</v>
      </c>
      <c r="K23" t="s">
        <v>41</v>
      </c>
      <c r="L23" t="s">
        <v>45</v>
      </c>
      <c r="M23" t="s">
        <v>46</v>
      </c>
      <c r="N23">
        <v>40.899968999999999</v>
      </c>
      <c r="O23">
        <v>-111.87899400000001</v>
      </c>
      <c r="P23">
        <v>4280.0427120000004</v>
      </c>
      <c r="Q23">
        <v>1395</v>
      </c>
      <c r="R23">
        <v>0</v>
      </c>
    </row>
    <row r="24" spans="1:18" x14ac:dyDescent="0.25">
      <c r="A24">
        <v>23</v>
      </c>
      <c r="B24">
        <v>94</v>
      </c>
      <c r="C24">
        <v>31761925</v>
      </c>
      <c r="D24" t="s">
        <v>86</v>
      </c>
      <c r="E24">
        <v>1.556</v>
      </c>
      <c r="F24" t="s">
        <v>21</v>
      </c>
      <c r="G24" t="s">
        <v>26</v>
      </c>
      <c r="H24" t="s">
        <v>21</v>
      </c>
      <c r="I24" t="s">
        <v>20</v>
      </c>
      <c r="J24" t="s">
        <v>20</v>
      </c>
      <c r="K24" t="s">
        <v>41</v>
      </c>
      <c r="L24" t="s">
        <v>87</v>
      </c>
      <c r="M24" t="s">
        <v>58</v>
      </c>
      <c r="N24">
        <v>41.027352999999998</v>
      </c>
      <c r="O24">
        <v>-111.931588</v>
      </c>
      <c r="P24">
        <v>4330.6827599999997</v>
      </c>
      <c r="Q24">
        <v>258</v>
      </c>
      <c r="R24">
        <v>0</v>
      </c>
    </row>
    <row r="25" spans="1:18" x14ac:dyDescent="0.25">
      <c r="A25">
        <v>24</v>
      </c>
      <c r="B25">
        <v>94</v>
      </c>
      <c r="C25">
        <v>1402759</v>
      </c>
      <c r="D25" t="s">
        <v>88</v>
      </c>
      <c r="E25">
        <v>1.5569999999999999</v>
      </c>
      <c r="F25" t="s">
        <v>21</v>
      </c>
      <c r="G25" t="s">
        <v>26</v>
      </c>
      <c r="H25" t="s">
        <v>21</v>
      </c>
      <c r="I25" t="s">
        <v>20</v>
      </c>
      <c r="J25" t="s">
        <v>20</v>
      </c>
      <c r="K25" t="s">
        <v>31</v>
      </c>
      <c r="L25" t="s">
        <v>89</v>
      </c>
      <c r="M25" t="s">
        <v>90</v>
      </c>
      <c r="N25">
        <v>40.522351</v>
      </c>
      <c r="O25">
        <v>-111.95433800000001</v>
      </c>
      <c r="P25">
        <v>4442.5211090000003</v>
      </c>
      <c r="Q25">
        <v>318</v>
      </c>
      <c r="R25">
        <v>0</v>
      </c>
    </row>
    <row r="26" spans="1:18" x14ac:dyDescent="0.25">
      <c r="A26">
        <v>25</v>
      </c>
      <c r="B26">
        <v>94</v>
      </c>
      <c r="C26">
        <v>27865805</v>
      </c>
      <c r="D26" t="s">
        <v>91</v>
      </c>
      <c r="E26">
        <v>1.56</v>
      </c>
      <c r="F26" t="s">
        <v>21</v>
      </c>
      <c r="G26" t="s">
        <v>26</v>
      </c>
      <c r="H26" t="s">
        <v>19</v>
      </c>
      <c r="I26">
        <v>101</v>
      </c>
      <c r="J26" t="s">
        <v>20</v>
      </c>
      <c r="K26" t="s">
        <v>41</v>
      </c>
      <c r="L26" t="s">
        <v>42</v>
      </c>
      <c r="M26" t="s">
        <v>73</v>
      </c>
      <c r="N26">
        <v>41.638731</v>
      </c>
      <c r="O26">
        <v>-111.93436199999999</v>
      </c>
      <c r="P26">
        <v>4493.1385389999996</v>
      </c>
      <c r="Q26">
        <v>1339</v>
      </c>
      <c r="R26">
        <v>0</v>
      </c>
    </row>
    <row r="27" spans="1:18" x14ac:dyDescent="0.25">
      <c r="A27">
        <v>26</v>
      </c>
      <c r="B27">
        <v>94</v>
      </c>
      <c r="C27" t="e">
        <f>-IrkSz0DHJadovvlTjzU4k</f>
        <v>#NAME?</v>
      </c>
      <c r="D27" t="s">
        <v>92</v>
      </c>
      <c r="E27">
        <v>1.56</v>
      </c>
      <c r="F27" t="s">
        <v>21</v>
      </c>
      <c r="G27" t="s">
        <v>26</v>
      </c>
      <c r="H27" t="s">
        <v>21</v>
      </c>
      <c r="I27" t="s">
        <v>20</v>
      </c>
      <c r="J27" t="s">
        <v>20</v>
      </c>
      <c r="K27" t="s">
        <v>41</v>
      </c>
      <c r="L27" t="s">
        <v>87</v>
      </c>
      <c r="M27" t="s">
        <v>93</v>
      </c>
      <c r="N27">
        <v>41.093259000000003</v>
      </c>
      <c r="O27">
        <v>-111.973439</v>
      </c>
      <c r="P27">
        <v>4512.8555040000001</v>
      </c>
      <c r="Q27">
        <v>252</v>
      </c>
      <c r="R27">
        <v>0</v>
      </c>
    </row>
    <row r="28" spans="1:18" x14ac:dyDescent="0.25">
      <c r="A28">
        <v>27</v>
      </c>
      <c r="B28">
        <v>94</v>
      </c>
      <c r="C28">
        <v>1423462</v>
      </c>
      <c r="D28" t="s">
        <v>94</v>
      </c>
      <c r="E28">
        <v>1.5629999999999999</v>
      </c>
      <c r="F28" t="s">
        <v>21</v>
      </c>
      <c r="G28" t="s">
        <v>26</v>
      </c>
      <c r="H28" t="s">
        <v>21</v>
      </c>
      <c r="I28" t="s">
        <v>20</v>
      </c>
      <c r="J28" t="s">
        <v>20</v>
      </c>
      <c r="K28" t="s">
        <v>41</v>
      </c>
      <c r="L28" t="s">
        <v>95</v>
      </c>
      <c r="M28" t="s">
        <v>73</v>
      </c>
      <c r="N28">
        <v>41.998564000000002</v>
      </c>
      <c r="O28">
        <v>-111.87658500000001</v>
      </c>
      <c r="P28">
        <v>4461.6778860000004</v>
      </c>
      <c r="Q28">
        <v>352</v>
      </c>
      <c r="R28">
        <v>0</v>
      </c>
    </row>
    <row r="29" spans="1:18" x14ac:dyDescent="0.25">
      <c r="A29">
        <v>28</v>
      </c>
      <c r="B29">
        <v>94</v>
      </c>
      <c r="C29" t="e">
        <f>-IovPj90H_9pkLkrSfBGPk</f>
        <v>#NAME?</v>
      </c>
      <c r="D29" t="s">
        <v>96</v>
      </c>
      <c r="E29">
        <v>1.5649999999999999</v>
      </c>
      <c r="F29" t="s">
        <v>21</v>
      </c>
      <c r="G29" t="s">
        <v>20</v>
      </c>
      <c r="H29" t="s">
        <v>21</v>
      </c>
      <c r="I29" t="s">
        <v>20</v>
      </c>
      <c r="J29" t="s">
        <v>20</v>
      </c>
      <c r="K29" t="s">
        <v>22</v>
      </c>
      <c r="L29" t="s">
        <v>97</v>
      </c>
      <c r="M29" t="s">
        <v>98</v>
      </c>
      <c r="N29">
        <v>40.978588999999999</v>
      </c>
      <c r="O29">
        <v>-109.83605900000001</v>
      </c>
      <c r="P29">
        <v>7132.876593</v>
      </c>
      <c r="Q29">
        <v>311</v>
      </c>
      <c r="R29">
        <v>0</v>
      </c>
    </row>
    <row r="30" spans="1:18" x14ac:dyDescent="0.25">
      <c r="A30">
        <v>29</v>
      </c>
      <c r="B30">
        <v>94</v>
      </c>
      <c r="C30">
        <v>28373313</v>
      </c>
      <c r="D30" t="s">
        <v>99</v>
      </c>
      <c r="E30">
        <v>1.5649999999999999</v>
      </c>
      <c r="F30" t="s">
        <v>21</v>
      </c>
      <c r="G30" t="s">
        <v>20</v>
      </c>
      <c r="H30" t="s">
        <v>21</v>
      </c>
      <c r="I30" t="s">
        <v>20</v>
      </c>
      <c r="J30" t="s">
        <v>20</v>
      </c>
      <c r="K30" t="s">
        <v>41</v>
      </c>
      <c r="L30" t="s">
        <v>81</v>
      </c>
      <c r="M30" t="s">
        <v>82</v>
      </c>
      <c r="N30">
        <v>41.203249</v>
      </c>
      <c r="O30">
        <v>-112.01152999999999</v>
      </c>
      <c r="P30">
        <v>4346.2657220000001</v>
      </c>
      <c r="Q30">
        <v>1376</v>
      </c>
      <c r="R30">
        <v>0</v>
      </c>
    </row>
    <row r="31" spans="1:18" x14ac:dyDescent="0.25">
      <c r="A31">
        <v>30</v>
      </c>
      <c r="B31">
        <v>94</v>
      </c>
      <c r="C31">
        <v>1368473</v>
      </c>
      <c r="D31" t="s">
        <v>100</v>
      </c>
      <c r="E31">
        <v>1.5660000000000001</v>
      </c>
      <c r="F31" t="s">
        <v>19</v>
      </c>
      <c r="G31" t="s">
        <v>20</v>
      </c>
      <c r="H31" t="s">
        <v>21</v>
      </c>
      <c r="I31" t="s">
        <v>20</v>
      </c>
      <c r="J31" t="s">
        <v>20</v>
      </c>
      <c r="K31" t="s">
        <v>41</v>
      </c>
      <c r="L31" t="s">
        <v>57</v>
      </c>
      <c r="M31" t="s">
        <v>46</v>
      </c>
      <c r="N31">
        <v>41.089078000000001</v>
      </c>
      <c r="O31">
        <v>-112.017866</v>
      </c>
      <c r="P31">
        <v>4351.3706359999996</v>
      </c>
      <c r="Q31">
        <v>1396</v>
      </c>
      <c r="R31">
        <v>0</v>
      </c>
    </row>
    <row r="32" spans="1:18" x14ac:dyDescent="0.25">
      <c r="A32">
        <v>31</v>
      </c>
      <c r="B32">
        <v>94</v>
      </c>
      <c r="C32">
        <v>1119977</v>
      </c>
      <c r="D32" t="s">
        <v>101</v>
      </c>
      <c r="E32">
        <v>3.6949999999999998</v>
      </c>
      <c r="F32" t="s">
        <v>21</v>
      </c>
      <c r="G32" t="s">
        <v>26</v>
      </c>
      <c r="H32" t="s">
        <v>21</v>
      </c>
      <c r="I32" t="s">
        <v>20</v>
      </c>
      <c r="J32" t="s">
        <v>20</v>
      </c>
      <c r="K32" t="s">
        <v>41</v>
      </c>
      <c r="L32" t="s">
        <v>57</v>
      </c>
      <c r="M32" t="s">
        <v>58</v>
      </c>
      <c r="N32">
        <v>41.118071999999998</v>
      </c>
      <c r="O32">
        <v>-112.04177</v>
      </c>
      <c r="P32">
        <v>4387.3706160000002</v>
      </c>
      <c r="Q32">
        <v>328</v>
      </c>
      <c r="R32">
        <v>0</v>
      </c>
    </row>
    <row r="33" spans="1:18" x14ac:dyDescent="0.25">
      <c r="A33">
        <v>32</v>
      </c>
      <c r="B33">
        <v>94</v>
      </c>
      <c r="C33">
        <v>31558812</v>
      </c>
      <c r="D33" t="s">
        <v>102</v>
      </c>
      <c r="E33">
        <v>3.6970000000000001</v>
      </c>
      <c r="F33" t="s">
        <v>21</v>
      </c>
      <c r="G33" t="s">
        <v>26</v>
      </c>
      <c r="H33" t="s">
        <v>21</v>
      </c>
      <c r="I33" t="s">
        <v>20</v>
      </c>
      <c r="J33" t="s">
        <v>20</v>
      </c>
      <c r="K33" t="s">
        <v>27</v>
      </c>
      <c r="L33" t="s">
        <v>103</v>
      </c>
      <c r="M33" t="s">
        <v>104</v>
      </c>
      <c r="N33">
        <v>38.293570000000003</v>
      </c>
      <c r="O33">
        <v>-112.650037</v>
      </c>
      <c r="P33">
        <v>5863.9655400000001</v>
      </c>
      <c r="Q33">
        <v>1430</v>
      </c>
      <c r="R33">
        <v>0</v>
      </c>
    </row>
    <row r="34" spans="1:18" x14ac:dyDescent="0.25">
      <c r="A34">
        <v>33</v>
      </c>
      <c r="B34">
        <v>94</v>
      </c>
      <c r="C34">
        <v>31622859</v>
      </c>
      <c r="D34" t="s">
        <v>83</v>
      </c>
      <c r="E34">
        <v>3.6970000000000001</v>
      </c>
      <c r="F34" t="s">
        <v>21</v>
      </c>
      <c r="G34" t="s">
        <v>26</v>
      </c>
      <c r="H34" t="s">
        <v>21</v>
      </c>
      <c r="I34" t="s">
        <v>20</v>
      </c>
      <c r="J34" t="s">
        <v>20</v>
      </c>
      <c r="K34" t="s">
        <v>22</v>
      </c>
      <c r="L34" t="s">
        <v>84</v>
      </c>
      <c r="M34" t="s">
        <v>85</v>
      </c>
      <c r="N34">
        <v>40.429017999999999</v>
      </c>
      <c r="O34">
        <v>-111.78546299999999</v>
      </c>
      <c r="P34">
        <v>4856.3166259999998</v>
      </c>
      <c r="Q34">
        <v>319</v>
      </c>
      <c r="R34">
        <v>0</v>
      </c>
    </row>
    <row r="35" spans="1:18" x14ac:dyDescent="0.25">
      <c r="A35">
        <v>34</v>
      </c>
      <c r="B35">
        <v>94</v>
      </c>
      <c r="C35">
        <v>31757744</v>
      </c>
      <c r="D35" t="s">
        <v>105</v>
      </c>
      <c r="E35">
        <v>3.7010000000000001</v>
      </c>
      <c r="F35" t="s">
        <v>21</v>
      </c>
      <c r="G35" t="s">
        <v>26</v>
      </c>
      <c r="H35" t="s">
        <v>21</v>
      </c>
      <c r="I35" t="s">
        <v>20</v>
      </c>
      <c r="J35" t="s">
        <v>20</v>
      </c>
      <c r="K35" t="s">
        <v>27</v>
      </c>
      <c r="L35" t="s">
        <v>51</v>
      </c>
      <c r="M35" t="s">
        <v>106</v>
      </c>
      <c r="N35">
        <v>37.883254999999998</v>
      </c>
      <c r="O35">
        <v>-112.775006</v>
      </c>
      <c r="P35">
        <v>5817.1620999999996</v>
      </c>
      <c r="Q35">
        <v>432</v>
      </c>
      <c r="R35">
        <v>0</v>
      </c>
    </row>
    <row r="36" spans="1:18" x14ac:dyDescent="0.25">
      <c r="A36">
        <v>35</v>
      </c>
      <c r="B36">
        <v>94</v>
      </c>
      <c r="C36">
        <v>31408784</v>
      </c>
      <c r="D36" t="s">
        <v>74</v>
      </c>
      <c r="E36">
        <v>3.7010000000000001</v>
      </c>
      <c r="F36" t="s">
        <v>21</v>
      </c>
      <c r="G36" t="s">
        <v>26</v>
      </c>
      <c r="H36" t="s">
        <v>21</v>
      </c>
      <c r="I36" t="s">
        <v>20</v>
      </c>
      <c r="J36" t="s">
        <v>20</v>
      </c>
      <c r="K36" t="s">
        <v>27</v>
      </c>
      <c r="L36" t="s">
        <v>75</v>
      </c>
      <c r="M36" t="s">
        <v>76</v>
      </c>
      <c r="N36">
        <v>38.787941000000004</v>
      </c>
      <c r="O36">
        <v>-112.08269900000001</v>
      </c>
      <c r="P36">
        <v>5370.3971789999996</v>
      </c>
      <c r="Q36">
        <v>332</v>
      </c>
      <c r="R36">
        <v>0</v>
      </c>
    </row>
    <row r="37" spans="1:18" x14ac:dyDescent="0.25">
      <c r="A37">
        <v>36</v>
      </c>
      <c r="B37">
        <v>94</v>
      </c>
      <c r="C37">
        <v>31439027</v>
      </c>
      <c r="D37" t="s">
        <v>107</v>
      </c>
      <c r="E37">
        <v>3.7050000000000001</v>
      </c>
      <c r="F37" t="s">
        <v>21</v>
      </c>
      <c r="G37" t="s">
        <v>26</v>
      </c>
      <c r="H37" t="s">
        <v>21</v>
      </c>
      <c r="I37" t="s">
        <v>20</v>
      </c>
      <c r="J37" t="s">
        <v>20</v>
      </c>
      <c r="K37" t="s">
        <v>41</v>
      </c>
      <c r="L37" t="s">
        <v>81</v>
      </c>
      <c r="M37" t="s">
        <v>93</v>
      </c>
      <c r="N37">
        <v>41.246324000000001</v>
      </c>
      <c r="O37">
        <v>-111.978176</v>
      </c>
      <c r="P37">
        <v>4225.8614010000001</v>
      </c>
      <c r="Q37">
        <v>413</v>
      </c>
      <c r="R37">
        <v>0</v>
      </c>
    </row>
    <row r="38" spans="1:18" x14ac:dyDescent="0.25">
      <c r="A38">
        <v>37</v>
      </c>
      <c r="B38">
        <v>94</v>
      </c>
      <c r="C38">
        <v>974161</v>
      </c>
      <c r="D38" t="s">
        <v>65</v>
      </c>
      <c r="E38">
        <v>3.7069999999999999</v>
      </c>
      <c r="F38" t="s">
        <v>19</v>
      </c>
      <c r="G38" t="s">
        <v>20</v>
      </c>
      <c r="H38" t="s">
        <v>21</v>
      </c>
      <c r="I38" t="s">
        <v>20</v>
      </c>
      <c r="J38" t="s">
        <v>20</v>
      </c>
      <c r="K38" t="s">
        <v>31</v>
      </c>
      <c r="L38" t="s">
        <v>66</v>
      </c>
      <c r="M38" t="s">
        <v>67</v>
      </c>
      <c r="N38">
        <v>40.760663000000001</v>
      </c>
      <c r="O38">
        <v>-111.868201</v>
      </c>
      <c r="P38">
        <v>4289.4561800000001</v>
      </c>
      <c r="Q38">
        <v>402</v>
      </c>
      <c r="R38">
        <v>0</v>
      </c>
    </row>
    <row r="39" spans="1:18" x14ac:dyDescent="0.25">
      <c r="A39">
        <v>38</v>
      </c>
      <c r="B39">
        <v>94</v>
      </c>
      <c r="C39">
        <v>6918130</v>
      </c>
      <c r="D39" t="s">
        <v>108</v>
      </c>
      <c r="E39">
        <v>3.714</v>
      </c>
      <c r="F39" t="s">
        <v>19</v>
      </c>
      <c r="G39" t="s">
        <v>20</v>
      </c>
      <c r="H39" t="s">
        <v>19</v>
      </c>
      <c r="I39">
        <v>89</v>
      </c>
      <c r="J39" t="s">
        <v>20</v>
      </c>
      <c r="K39" t="s">
        <v>41</v>
      </c>
      <c r="L39" t="s">
        <v>81</v>
      </c>
      <c r="M39" t="s">
        <v>93</v>
      </c>
      <c r="N39">
        <v>41.200381999999998</v>
      </c>
      <c r="O39">
        <v>-111.97100500000001</v>
      </c>
      <c r="P39">
        <v>4306.9065119999996</v>
      </c>
      <c r="Q39">
        <v>1341</v>
      </c>
      <c r="R39">
        <v>0</v>
      </c>
    </row>
    <row r="40" spans="1:18" x14ac:dyDescent="0.25">
      <c r="A40">
        <v>39</v>
      </c>
      <c r="B40">
        <v>94</v>
      </c>
      <c r="C40" t="e">
        <f>-JLomxImHJT_qed5FcG4QV</f>
        <v>#NAME?</v>
      </c>
      <c r="D40" t="s">
        <v>99</v>
      </c>
      <c r="E40">
        <v>3.7210000000000001</v>
      </c>
      <c r="F40" t="s">
        <v>19</v>
      </c>
      <c r="G40" t="s">
        <v>20</v>
      </c>
      <c r="H40" t="s">
        <v>19</v>
      </c>
      <c r="I40">
        <v>89</v>
      </c>
      <c r="J40" t="s">
        <v>20</v>
      </c>
      <c r="K40" t="s">
        <v>41</v>
      </c>
      <c r="L40" t="s">
        <v>81</v>
      </c>
      <c r="M40" t="s">
        <v>82</v>
      </c>
      <c r="N40">
        <v>41.210261000000003</v>
      </c>
      <c r="O40">
        <v>-111.97070100000001</v>
      </c>
      <c r="P40">
        <v>4269.2645169999996</v>
      </c>
      <c r="Q40">
        <v>1376</v>
      </c>
      <c r="R40">
        <v>0</v>
      </c>
    </row>
    <row r="41" spans="1:18" x14ac:dyDescent="0.25">
      <c r="A41">
        <v>40</v>
      </c>
      <c r="B41">
        <v>94</v>
      </c>
      <c r="C41">
        <v>1418481</v>
      </c>
      <c r="D41" t="s">
        <v>109</v>
      </c>
      <c r="E41">
        <v>3.722</v>
      </c>
      <c r="F41" t="s">
        <v>21</v>
      </c>
      <c r="G41" t="s">
        <v>26</v>
      </c>
      <c r="H41" t="s">
        <v>21</v>
      </c>
      <c r="I41" t="s">
        <v>20</v>
      </c>
      <c r="J41" t="s">
        <v>20</v>
      </c>
      <c r="K41" t="s">
        <v>41</v>
      </c>
      <c r="L41" t="s">
        <v>42</v>
      </c>
      <c r="M41" t="s">
        <v>73</v>
      </c>
      <c r="N41">
        <v>41.616095999999999</v>
      </c>
      <c r="O41">
        <v>-111.832723</v>
      </c>
      <c r="P41">
        <v>4750.8715739999998</v>
      </c>
      <c r="Q41">
        <v>345</v>
      </c>
      <c r="R41">
        <v>0</v>
      </c>
    </row>
    <row r="42" spans="1:18" x14ac:dyDescent="0.25">
      <c r="A42">
        <v>41</v>
      </c>
      <c r="B42">
        <v>94</v>
      </c>
      <c r="C42">
        <v>27599596</v>
      </c>
      <c r="D42" t="s">
        <v>110</v>
      </c>
      <c r="E42">
        <v>3.7240000000000002</v>
      </c>
      <c r="F42" t="s">
        <v>21</v>
      </c>
      <c r="G42" t="s">
        <v>26</v>
      </c>
      <c r="H42" t="s">
        <v>21</v>
      </c>
      <c r="I42" t="s">
        <v>20</v>
      </c>
      <c r="J42" t="s">
        <v>20</v>
      </c>
      <c r="K42" t="s">
        <v>27</v>
      </c>
      <c r="L42" t="s">
        <v>111</v>
      </c>
      <c r="M42" t="s">
        <v>112</v>
      </c>
      <c r="N42">
        <v>39.220108000000003</v>
      </c>
      <c r="O42">
        <v>-111.06856000000001</v>
      </c>
      <c r="P42">
        <v>5828.1768620000003</v>
      </c>
      <c r="Q42">
        <v>1361</v>
      </c>
      <c r="R42">
        <v>0</v>
      </c>
    </row>
    <row r="43" spans="1:18" x14ac:dyDescent="0.25">
      <c r="A43">
        <v>42</v>
      </c>
      <c r="B43">
        <v>94</v>
      </c>
      <c r="C43">
        <v>2356937</v>
      </c>
      <c r="D43" t="s">
        <v>113</v>
      </c>
      <c r="E43">
        <v>3.7250000000000001</v>
      </c>
      <c r="F43" t="s">
        <v>21</v>
      </c>
      <c r="G43" t="s">
        <v>26</v>
      </c>
      <c r="H43" t="s">
        <v>21</v>
      </c>
      <c r="I43" t="s">
        <v>20</v>
      </c>
      <c r="J43" t="s">
        <v>20</v>
      </c>
      <c r="K43" t="s">
        <v>41</v>
      </c>
      <c r="L43" t="s">
        <v>87</v>
      </c>
      <c r="M43" t="s">
        <v>58</v>
      </c>
      <c r="N43">
        <v>41.139769000000001</v>
      </c>
      <c r="O43">
        <v>-111.969595</v>
      </c>
      <c r="P43">
        <v>4406.2135129999997</v>
      </c>
      <c r="Q43">
        <v>1363</v>
      </c>
      <c r="R43">
        <v>0</v>
      </c>
    </row>
    <row r="44" spans="1:18" x14ac:dyDescent="0.25">
      <c r="A44">
        <v>43</v>
      </c>
      <c r="B44">
        <v>94</v>
      </c>
      <c r="C44">
        <v>31392689</v>
      </c>
      <c r="D44" t="s">
        <v>114</v>
      </c>
      <c r="E44">
        <v>3.7280000000000002</v>
      </c>
      <c r="F44" t="s">
        <v>19</v>
      </c>
      <c r="G44" t="s">
        <v>20</v>
      </c>
      <c r="H44" t="s">
        <v>21</v>
      </c>
      <c r="I44" t="s">
        <v>20</v>
      </c>
      <c r="J44" t="s">
        <v>20</v>
      </c>
      <c r="K44" t="s">
        <v>41</v>
      </c>
      <c r="L44" t="s">
        <v>87</v>
      </c>
      <c r="M44" t="s">
        <v>82</v>
      </c>
      <c r="N44">
        <v>41.103515999999999</v>
      </c>
      <c r="O44">
        <v>-111.99727</v>
      </c>
      <c r="P44">
        <v>4540.0728570000001</v>
      </c>
      <c r="Q44">
        <v>405</v>
      </c>
      <c r="R44">
        <v>0</v>
      </c>
    </row>
    <row r="45" spans="1:18" x14ac:dyDescent="0.25">
      <c r="A45">
        <v>44</v>
      </c>
      <c r="B45">
        <v>94</v>
      </c>
      <c r="C45">
        <v>31787219</v>
      </c>
      <c r="D45" t="s">
        <v>99</v>
      </c>
      <c r="E45">
        <v>3.7290000000000001</v>
      </c>
      <c r="F45" t="s">
        <v>19</v>
      </c>
      <c r="G45" t="s">
        <v>20</v>
      </c>
      <c r="H45" t="s">
        <v>19</v>
      </c>
      <c r="I45">
        <v>89</v>
      </c>
      <c r="J45" t="s">
        <v>20</v>
      </c>
      <c r="K45" t="s">
        <v>41</v>
      </c>
      <c r="L45" t="s">
        <v>81</v>
      </c>
      <c r="M45" t="s">
        <v>82</v>
      </c>
      <c r="N45">
        <v>41.208156000000002</v>
      </c>
      <c r="O45">
        <v>-111.97080099999999</v>
      </c>
      <c r="P45">
        <v>4271.5223050000004</v>
      </c>
      <c r="Q45">
        <v>1376</v>
      </c>
      <c r="R45">
        <v>0</v>
      </c>
    </row>
    <row r="46" spans="1:18" x14ac:dyDescent="0.25">
      <c r="A46">
        <v>45</v>
      </c>
      <c r="B46">
        <v>94</v>
      </c>
      <c r="C46">
        <v>559287</v>
      </c>
      <c r="D46" t="s">
        <v>115</v>
      </c>
      <c r="E46">
        <v>3.7290000000000001</v>
      </c>
      <c r="F46" t="s">
        <v>19</v>
      </c>
      <c r="G46" t="s">
        <v>20</v>
      </c>
      <c r="H46" t="s">
        <v>21</v>
      </c>
      <c r="I46" t="s">
        <v>20</v>
      </c>
      <c r="J46" t="s">
        <v>20</v>
      </c>
      <c r="K46" t="s">
        <v>31</v>
      </c>
      <c r="L46" t="s">
        <v>48</v>
      </c>
      <c r="M46" t="s">
        <v>70</v>
      </c>
      <c r="N46">
        <v>40.652780999999997</v>
      </c>
      <c r="O46">
        <v>-112.00609</v>
      </c>
      <c r="P46">
        <v>4589.4512789999999</v>
      </c>
      <c r="Q46">
        <v>1437</v>
      </c>
      <c r="R46">
        <v>0</v>
      </c>
    </row>
    <row r="47" spans="1:18" x14ac:dyDescent="0.25">
      <c r="A47">
        <v>46</v>
      </c>
      <c r="B47">
        <v>94</v>
      </c>
      <c r="C47">
        <v>31310893</v>
      </c>
      <c r="D47" t="s">
        <v>40</v>
      </c>
      <c r="E47">
        <v>3.7349999999999999</v>
      </c>
      <c r="F47" t="s">
        <v>21</v>
      </c>
      <c r="G47" t="s">
        <v>26</v>
      </c>
      <c r="H47" t="s">
        <v>21</v>
      </c>
      <c r="I47" t="s">
        <v>20</v>
      </c>
      <c r="J47" t="s">
        <v>20</v>
      </c>
      <c r="K47" t="s">
        <v>41</v>
      </c>
      <c r="L47" t="s">
        <v>42</v>
      </c>
      <c r="M47" t="s">
        <v>43</v>
      </c>
      <c r="N47">
        <v>41.640535999999997</v>
      </c>
      <c r="O47">
        <v>-111.866046</v>
      </c>
      <c r="P47">
        <v>4585.8220110000002</v>
      </c>
      <c r="Q47">
        <v>1391</v>
      </c>
      <c r="R47">
        <v>0</v>
      </c>
    </row>
    <row r="48" spans="1:18" x14ac:dyDescent="0.25">
      <c r="A48">
        <v>47</v>
      </c>
      <c r="B48">
        <v>94</v>
      </c>
      <c r="C48">
        <v>1141023</v>
      </c>
      <c r="D48" t="s">
        <v>56</v>
      </c>
      <c r="E48">
        <v>3.7370000000000001</v>
      </c>
      <c r="F48" t="s">
        <v>21</v>
      </c>
      <c r="G48" t="s">
        <v>26</v>
      </c>
      <c r="H48" t="s">
        <v>21</v>
      </c>
      <c r="I48" t="s">
        <v>20</v>
      </c>
      <c r="J48" t="s">
        <v>20</v>
      </c>
      <c r="K48" t="s">
        <v>41</v>
      </c>
      <c r="L48" t="s">
        <v>57</v>
      </c>
      <c r="M48" t="s">
        <v>58</v>
      </c>
      <c r="N48">
        <v>41.161639999999998</v>
      </c>
      <c r="O48">
        <v>-112.051959</v>
      </c>
      <c r="P48">
        <v>4306.5127210000001</v>
      </c>
      <c r="Q48">
        <v>1459</v>
      </c>
      <c r="R48">
        <v>0</v>
      </c>
    </row>
    <row r="49" spans="1:18" x14ac:dyDescent="0.25">
      <c r="A49">
        <v>48</v>
      </c>
      <c r="B49">
        <v>94</v>
      </c>
      <c r="C49">
        <v>31382253</v>
      </c>
      <c r="D49" t="s">
        <v>116</v>
      </c>
      <c r="E49">
        <v>33.444000000000003</v>
      </c>
      <c r="F49" t="s">
        <v>19</v>
      </c>
      <c r="G49" t="s">
        <v>20</v>
      </c>
      <c r="H49" t="s">
        <v>21</v>
      </c>
      <c r="I49" t="s">
        <v>20</v>
      </c>
      <c r="J49" t="s">
        <v>20</v>
      </c>
      <c r="K49" t="s">
        <v>41</v>
      </c>
      <c r="L49" t="s">
        <v>95</v>
      </c>
      <c r="M49" t="s">
        <v>117</v>
      </c>
      <c r="N49">
        <v>41.830236999999997</v>
      </c>
      <c r="O49">
        <v>-111.83285100000001</v>
      </c>
      <c r="P49">
        <v>4534.9022180000002</v>
      </c>
      <c r="Q49">
        <v>324</v>
      </c>
      <c r="R49">
        <v>0</v>
      </c>
    </row>
    <row r="50" spans="1:18" x14ac:dyDescent="0.25">
      <c r="A50">
        <v>49</v>
      </c>
      <c r="B50">
        <v>94</v>
      </c>
      <c r="C50">
        <v>31720994</v>
      </c>
      <c r="D50" t="s">
        <v>118</v>
      </c>
      <c r="E50">
        <v>33.448999999999998</v>
      </c>
      <c r="F50" t="s">
        <v>21</v>
      </c>
      <c r="G50" t="s">
        <v>26</v>
      </c>
      <c r="H50" t="s">
        <v>21</v>
      </c>
      <c r="I50" t="s">
        <v>20</v>
      </c>
      <c r="J50" t="s">
        <v>20</v>
      </c>
      <c r="K50" t="s">
        <v>22</v>
      </c>
      <c r="L50" t="s">
        <v>119</v>
      </c>
      <c r="M50" t="s">
        <v>120</v>
      </c>
      <c r="N50">
        <v>40.313513</v>
      </c>
      <c r="O50">
        <v>-111.25717299999999</v>
      </c>
      <c r="P50">
        <v>7716.57222</v>
      </c>
      <c r="Q50">
        <v>310</v>
      </c>
      <c r="R50">
        <v>0</v>
      </c>
    </row>
    <row r="51" spans="1:18" x14ac:dyDescent="0.25">
      <c r="A51">
        <v>50</v>
      </c>
      <c r="B51">
        <v>94</v>
      </c>
      <c r="C51">
        <v>31534715</v>
      </c>
      <c r="D51" t="s">
        <v>121</v>
      </c>
      <c r="E51">
        <v>33.457000000000001</v>
      </c>
      <c r="F51" t="s">
        <v>21</v>
      </c>
      <c r="G51" t="s">
        <v>26</v>
      </c>
      <c r="H51" t="s">
        <v>21</v>
      </c>
      <c r="I51" t="s">
        <v>20</v>
      </c>
      <c r="J51" t="s">
        <v>20</v>
      </c>
      <c r="K51" t="s">
        <v>27</v>
      </c>
      <c r="L51" t="s">
        <v>122</v>
      </c>
      <c r="M51" t="s">
        <v>123</v>
      </c>
      <c r="N51">
        <v>37.595059999999997</v>
      </c>
      <c r="O51">
        <v>-110.717235</v>
      </c>
      <c r="P51">
        <v>3965.3662210000002</v>
      </c>
      <c r="Q51">
        <v>1283</v>
      </c>
      <c r="R51">
        <v>0</v>
      </c>
    </row>
    <row r="52" spans="1:18" x14ac:dyDescent="0.25">
      <c r="A52">
        <v>51</v>
      </c>
      <c r="B52">
        <v>94</v>
      </c>
      <c r="C52">
        <v>31395830</v>
      </c>
      <c r="D52" t="s">
        <v>124</v>
      </c>
      <c r="E52">
        <v>33.463999999999999</v>
      </c>
      <c r="F52" t="s">
        <v>21</v>
      </c>
      <c r="G52" t="s">
        <v>26</v>
      </c>
      <c r="H52" t="s">
        <v>21</v>
      </c>
      <c r="I52" t="s">
        <v>20</v>
      </c>
      <c r="J52" t="s">
        <v>20</v>
      </c>
      <c r="K52" t="s">
        <v>22</v>
      </c>
      <c r="L52" t="s">
        <v>84</v>
      </c>
      <c r="M52" t="s">
        <v>125</v>
      </c>
      <c r="N52">
        <v>40.397973999999998</v>
      </c>
      <c r="O52">
        <v>-111.918847</v>
      </c>
      <c r="P52">
        <v>4563.5674479999998</v>
      </c>
      <c r="Q52">
        <v>1368</v>
      </c>
      <c r="R52">
        <v>0</v>
      </c>
    </row>
    <row r="53" spans="1:18" x14ac:dyDescent="0.25">
      <c r="A53">
        <v>52</v>
      </c>
      <c r="B53">
        <v>94</v>
      </c>
      <c r="C53">
        <v>31192585</v>
      </c>
      <c r="D53" t="s">
        <v>126</v>
      </c>
      <c r="E53">
        <v>3.01</v>
      </c>
      <c r="F53" t="s">
        <v>21</v>
      </c>
      <c r="G53" t="s">
        <v>26</v>
      </c>
      <c r="H53" t="s">
        <v>21</v>
      </c>
      <c r="I53" t="s">
        <v>20</v>
      </c>
      <c r="J53" t="s">
        <v>20</v>
      </c>
      <c r="K53" t="s">
        <v>41</v>
      </c>
      <c r="L53" t="s">
        <v>57</v>
      </c>
      <c r="M53" t="s">
        <v>93</v>
      </c>
      <c r="N53">
        <v>41.234583999999998</v>
      </c>
      <c r="O53">
        <v>-112.09278500000001</v>
      </c>
      <c r="P53">
        <v>4175.0032860000001</v>
      </c>
      <c r="Q53">
        <v>1412</v>
      </c>
      <c r="R53">
        <v>0</v>
      </c>
    </row>
    <row r="54" spans="1:18" x14ac:dyDescent="0.25">
      <c r="A54">
        <v>53</v>
      </c>
      <c r="B54">
        <v>94</v>
      </c>
      <c r="C54">
        <v>1112982</v>
      </c>
      <c r="D54" t="s">
        <v>101</v>
      </c>
      <c r="E54">
        <v>3.0110000000000001</v>
      </c>
      <c r="F54" t="s">
        <v>21</v>
      </c>
      <c r="G54" t="s">
        <v>26</v>
      </c>
      <c r="H54" t="s">
        <v>21</v>
      </c>
      <c r="I54" t="s">
        <v>20</v>
      </c>
      <c r="J54" t="s">
        <v>20</v>
      </c>
      <c r="K54" t="s">
        <v>41</v>
      </c>
      <c r="L54" t="s">
        <v>57</v>
      </c>
      <c r="M54" t="s">
        <v>58</v>
      </c>
      <c r="N54">
        <v>41.118090000000002</v>
      </c>
      <c r="O54">
        <v>-112.05489300000001</v>
      </c>
      <c r="P54">
        <v>4331.6757479999997</v>
      </c>
      <c r="Q54">
        <v>328</v>
      </c>
      <c r="R54">
        <v>0</v>
      </c>
    </row>
    <row r="55" spans="1:18" x14ac:dyDescent="0.25">
      <c r="A55">
        <v>54</v>
      </c>
      <c r="B55">
        <v>94</v>
      </c>
      <c r="C55">
        <v>1042396</v>
      </c>
      <c r="D55" t="s">
        <v>127</v>
      </c>
      <c r="E55">
        <v>3.0139999999999998</v>
      </c>
      <c r="F55" t="s">
        <v>21</v>
      </c>
      <c r="G55" t="s">
        <v>26</v>
      </c>
      <c r="H55" t="s">
        <v>21</v>
      </c>
      <c r="I55" t="s">
        <v>20</v>
      </c>
      <c r="J55" t="s">
        <v>20</v>
      </c>
      <c r="K55" t="s">
        <v>41</v>
      </c>
      <c r="L55" t="s">
        <v>95</v>
      </c>
      <c r="M55" t="s">
        <v>73</v>
      </c>
      <c r="N55">
        <v>41.975594000000001</v>
      </c>
      <c r="O55">
        <v>-111.895734</v>
      </c>
      <c r="P55">
        <v>4456.6799739999997</v>
      </c>
      <c r="Q55">
        <v>1364</v>
      </c>
      <c r="R55">
        <v>0</v>
      </c>
    </row>
    <row r="56" spans="1:18" x14ac:dyDescent="0.25">
      <c r="A56">
        <v>55</v>
      </c>
      <c r="B56">
        <v>94</v>
      </c>
      <c r="C56">
        <v>1266382</v>
      </c>
      <c r="D56" t="s">
        <v>128</v>
      </c>
      <c r="E56">
        <v>3.0150000000000001</v>
      </c>
      <c r="F56" t="s">
        <v>21</v>
      </c>
      <c r="G56" t="s">
        <v>26</v>
      </c>
      <c r="H56" t="s">
        <v>21</v>
      </c>
      <c r="I56" t="s">
        <v>20</v>
      </c>
      <c r="J56" t="s">
        <v>20</v>
      </c>
      <c r="K56" t="s">
        <v>41</v>
      </c>
      <c r="L56" t="s">
        <v>95</v>
      </c>
      <c r="M56" t="s">
        <v>73</v>
      </c>
      <c r="N56">
        <v>41.741306000000002</v>
      </c>
      <c r="O56">
        <v>-111.859329</v>
      </c>
      <c r="P56">
        <v>4402.2989820000003</v>
      </c>
      <c r="Q56">
        <v>5943</v>
      </c>
      <c r="R56">
        <v>0</v>
      </c>
    </row>
    <row r="57" spans="1:18" x14ac:dyDescent="0.25">
      <c r="A57">
        <v>56</v>
      </c>
      <c r="B57">
        <v>94</v>
      </c>
      <c r="C57">
        <v>31411373</v>
      </c>
      <c r="D57" t="s">
        <v>129</v>
      </c>
      <c r="E57">
        <v>3.0209999999999999</v>
      </c>
      <c r="F57" t="s">
        <v>21</v>
      </c>
      <c r="G57" t="s">
        <v>26</v>
      </c>
      <c r="H57" t="s">
        <v>21</v>
      </c>
      <c r="I57" t="s">
        <v>20</v>
      </c>
      <c r="J57" t="s">
        <v>20</v>
      </c>
      <c r="K57" t="s">
        <v>31</v>
      </c>
      <c r="L57" t="s">
        <v>130</v>
      </c>
      <c r="M57" t="s">
        <v>131</v>
      </c>
      <c r="N57">
        <v>40.625436000000001</v>
      </c>
      <c r="O57">
        <v>-111.231739</v>
      </c>
      <c r="P57">
        <v>6715.9193400000004</v>
      </c>
      <c r="Q57">
        <v>340</v>
      </c>
      <c r="R57">
        <v>0</v>
      </c>
    </row>
    <row r="58" spans="1:18" x14ac:dyDescent="0.25">
      <c r="A58">
        <v>57</v>
      </c>
      <c r="B58">
        <v>94</v>
      </c>
      <c r="C58">
        <v>31509558</v>
      </c>
      <c r="D58" t="s">
        <v>132</v>
      </c>
      <c r="E58">
        <v>3.0209999999999999</v>
      </c>
      <c r="F58" t="s">
        <v>21</v>
      </c>
      <c r="G58" t="s">
        <v>20</v>
      </c>
      <c r="H58" t="s">
        <v>21</v>
      </c>
      <c r="I58" t="s">
        <v>20</v>
      </c>
      <c r="J58" t="s">
        <v>20</v>
      </c>
      <c r="K58" t="s">
        <v>22</v>
      </c>
      <c r="L58" t="s">
        <v>133</v>
      </c>
      <c r="M58" t="s">
        <v>134</v>
      </c>
      <c r="N58">
        <v>40.333114000000002</v>
      </c>
      <c r="O58">
        <v>-110.021379</v>
      </c>
      <c r="P58">
        <v>5212.7671419999997</v>
      </c>
      <c r="Q58">
        <v>1405</v>
      </c>
      <c r="R58">
        <v>0</v>
      </c>
    </row>
    <row r="59" spans="1:18" x14ac:dyDescent="0.25">
      <c r="A59">
        <v>58</v>
      </c>
      <c r="B59">
        <v>94</v>
      </c>
      <c r="C59">
        <v>513683</v>
      </c>
      <c r="D59" t="s">
        <v>135</v>
      </c>
      <c r="E59">
        <v>3.0230000000000001</v>
      </c>
      <c r="F59" t="s">
        <v>21</v>
      </c>
      <c r="G59" t="s">
        <v>26</v>
      </c>
      <c r="H59" t="s">
        <v>21</v>
      </c>
      <c r="I59" t="s">
        <v>20</v>
      </c>
      <c r="J59" t="s">
        <v>20</v>
      </c>
      <c r="K59" t="s">
        <v>31</v>
      </c>
      <c r="L59" t="s">
        <v>89</v>
      </c>
      <c r="M59" t="s">
        <v>49</v>
      </c>
      <c r="N59">
        <v>40.560310999999999</v>
      </c>
      <c r="O59">
        <v>-111.919324</v>
      </c>
      <c r="P59">
        <v>4336.3503039999996</v>
      </c>
      <c r="Q59">
        <v>1423</v>
      </c>
      <c r="R59">
        <v>0</v>
      </c>
    </row>
    <row r="60" spans="1:18" x14ac:dyDescent="0.25">
      <c r="A60">
        <v>59</v>
      </c>
      <c r="B60">
        <v>94</v>
      </c>
      <c r="C60">
        <v>765053</v>
      </c>
      <c r="D60" t="s">
        <v>86</v>
      </c>
      <c r="E60">
        <v>3.024</v>
      </c>
      <c r="F60" t="s">
        <v>19</v>
      </c>
      <c r="G60" t="s">
        <v>20</v>
      </c>
      <c r="H60" t="s">
        <v>21</v>
      </c>
      <c r="I60" t="s">
        <v>20</v>
      </c>
      <c r="J60" t="s">
        <v>20</v>
      </c>
      <c r="K60" t="s">
        <v>41</v>
      </c>
      <c r="L60" t="s">
        <v>87</v>
      </c>
      <c r="M60" t="s">
        <v>58</v>
      </c>
      <c r="N60">
        <v>41.038167999999999</v>
      </c>
      <c r="O60">
        <v>-111.94968</v>
      </c>
      <c r="P60">
        <v>4248.8231230000001</v>
      </c>
      <c r="Q60">
        <v>258</v>
      </c>
      <c r="R60">
        <v>0</v>
      </c>
    </row>
    <row r="61" spans="1:18" x14ac:dyDescent="0.25">
      <c r="A61">
        <v>60</v>
      </c>
      <c r="B61">
        <v>94</v>
      </c>
      <c r="C61">
        <v>31656981</v>
      </c>
      <c r="D61" t="s">
        <v>65</v>
      </c>
      <c r="E61">
        <v>3.0249999999999999</v>
      </c>
      <c r="F61" t="s">
        <v>21</v>
      </c>
      <c r="G61" t="s">
        <v>26</v>
      </c>
      <c r="H61" t="s">
        <v>21</v>
      </c>
      <c r="I61" t="s">
        <v>20</v>
      </c>
      <c r="J61" t="s">
        <v>20</v>
      </c>
      <c r="K61" t="s">
        <v>31</v>
      </c>
      <c r="L61" t="s">
        <v>66</v>
      </c>
      <c r="M61" t="s">
        <v>67</v>
      </c>
      <c r="N61">
        <v>40.760556999999999</v>
      </c>
      <c r="O61">
        <v>-111.881191</v>
      </c>
      <c r="P61">
        <v>4218.3741360000004</v>
      </c>
      <c r="Q61">
        <v>402</v>
      </c>
      <c r="R61">
        <v>0</v>
      </c>
    </row>
    <row r="62" spans="1:18" x14ac:dyDescent="0.25">
      <c r="A62">
        <v>61</v>
      </c>
      <c r="B62">
        <v>94</v>
      </c>
      <c r="C62">
        <v>946406</v>
      </c>
      <c r="D62" t="s">
        <v>65</v>
      </c>
      <c r="E62">
        <v>1.302</v>
      </c>
      <c r="F62" t="s">
        <v>21</v>
      </c>
      <c r="G62" t="s">
        <v>26</v>
      </c>
      <c r="H62" t="s">
        <v>21</v>
      </c>
      <c r="I62" t="s">
        <v>20</v>
      </c>
      <c r="J62" t="s">
        <v>20</v>
      </c>
      <c r="K62" t="s">
        <v>31</v>
      </c>
      <c r="L62" t="s">
        <v>66</v>
      </c>
      <c r="M62" t="s">
        <v>67</v>
      </c>
      <c r="N62">
        <v>40.778418000000002</v>
      </c>
      <c r="O62">
        <v>-111.890376</v>
      </c>
      <c r="P62">
        <v>4442.076462</v>
      </c>
      <c r="Q62">
        <v>402</v>
      </c>
      <c r="R62">
        <v>0</v>
      </c>
    </row>
    <row r="63" spans="1:18" x14ac:dyDescent="0.25">
      <c r="A63">
        <v>62</v>
      </c>
      <c r="B63">
        <v>94</v>
      </c>
      <c r="C63">
        <v>27871290</v>
      </c>
      <c r="D63" t="s">
        <v>136</v>
      </c>
      <c r="E63">
        <v>1.3029999999999999</v>
      </c>
      <c r="F63" t="s">
        <v>21</v>
      </c>
      <c r="G63" t="s">
        <v>26</v>
      </c>
      <c r="H63" t="s">
        <v>21</v>
      </c>
      <c r="I63" t="s">
        <v>20</v>
      </c>
      <c r="J63" t="s">
        <v>20</v>
      </c>
      <c r="K63" t="s">
        <v>41</v>
      </c>
      <c r="L63" t="s">
        <v>137</v>
      </c>
      <c r="M63" t="s">
        <v>138</v>
      </c>
      <c r="N63">
        <v>40.926462999999998</v>
      </c>
      <c r="O63">
        <v>-111.587153</v>
      </c>
      <c r="P63">
        <v>5743.5055259999999</v>
      </c>
      <c r="Q63">
        <v>317</v>
      </c>
      <c r="R63">
        <v>0</v>
      </c>
    </row>
    <row r="64" spans="1:18" x14ac:dyDescent="0.25">
      <c r="A64">
        <v>63</v>
      </c>
      <c r="B64">
        <v>94</v>
      </c>
      <c r="C64">
        <v>31402860</v>
      </c>
      <c r="D64" t="s">
        <v>139</v>
      </c>
      <c r="E64">
        <v>1.3029999999999999</v>
      </c>
      <c r="F64" t="s">
        <v>19</v>
      </c>
      <c r="G64" t="s">
        <v>20</v>
      </c>
      <c r="H64" t="s">
        <v>21</v>
      </c>
      <c r="I64" t="s">
        <v>20</v>
      </c>
      <c r="J64" t="s">
        <v>20</v>
      </c>
      <c r="K64" t="s">
        <v>22</v>
      </c>
      <c r="L64" t="s">
        <v>140</v>
      </c>
      <c r="M64" t="s">
        <v>141</v>
      </c>
      <c r="N64">
        <v>40.12462</v>
      </c>
      <c r="O64">
        <v>-111.654721</v>
      </c>
      <c r="P64">
        <v>4496.6697000000004</v>
      </c>
      <c r="Q64">
        <v>342</v>
      </c>
      <c r="R64">
        <v>0</v>
      </c>
    </row>
    <row r="65" spans="1:18" x14ac:dyDescent="0.25">
      <c r="A65">
        <v>64</v>
      </c>
      <c r="B65">
        <v>94</v>
      </c>
      <c r="C65">
        <v>28578838</v>
      </c>
      <c r="D65" t="s">
        <v>142</v>
      </c>
      <c r="E65">
        <v>1.304</v>
      </c>
      <c r="F65" t="s">
        <v>21</v>
      </c>
      <c r="G65" t="s">
        <v>26</v>
      </c>
      <c r="H65" t="s">
        <v>21</v>
      </c>
      <c r="I65" t="s">
        <v>20</v>
      </c>
      <c r="J65" t="s">
        <v>20</v>
      </c>
      <c r="K65" t="s">
        <v>27</v>
      </c>
      <c r="L65" t="s">
        <v>143</v>
      </c>
      <c r="M65" t="s">
        <v>106</v>
      </c>
      <c r="N65">
        <v>38.936486000000002</v>
      </c>
      <c r="O65">
        <v>-114.033373</v>
      </c>
      <c r="P65">
        <v>5206.6958459999996</v>
      </c>
      <c r="Q65">
        <v>305</v>
      </c>
      <c r="R65">
        <v>0</v>
      </c>
    </row>
    <row r="66" spans="1:18" x14ac:dyDescent="0.25">
      <c r="A66">
        <v>65</v>
      </c>
      <c r="B66">
        <v>94</v>
      </c>
      <c r="C66">
        <v>505832</v>
      </c>
      <c r="D66" t="s">
        <v>135</v>
      </c>
      <c r="E66">
        <v>1.3049999999999999</v>
      </c>
      <c r="F66" t="s">
        <v>21</v>
      </c>
      <c r="G66" t="s">
        <v>26</v>
      </c>
      <c r="H66" t="s">
        <v>21</v>
      </c>
      <c r="I66" t="s">
        <v>20</v>
      </c>
      <c r="J66" t="s">
        <v>20</v>
      </c>
      <c r="K66" t="s">
        <v>31</v>
      </c>
      <c r="L66" t="s">
        <v>48</v>
      </c>
      <c r="M66" t="s">
        <v>144</v>
      </c>
      <c r="N66">
        <v>40.562215999999999</v>
      </c>
      <c r="O66">
        <v>-111.95208700000001</v>
      </c>
      <c r="P66">
        <v>4464.8658299999997</v>
      </c>
      <c r="Q66">
        <v>1423</v>
      </c>
      <c r="R66">
        <v>0</v>
      </c>
    </row>
    <row r="67" spans="1:18" x14ac:dyDescent="0.25">
      <c r="A67">
        <v>66</v>
      </c>
      <c r="B67">
        <v>94</v>
      </c>
      <c r="C67">
        <v>31592162</v>
      </c>
      <c r="D67" t="s">
        <v>145</v>
      </c>
      <c r="E67">
        <v>1.3049999999999999</v>
      </c>
      <c r="F67" t="s">
        <v>21</v>
      </c>
      <c r="G67" t="s">
        <v>26</v>
      </c>
      <c r="H67" t="s">
        <v>21</v>
      </c>
      <c r="I67" t="s">
        <v>20</v>
      </c>
      <c r="J67" t="s">
        <v>20</v>
      </c>
      <c r="K67" t="s">
        <v>27</v>
      </c>
      <c r="L67" t="s">
        <v>146</v>
      </c>
      <c r="M67" t="s">
        <v>147</v>
      </c>
      <c r="N67">
        <v>37.872801000000003</v>
      </c>
      <c r="O67">
        <v>-109.31895799999999</v>
      </c>
      <c r="P67">
        <v>6829.9617980000003</v>
      </c>
      <c r="Q67">
        <v>1291</v>
      </c>
      <c r="R67">
        <v>0</v>
      </c>
    </row>
    <row r="68" spans="1:18" x14ac:dyDescent="0.25">
      <c r="A68">
        <v>67</v>
      </c>
      <c r="B68">
        <v>94</v>
      </c>
      <c r="C68">
        <v>28597177</v>
      </c>
      <c r="D68" t="s">
        <v>148</v>
      </c>
      <c r="E68">
        <v>1.3069999999999999</v>
      </c>
      <c r="F68" t="s">
        <v>21</v>
      </c>
      <c r="G68" t="s">
        <v>20</v>
      </c>
      <c r="H68" t="s">
        <v>21</v>
      </c>
      <c r="I68" t="s">
        <v>20</v>
      </c>
      <c r="J68" t="s">
        <v>20</v>
      </c>
      <c r="K68" t="s">
        <v>31</v>
      </c>
      <c r="L68" t="s">
        <v>149</v>
      </c>
      <c r="M68" t="s">
        <v>131</v>
      </c>
      <c r="N68">
        <v>40.765213000000003</v>
      </c>
      <c r="O68">
        <v>-111.381354</v>
      </c>
      <c r="P68">
        <v>6010.869224</v>
      </c>
      <c r="Q68">
        <v>263</v>
      </c>
      <c r="R68">
        <v>0</v>
      </c>
    </row>
    <row r="69" spans="1:18" x14ac:dyDescent="0.25">
      <c r="A69">
        <v>68</v>
      </c>
      <c r="B69">
        <v>94</v>
      </c>
      <c r="C69">
        <v>517609</v>
      </c>
      <c r="D69" t="s">
        <v>44</v>
      </c>
      <c r="E69">
        <v>1.3089999999999999</v>
      </c>
      <c r="F69" t="s">
        <v>21</v>
      </c>
      <c r="G69" t="s">
        <v>26</v>
      </c>
      <c r="H69" t="s">
        <v>21</v>
      </c>
      <c r="I69" t="s">
        <v>20</v>
      </c>
      <c r="J69" t="s">
        <v>20</v>
      </c>
      <c r="K69" t="s">
        <v>41</v>
      </c>
      <c r="L69" t="s">
        <v>45</v>
      </c>
      <c r="M69" t="s">
        <v>46</v>
      </c>
      <c r="N69">
        <v>40.896414999999998</v>
      </c>
      <c r="O69">
        <v>-111.87902099999999</v>
      </c>
      <c r="P69">
        <v>4297.9008780000004</v>
      </c>
      <c r="Q69">
        <v>1395</v>
      </c>
      <c r="R69">
        <v>0</v>
      </c>
    </row>
    <row r="70" spans="1:18" x14ac:dyDescent="0.25">
      <c r="A70">
        <v>69</v>
      </c>
      <c r="B70">
        <v>94</v>
      </c>
      <c r="C70">
        <v>31191656</v>
      </c>
      <c r="D70" t="s">
        <v>150</v>
      </c>
      <c r="E70">
        <v>1.31</v>
      </c>
      <c r="F70" t="s">
        <v>21</v>
      </c>
      <c r="G70" t="s">
        <v>26</v>
      </c>
      <c r="H70" t="s">
        <v>21</v>
      </c>
      <c r="I70" t="s">
        <v>20</v>
      </c>
      <c r="J70" t="s">
        <v>20</v>
      </c>
      <c r="K70" t="s">
        <v>27</v>
      </c>
      <c r="L70" t="s">
        <v>151</v>
      </c>
      <c r="M70" t="s">
        <v>152</v>
      </c>
      <c r="N70">
        <v>38.995463999999998</v>
      </c>
      <c r="O70">
        <v>-110.167591</v>
      </c>
      <c r="P70">
        <v>4015.9150509999999</v>
      </c>
      <c r="Q70">
        <v>1336</v>
      </c>
      <c r="R70">
        <v>0</v>
      </c>
    </row>
    <row r="71" spans="1:18" x14ac:dyDescent="0.25">
      <c r="A71">
        <v>70</v>
      </c>
      <c r="B71">
        <v>94</v>
      </c>
      <c r="C71">
        <v>31192389</v>
      </c>
      <c r="D71" t="s">
        <v>153</v>
      </c>
      <c r="E71">
        <v>1.3109999999999999</v>
      </c>
      <c r="F71" t="s">
        <v>21</v>
      </c>
      <c r="G71" t="s">
        <v>26</v>
      </c>
      <c r="H71" t="s">
        <v>21</v>
      </c>
      <c r="I71" t="s">
        <v>20</v>
      </c>
      <c r="J71" t="s">
        <v>20</v>
      </c>
      <c r="K71" t="s">
        <v>22</v>
      </c>
      <c r="L71" t="s">
        <v>84</v>
      </c>
      <c r="M71" t="s">
        <v>85</v>
      </c>
      <c r="N71">
        <v>40.376812000000001</v>
      </c>
      <c r="O71">
        <v>-111.739839</v>
      </c>
      <c r="P71">
        <v>4588.8965349999999</v>
      </c>
      <c r="R71">
        <v>0</v>
      </c>
    </row>
    <row r="72" spans="1:18" x14ac:dyDescent="0.25">
      <c r="A72">
        <v>71</v>
      </c>
      <c r="B72">
        <v>94</v>
      </c>
      <c r="C72" t="e">
        <f>-Ip0GlRNHZLzvIlIytk48F</f>
        <v>#NAME?</v>
      </c>
      <c r="D72" t="s">
        <v>154</v>
      </c>
      <c r="E72">
        <v>1.3129999999999999</v>
      </c>
      <c r="F72" t="s">
        <v>21</v>
      </c>
      <c r="G72" t="s">
        <v>20</v>
      </c>
      <c r="H72" t="s">
        <v>21</v>
      </c>
      <c r="I72" t="s">
        <v>20</v>
      </c>
      <c r="J72" t="s">
        <v>20</v>
      </c>
      <c r="K72" t="s">
        <v>22</v>
      </c>
      <c r="L72" t="s">
        <v>155</v>
      </c>
      <c r="M72" t="s">
        <v>76</v>
      </c>
      <c r="N72">
        <v>39.821446999999999</v>
      </c>
      <c r="O72">
        <v>-111.83134</v>
      </c>
      <c r="P72">
        <v>5106.7543910000004</v>
      </c>
      <c r="Q72">
        <v>1359</v>
      </c>
      <c r="R72">
        <v>0</v>
      </c>
    </row>
    <row r="73" spans="1:18" x14ac:dyDescent="0.25">
      <c r="A73">
        <v>72</v>
      </c>
      <c r="B73">
        <v>94</v>
      </c>
      <c r="C73">
        <v>31658666</v>
      </c>
      <c r="D73" t="s">
        <v>156</v>
      </c>
      <c r="E73">
        <v>1.3149999999999999</v>
      </c>
      <c r="F73" t="s">
        <v>21</v>
      </c>
      <c r="G73" t="s">
        <v>26</v>
      </c>
      <c r="H73" t="s">
        <v>21</v>
      </c>
      <c r="I73" t="s">
        <v>20</v>
      </c>
      <c r="J73" t="s">
        <v>20</v>
      </c>
      <c r="K73" t="s">
        <v>41</v>
      </c>
      <c r="L73" t="s">
        <v>81</v>
      </c>
      <c r="M73" t="s">
        <v>93</v>
      </c>
      <c r="N73">
        <v>41.278416</v>
      </c>
      <c r="O73">
        <v>-111.96927100000001</v>
      </c>
      <c r="P73">
        <v>4267.4663879999998</v>
      </c>
      <c r="Q73">
        <v>424</v>
      </c>
      <c r="R73">
        <v>0</v>
      </c>
    </row>
    <row r="74" spans="1:18" x14ac:dyDescent="0.25">
      <c r="A74">
        <v>73</v>
      </c>
      <c r="B74">
        <v>94</v>
      </c>
      <c r="C74">
        <v>27525941</v>
      </c>
      <c r="D74" t="s">
        <v>157</v>
      </c>
      <c r="E74">
        <v>1.3169999999999999</v>
      </c>
      <c r="F74" t="s">
        <v>19</v>
      </c>
      <c r="G74" t="s">
        <v>20</v>
      </c>
      <c r="H74" t="s">
        <v>21</v>
      </c>
      <c r="I74" t="s">
        <v>20</v>
      </c>
      <c r="J74" t="s">
        <v>20</v>
      </c>
      <c r="K74" t="s">
        <v>27</v>
      </c>
      <c r="L74" t="s">
        <v>158</v>
      </c>
      <c r="M74" t="s">
        <v>159</v>
      </c>
      <c r="N74">
        <v>39.599553</v>
      </c>
      <c r="O74">
        <v>-110.80543299999999</v>
      </c>
      <c r="P74">
        <v>5519.1111410000003</v>
      </c>
      <c r="Q74">
        <v>1360</v>
      </c>
      <c r="R74">
        <v>0</v>
      </c>
    </row>
    <row r="75" spans="1:18" x14ac:dyDescent="0.25">
      <c r="A75">
        <v>74</v>
      </c>
      <c r="B75">
        <v>94</v>
      </c>
      <c r="C75">
        <v>31321534</v>
      </c>
      <c r="D75" t="s">
        <v>160</v>
      </c>
      <c r="E75">
        <v>1.3180000000000001</v>
      </c>
      <c r="F75" t="s">
        <v>21</v>
      </c>
      <c r="G75" t="s">
        <v>26</v>
      </c>
      <c r="H75" t="s">
        <v>21</v>
      </c>
      <c r="I75" t="s">
        <v>20</v>
      </c>
      <c r="J75" t="s">
        <v>20</v>
      </c>
      <c r="K75" t="s">
        <v>27</v>
      </c>
      <c r="L75" t="s">
        <v>72</v>
      </c>
      <c r="M75" t="s">
        <v>73</v>
      </c>
      <c r="N75">
        <v>37.227269999999997</v>
      </c>
      <c r="O75">
        <v>-113.281018</v>
      </c>
      <c r="P75">
        <v>3116.3177169999999</v>
      </c>
      <c r="Q75">
        <v>1335</v>
      </c>
      <c r="R75">
        <v>0</v>
      </c>
    </row>
    <row r="76" spans="1:18" x14ac:dyDescent="0.25">
      <c r="A76">
        <v>75</v>
      </c>
      <c r="B76">
        <v>94</v>
      </c>
      <c r="C76">
        <v>752903</v>
      </c>
      <c r="D76" t="s">
        <v>86</v>
      </c>
      <c r="E76">
        <v>1.319</v>
      </c>
      <c r="F76" t="s">
        <v>21</v>
      </c>
      <c r="G76" t="s">
        <v>26</v>
      </c>
      <c r="H76" t="s">
        <v>21</v>
      </c>
      <c r="I76" t="s">
        <v>20</v>
      </c>
      <c r="J76" t="s">
        <v>20</v>
      </c>
      <c r="K76" t="s">
        <v>41</v>
      </c>
      <c r="L76" t="s">
        <v>87</v>
      </c>
      <c r="M76" t="s">
        <v>58</v>
      </c>
      <c r="N76">
        <v>41.024804000000003</v>
      </c>
      <c r="O76">
        <v>-111.928589</v>
      </c>
      <c r="P76">
        <v>4336.0269150000004</v>
      </c>
      <c r="Q76">
        <v>258</v>
      </c>
      <c r="R76">
        <v>0</v>
      </c>
    </row>
    <row r="77" spans="1:18" x14ac:dyDescent="0.25">
      <c r="A77">
        <v>76</v>
      </c>
      <c r="B77">
        <v>94</v>
      </c>
      <c r="C77">
        <v>31835539</v>
      </c>
      <c r="D77" t="s">
        <v>161</v>
      </c>
      <c r="E77">
        <v>1.325</v>
      </c>
      <c r="F77" t="s">
        <v>21</v>
      </c>
      <c r="G77" t="s">
        <v>26</v>
      </c>
      <c r="H77" t="s">
        <v>21</v>
      </c>
      <c r="I77" t="s">
        <v>20</v>
      </c>
      <c r="J77" t="s">
        <v>20</v>
      </c>
      <c r="K77" t="s">
        <v>27</v>
      </c>
      <c r="L77" t="s">
        <v>162</v>
      </c>
      <c r="M77" t="s">
        <v>163</v>
      </c>
      <c r="N77">
        <v>37.573582000000002</v>
      </c>
      <c r="O77">
        <v>-113.71078300000001</v>
      </c>
      <c r="P77">
        <v>5262.8135069999998</v>
      </c>
      <c r="Q77">
        <v>419</v>
      </c>
      <c r="R77">
        <v>0</v>
      </c>
    </row>
    <row r="78" spans="1:18" x14ac:dyDescent="0.25">
      <c r="A78">
        <v>77</v>
      </c>
      <c r="B78">
        <v>94</v>
      </c>
      <c r="C78">
        <v>6888576</v>
      </c>
      <c r="D78" t="s">
        <v>108</v>
      </c>
      <c r="E78">
        <v>1.325</v>
      </c>
      <c r="F78" t="s">
        <v>19</v>
      </c>
      <c r="G78" t="s">
        <v>20</v>
      </c>
      <c r="H78" t="s">
        <v>19</v>
      </c>
      <c r="I78">
        <v>60</v>
      </c>
      <c r="J78" t="s">
        <v>20</v>
      </c>
      <c r="K78" t="s">
        <v>41</v>
      </c>
      <c r="L78" t="s">
        <v>81</v>
      </c>
      <c r="M78" t="s">
        <v>93</v>
      </c>
      <c r="N78">
        <v>41.176977000000001</v>
      </c>
      <c r="O78">
        <v>-112.003972</v>
      </c>
      <c r="P78">
        <v>4314.3124799999996</v>
      </c>
      <c r="Q78">
        <v>1341</v>
      </c>
      <c r="R78">
        <v>0</v>
      </c>
    </row>
    <row r="79" spans="1:18" x14ac:dyDescent="0.25">
      <c r="A79">
        <v>78</v>
      </c>
      <c r="B79">
        <v>94</v>
      </c>
      <c r="C79">
        <v>31486452</v>
      </c>
      <c r="D79" t="s">
        <v>164</v>
      </c>
      <c r="E79">
        <v>1.327</v>
      </c>
      <c r="F79" t="s">
        <v>21</v>
      </c>
      <c r="G79" t="s">
        <v>26</v>
      </c>
      <c r="H79" t="s">
        <v>21</v>
      </c>
      <c r="I79" t="s">
        <v>20</v>
      </c>
      <c r="J79" t="s">
        <v>20</v>
      </c>
      <c r="K79" t="s">
        <v>27</v>
      </c>
      <c r="L79" t="s">
        <v>165</v>
      </c>
      <c r="M79" t="s">
        <v>166</v>
      </c>
      <c r="N79">
        <v>38.957968999999999</v>
      </c>
      <c r="O79">
        <v>-112.332013</v>
      </c>
      <c r="P79">
        <v>5044.0213899999999</v>
      </c>
      <c r="Q79">
        <v>1390</v>
      </c>
      <c r="R79">
        <v>0</v>
      </c>
    </row>
    <row r="80" spans="1:18" x14ac:dyDescent="0.25">
      <c r="A80">
        <v>79</v>
      </c>
      <c r="B80">
        <v>94</v>
      </c>
      <c r="C80" t="e">
        <f>-Ip0GpT7HZilX4LZS4K5Ek</f>
        <v>#NAME?</v>
      </c>
      <c r="D80" t="s">
        <v>154</v>
      </c>
      <c r="E80">
        <v>1.33</v>
      </c>
      <c r="F80" t="s">
        <v>21</v>
      </c>
      <c r="G80" t="s">
        <v>20</v>
      </c>
      <c r="H80" t="s">
        <v>21</v>
      </c>
      <c r="I80" t="s">
        <v>20</v>
      </c>
      <c r="J80" t="s">
        <v>20</v>
      </c>
      <c r="K80" t="s">
        <v>22</v>
      </c>
      <c r="L80" t="s">
        <v>155</v>
      </c>
      <c r="M80" t="s">
        <v>76</v>
      </c>
      <c r="N80">
        <v>39.821480000000001</v>
      </c>
      <c r="O80">
        <v>-111.831041</v>
      </c>
      <c r="P80">
        <v>5115.1614250000002</v>
      </c>
      <c r="Q80">
        <v>1359</v>
      </c>
      <c r="R80">
        <v>0</v>
      </c>
    </row>
    <row r="81" spans="1:18" x14ac:dyDescent="0.25">
      <c r="A81">
        <v>80</v>
      </c>
      <c r="B81">
        <v>94</v>
      </c>
      <c r="C81">
        <v>31406150</v>
      </c>
      <c r="D81" t="s">
        <v>74</v>
      </c>
      <c r="E81">
        <v>1.331</v>
      </c>
      <c r="F81" t="s">
        <v>21</v>
      </c>
      <c r="G81" t="s">
        <v>26</v>
      </c>
      <c r="H81" t="s">
        <v>21</v>
      </c>
      <c r="I81" t="s">
        <v>20</v>
      </c>
      <c r="J81" t="s">
        <v>20</v>
      </c>
      <c r="K81" t="s">
        <v>27</v>
      </c>
      <c r="L81" t="s">
        <v>75</v>
      </c>
      <c r="M81" t="s">
        <v>76</v>
      </c>
      <c r="N81">
        <v>38.754016</v>
      </c>
      <c r="O81">
        <v>-112.08580499999999</v>
      </c>
      <c r="P81">
        <v>5225.664882</v>
      </c>
      <c r="Q81">
        <v>332</v>
      </c>
      <c r="R81">
        <v>0</v>
      </c>
    </row>
    <row r="82" spans="1:18" x14ac:dyDescent="0.25">
      <c r="A82">
        <v>81</v>
      </c>
      <c r="B82">
        <v>94</v>
      </c>
      <c r="C82">
        <v>28804570</v>
      </c>
      <c r="D82" t="s">
        <v>25</v>
      </c>
      <c r="E82">
        <v>1.3340000000000001</v>
      </c>
      <c r="F82" t="s">
        <v>19</v>
      </c>
      <c r="G82" t="s">
        <v>20</v>
      </c>
      <c r="H82" t="s">
        <v>21</v>
      </c>
      <c r="I82" t="s">
        <v>20</v>
      </c>
      <c r="J82" t="s">
        <v>20</v>
      </c>
      <c r="K82" t="s">
        <v>27</v>
      </c>
      <c r="L82" t="s">
        <v>28</v>
      </c>
      <c r="M82" t="s">
        <v>29</v>
      </c>
      <c r="N82">
        <v>37.673971000000002</v>
      </c>
      <c r="O82">
        <v>-112.15643900000001</v>
      </c>
      <c r="P82">
        <v>7591.8762269999997</v>
      </c>
      <c r="Q82">
        <v>316</v>
      </c>
      <c r="R82">
        <v>0</v>
      </c>
    </row>
    <row r="83" spans="1:18" x14ac:dyDescent="0.25">
      <c r="A83">
        <v>82</v>
      </c>
      <c r="B83">
        <v>94</v>
      </c>
      <c r="C83">
        <v>31508242</v>
      </c>
      <c r="D83" t="s">
        <v>132</v>
      </c>
      <c r="E83">
        <v>1.335</v>
      </c>
      <c r="F83" t="s">
        <v>21</v>
      </c>
      <c r="G83" t="s">
        <v>20</v>
      </c>
      <c r="H83" t="s">
        <v>21</v>
      </c>
      <c r="I83" t="s">
        <v>20</v>
      </c>
      <c r="J83" t="s">
        <v>20</v>
      </c>
      <c r="K83" t="s">
        <v>22</v>
      </c>
      <c r="L83" t="s">
        <v>133</v>
      </c>
      <c r="M83" t="s">
        <v>134</v>
      </c>
      <c r="N83">
        <v>40.310568000000004</v>
      </c>
      <c r="O83">
        <v>-110.009501</v>
      </c>
      <c r="P83">
        <v>5093.9303470000004</v>
      </c>
      <c r="Q83">
        <v>1405</v>
      </c>
      <c r="R83">
        <v>0</v>
      </c>
    </row>
    <row r="84" spans="1:18" x14ac:dyDescent="0.25">
      <c r="A84">
        <v>83</v>
      </c>
      <c r="B84">
        <v>94</v>
      </c>
      <c r="C84" t="e">
        <f>-JPu0XaxIYHeNWcVGSScEF</f>
        <v>#NAME?</v>
      </c>
      <c r="D84" t="s">
        <v>167</v>
      </c>
      <c r="E84">
        <v>1.3360000000000001</v>
      </c>
      <c r="F84" t="s">
        <v>21</v>
      </c>
      <c r="G84" t="s">
        <v>20</v>
      </c>
      <c r="H84" t="s">
        <v>21</v>
      </c>
      <c r="I84" t="s">
        <v>20</v>
      </c>
      <c r="J84" t="s">
        <v>20</v>
      </c>
      <c r="K84" t="s">
        <v>22</v>
      </c>
      <c r="L84" t="s">
        <v>168</v>
      </c>
      <c r="M84" t="s">
        <v>169</v>
      </c>
      <c r="N84">
        <v>40.224456000000004</v>
      </c>
      <c r="O84">
        <v>-110.722624</v>
      </c>
      <c r="P84">
        <v>6506.2170699999997</v>
      </c>
      <c r="Q84">
        <v>354</v>
      </c>
      <c r="R84">
        <v>0</v>
      </c>
    </row>
    <row r="85" spans="1:18" x14ac:dyDescent="0.25">
      <c r="A85">
        <v>84</v>
      </c>
      <c r="B85">
        <v>94</v>
      </c>
      <c r="C85" t="e">
        <f>-IovaP03I6LFJubA4VtD-k</f>
        <v>#NAME?</v>
      </c>
      <c r="D85" t="s">
        <v>170</v>
      </c>
      <c r="E85">
        <v>1.3360000000000001</v>
      </c>
      <c r="F85" t="s">
        <v>21</v>
      </c>
      <c r="G85" t="s">
        <v>26</v>
      </c>
      <c r="H85" t="s">
        <v>21</v>
      </c>
      <c r="I85" t="s">
        <v>20</v>
      </c>
      <c r="J85" t="s">
        <v>20</v>
      </c>
      <c r="K85" t="s">
        <v>41</v>
      </c>
      <c r="L85" t="s">
        <v>81</v>
      </c>
      <c r="M85" t="s">
        <v>82</v>
      </c>
      <c r="N85">
        <v>41.195732</v>
      </c>
      <c r="O85">
        <v>-111.942081</v>
      </c>
      <c r="P85">
        <v>4603.9308010000004</v>
      </c>
      <c r="Q85">
        <v>1284</v>
      </c>
      <c r="R85">
        <v>0</v>
      </c>
    </row>
    <row r="86" spans="1:18" x14ac:dyDescent="0.25">
      <c r="A86">
        <v>85</v>
      </c>
      <c r="B86">
        <v>94</v>
      </c>
      <c r="C86">
        <v>517926</v>
      </c>
      <c r="D86" t="s">
        <v>44</v>
      </c>
      <c r="E86">
        <v>1.339</v>
      </c>
      <c r="F86" t="s">
        <v>21</v>
      </c>
      <c r="G86" t="s">
        <v>26</v>
      </c>
      <c r="H86" t="s">
        <v>21</v>
      </c>
      <c r="I86" t="s">
        <v>20</v>
      </c>
      <c r="J86" t="s">
        <v>20</v>
      </c>
      <c r="K86" t="s">
        <v>41</v>
      </c>
      <c r="L86" t="s">
        <v>45</v>
      </c>
      <c r="M86" t="s">
        <v>46</v>
      </c>
      <c r="N86">
        <v>40.896836</v>
      </c>
      <c r="O86">
        <v>-111.87901100000001</v>
      </c>
      <c r="P86">
        <v>4295.9790940000003</v>
      </c>
      <c r="Q86">
        <v>1395</v>
      </c>
      <c r="R86">
        <v>0</v>
      </c>
    </row>
    <row r="87" spans="1:18" x14ac:dyDescent="0.25">
      <c r="A87">
        <v>86</v>
      </c>
      <c r="B87">
        <v>94</v>
      </c>
      <c r="C87">
        <v>1004839</v>
      </c>
      <c r="D87" t="s">
        <v>171</v>
      </c>
      <c r="E87">
        <v>1.339</v>
      </c>
      <c r="F87" t="s">
        <v>21</v>
      </c>
      <c r="G87" t="s">
        <v>26</v>
      </c>
      <c r="H87" t="s">
        <v>21</v>
      </c>
      <c r="I87" t="s">
        <v>20</v>
      </c>
      <c r="J87" t="s">
        <v>20</v>
      </c>
      <c r="K87" t="s">
        <v>31</v>
      </c>
      <c r="L87" t="s">
        <v>78</v>
      </c>
      <c r="M87" t="s">
        <v>79</v>
      </c>
      <c r="N87">
        <v>40.696492999999997</v>
      </c>
      <c r="O87">
        <v>-112.066253</v>
      </c>
      <c r="P87">
        <v>4286.5036639999998</v>
      </c>
      <c r="Q87">
        <v>346</v>
      </c>
      <c r="R87">
        <v>0</v>
      </c>
    </row>
    <row r="88" spans="1:18" x14ac:dyDescent="0.25">
      <c r="A88">
        <v>87</v>
      </c>
      <c r="B88">
        <v>94</v>
      </c>
      <c r="C88">
        <v>31560677</v>
      </c>
      <c r="D88" t="s">
        <v>172</v>
      </c>
      <c r="E88">
        <v>1.34</v>
      </c>
      <c r="F88" t="s">
        <v>21</v>
      </c>
      <c r="G88" t="s">
        <v>26</v>
      </c>
      <c r="H88" t="s">
        <v>21</v>
      </c>
      <c r="I88" t="s">
        <v>20</v>
      </c>
      <c r="J88" t="s">
        <v>20</v>
      </c>
      <c r="K88" t="s">
        <v>27</v>
      </c>
      <c r="L88" t="s">
        <v>173</v>
      </c>
      <c r="M88" t="s">
        <v>174</v>
      </c>
      <c r="N88">
        <v>39.528680999999999</v>
      </c>
      <c r="O88">
        <v>-112.34771499999999</v>
      </c>
      <c r="P88">
        <v>4649.6714389999997</v>
      </c>
      <c r="Q88">
        <v>1411</v>
      </c>
      <c r="R88">
        <v>0</v>
      </c>
    </row>
    <row r="89" spans="1:18" x14ac:dyDescent="0.25">
      <c r="A89">
        <v>88</v>
      </c>
      <c r="B89">
        <v>94</v>
      </c>
      <c r="C89" t="e">
        <f>-IovDMlMGZLjRAPXOTXbSV</f>
        <v>#NAME?</v>
      </c>
      <c r="D89" t="s">
        <v>175</v>
      </c>
      <c r="E89">
        <v>1.3420000000000001</v>
      </c>
      <c r="F89" t="s">
        <v>21</v>
      </c>
      <c r="G89" t="s">
        <v>26</v>
      </c>
      <c r="H89" t="s">
        <v>21</v>
      </c>
      <c r="I89" t="s">
        <v>20</v>
      </c>
      <c r="J89" t="s">
        <v>20</v>
      </c>
      <c r="K89" t="s">
        <v>41</v>
      </c>
      <c r="L89" t="s">
        <v>87</v>
      </c>
      <c r="M89" t="s">
        <v>93</v>
      </c>
      <c r="N89">
        <v>41.062432999999999</v>
      </c>
      <c r="O89">
        <v>-111.94097499999999</v>
      </c>
      <c r="P89">
        <v>4392.8527089999998</v>
      </c>
      <c r="Q89">
        <v>1397</v>
      </c>
      <c r="R89">
        <v>0</v>
      </c>
    </row>
    <row r="90" spans="1:18" x14ac:dyDescent="0.25">
      <c r="A90">
        <v>89</v>
      </c>
      <c r="B90">
        <v>94</v>
      </c>
      <c r="C90" t="e">
        <f>-IorT7iUFvPbCxr8_LKqoV</f>
        <v>#NAME?</v>
      </c>
      <c r="D90" t="s">
        <v>176</v>
      </c>
      <c r="E90">
        <v>1.3420000000000001</v>
      </c>
      <c r="F90" t="s">
        <v>19</v>
      </c>
      <c r="G90" t="s">
        <v>20</v>
      </c>
      <c r="H90" t="s">
        <v>19</v>
      </c>
      <c r="I90">
        <v>90</v>
      </c>
      <c r="J90" t="s">
        <v>20</v>
      </c>
      <c r="K90" t="s">
        <v>41</v>
      </c>
      <c r="L90" t="s">
        <v>177</v>
      </c>
      <c r="M90" t="s">
        <v>178</v>
      </c>
      <c r="N90">
        <v>41.506081999999999</v>
      </c>
      <c r="O90">
        <v>-112.015844</v>
      </c>
      <c r="P90">
        <v>4401.5983690000003</v>
      </c>
      <c r="Q90">
        <v>1329</v>
      </c>
      <c r="R90">
        <v>0</v>
      </c>
    </row>
    <row r="91" spans="1:18" x14ac:dyDescent="0.25">
      <c r="A91">
        <v>90</v>
      </c>
      <c r="B91">
        <v>94</v>
      </c>
      <c r="C91">
        <v>31871475</v>
      </c>
      <c r="D91" t="s">
        <v>179</v>
      </c>
      <c r="E91">
        <v>1.3480000000000001</v>
      </c>
      <c r="F91" t="s">
        <v>19</v>
      </c>
      <c r="G91" t="s">
        <v>20</v>
      </c>
      <c r="H91" t="s">
        <v>21</v>
      </c>
      <c r="I91" t="s">
        <v>20</v>
      </c>
      <c r="J91" t="s">
        <v>20</v>
      </c>
      <c r="K91" t="s">
        <v>31</v>
      </c>
      <c r="L91" t="s">
        <v>66</v>
      </c>
      <c r="M91" t="s">
        <v>67</v>
      </c>
      <c r="N91">
        <v>40.758482000000001</v>
      </c>
      <c r="O91">
        <v>-111.89684200000001</v>
      </c>
      <c r="P91">
        <v>4185.8746160000001</v>
      </c>
      <c r="Q91">
        <v>362</v>
      </c>
      <c r="R91">
        <v>0</v>
      </c>
    </row>
    <row r="92" spans="1:18" x14ac:dyDescent="0.25">
      <c r="A92">
        <v>91</v>
      </c>
      <c r="B92">
        <v>94</v>
      </c>
      <c r="C92">
        <v>31300656</v>
      </c>
      <c r="D92" t="s">
        <v>116</v>
      </c>
      <c r="E92">
        <v>1.349</v>
      </c>
      <c r="F92" t="s">
        <v>19</v>
      </c>
      <c r="G92" t="s">
        <v>20</v>
      </c>
      <c r="H92" t="s">
        <v>21</v>
      </c>
      <c r="I92" t="s">
        <v>20</v>
      </c>
      <c r="J92" t="s">
        <v>20</v>
      </c>
      <c r="K92" t="s">
        <v>41</v>
      </c>
      <c r="L92" t="s">
        <v>177</v>
      </c>
      <c r="M92" t="s">
        <v>43</v>
      </c>
      <c r="N92">
        <v>41.486542</v>
      </c>
      <c r="O92">
        <v>-112.028188</v>
      </c>
      <c r="P92">
        <v>4228.7311490000002</v>
      </c>
      <c r="Q92">
        <v>324</v>
      </c>
      <c r="R92">
        <v>0</v>
      </c>
    </row>
    <row r="93" spans="1:18" x14ac:dyDescent="0.25">
      <c r="A93">
        <v>92</v>
      </c>
      <c r="B93">
        <v>94</v>
      </c>
      <c r="C93">
        <v>31535022</v>
      </c>
      <c r="D93" t="s">
        <v>53</v>
      </c>
      <c r="E93">
        <v>1.351</v>
      </c>
      <c r="F93" t="s">
        <v>21</v>
      </c>
      <c r="G93" t="s">
        <v>26</v>
      </c>
      <c r="H93" t="s">
        <v>21</v>
      </c>
      <c r="I93" t="s">
        <v>20</v>
      </c>
      <c r="J93" t="s">
        <v>20</v>
      </c>
      <c r="K93" t="s">
        <v>27</v>
      </c>
      <c r="L93" t="s">
        <v>54</v>
      </c>
      <c r="M93" t="s">
        <v>55</v>
      </c>
      <c r="N93">
        <v>37.674165000000002</v>
      </c>
      <c r="O93">
        <v>-113.07267899999999</v>
      </c>
      <c r="P93">
        <v>5748.4488149999997</v>
      </c>
      <c r="Q93">
        <v>1285</v>
      </c>
      <c r="R93">
        <v>0</v>
      </c>
    </row>
    <row r="94" spans="1:18" x14ac:dyDescent="0.25">
      <c r="A94">
        <v>93</v>
      </c>
      <c r="B94">
        <v>94</v>
      </c>
      <c r="C94">
        <v>1628613</v>
      </c>
      <c r="D94" t="s">
        <v>180</v>
      </c>
      <c r="E94">
        <v>1.3560000000000001</v>
      </c>
      <c r="F94" t="s">
        <v>21</v>
      </c>
      <c r="G94" t="s">
        <v>26</v>
      </c>
      <c r="H94" t="s">
        <v>21</v>
      </c>
      <c r="I94" t="s">
        <v>20</v>
      </c>
      <c r="J94" t="s">
        <v>20</v>
      </c>
      <c r="K94" t="s">
        <v>41</v>
      </c>
      <c r="L94" t="s">
        <v>181</v>
      </c>
      <c r="M94" t="s">
        <v>117</v>
      </c>
      <c r="N94">
        <v>41.731732999999998</v>
      </c>
      <c r="O94">
        <v>-112.162369</v>
      </c>
      <c r="P94">
        <v>4283.3067099999998</v>
      </c>
      <c r="Q94">
        <v>1379</v>
      </c>
      <c r="R94">
        <v>0</v>
      </c>
    </row>
    <row r="95" spans="1:18" x14ac:dyDescent="0.25">
      <c r="A95">
        <v>94</v>
      </c>
      <c r="B95">
        <v>94</v>
      </c>
      <c r="C95">
        <v>966486</v>
      </c>
      <c r="D95" t="s">
        <v>175</v>
      </c>
      <c r="E95">
        <v>1.3580000000000001</v>
      </c>
      <c r="F95" t="s">
        <v>21</v>
      </c>
      <c r="G95" t="s">
        <v>26</v>
      </c>
      <c r="H95" t="s">
        <v>21</v>
      </c>
      <c r="I95" t="s">
        <v>20</v>
      </c>
      <c r="J95" t="s">
        <v>20</v>
      </c>
      <c r="K95" t="s">
        <v>41</v>
      </c>
      <c r="L95" t="s">
        <v>87</v>
      </c>
      <c r="M95" t="s">
        <v>93</v>
      </c>
      <c r="N95">
        <v>41.062458999999997</v>
      </c>
      <c r="O95">
        <v>-111.94067800000001</v>
      </c>
      <c r="P95">
        <v>4396.0227430000004</v>
      </c>
      <c r="Q95">
        <v>1397</v>
      </c>
      <c r="R95">
        <v>0</v>
      </c>
    </row>
    <row r="96" spans="1:18" x14ac:dyDescent="0.25">
      <c r="A96">
        <v>95</v>
      </c>
      <c r="B96">
        <v>94</v>
      </c>
      <c r="C96">
        <v>31192400</v>
      </c>
      <c r="D96" t="s">
        <v>153</v>
      </c>
      <c r="E96">
        <v>1.36</v>
      </c>
      <c r="F96" t="s">
        <v>21</v>
      </c>
      <c r="G96" t="s">
        <v>26</v>
      </c>
      <c r="H96" t="s">
        <v>21</v>
      </c>
      <c r="I96" t="s">
        <v>20</v>
      </c>
      <c r="J96" t="s">
        <v>20</v>
      </c>
      <c r="K96" t="s">
        <v>22</v>
      </c>
      <c r="L96" t="s">
        <v>84</v>
      </c>
      <c r="M96" t="s">
        <v>85</v>
      </c>
      <c r="N96">
        <v>40.377510000000001</v>
      </c>
      <c r="O96">
        <v>-111.739834</v>
      </c>
      <c r="P96">
        <v>4593.4064559999997</v>
      </c>
      <c r="R96">
        <v>0</v>
      </c>
    </row>
    <row r="97" spans="1:18" x14ac:dyDescent="0.25">
      <c r="A97">
        <v>96</v>
      </c>
      <c r="B97">
        <v>94</v>
      </c>
      <c r="C97">
        <v>31527880</v>
      </c>
      <c r="D97" t="s">
        <v>182</v>
      </c>
      <c r="E97">
        <v>1.1879999999999999</v>
      </c>
      <c r="F97" t="s">
        <v>21</v>
      </c>
      <c r="G97" t="s">
        <v>26</v>
      </c>
      <c r="H97" t="s">
        <v>21</v>
      </c>
      <c r="I97" t="s">
        <v>20</v>
      </c>
      <c r="J97" t="s">
        <v>20</v>
      </c>
      <c r="K97" t="s">
        <v>27</v>
      </c>
      <c r="L97" t="s">
        <v>183</v>
      </c>
      <c r="M97" t="s">
        <v>76</v>
      </c>
      <c r="N97">
        <v>38.918317000000002</v>
      </c>
      <c r="O97">
        <v>-111.93556700000001</v>
      </c>
      <c r="P97">
        <v>5121.0239430000001</v>
      </c>
      <c r="Q97">
        <v>429</v>
      </c>
      <c r="R97">
        <v>0</v>
      </c>
    </row>
    <row r="98" spans="1:18" x14ac:dyDescent="0.25">
      <c r="A98">
        <v>97</v>
      </c>
      <c r="B98">
        <v>94</v>
      </c>
      <c r="C98">
        <v>31383300</v>
      </c>
      <c r="D98" t="s">
        <v>184</v>
      </c>
      <c r="E98">
        <v>1.1890000000000001</v>
      </c>
      <c r="F98" t="s">
        <v>21</v>
      </c>
      <c r="G98" t="s">
        <v>26</v>
      </c>
      <c r="H98" t="s">
        <v>21</v>
      </c>
      <c r="I98" t="s">
        <v>20</v>
      </c>
      <c r="J98" t="s">
        <v>20</v>
      </c>
      <c r="K98" t="s">
        <v>27</v>
      </c>
      <c r="L98" t="s">
        <v>54</v>
      </c>
      <c r="M98" t="s">
        <v>55</v>
      </c>
      <c r="N98">
        <v>37.663738000000002</v>
      </c>
      <c r="O98">
        <v>-113.067054</v>
      </c>
      <c r="P98">
        <v>5865.6983980000005</v>
      </c>
      <c r="Q98">
        <v>1410</v>
      </c>
      <c r="R98">
        <v>0</v>
      </c>
    </row>
    <row r="99" spans="1:18" x14ac:dyDescent="0.25">
      <c r="A99">
        <v>98</v>
      </c>
      <c r="B99">
        <v>94</v>
      </c>
      <c r="C99" t="e">
        <f>-IouuI6nGKT-QipSk0zsmV</f>
        <v>#NAME?</v>
      </c>
      <c r="D99" t="s">
        <v>175</v>
      </c>
      <c r="E99">
        <v>1.1890000000000001</v>
      </c>
      <c r="F99" t="s">
        <v>21</v>
      </c>
      <c r="G99" t="s">
        <v>26</v>
      </c>
      <c r="H99" t="s">
        <v>21</v>
      </c>
      <c r="I99" t="s">
        <v>20</v>
      </c>
      <c r="J99" t="s">
        <v>20</v>
      </c>
      <c r="K99" t="s">
        <v>41</v>
      </c>
      <c r="L99" t="s">
        <v>87</v>
      </c>
      <c r="M99" t="s">
        <v>93</v>
      </c>
      <c r="N99">
        <v>41.061765999999999</v>
      </c>
      <c r="O99">
        <v>-111.943752</v>
      </c>
      <c r="P99">
        <v>4365.2141650000003</v>
      </c>
      <c r="Q99">
        <v>1397</v>
      </c>
      <c r="R99">
        <v>0</v>
      </c>
    </row>
    <row r="100" spans="1:18" x14ac:dyDescent="0.25">
      <c r="A100">
        <v>99</v>
      </c>
      <c r="B100">
        <v>94</v>
      </c>
      <c r="C100">
        <v>31858785</v>
      </c>
      <c r="D100" t="s">
        <v>179</v>
      </c>
      <c r="E100">
        <v>1.1919999999999999</v>
      </c>
      <c r="F100" t="s">
        <v>19</v>
      </c>
      <c r="G100" t="s">
        <v>20</v>
      </c>
      <c r="H100" t="s">
        <v>19</v>
      </c>
      <c r="I100">
        <v>270</v>
      </c>
      <c r="J100" t="s">
        <v>20</v>
      </c>
      <c r="K100" t="s">
        <v>31</v>
      </c>
      <c r="L100" t="s">
        <v>66</v>
      </c>
      <c r="M100" t="s">
        <v>67</v>
      </c>
      <c r="N100">
        <v>40.758493000000001</v>
      </c>
      <c r="O100">
        <v>-111.893958</v>
      </c>
      <c r="P100">
        <v>4189.3207110000003</v>
      </c>
      <c r="Q100">
        <v>362</v>
      </c>
      <c r="R100">
        <v>0</v>
      </c>
    </row>
    <row r="101" spans="1:18" x14ac:dyDescent="0.25">
      <c r="A101">
        <v>100</v>
      </c>
      <c r="B101">
        <v>94</v>
      </c>
      <c r="C101">
        <v>31620776</v>
      </c>
      <c r="D101" t="s">
        <v>185</v>
      </c>
      <c r="E101">
        <v>1.1930000000000001</v>
      </c>
      <c r="F101" t="s">
        <v>21</v>
      </c>
      <c r="G101" t="s">
        <v>26</v>
      </c>
      <c r="H101" t="s">
        <v>21</v>
      </c>
      <c r="I101" t="s">
        <v>20</v>
      </c>
      <c r="J101" t="s">
        <v>20</v>
      </c>
      <c r="K101" t="s">
        <v>41</v>
      </c>
      <c r="L101" t="s">
        <v>57</v>
      </c>
      <c r="M101" t="s">
        <v>58</v>
      </c>
      <c r="N101">
        <v>41.139881000000003</v>
      </c>
      <c r="O101">
        <v>-112.04901</v>
      </c>
      <c r="P101">
        <v>4344.2726849999999</v>
      </c>
      <c r="Q101">
        <v>309</v>
      </c>
      <c r="R101">
        <v>0</v>
      </c>
    </row>
    <row r="102" spans="1:18" x14ac:dyDescent="0.25">
      <c r="A102">
        <v>101</v>
      </c>
      <c r="B102">
        <v>94</v>
      </c>
      <c r="C102">
        <v>28578816</v>
      </c>
      <c r="D102" t="s">
        <v>142</v>
      </c>
      <c r="E102">
        <v>1.1950000000000001</v>
      </c>
      <c r="F102" t="s">
        <v>21</v>
      </c>
      <c r="G102" t="s">
        <v>26</v>
      </c>
      <c r="H102" t="s">
        <v>21</v>
      </c>
      <c r="I102" t="s">
        <v>20</v>
      </c>
      <c r="J102" t="s">
        <v>20</v>
      </c>
      <c r="K102" t="s">
        <v>27</v>
      </c>
      <c r="L102" t="s">
        <v>143</v>
      </c>
      <c r="M102" t="s">
        <v>106</v>
      </c>
      <c r="N102">
        <v>38.938054000000001</v>
      </c>
      <c r="O102">
        <v>-114.03348099999999</v>
      </c>
      <c r="P102">
        <v>5204.2117440000002</v>
      </c>
      <c r="Q102">
        <v>305</v>
      </c>
      <c r="R102">
        <v>0</v>
      </c>
    </row>
    <row r="103" spans="1:18" x14ac:dyDescent="0.25">
      <c r="A103">
        <v>102</v>
      </c>
      <c r="B103">
        <v>94</v>
      </c>
      <c r="C103">
        <v>946420</v>
      </c>
      <c r="D103" t="s">
        <v>65</v>
      </c>
      <c r="E103">
        <v>1.1970000000000001</v>
      </c>
      <c r="F103" t="s">
        <v>21</v>
      </c>
      <c r="G103" t="s">
        <v>26</v>
      </c>
      <c r="H103" t="s">
        <v>21</v>
      </c>
      <c r="I103" t="s">
        <v>20</v>
      </c>
      <c r="J103" t="s">
        <v>20</v>
      </c>
      <c r="K103" t="s">
        <v>31</v>
      </c>
      <c r="L103" t="s">
        <v>66</v>
      </c>
      <c r="M103" t="s">
        <v>67</v>
      </c>
      <c r="N103">
        <v>40.779933999999997</v>
      </c>
      <c r="O103">
        <v>-111.889965</v>
      </c>
      <c r="P103">
        <v>4455.1730280000002</v>
      </c>
      <c r="Q103">
        <v>402</v>
      </c>
      <c r="R103">
        <v>0</v>
      </c>
    </row>
    <row r="104" spans="1:18" x14ac:dyDescent="0.25">
      <c r="A104">
        <v>103</v>
      </c>
      <c r="B104">
        <v>94</v>
      </c>
      <c r="C104" t="s">
        <v>186</v>
      </c>
      <c r="D104" t="s">
        <v>187</v>
      </c>
      <c r="E104">
        <v>1.198</v>
      </c>
      <c r="F104" t="s">
        <v>21</v>
      </c>
      <c r="G104" t="s">
        <v>26</v>
      </c>
      <c r="H104" t="s">
        <v>21</v>
      </c>
      <c r="I104" t="s">
        <v>20</v>
      </c>
      <c r="J104" t="s">
        <v>20</v>
      </c>
      <c r="K104" t="s">
        <v>31</v>
      </c>
      <c r="L104" t="s">
        <v>188</v>
      </c>
      <c r="M104" t="s">
        <v>90</v>
      </c>
      <c r="N104">
        <v>40.759352</v>
      </c>
      <c r="O104">
        <v>-111.834637</v>
      </c>
      <c r="P104">
        <v>4759.7522769999996</v>
      </c>
      <c r="Q104">
        <v>435</v>
      </c>
      <c r="R104">
        <v>0</v>
      </c>
    </row>
    <row r="105" spans="1:18" x14ac:dyDescent="0.25">
      <c r="A105">
        <v>104</v>
      </c>
      <c r="B105">
        <v>94</v>
      </c>
      <c r="C105">
        <v>31192511</v>
      </c>
      <c r="D105" t="s">
        <v>153</v>
      </c>
      <c r="E105">
        <v>1.488</v>
      </c>
      <c r="F105" t="s">
        <v>21</v>
      </c>
      <c r="G105" t="s">
        <v>26</v>
      </c>
      <c r="H105" t="s">
        <v>21</v>
      </c>
      <c r="I105" t="s">
        <v>20</v>
      </c>
      <c r="J105" t="s">
        <v>20</v>
      </c>
      <c r="K105" t="s">
        <v>22</v>
      </c>
      <c r="L105" t="s">
        <v>84</v>
      </c>
      <c r="M105" t="s">
        <v>85</v>
      </c>
      <c r="N105">
        <v>40.379373000000001</v>
      </c>
      <c r="O105">
        <v>-111.73980299999999</v>
      </c>
      <c r="P105">
        <v>4603.1612869999999</v>
      </c>
      <c r="R105">
        <v>0</v>
      </c>
    </row>
    <row r="106" spans="1:18" x14ac:dyDescent="0.25">
      <c r="A106">
        <v>105</v>
      </c>
      <c r="B106">
        <v>94</v>
      </c>
      <c r="C106">
        <v>31528024</v>
      </c>
      <c r="D106" t="s">
        <v>182</v>
      </c>
      <c r="E106">
        <v>1.4890000000000001</v>
      </c>
      <c r="F106" t="s">
        <v>21</v>
      </c>
      <c r="G106" t="s">
        <v>26</v>
      </c>
      <c r="H106" t="s">
        <v>21</v>
      </c>
      <c r="I106" t="s">
        <v>20</v>
      </c>
      <c r="J106" t="s">
        <v>20</v>
      </c>
      <c r="K106" t="s">
        <v>27</v>
      </c>
      <c r="L106" t="s">
        <v>183</v>
      </c>
      <c r="M106" t="s">
        <v>76</v>
      </c>
      <c r="N106">
        <v>38.922263999999998</v>
      </c>
      <c r="O106">
        <v>-111.933989</v>
      </c>
      <c r="P106">
        <v>5134.5343050000001</v>
      </c>
      <c r="Q106">
        <v>429</v>
      </c>
      <c r="R106">
        <v>0</v>
      </c>
    </row>
    <row r="107" spans="1:18" x14ac:dyDescent="0.25">
      <c r="A107">
        <v>106</v>
      </c>
      <c r="B107">
        <v>94</v>
      </c>
      <c r="C107">
        <v>1628628</v>
      </c>
      <c r="D107" t="s">
        <v>180</v>
      </c>
      <c r="E107">
        <v>1.494</v>
      </c>
      <c r="F107" t="s">
        <v>21</v>
      </c>
      <c r="G107" t="s">
        <v>20</v>
      </c>
      <c r="H107" t="s">
        <v>21</v>
      </c>
      <c r="I107" t="s">
        <v>20</v>
      </c>
      <c r="J107" t="s">
        <v>20</v>
      </c>
      <c r="K107" t="s">
        <v>41</v>
      </c>
      <c r="L107" t="s">
        <v>181</v>
      </c>
      <c r="M107" t="s">
        <v>117</v>
      </c>
      <c r="N107">
        <v>41.733733000000001</v>
      </c>
      <c r="O107">
        <v>-112.16243</v>
      </c>
      <c r="P107">
        <v>4285.0902050000004</v>
      </c>
      <c r="Q107">
        <v>1379</v>
      </c>
      <c r="R107">
        <v>0</v>
      </c>
    </row>
    <row r="108" spans="1:18" x14ac:dyDescent="0.25">
      <c r="A108">
        <v>107</v>
      </c>
      <c r="B108">
        <v>94</v>
      </c>
      <c r="C108">
        <v>1228060</v>
      </c>
      <c r="D108" t="s">
        <v>189</v>
      </c>
      <c r="E108">
        <v>1.4950000000000001</v>
      </c>
      <c r="F108" t="s">
        <v>21</v>
      </c>
      <c r="G108" t="s">
        <v>26</v>
      </c>
      <c r="H108" t="s">
        <v>21</v>
      </c>
      <c r="I108" t="s">
        <v>20</v>
      </c>
      <c r="J108" t="s">
        <v>20</v>
      </c>
      <c r="K108" t="s">
        <v>41</v>
      </c>
      <c r="L108" t="s">
        <v>81</v>
      </c>
      <c r="M108" t="s">
        <v>190</v>
      </c>
      <c r="N108">
        <v>41.174813999999998</v>
      </c>
      <c r="O108">
        <v>-111.949302</v>
      </c>
      <c r="P108">
        <v>4728.3275990000002</v>
      </c>
      <c r="Q108">
        <v>412</v>
      </c>
      <c r="R108">
        <v>0</v>
      </c>
    </row>
    <row r="109" spans="1:18" x14ac:dyDescent="0.25">
      <c r="A109">
        <v>108</v>
      </c>
      <c r="B109">
        <v>94</v>
      </c>
      <c r="C109">
        <v>31514794</v>
      </c>
      <c r="D109" t="s">
        <v>191</v>
      </c>
      <c r="E109">
        <v>1.496</v>
      </c>
      <c r="F109" t="s">
        <v>21</v>
      </c>
      <c r="G109" t="s">
        <v>26</v>
      </c>
      <c r="H109" t="s">
        <v>21</v>
      </c>
      <c r="I109" t="s">
        <v>20</v>
      </c>
      <c r="J109" t="s">
        <v>20</v>
      </c>
      <c r="K109" t="s">
        <v>41</v>
      </c>
      <c r="L109" t="s">
        <v>57</v>
      </c>
      <c r="M109" t="s">
        <v>190</v>
      </c>
      <c r="N109">
        <v>41.110906</v>
      </c>
      <c r="O109">
        <v>-112.11250800000001</v>
      </c>
      <c r="P109">
        <v>4175.8053540000001</v>
      </c>
      <c r="Q109">
        <v>329</v>
      </c>
      <c r="R109">
        <v>0</v>
      </c>
    </row>
    <row r="110" spans="1:18" x14ac:dyDescent="0.25">
      <c r="A110">
        <v>109</v>
      </c>
      <c r="B110">
        <v>94</v>
      </c>
      <c r="C110">
        <v>31836161</v>
      </c>
      <c r="D110" t="s">
        <v>161</v>
      </c>
      <c r="E110">
        <v>1.496</v>
      </c>
      <c r="F110" t="s">
        <v>21</v>
      </c>
      <c r="G110" t="s">
        <v>26</v>
      </c>
      <c r="H110" t="s">
        <v>21</v>
      </c>
      <c r="I110" t="s">
        <v>20</v>
      </c>
      <c r="J110" t="s">
        <v>20</v>
      </c>
      <c r="K110" t="s">
        <v>27</v>
      </c>
      <c r="L110" t="s">
        <v>162</v>
      </c>
      <c r="M110" t="s">
        <v>163</v>
      </c>
      <c r="N110">
        <v>37.573613999999999</v>
      </c>
      <c r="O110">
        <v>-113.70764200000001</v>
      </c>
      <c r="P110">
        <v>5275.6687769999999</v>
      </c>
      <c r="Q110">
        <v>419</v>
      </c>
      <c r="R110">
        <v>0</v>
      </c>
    </row>
    <row r="111" spans="1:18" x14ac:dyDescent="0.25">
      <c r="A111">
        <v>110</v>
      </c>
      <c r="B111">
        <v>94</v>
      </c>
      <c r="C111">
        <v>27343022</v>
      </c>
      <c r="D111" t="s">
        <v>185</v>
      </c>
      <c r="E111">
        <v>1.4970000000000001</v>
      </c>
      <c r="F111" t="s">
        <v>19</v>
      </c>
      <c r="G111" t="s">
        <v>20</v>
      </c>
      <c r="H111" t="s">
        <v>21</v>
      </c>
      <c r="I111" t="s">
        <v>20</v>
      </c>
      <c r="J111" t="s">
        <v>20</v>
      </c>
      <c r="K111" t="s">
        <v>41</v>
      </c>
      <c r="L111" t="s">
        <v>57</v>
      </c>
      <c r="M111" t="s">
        <v>58</v>
      </c>
      <c r="N111">
        <v>41.139884000000002</v>
      </c>
      <c r="O111">
        <v>-112.054857</v>
      </c>
      <c r="P111">
        <v>4323.8966049999999</v>
      </c>
      <c r="Q111">
        <v>309</v>
      </c>
      <c r="R111">
        <v>0</v>
      </c>
    </row>
    <row r="112" spans="1:18" x14ac:dyDescent="0.25">
      <c r="A112">
        <v>111</v>
      </c>
      <c r="B112">
        <v>94</v>
      </c>
      <c r="C112">
        <v>28617596</v>
      </c>
      <c r="D112" t="s">
        <v>192</v>
      </c>
      <c r="E112">
        <v>1.5009999999999999</v>
      </c>
      <c r="F112" t="s">
        <v>21</v>
      </c>
      <c r="G112" t="s">
        <v>26</v>
      </c>
      <c r="H112" t="s">
        <v>21</v>
      </c>
      <c r="I112" t="s">
        <v>20</v>
      </c>
      <c r="J112" t="s">
        <v>20</v>
      </c>
      <c r="K112" t="s">
        <v>22</v>
      </c>
      <c r="L112" t="s">
        <v>140</v>
      </c>
      <c r="M112" t="s">
        <v>125</v>
      </c>
      <c r="N112">
        <v>40.136488999999997</v>
      </c>
      <c r="O112">
        <v>-111.730457</v>
      </c>
      <c r="P112">
        <v>4451.8872689999998</v>
      </c>
      <c r="Q112">
        <v>1375</v>
      </c>
      <c r="R112">
        <v>0</v>
      </c>
    </row>
    <row r="113" spans="1:18" x14ac:dyDescent="0.25">
      <c r="A113">
        <v>112</v>
      </c>
      <c r="B113">
        <v>94</v>
      </c>
      <c r="C113">
        <v>31873298</v>
      </c>
      <c r="D113" t="s">
        <v>179</v>
      </c>
      <c r="E113">
        <v>1.5009999999999999</v>
      </c>
      <c r="F113" t="s">
        <v>19</v>
      </c>
      <c r="G113" t="s">
        <v>20</v>
      </c>
      <c r="H113" t="s">
        <v>21</v>
      </c>
      <c r="I113" t="s">
        <v>20</v>
      </c>
      <c r="J113" t="s">
        <v>20</v>
      </c>
      <c r="K113" t="s">
        <v>31</v>
      </c>
      <c r="L113" t="s">
        <v>66</v>
      </c>
      <c r="M113" t="s">
        <v>67</v>
      </c>
      <c r="N113">
        <v>40.758471</v>
      </c>
      <c r="O113">
        <v>-111.899683</v>
      </c>
      <c r="P113">
        <v>4179.0127949999996</v>
      </c>
      <c r="Q113">
        <v>362</v>
      </c>
      <c r="R113">
        <v>0</v>
      </c>
    </row>
    <row r="114" spans="1:18" x14ac:dyDescent="0.25">
      <c r="A114">
        <v>113</v>
      </c>
      <c r="B114">
        <v>94</v>
      </c>
      <c r="C114">
        <v>31390961</v>
      </c>
      <c r="D114" t="s">
        <v>124</v>
      </c>
      <c r="E114">
        <v>1.502</v>
      </c>
      <c r="F114" t="s">
        <v>21</v>
      </c>
      <c r="G114" t="s">
        <v>26</v>
      </c>
      <c r="H114" t="s">
        <v>21</v>
      </c>
      <c r="I114" t="s">
        <v>20</v>
      </c>
      <c r="J114" t="s">
        <v>20</v>
      </c>
      <c r="K114" t="s">
        <v>22</v>
      </c>
      <c r="L114" t="s">
        <v>193</v>
      </c>
      <c r="M114" t="s">
        <v>194</v>
      </c>
      <c r="N114">
        <v>39.973779999999998</v>
      </c>
      <c r="O114">
        <v>-111.9569</v>
      </c>
      <c r="P114">
        <v>4618.5042960000001</v>
      </c>
      <c r="Q114">
        <v>1368</v>
      </c>
      <c r="R114">
        <v>0</v>
      </c>
    </row>
    <row r="115" spans="1:18" x14ac:dyDescent="0.25">
      <c r="A115">
        <v>114</v>
      </c>
      <c r="B115">
        <v>94</v>
      </c>
      <c r="C115">
        <v>1004972</v>
      </c>
      <c r="D115" t="s">
        <v>171</v>
      </c>
      <c r="E115">
        <v>1.504</v>
      </c>
      <c r="F115" t="s">
        <v>19</v>
      </c>
      <c r="G115" t="s">
        <v>20</v>
      </c>
      <c r="H115" t="s">
        <v>21</v>
      </c>
      <c r="I115" t="s">
        <v>20</v>
      </c>
      <c r="J115" t="s">
        <v>20</v>
      </c>
      <c r="K115" t="s">
        <v>31</v>
      </c>
      <c r="L115" t="s">
        <v>78</v>
      </c>
      <c r="M115" t="s">
        <v>79</v>
      </c>
      <c r="N115">
        <v>40.696497999999998</v>
      </c>
      <c r="O115">
        <v>-112.063102</v>
      </c>
      <c r="P115">
        <v>4274.5793990000002</v>
      </c>
      <c r="Q115">
        <v>346</v>
      </c>
      <c r="R115">
        <v>0</v>
      </c>
    </row>
    <row r="116" spans="1:18" x14ac:dyDescent="0.25">
      <c r="A116">
        <v>115</v>
      </c>
      <c r="B116">
        <v>94</v>
      </c>
      <c r="C116">
        <v>31420626</v>
      </c>
      <c r="D116" t="s">
        <v>107</v>
      </c>
      <c r="E116">
        <v>1.504</v>
      </c>
      <c r="F116" t="s">
        <v>21</v>
      </c>
      <c r="G116" t="s">
        <v>26</v>
      </c>
      <c r="H116" t="s">
        <v>21</v>
      </c>
      <c r="I116" t="s">
        <v>20</v>
      </c>
      <c r="J116" t="s">
        <v>20</v>
      </c>
      <c r="K116" t="s">
        <v>41</v>
      </c>
      <c r="L116" t="s">
        <v>81</v>
      </c>
      <c r="M116" t="s">
        <v>93</v>
      </c>
      <c r="N116">
        <v>41.214458999999998</v>
      </c>
      <c r="O116">
        <v>-111.97900300000001</v>
      </c>
      <c r="P116">
        <v>4249.4041109999998</v>
      </c>
      <c r="Q116">
        <v>413</v>
      </c>
      <c r="R116">
        <v>0</v>
      </c>
    </row>
    <row r="117" spans="1:18" x14ac:dyDescent="0.25">
      <c r="A117">
        <v>116</v>
      </c>
      <c r="B117">
        <v>94</v>
      </c>
      <c r="C117">
        <v>1101051</v>
      </c>
      <c r="D117" t="s">
        <v>101</v>
      </c>
      <c r="E117">
        <v>1.504</v>
      </c>
      <c r="F117" t="s">
        <v>19</v>
      </c>
      <c r="G117" t="s">
        <v>20</v>
      </c>
      <c r="H117" t="s">
        <v>21</v>
      </c>
      <c r="I117" t="s">
        <v>20</v>
      </c>
      <c r="J117" t="s">
        <v>20</v>
      </c>
      <c r="K117" t="s">
        <v>41</v>
      </c>
      <c r="L117" t="s">
        <v>57</v>
      </c>
      <c r="M117" t="s">
        <v>58</v>
      </c>
      <c r="N117">
        <v>41.118096999999999</v>
      </c>
      <c r="O117">
        <v>-112.08376199999999</v>
      </c>
      <c r="P117">
        <v>4257.2724349999999</v>
      </c>
      <c r="Q117">
        <v>328</v>
      </c>
      <c r="R117">
        <v>0</v>
      </c>
    </row>
    <row r="118" spans="1:18" x14ac:dyDescent="0.25">
      <c r="A118">
        <v>117</v>
      </c>
      <c r="B118">
        <v>94</v>
      </c>
      <c r="C118">
        <v>1105314</v>
      </c>
      <c r="D118" t="s">
        <v>195</v>
      </c>
      <c r="E118">
        <v>1.504</v>
      </c>
      <c r="F118" t="s">
        <v>21</v>
      </c>
      <c r="G118" t="s">
        <v>26</v>
      </c>
      <c r="H118" t="s">
        <v>21</v>
      </c>
      <c r="I118" t="s">
        <v>20</v>
      </c>
      <c r="J118" t="s">
        <v>20</v>
      </c>
      <c r="K118" t="s">
        <v>41</v>
      </c>
      <c r="L118" t="s">
        <v>57</v>
      </c>
      <c r="M118" t="s">
        <v>190</v>
      </c>
      <c r="N118">
        <v>41.089219</v>
      </c>
      <c r="O118">
        <v>-112.08386400000001</v>
      </c>
      <c r="P118">
        <v>4188.0463630000004</v>
      </c>
      <c r="Q118">
        <v>334</v>
      </c>
      <c r="R118">
        <v>0</v>
      </c>
    </row>
    <row r="119" spans="1:18" x14ac:dyDescent="0.25">
      <c r="A119">
        <v>118</v>
      </c>
      <c r="B119">
        <v>94</v>
      </c>
      <c r="C119" t="e">
        <f>-JMkn5wKFiXs8b4L3G7PAk</f>
        <v>#NAME?</v>
      </c>
      <c r="D119" t="s">
        <v>127</v>
      </c>
      <c r="E119">
        <v>1.5049999999999999</v>
      </c>
      <c r="F119" t="s">
        <v>21</v>
      </c>
      <c r="G119" t="s">
        <v>20</v>
      </c>
      <c r="H119" t="s">
        <v>21</v>
      </c>
      <c r="I119" t="s">
        <v>20</v>
      </c>
      <c r="J119" t="s">
        <v>20</v>
      </c>
      <c r="K119" t="s">
        <v>41</v>
      </c>
      <c r="L119" t="s">
        <v>95</v>
      </c>
      <c r="M119" t="s">
        <v>73</v>
      </c>
      <c r="N119">
        <v>41.975422000000002</v>
      </c>
      <c r="O119">
        <v>-111.924909</v>
      </c>
      <c r="P119">
        <v>4440.0531510000001</v>
      </c>
      <c r="Q119">
        <v>1364</v>
      </c>
      <c r="R119">
        <v>0</v>
      </c>
    </row>
    <row r="120" spans="1:18" x14ac:dyDescent="0.25">
      <c r="A120">
        <v>119</v>
      </c>
      <c r="B120">
        <v>94</v>
      </c>
      <c r="C120">
        <v>27645484</v>
      </c>
      <c r="D120" t="s">
        <v>196</v>
      </c>
      <c r="E120">
        <v>1.5069999999999999</v>
      </c>
      <c r="F120" t="s">
        <v>21</v>
      </c>
      <c r="G120" t="s">
        <v>26</v>
      </c>
      <c r="H120" t="s">
        <v>21</v>
      </c>
      <c r="I120" t="s">
        <v>20</v>
      </c>
      <c r="J120" t="s">
        <v>20</v>
      </c>
      <c r="K120" t="s">
        <v>27</v>
      </c>
      <c r="L120" t="s">
        <v>72</v>
      </c>
      <c r="M120" t="s">
        <v>73</v>
      </c>
      <c r="N120">
        <v>37.109817999999997</v>
      </c>
      <c r="O120">
        <v>-113.56634200000001</v>
      </c>
      <c r="P120">
        <v>2734.6743150000002</v>
      </c>
      <c r="Q120">
        <v>308</v>
      </c>
      <c r="R120">
        <v>0</v>
      </c>
    </row>
    <row r="121" spans="1:18" x14ac:dyDescent="0.25">
      <c r="A121">
        <v>120</v>
      </c>
      <c r="B121">
        <v>94</v>
      </c>
      <c r="C121">
        <v>1736743</v>
      </c>
      <c r="D121" t="s">
        <v>197</v>
      </c>
      <c r="E121">
        <v>1.5089999999999999</v>
      </c>
      <c r="F121" t="s">
        <v>21</v>
      </c>
      <c r="G121" t="s">
        <v>26</v>
      </c>
      <c r="H121" t="s">
        <v>21</v>
      </c>
      <c r="I121" t="s">
        <v>20</v>
      </c>
      <c r="J121" t="s">
        <v>20</v>
      </c>
      <c r="K121" t="s">
        <v>22</v>
      </c>
      <c r="L121" t="s">
        <v>198</v>
      </c>
      <c r="M121" t="s">
        <v>125</v>
      </c>
      <c r="N121">
        <v>39.989367000000001</v>
      </c>
      <c r="O121">
        <v>-111.833578</v>
      </c>
      <c r="P121">
        <v>4608.8388889999997</v>
      </c>
      <c r="Q121">
        <v>1416</v>
      </c>
      <c r="R121">
        <v>0</v>
      </c>
    </row>
    <row r="122" spans="1:18" x14ac:dyDescent="0.25">
      <c r="A122">
        <v>121</v>
      </c>
      <c r="B122">
        <v>94</v>
      </c>
      <c r="C122">
        <v>31508603</v>
      </c>
      <c r="D122" t="s">
        <v>132</v>
      </c>
      <c r="E122">
        <v>1.51</v>
      </c>
      <c r="F122" t="s">
        <v>21</v>
      </c>
      <c r="G122" t="s">
        <v>26</v>
      </c>
      <c r="H122" t="s">
        <v>21</v>
      </c>
      <c r="I122" t="s">
        <v>20</v>
      </c>
      <c r="J122" t="s">
        <v>20</v>
      </c>
      <c r="K122" t="s">
        <v>22</v>
      </c>
      <c r="L122" t="s">
        <v>133</v>
      </c>
      <c r="M122" t="s">
        <v>134</v>
      </c>
      <c r="N122">
        <v>40.312604999999998</v>
      </c>
      <c r="O122">
        <v>-110.011436</v>
      </c>
      <c r="P122">
        <v>5097.5006530000001</v>
      </c>
      <c r="Q122">
        <v>1405</v>
      </c>
      <c r="R122">
        <v>0</v>
      </c>
    </row>
    <row r="123" spans="1:18" x14ac:dyDescent="0.25">
      <c r="A123">
        <v>122</v>
      </c>
      <c r="B123">
        <v>94</v>
      </c>
      <c r="C123">
        <v>596937</v>
      </c>
      <c r="D123" t="s">
        <v>135</v>
      </c>
      <c r="E123">
        <v>1.51</v>
      </c>
      <c r="F123" t="s">
        <v>19</v>
      </c>
      <c r="G123" t="s">
        <v>20</v>
      </c>
      <c r="H123" t="s">
        <v>21</v>
      </c>
      <c r="I123" t="s">
        <v>20</v>
      </c>
      <c r="J123" t="s">
        <v>20</v>
      </c>
      <c r="K123" t="s">
        <v>31</v>
      </c>
      <c r="L123" t="s">
        <v>48</v>
      </c>
      <c r="M123" t="s">
        <v>144</v>
      </c>
      <c r="N123">
        <v>40.562263999999999</v>
      </c>
      <c r="O123">
        <v>-111.948183</v>
      </c>
      <c r="P123">
        <v>4448.7299270000003</v>
      </c>
      <c r="Q123">
        <v>1423</v>
      </c>
      <c r="R123">
        <v>0</v>
      </c>
    </row>
    <row r="124" spans="1:18" x14ac:dyDescent="0.25">
      <c r="A124">
        <v>123</v>
      </c>
      <c r="B124">
        <v>94</v>
      </c>
      <c r="C124">
        <v>31592173</v>
      </c>
      <c r="D124" t="s">
        <v>145</v>
      </c>
      <c r="E124">
        <v>1.512</v>
      </c>
      <c r="F124" t="s">
        <v>21</v>
      </c>
      <c r="G124" t="s">
        <v>26</v>
      </c>
      <c r="H124" t="s">
        <v>21</v>
      </c>
      <c r="I124" t="s">
        <v>20</v>
      </c>
      <c r="J124" t="s">
        <v>20</v>
      </c>
      <c r="K124" t="s">
        <v>27</v>
      </c>
      <c r="L124" t="s">
        <v>146</v>
      </c>
      <c r="M124" t="s">
        <v>147</v>
      </c>
      <c r="N124">
        <v>37.872802</v>
      </c>
      <c r="O124">
        <v>-109.315175</v>
      </c>
      <c r="P124">
        <v>6816.4415499999996</v>
      </c>
      <c r="Q124">
        <v>1291</v>
      </c>
      <c r="R124">
        <v>0</v>
      </c>
    </row>
    <row r="125" spans="1:18" x14ac:dyDescent="0.25">
      <c r="A125">
        <v>124</v>
      </c>
      <c r="B125">
        <v>94</v>
      </c>
      <c r="C125">
        <v>31370511</v>
      </c>
      <c r="D125" t="s">
        <v>199</v>
      </c>
      <c r="E125">
        <v>1.514</v>
      </c>
      <c r="F125" t="s">
        <v>21</v>
      </c>
      <c r="G125" t="s">
        <v>26</v>
      </c>
      <c r="H125" t="s">
        <v>21</v>
      </c>
      <c r="I125" t="s">
        <v>20</v>
      </c>
      <c r="J125" t="s">
        <v>20</v>
      </c>
      <c r="K125" t="s">
        <v>27</v>
      </c>
      <c r="L125" t="s">
        <v>103</v>
      </c>
      <c r="M125" t="s">
        <v>200</v>
      </c>
      <c r="N125">
        <v>38.276899</v>
      </c>
      <c r="O125">
        <v>-112.613574</v>
      </c>
      <c r="P125">
        <v>5940.5115509999996</v>
      </c>
      <c r="Q125">
        <v>341</v>
      </c>
      <c r="R125">
        <v>0</v>
      </c>
    </row>
    <row r="126" spans="1:18" x14ac:dyDescent="0.25">
      <c r="A126">
        <v>125</v>
      </c>
      <c r="B126">
        <v>94</v>
      </c>
      <c r="C126">
        <v>27579057</v>
      </c>
      <c r="D126" t="s">
        <v>201</v>
      </c>
      <c r="E126">
        <v>1.5149999999999999</v>
      </c>
      <c r="F126" t="s">
        <v>21</v>
      </c>
      <c r="G126" t="s">
        <v>26</v>
      </c>
      <c r="H126" t="s">
        <v>21</v>
      </c>
      <c r="I126" t="s">
        <v>20</v>
      </c>
      <c r="J126" t="s">
        <v>20</v>
      </c>
      <c r="K126" t="s">
        <v>27</v>
      </c>
      <c r="L126" t="s">
        <v>202</v>
      </c>
      <c r="M126" t="s">
        <v>104</v>
      </c>
      <c r="N126">
        <v>39.100960999999998</v>
      </c>
      <c r="O126">
        <v>-112.270929</v>
      </c>
      <c r="P126">
        <v>5044.6681470000003</v>
      </c>
      <c r="Q126">
        <v>1366</v>
      </c>
      <c r="R126">
        <v>0</v>
      </c>
    </row>
    <row r="127" spans="1:18" x14ac:dyDescent="0.25">
      <c r="A127">
        <v>126</v>
      </c>
      <c r="B127">
        <v>94</v>
      </c>
      <c r="C127">
        <v>31642147</v>
      </c>
      <c r="D127" t="s">
        <v>157</v>
      </c>
      <c r="E127">
        <v>1.5169999999999999</v>
      </c>
      <c r="F127" t="s">
        <v>21</v>
      </c>
      <c r="G127" t="s">
        <v>26</v>
      </c>
      <c r="H127" t="s">
        <v>21</v>
      </c>
      <c r="I127" t="s">
        <v>20</v>
      </c>
      <c r="J127" t="s">
        <v>20</v>
      </c>
      <c r="K127" t="s">
        <v>27</v>
      </c>
      <c r="L127" t="s">
        <v>158</v>
      </c>
      <c r="M127" t="s">
        <v>159</v>
      </c>
      <c r="N127">
        <v>39.599576999999996</v>
      </c>
      <c r="O127">
        <v>-110.801699</v>
      </c>
      <c r="P127">
        <v>5528.6475039999996</v>
      </c>
      <c r="Q127">
        <v>1360</v>
      </c>
      <c r="R127">
        <v>0</v>
      </c>
    </row>
    <row r="128" spans="1:18" x14ac:dyDescent="0.25">
      <c r="A128">
        <v>127</v>
      </c>
      <c r="B128">
        <v>94</v>
      </c>
      <c r="C128">
        <v>31290758</v>
      </c>
      <c r="D128" t="s">
        <v>203</v>
      </c>
      <c r="E128">
        <v>1.518</v>
      </c>
      <c r="F128" t="s">
        <v>21</v>
      </c>
      <c r="G128" t="s">
        <v>26</v>
      </c>
      <c r="H128" t="s">
        <v>21</v>
      </c>
      <c r="I128" t="s">
        <v>20</v>
      </c>
      <c r="J128" t="s">
        <v>20</v>
      </c>
      <c r="K128" t="s">
        <v>41</v>
      </c>
      <c r="L128" t="s">
        <v>57</v>
      </c>
      <c r="M128" t="s">
        <v>204</v>
      </c>
      <c r="N128">
        <v>41.244342000000003</v>
      </c>
      <c r="O128">
        <v>-112.06371300000001</v>
      </c>
      <c r="P128">
        <v>4185.693663</v>
      </c>
      <c r="Q128">
        <v>1349</v>
      </c>
      <c r="R128">
        <v>0</v>
      </c>
    </row>
    <row r="129" spans="1:18" x14ac:dyDescent="0.25">
      <c r="A129">
        <v>128</v>
      </c>
      <c r="B129">
        <v>94</v>
      </c>
      <c r="C129" t="e">
        <f>-IowfyghHeDbuxdjsVOlNF</f>
        <v>#NAME?</v>
      </c>
      <c r="D129" t="s">
        <v>63</v>
      </c>
      <c r="E129">
        <v>1.5189999999999999</v>
      </c>
      <c r="F129" t="s">
        <v>21</v>
      </c>
      <c r="G129" t="s">
        <v>26</v>
      </c>
      <c r="H129" t="s">
        <v>21</v>
      </c>
      <c r="I129" t="s">
        <v>20</v>
      </c>
      <c r="J129" t="s">
        <v>20</v>
      </c>
      <c r="K129" t="s">
        <v>27</v>
      </c>
      <c r="L129" t="s">
        <v>64</v>
      </c>
      <c r="M129" t="s">
        <v>29</v>
      </c>
      <c r="N129">
        <v>38.208356999999999</v>
      </c>
      <c r="O129">
        <v>-112.19693599999999</v>
      </c>
      <c r="P129">
        <v>5949.6184860000003</v>
      </c>
      <c r="Q129">
        <v>1365</v>
      </c>
      <c r="R129">
        <v>0</v>
      </c>
    </row>
    <row r="130" spans="1:18" x14ac:dyDescent="0.25">
      <c r="A130">
        <v>129</v>
      </c>
      <c r="B130">
        <v>94</v>
      </c>
      <c r="C130" t="e">
        <f>-JNdTkmzHC5SzGP41ifvDV</f>
        <v>#NAME?</v>
      </c>
      <c r="D130" t="s">
        <v>205</v>
      </c>
      <c r="E130">
        <v>1.5249999999999999</v>
      </c>
      <c r="F130" t="s">
        <v>21</v>
      </c>
      <c r="G130" t="s">
        <v>26</v>
      </c>
      <c r="H130" t="s">
        <v>21</v>
      </c>
      <c r="I130" t="s">
        <v>20</v>
      </c>
      <c r="J130" t="s">
        <v>20</v>
      </c>
      <c r="K130" t="s">
        <v>31</v>
      </c>
      <c r="L130" t="s">
        <v>78</v>
      </c>
      <c r="M130" t="s">
        <v>206</v>
      </c>
      <c r="N130">
        <v>40.743257999999997</v>
      </c>
      <c r="O130">
        <v>-112.180406</v>
      </c>
      <c r="P130">
        <v>4167.7958420000004</v>
      </c>
      <c r="Q130">
        <v>353</v>
      </c>
      <c r="R130">
        <v>0</v>
      </c>
    </row>
    <row r="131" spans="1:18" x14ac:dyDescent="0.25">
      <c r="A131">
        <v>130</v>
      </c>
      <c r="B131">
        <v>94</v>
      </c>
      <c r="C131" t="e">
        <f>-JNKzuxNFC98rX1N2MtcZk</f>
        <v>#NAME?</v>
      </c>
      <c r="D131" t="s">
        <v>124</v>
      </c>
      <c r="E131">
        <v>1.526</v>
      </c>
      <c r="F131" t="s">
        <v>21</v>
      </c>
      <c r="G131" t="s">
        <v>26</v>
      </c>
      <c r="H131" t="s">
        <v>21</v>
      </c>
      <c r="I131" t="s">
        <v>20</v>
      </c>
      <c r="J131" t="s">
        <v>20</v>
      </c>
      <c r="K131" t="s">
        <v>22</v>
      </c>
      <c r="L131" t="s">
        <v>193</v>
      </c>
      <c r="M131" t="s">
        <v>194</v>
      </c>
      <c r="N131">
        <v>39.974134999999997</v>
      </c>
      <c r="O131">
        <v>-111.95690999999999</v>
      </c>
      <c r="P131">
        <v>4618.5346520000003</v>
      </c>
      <c r="Q131">
        <v>1368</v>
      </c>
      <c r="R131">
        <v>0</v>
      </c>
    </row>
    <row r="132" spans="1:18" x14ac:dyDescent="0.25">
      <c r="A132">
        <v>131</v>
      </c>
      <c r="B132">
        <v>94</v>
      </c>
      <c r="C132" t="s">
        <v>207</v>
      </c>
      <c r="D132" t="s">
        <v>208</v>
      </c>
      <c r="E132">
        <v>1.5269999999999999</v>
      </c>
      <c r="F132" t="s">
        <v>21</v>
      </c>
      <c r="G132" t="s">
        <v>26</v>
      </c>
      <c r="H132" t="s">
        <v>21</v>
      </c>
      <c r="I132" t="s">
        <v>20</v>
      </c>
      <c r="J132" t="s">
        <v>20</v>
      </c>
      <c r="K132" t="s">
        <v>31</v>
      </c>
      <c r="L132" t="s">
        <v>209</v>
      </c>
      <c r="M132" t="s">
        <v>131</v>
      </c>
      <c r="N132">
        <v>40.620826000000001</v>
      </c>
      <c r="O132">
        <v>-111.506835</v>
      </c>
      <c r="P132">
        <v>8105.6308250000002</v>
      </c>
      <c r="Q132">
        <v>357</v>
      </c>
      <c r="R132">
        <v>0</v>
      </c>
    </row>
    <row r="133" spans="1:18" x14ac:dyDescent="0.25">
      <c r="A133">
        <v>132</v>
      </c>
      <c r="B133">
        <v>94</v>
      </c>
      <c r="C133">
        <v>517919</v>
      </c>
      <c r="D133" t="s">
        <v>44</v>
      </c>
      <c r="E133">
        <v>1.528</v>
      </c>
      <c r="F133" t="s">
        <v>19</v>
      </c>
      <c r="G133" t="s">
        <v>20</v>
      </c>
      <c r="H133" t="s">
        <v>21</v>
      </c>
      <c r="I133" t="s">
        <v>20</v>
      </c>
      <c r="J133" t="s">
        <v>20</v>
      </c>
      <c r="K133" t="s">
        <v>41</v>
      </c>
      <c r="L133" t="s">
        <v>45</v>
      </c>
      <c r="M133" t="s">
        <v>46</v>
      </c>
      <c r="N133">
        <v>40.899569</v>
      </c>
      <c r="O133">
        <v>-111.87899299999999</v>
      </c>
      <c r="P133">
        <v>4282.0179889999999</v>
      </c>
      <c r="Q133">
        <v>1395</v>
      </c>
      <c r="R133">
        <v>0</v>
      </c>
    </row>
    <row r="134" spans="1:18" x14ac:dyDescent="0.25">
      <c r="A134">
        <v>133</v>
      </c>
      <c r="B134">
        <v>94</v>
      </c>
      <c r="C134" t="e">
        <f>-JODa4RnFD1Wa7AEawaxqF</f>
        <v>#NAME?</v>
      </c>
      <c r="D134" t="s">
        <v>210</v>
      </c>
      <c r="E134">
        <v>1.7709999999999999</v>
      </c>
      <c r="F134" t="s">
        <v>21</v>
      </c>
      <c r="G134" t="s">
        <v>26</v>
      </c>
      <c r="H134" t="s">
        <v>21</v>
      </c>
      <c r="I134" t="s">
        <v>20</v>
      </c>
      <c r="J134" t="s">
        <v>20</v>
      </c>
      <c r="K134" t="s">
        <v>27</v>
      </c>
      <c r="L134" t="s">
        <v>211</v>
      </c>
      <c r="M134" t="s">
        <v>212</v>
      </c>
      <c r="N134">
        <v>37.283391000000002</v>
      </c>
      <c r="O134">
        <v>-109.514966</v>
      </c>
      <c r="P134">
        <v>4259.0861949999999</v>
      </c>
      <c r="Q134">
        <v>344</v>
      </c>
      <c r="R134">
        <v>0</v>
      </c>
    </row>
    <row r="135" spans="1:18" x14ac:dyDescent="0.25">
      <c r="A135">
        <v>134</v>
      </c>
      <c r="B135">
        <v>94</v>
      </c>
      <c r="C135" t="e">
        <f>-JS_dmFQGva-dPUO8yxBdk</f>
        <v>#NAME?</v>
      </c>
      <c r="D135" t="s">
        <v>213</v>
      </c>
      <c r="E135">
        <v>1.7749999999999999</v>
      </c>
      <c r="F135" t="s">
        <v>21</v>
      </c>
      <c r="G135" t="s">
        <v>20</v>
      </c>
      <c r="H135" t="s">
        <v>21</v>
      </c>
      <c r="I135" t="s">
        <v>20</v>
      </c>
      <c r="J135" t="s">
        <v>20</v>
      </c>
      <c r="K135" t="s">
        <v>27</v>
      </c>
      <c r="L135" t="s">
        <v>173</v>
      </c>
      <c r="M135" t="s">
        <v>214</v>
      </c>
      <c r="N135">
        <v>39.054625000000001</v>
      </c>
      <c r="O135">
        <v>-114.016015</v>
      </c>
      <c r="P135">
        <v>4997.4621859999997</v>
      </c>
      <c r="Q135">
        <v>1332</v>
      </c>
      <c r="R135">
        <v>0</v>
      </c>
    </row>
    <row r="136" spans="1:18" x14ac:dyDescent="0.25">
      <c r="A136">
        <v>135</v>
      </c>
      <c r="B136">
        <v>94</v>
      </c>
      <c r="C136">
        <v>948540</v>
      </c>
      <c r="D136" t="s">
        <v>65</v>
      </c>
      <c r="E136">
        <v>1.78</v>
      </c>
      <c r="F136" t="s">
        <v>21</v>
      </c>
      <c r="G136" t="s">
        <v>26</v>
      </c>
      <c r="H136" t="s">
        <v>21</v>
      </c>
      <c r="I136" t="s">
        <v>20</v>
      </c>
      <c r="J136" t="s">
        <v>20</v>
      </c>
      <c r="K136" t="s">
        <v>31</v>
      </c>
      <c r="L136" t="s">
        <v>66</v>
      </c>
      <c r="M136" t="s">
        <v>67</v>
      </c>
      <c r="N136">
        <v>40.773601999999997</v>
      </c>
      <c r="O136">
        <v>-111.888227</v>
      </c>
      <c r="P136">
        <v>4376.8826170000002</v>
      </c>
      <c r="Q136">
        <v>402</v>
      </c>
      <c r="R136">
        <v>0</v>
      </c>
    </row>
    <row r="137" spans="1:18" x14ac:dyDescent="0.25">
      <c r="A137">
        <v>136</v>
      </c>
      <c r="B137">
        <v>94</v>
      </c>
      <c r="C137">
        <v>764961</v>
      </c>
      <c r="D137" t="s">
        <v>86</v>
      </c>
      <c r="E137">
        <v>1.7809999999999999</v>
      </c>
      <c r="F137" t="s">
        <v>19</v>
      </c>
      <c r="G137" t="s">
        <v>20</v>
      </c>
      <c r="H137" t="s">
        <v>21</v>
      </c>
      <c r="I137" t="s">
        <v>20</v>
      </c>
      <c r="J137" t="s">
        <v>20</v>
      </c>
      <c r="K137" t="s">
        <v>41</v>
      </c>
      <c r="L137" t="s">
        <v>87</v>
      </c>
      <c r="M137" t="s">
        <v>58</v>
      </c>
      <c r="N137">
        <v>41.029798</v>
      </c>
      <c r="O137">
        <v>-111.934403</v>
      </c>
      <c r="P137">
        <v>4308.7232489999997</v>
      </c>
      <c r="Q137">
        <v>258</v>
      </c>
      <c r="R137">
        <v>0</v>
      </c>
    </row>
    <row r="138" spans="1:18" x14ac:dyDescent="0.25">
      <c r="A138">
        <v>137</v>
      </c>
      <c r="B138">
        <v>94</v>
      </c>
      <c r="C138">
        <v>505510</v>
      </c>
      <c r="D138" t="s">
        <v>135</v>
      </c>
      <c r="E138">
        <v>1.7809999999999999</v>
      </c>
      <c r="F138" t="s">
        <v>21</v>
      </c>
      <c r="G138" t="s">
        <v>26</v>
      </c>
      <c r="H138" t="s">
        <v>21</v>
      </c>
      <c r="I138" t="s">
        <v>20</v>
      </c>
      <c r="J138" t="s">
        <v>20</v>
      </c>
      <c r="K138" t="s">
        <v>31</v>
      </c>
      <c r="L138" t="s">
        <v>48</v>
      </c>
      <c r="M138" t="s">
        <v>144</v>
      </c>
      <c r="N138">
        <v>40.562286999999998</v>
      </c>
      <c r="O138">
        <v>-111.942978</v>
      </c>
      <c r="P138">
        <v>4427.007501</v>
      </c>
      <c r="Q138">
        <v>1423</v>
      </c>
      <c r="R138">
        <v>0</v>
      </c>
    </row>
    <row r="139" spans="1:18" x14ac:dyDescent="0.25">
      <c r="A139">
        <v>138</v>
      </c>
      <c r="B139">
        <v>94</v>
      </c>
      <c r="C139">
        <v>28580813</v>
      </c>
      <c r="D139" t="s">
        <v>142</v>
      </c>
      <c r="E139">
        <v>1.7829999999999999</v>
      </c>
      <c r="F139" t="s">
        <v>21</v>
      </c>
      <c r="G139" t="s">
        <v>26</v>
      </c>
      <c r="H139" t="s">
        <v>21</v>
      </c>
      <c r="I139" t="s">
        <v>20</v>
      </c>
      <c r="J139" t="s">
        <v>20</v>
      </c>
      <c r="K139" t="s">
        <v>27</v>
      </c>
      <c r="L139" t="s">
        <v>143</v>
      </c>
      <c r="M139" t="s">
        <v>106</v>
      </c>
      <c r="N139">
        <v>38.929614000000001</v>
      </c>
      <c r="O139">
        <v>-114.032149</v>
      </c>
      <c r="P139">
        <v>5205.9920050000001</v>
      </c>
      <c r="Q139">
        <v>305</v>
      </c>
      <c r="R139">
        <v>0</v>
      </c>
    </row>
    <row r="140" spans="1:18" x14ac:dyDescent="0.25">
      <c r="A140">
        <v>139</v>
      </c>
      <c r="B140">
        <v>94</v>
      </c>
      <c r="C140">
        <v>1404508</v>
      </c>
      <c r="D140" t="s">
        <v>88</v>
      </c>
      <c r="E140">
        <v>1.784</v>
      </c>
      <c r="F140" t="s">
        <v>21</v>
      </c>
      <c r="G140" t="s">
        <v>26</v>
      </c>
      <c r="H140" t="s">
        <v>21</v>
      </c>
      <c r="I140" t="s">
        <v>20</v>
      </c>
      <c r="J140" t="s">
        <v>20</v>
      </c>
      <c r="K140" t="s">
        <v>31</v>
      </c>
      <c r="L140" t="s">
        <v>89</v>
      </c>
      <c r="M140" t="s">
        <v>90</v>
      </c>
      <c r="N140">
        <v>40.522278</v>
      </c>
      <c r="O140">
        <v>-111.950017</v>
      </c>
      <c r="P140">
        <v>4428.9941660000004</v>
      </c>
      <c r="Q140">
        <v>318</v>
      </c>
      <c r="R140">
        <v>0</v>
      </c>
    </row>
    <row r="141" spans="1:18" x14ac:dyDescent="0.25">
      <c r="A141">
        <v>140</v>
      </c>
      <c r="B141">
        <v>94</v>
      </c>
      <c r="C141">
        <v>1631158</v>
      </c>
      <c r="D141" t="s">
        <v>180</v>
      </c>
      <c r="E141">
        <v>1.788</v>
      </c>
      <c r="F141" t="s">
        <v>21</v>
      </c>
      <c r="G141" t="s">
        <v>26</v>
      </c>
      <c r="H141" t="s">
        <v>21</v>
      </c>
      <c r="I141" t="s">
        <v>20</v>
      </c>
      <c r="J141" t="s">
        <v>20</v>
      </c>
      <c r="K141" t="s">
        <v>41</v>
      </c>
      <c r="L141" t="s">
        <v>181</v>
      </c>
      <c r="M141" t="s">
        <v>117</v>
      </c>
      <c r="N141">
        <v>41.738058000000002</v>
      </c>
      <c r="O141">
        <v>-112.162553</v>
      </c>
      <c r="P141">
        <v>4286.7471429999996</v>
      </c>
      <c r="Q141">
        <v>1379</v>
      </c>
      <c r="R141">
        <v>0</v>
      </c>
    </row>
    <row r="142" spans="1:18" x14ac:dyDescent="0.25">
      <c r="A142">
        <v>141</v>
      </c>
      <c r="B142">
        <v>94</v>
      </c>
      <c r="C142">
        <v>483857</v>
      </c>
      <c r="D142" t="s">
        <v>83</v>
      </c>
      <c r="E142">
        <v>1.7909999999999999</v>
      </c>
      <c r="F142" t="s">
        <v>21</v>
      </c>
      <c r="G142" t="s">
        <v>26</v>
      </c>
      <c r="H142" t="s">
        <v>21</v>
      </c>
      <c r="I142" t="s">
        <v>20</v>
      </c>
      <c r="J142" t="s">
        <v>20</v>
      </c>
      <c r="K142" t="s">
        <v>22</v>
      </c>
      <c r="L142" t="s">
        <v>84</v>
      </c>
      <c r="M142" t="s">
        <v>85</v>
      </c>
      <c r="N142">
        <v>40.402309000000002</v>
      </c>
      <c r="O142">
        <v>-111.792952</v>
      </c>
      <c r="P142">
        <v>4728.6004800000001</v>
      </c>
      <c r="Q142">
        <v>319</v>
      </c>
      <c r="R142">
        <v>0</v>
      </c>
    </row>
    <row r="143" spans="1:18" x14ac:dyDescent="0.25">
      <c r="A143">
        <v>142</v>
      </c>
      <c r="B143">
        <v>94</v>
      </c>
      <c r="C143">
        <v>31310015</v>
      </c>
      <c r="D143" t="s">
        <v>215</v>
      </c>
      <c r="E143">
        <v>1.7909999999999999</v>
      </c>
      <c r="F143" t="s">
        <v>21</v>
      </c>
      <c r="G143" t="s">
        <v>26</v>
      </c>
      <c r="H143" t="s">
        <v>21</v>
      </c>
      <c r="I143" t="s">
        <v>20</v>
      </c>
      <c r="J143" t="s">
        <v>20</v>
      </c>
      <c r="K143" t="s">
        <v>22</v>
      </c>
      <c r="L143" t="s">
        <v>23</v>
      </c>
      <c r="M143" t="s">
        <v>85</v>
      </c>
      <c r="N143">
        <v>40.237163000000002</v>
      </c>
      <c r="O143">
        <v>-111.69475</v>
      </c>
      <c r="P143">
        <v>4467.6378930000001</v>
      </c>
      <c r="Q143">
        <v>330</v>
      </c>
      <c r="R143">
        <v>0</v>
      </c>
    </row>
    <row r="144" spans="1:18" x14ac:dyDescent="0.25">
      <c r="A144">
        <v>143</v>
      </c>
      <c r="B144">
        <v>94</v>
      </c>
      <c r="C144">
        <v>517940</v>
      </c>
      <c r="D144" t="s">
        <v>44</v>
      </c>
      <c r="E144">
        <v>1.7909999999999999</v>
      </c>
      <c r="F144" t="s">
        <v>21</v>
      </c>
      <c r="G144" t="s">
        <v>26</v>
      </c>
      <c r="H144" t="s">
        <v>21</v>
      </c>
      <c r="I144" t="s">
        <v>20</v>
      </c>
      <c r="J144" t="s">
        <v>20</v>
      </c>
      <c r="K144" t="s">
        <v>41</v>
      </c>
      <c r="L144" t="s">
        <v>45</v>
      </c>
      <c r="M144" t="s">
        <v>46</v>
      </c>
      <c r="N144">
        <v>40.903382000000001</v>
      </c>
      <c r="O144">
        <v>-111.878998</v>
      </c>
      <c r="P144">
        <v>4257.6171329999997</v>
      </c>
      <c r="Q144">
        <v>1395</v>
      </c>
      <c r="R144">
        <v>0</v>
      </c>
    </row>
    <row r="145" spans="1:18" x14ac:dyDescent="0.25">
      <c r="A145">
        <v>144</v>
      </c>
      <c r="B145">
        <v>94</v>
      </c>
      <c r="C145">
        <v>31422284</v>
      </c>
      <c r="D145" t="s">
        <v>107</v>
      </c>
      <c r="E145">
        <v>1.7949999999999999</v>
      </c>
      <c r="F145" t="s">
        <v>21</v>
      </c>
      <c r="G145" t="s">
        <v>26</v>
      </c>
      <c r="H145" t="s">
        <v>21</v>
      </c>
      <c r="I145" t="s">
        <v>20</v>
      </c>
      <c r="J145" t="s">
        <v>20</v>
      </c>
      <c r="K145" t="s">
        <v>41</v>
      </c>
      <c r="L145" t="s">
        <v>81</v>
      </c>
      <c r="M145" t="s">
        <v>93</v>
      </c>
      <c r="N145">
        <v>41.218671999999998</v>
      </c>
      <c r="O145">
        <v>-111.978932</v>
      </c>
      <c r="P145">
        <v>4244.7087449999999</v>
      </c>
      <c r="Q145">
        <v>413</v>
      </c>
      <c r="R145">
        <v>0</v>
      </c>
    </row>
    <row r="146" spans="1:18" x14ac:dyDescent="0.25">
      <c r="A146">
        <v>145</v>
      </c>
      <c r="B146">
        <v>94</v>
      </c>
      <c r="C146">
        <v>1257537</v>
      </c>
      <c r="D146" t="s">
        <v>128</v>
      </c>
      <c r="E146">
        <v>1.8</v>
      </c>
      <c r="F146" t="s">
        <v>21</v>
      </c>
      <c r="G146" t="s">
        <v>26</v>
      </c>
      <c r="H146" t="s">
        <v>21</v>
      </c>
      <c r="I146" t="s">
        <v>20</v>
      </c>
      <c r="J146" t="s">
        <v>20</v>
      </c>
      <c r="K146" t="s">
        <v>41</v>
      </c>
      <c r="L146" t="s">
        <v>42</v>
      </c>
      <c r="M146" t="s">
        <v>73</v>
      </c>
      <c r="N146">
        <v>41.723647</v>
      </c>
      <c r="O146">
        <v>-111.85999099999999</v>
      </c>
      <c r="P146">
        <v>4415.7539409999999</v>
      </c>
      <c r="Q146">
        <v>5943</v>
      </c>
      <c r="R146">
        <v>0</v>
      </c>
    </row>
    <row r="147" spans="1:18" x14ac:dyDescent="0.25">
      <c r="A147">
        <v>146</v>
      </c>
      <c r="B147">
        <v>94</v>
      </c>
      <c r="C147">
        <v>31508625</v>
      </c>
      <c r="D147" t="s">
        <v>132</v>
      </c>
      <c r="E147">
        <v>1.8009999999999999</v>
      </c>
      <c r="F147" t="s">
        <v>21</v>
      </c>
      <c r="G147" t="s">
        <v>20</v>
      </c>
      <c r="H147" t="s">
        <v>21</v>
      </c>
      <c r="I147" t="s">
        <v>20</v>
      </c>
      <c r="J147" t="s">
        <v>20</v>
      </c>
      <c r="K147" t="s">
        <v>22</v>
      </c>
      <c r="L147" t="s">
        <v>133</v>
      </c>
      <c r="M147" t="s">
        <v>134</v>
      </c>
      <c r="N147">
        <v>40.316547</v>
      </c>
      <c r="O147">
        <v>-110.01336999999999</v>
      </c>
      <c r="P147">
        <v>5115.351627</v>
      </c>
      <c r="Q147">
        <v>1405</v>
      </c>
      <c r="R147">
        <v>0</v>
      </c>
    </row>
    <row r="148" spans="1:18" x14ac:dyDescent="0.25">
      <c r="A148">
        <v>147</v>
      </c>
      <c r="B148">
        <v>94</v>
      </c>
      <c r="C148">
        <v>31784797</v>
      </c>
      <c r="D148" t="s">
        <v>61</v>
      </c>
      <c r="E148">
        <v>1.4530000000000001</v>
      </c>
      <c r="F148" t="s">
        <v>21</v>
      </c>
      <c r="G148" t="s">
        <v>26</v>
      </c>
      <c r="H148" t="s">
        <v>21</v>
      </c>
      <c r="I148" t="s">
        <v>20</v>
      </c>
      <c r="J148" t="s">
        <v>20</v>
      </c>
      <c r="K148" t="s">
        <v>22</v>
      </c>
      <c r="L148" t="s">
        <v>23</v>
      </c>
      <c r="M148" t="s">
        <v>62</v>
      </c>
      <c r="N148">
        <v>40.227055</v>
      </c>
      <c r="O148">
        <v>-111.658726</v>
      </c>
      <c r="P148">
        <v>4466.9324610000003</v>
      </c>
      <c r="Q148">
        <v>403</v>
      </c>
      <c r="R148">
        <v>0</v>
      </c>
    </row>
    <row r="149" spans="1:18" x14ac:dyDescent="0.25">
      <c r="A149">
        <v>148</v>
      </c>
      <c r="B149">
        <v>94</v>
      </c>
      <c r="C149">
        <v>31429967</v>
      </c>
      <c r="D149" t="s">
        <v>216</v>
      </c>
      <c r="E149">
        <v>1.456</v>
      </c>
      <c r="F149" t="s">
        <v>21</v>
      </c>
      <c r="G149" t="s">
        <v>26</v>
      </c>
      <c r="H149" t="s">
        <v>21</v>
      </c>
      <c r="I149" t="s">
        <v>20</v>
      </c>
      <c r="J149" t="s">
        <v>20</v>
      </c>
      <c r="K149" t="s">
        <v>27</v>
      </c>
      <c r="L149" t="s">
        <v>158</v>
      </c>
      <c r="M149" t="s">
        <v>159</v>
      </c>
      <c r="N149">
        <v>39.666572000000002</v>
      </c>
      <c r="O149">
        <v>-110.856523</v>
      </c>
      <c r="P149">
        <v>5709.1374660000001</v>
      </c>
      <c r="Q149">
        <v>1428</v>
      </c>
      <c r="R149">
        <v>0</v>
      </c>
    </row>
    <row r="150" spans="1:18" x14ac:dyDescent="0.25">
      <c r="A150">
        <v>149</v>
      </c>
      <c r="B150">
        <v>94</v>
      </c>
      <c r="C150">
        <v>764954</v>
      </c>
      <c r="D150" t="s">
        <v>86</v>
      </c>
      <c r="E150">
        <v>1.458</v>
      </c>
      <c r="F150" t="s">
        <v>19</v>
      </c>
      <c r="G150" t="s">
        <v>20</v>
      </c>
      <c r="H150" t="s">
        <v>21</v>
      </c>
      <c r="I150" t="s">
        <v>20</v>
      </c>
      <c r="J150" t="s">
        <v>20</v>
      </c>
      <c r="K150" t="s">
        <v>41</v>
      </c>
      <c r="L150" t="s">
        <v>87</v>
      </c>
      <c r="M150" t="s">
        <v>58</v>
      </c>
      <c r="N150">
        <v>41.026288999999998</v>
      </c>
      <c r="O150">
        <v>-111.930347</v>
      </c>
      <c r="P150">
        <v>4334.0282429999997</v>
      </c>
      <c r="Q150">
        <v>258</v>
      </c>
      <c r="R150">
        <v>0</v>
      </c>
    </row>
    <row r="151" spans="1:18" x14ac:dyDescent="0.25">
      <c r="A151">
        <v>150</v>
      </c>
      <c r="B151">
        <v>94</v>
      </c>
      <c r="C151">
        <v>31400842</v>
      </c>
      <c r="D151" t="s">
        <v>63</v>
      </c>
      <c r="E151">
        <v>1.4590000000000001</v>
      </c>
      <c r="F151" t="s">
        <v>21</v>
      </c>
      <c r="G151" t="s">
        <v>26</v>
      </c>
      <c r="H151" t="s">
        <v>21</v>
      </c>
      <c r="I151" t="s">
        <v>20</v>
      </c>
      <c r="J151" t="s">
        <v>20</v>
      </c>
      <c r="K151" t="s">
        <v>27</v>
      </c>
      <c r="L151" t="s">
        <v>64</v>
      </c>
      <c r="M151" t="s">
        <v>29</v>
      </c>
      <c r="N151">
        <v>38.208362000000001</v>
      </c>
      <c r="O151">
        <v>-112.198087</v>
      </c>
      <c r="P151">
        <v>5956.019569</v>
      </c>
      <c r="Q151">
        <v>1365</v>
      </c>
      <c r="R151">
        <v>0</v>
      </c>
    </row>
    <row r="152" spans="1:18" x14ac:dyDescent="0.25">
      <c r="A152">
        <v>151</v>
      </c>
      <c r="B152">
        <v>94</v>
      </c>
      <c r="C152">
        <v>31444902</v>
      </c>
      <c r="D152" t="s">
        <v>91</v>
      </c>
      <c r="E152">
        <v>3.476</v>
      </c>
      <c r="F152" t="s">
        <v>21</v>
      </c>
      <c r="G152" t="s">
        <v>20</v>
      </c>
      <c r="H152" t="s">
        <v>21</v>
      </c>
      <c r="I152" t="s">
        <v>20</v>
      </c>
      <c r="J152" t="s">
        <v>20</v>
      </c>
      <c r="K152" t="s">
        <v>41</v>
      </c>
      <c r="L152" t="s">
        <v>42</v>
      </c>
      <c r="M152" t="s">
        <v>73</v>
      </c>
      <c r="N152">
        <v>41.661845</v>
      </c>
      <c r="O152">
        <v>-111.947318</v>
      </c>
      <c r="P152">
        <v>4513.6183570000003</v>
      </c>
      <c r="Q152">
        <v>1339</v>
      </c>
      <c r="R152">
        <v>0</v>
      </c>
    </row>
    <row r="153" spans="1:18" x14ac:dyDescent="0.25">
      <c r="A153">
        <v>152</v>
      </c>
      <c r="B153">
        <v>94</v>
      </c>
      <c r="C153">
        <v>1740607</v>
      </c>
      <c r="D153" t="s">
        <v>197</v>
      </c>
      <c r="E153">
        <v>3.4809999999999999</v>
      </c>
      <c r="F153" t="s">
        <v>21</v>
      </c>
      <c r="G153" t="s">
        <v>20</v>
      </c>
      <c r="H153" t="s">
        <v>21</v>
      </c>
      <c r="I153" t="s">
        <v>20</v>
      </c>
      <c r="J153" t="s">
        <v>20</v>
      </c>
      <c r="K153" t="s">
        <v>22</v>
      </c>
      <c r="L153" t="s">
        <v>198</v>
      </c>
      <c r="M153" t="s">
        <v>125</v>
      </c>
      <c r="N153">
        <v>40.004438999999998</v>
      </c>
      <c r="O153">
        <v>-111.805543</v>
      </c>
      <c r="P153">
        <v>4722.5134289999996</v>
      </c>
      <c r="Q153">
        <v>1416</v>
      </c>
      <c r="R153">
        <v>0</v>
      </c>
    </row>
    <row r="154" spans="1:18" x14ac:dyDescent="0.25">
      <c r="A154">
        <v>153</v>
      </c>
      <c r="B154">
        <v>94</v>
      </c>
      <c r="C154">
        <v>27690448</v>
      </c>
      <c r="D154" t="s">
        <v>217</v>
      </c>
      <c r="E154">
        <v>3.4870000000000001</v>
      </c>
      <c r="F154" t="s">
        <v>21</v>
      </c>
      <c r="G154" t="s">
        <v>26</v>
      </c>
      <c r="H154" t="s">
        <v>21</v>
      </c>
      <c r="I154" t="s">
        <v>20</v>
      </c>
      <c r="J154" t="s">
        <v>20</v>
      </c>
      <c r="K154" t="s">
        <v>27</v>
      </c>
      <c r="L154" t="s">
        <v>72</v>
      </c>
      <c r="M154" t="s">
        <v>163</v>
      </c>
      <c r="N154">
        <v>37.128762000000002</v>
      </c>
      <c r="O154">
        <v>-113.602221</v>
      </c>
      <c r="P154">
        <v>2861.2407979999998</v>
      </c>
      <c r="Q154">
        <v>304</v>
      </c>
      <c r="R154">
        <v>0</v>
      </c>
    </row>
    <row r="155" spans="1:18" x14ac:dyDescent="0.25">
      <c r="A155">
        <v>154</v>
      </c>
      <c r="B155">
        <v>94</v>
      </c>
      <c r="C155">
        <v>31466423</v>
      </c>
      <c r="D155" t="s">
        <v>218</v>
      </c>
      <c r="E155">
        <v>3.4889999999999999</v>
      </c>
      <c r="F155" t="s">
        <v>21</v>
      </c>
      <c r="G155" t="s">
        <v>26</v>
      </c>
      <c r="H155" t="s">
        <v>21</v>
      </c>
      <c r="I155" t="s">
        <v>20</v>
      </c>
      <c r="J155" t="s">
        <v>20</v>
      </c>
      <c r="K155" t="s">
        <v>27</v>
      </c>
      <c r="L155" t="s">
        <v>183</v>
      </c>
      <c r="M155" t="s">
        <v>76</v>
      </c>
      <c r="N155">
        <v>39.020538000000002</v>
      </c>
      <c r="O155">
        <v>-111.849211</v>
      </c>
      <c r="P155">
        <v>5034.4571509999996</v>
      </c>
      <c r="Q155">
        <v>360</v>
      </c>
      <c r="R155">
        <v>0</v>
      </c>
    </row>
    <row r="156" spans="1:18" x14ac:dyDescent="0.25">
      <c r="A156">
        <v>155</v>
      </c>
      <c r="B156">
        <v>94</v>
      </c>
      <c r="C156">
        <v>1360331</v>
      </c>
      <c r="D156" t="s">
        <v>191</v>
      </c>
      <c r="E156">
        <v>3.49</v>
      </c>
      <c r="F156" t="s">
        <v>21</v>
      </c>
      <c r="G156" t="s">
        <v>26</v>
      </c>
      <c r="H156" t="s">
        <v>19</v>
      </c>
      <c r="I156">
        <v>37</v>
      </c>
      <c r="J156" t="s">
        <v>20</v>
      </c>
      <c r="K156" t="s">
        <v>41</v>
      </c>
      <c r="L156" t="s">
        <v>57</v>
      </c>
      <c r="M156" t="s">
        <v>190</v>
      </c>
      <c r="N156">
        <v>41.139828000000001</v>
      </c>
      <c r="O156">
        <v>-112.112533</v>
      </c>
      <c r="P156">
        <v>4182.0161850000004</v>
      </c>
      <c r="Q156">
        <v>329</v>
      </c>
      <c r="R156">
        <v>0</v>
      </c>
    </row>
    <row r="157" spans="1:18" x14ac:dyDescent="0.25">
      <c r="A157">
        <v>156</v>
      </c>
      <c r="B157">
        <v>94</v>
      </c>
      <c r="C157">
        <v>31385767</v>
      </c>
      <c r="D157" t="s">
        <v>184</v>
      </c>
      <c r="E157">
        <v>3.5</v>
      </c>
      <c r="F157" t="s">
        <v>19</v>
      </c>
      <c r="G157" t="s">
        <v>20</v>
      </c>
      <c r="H157" t="s">
        <v>21</v>
      </c>
      <c r="I157" t="s">
        <v>20</v>
      </c>
      <c r="J157" t="s">
        <v>20</v>
      </c>
      <c r="K157" t="s">
        <v>27</v>
      </c>
      <c r="L157" t="s">
        <v>54</v>
      </c>
      <c r="M157" t="s">
        <v>55</v>
      </c>
      <c r="N157">
        <v>37.695213000000003</v>
      </c>
      <c r="O157">
        <v>-113.06278</v>
      </c>
      <c r="P157">
        <v>5673.5667990000002</v>
      </c>
      <c r="Q157">
        <v>1410</v>
      </c>
      <c r="R157">
        <v>0</v>
      </c>
    </row>
    <row r="158" spans="1:18" x14ac:dyDescent="0.25">
      <c r="A158">
        <v>157</v>
      </c>
      <c r="B158">
        <v>94</v>
      </c>
      <c r="C158">
        <v>28509847</v>
      </c>
      <c r="D158" t="s">
        <v>219</v>
      </c>
      <c r="E158">
        <v>3.5019999999999998</v>
      </c>
      <c r="F158" t="s">
        <v>21</v>
      </c>
      <c r="G158" t="s">
        <v>26</v>
      </c>
      <c r="H158" t="s">
        <v>19</v>
      </c>
      <c r="I158">
        <v>261</v>
      </c>
      <c r="J158" t="s">
        <v>20</v>
      </c>
      <c r="K158" t="s">
        <v>27</v>
      </c>
      <c r="L158" t="s">
        <v>211</v>
      </c>
      <c r="M158" t="s">
        <v>212</v>
      </c>
      <c r="N158">
        <v>37.198815000000003</v>
      </c>
      <c r="O158">
        <v>-109.879087</v>
      </c>
      <c r="P158">
        <v>4613.752281</v>
      </c>
      <c r="Q158">
        <v>446</v>
      </c>
      <c r="R158">
        <v>0</v>
      </c>
    </row>
    <row r="159" spans="1:18" x14ac:dyDescent="0.25">
      <c r="A159">
        <v>158</v>
      </c>
      <c r="B159">
        <v>94</v>
      </c>
      <c r="C159">
        <v>31436656</v>
      </c>
      <c r="D159" t="s">
        <v>220</v>
      </c>
      <c r="E159">
        <v>29.440999999999999</v>
      </c>
      <c r="F159" t="s">
        <v>21</v>
      </c>
      <c r="G159" t="s">
        <v>26</v>
      </c>
      <c r="H159" t="s">
        <v>21</v>
      </c>
      <c r="I159" t="s">
        <v>20</v>
      </c>
      <c r="J159" t="s">
        <v>20</v>
      </c>
      <c r="K159" t="s">
        <v>27</v>
      </c>
      <c r="L159" t="s">
        <v>28</v>
      </c>
      <c r="M159" t="s">
        <v>29</v>
      </c>
      <c r="N159">
        <v>37.565269000000001</v>
      </c>
      <c r="O159">
        <v>-111.990934</v>
      </c>
      <c r="P159">
        <v>5966.8726280000001</v>
      </c>
      <c r="Q159">
        <v>1328</v>
      </c>
      <c r="R159">
        <v>0</v>
      </c>
    </row>
    <row r="160" spans="1:18" x14ac:dyDescent="0.25">
      <c r="A160">
        <v>159</v>
      </c>
      <c r="B160">
        <v>94</v>
      </c>
      <c r="C160">
        <v>31380024</v>
      </c>
      <c r="D160" t="s">
        <v>116</v>
      </c>
      <c r="E160">
        <v>29.449000000000002</v>
      </c>
      <c r="F160" t="s">
        <v>19</v>
      </c>
      <c r="G160" t="s">
        <v>20</v>
      </c>
      <c r="H160" t="s">
        <v>21</v>
      </c>
      <c r="I160" t="s">
        <v>20</v>
      </c>
      <c r="J160" t="s">
        <v>20</v>
      </c>
      <c r="K160" t="s">
        <v>41</v>
      </c>
      <c r="L160" t="s">
        <v>95</v>
      </c>
      <c r="M160" t="s">
        <v>117</v>
      </c>
      <c r="N160">
        <v>41.772398000000003</v>
      </c>
      <c r="O160">
        <v>-111.834087</v>
      </c>
      <c r="P160">
        <v>4438.2188599999999</v>
      </c>
      <c r="Q160">
        <v>324</v>
      </c>
      <c r="R160">
        <v>0</v>
      </c>
    </row>
    <row r="161" spans="1:18" x14ac:dyDescent="0.25">
      <c r="A161">
        <v>160</v>
      </c>
      <c r="B161">
        <v>94</v>
      </c>
      <c r="C161">
        <v>31424000</v>
      </c>
      <c r="D161" t="s">
        <v>221</v>
      </c>
      <c r="E161">
        <v>29.468</v>
      </c>
      <c r="F161" t="s">
        <v>21</v>
      </c>
      <c r="G161" t="s">
        <v>26</v>
      </c>
      <c r="H161" t="s">
        <v>21</v>
      </c>
      <c r="I161" t="s">
        <v>20</v>
      </c>
      <c r="J161" t="s">
        <v>20</v>
      </c>
      <c r="K161" t="s">
        <v>22</v>
      </c>
      <c r="L161" t="s">
        <v>155</v>
      </c>
      <c r="M161" t="s">
        <v>174</v>
      </c>
      <c r="N161">
        <v>39.551554000000003</v>
      </c>
      <c r="O161">
        <v>-111.86380699999999</v>
      </c>
      <c r="P161">
        <v>5260.3959029999996</v>
      </c>
      <c r="Q161">
        <v>1342</v>
      </c>
      <c r="R161">
        <v>0</v>
      </c>
    </row>
    <row r="162" spans="1:18" x14ac:dyDescent="0.25">
      <c r="A162">
        <v>161</v>
      </c>
      <c r="B162">
        <v>94</v>
      </c>
      <c r="C162" t="s">
        <v>222</v>
      </c>
      <c r="D162" t="s">
        <v>176</v>
      </c>
      <c r="E162">
        <v>29.484999999999999</v>
      </c>
      <c r="F162" t="s">
        <v>21</v>
      </c>
      <c r="G162" t="s">
        <v>26</v>
      </c>
      <c r="H162" t="s">
        <v>21</v>
      </c>
      <c r="I162" t="s">
        <v>20</v>
      </c>
      <c r="J162" t="s">
        <v>20</v>
      </c>
      <c r="K162" t="s">
        <v>41</v>
      </c>
      <c r="L162" t="s">
        <v>223</v>
      </c>
      <c r="M162" t="s">
        <v>178</v>
      </c>
      <c r="N162">
        <v>41.845314999999999</v>
      </c>
      <c r="O162">
        <v>-112.146376</v>
      </c>
      <c r="P162">
        <v>4338.2423419999996</v>
      </c>
      <c r="Q162">
        <v>1329</v>
      </c>
      <c r="R162">
        <v>0</v>
      </c>
    </row>
    <row r="163" spans="1:18" x14ac:dyDescent="0.25">
      <c r="A163">
        <v>162</v>
      </c>
      <c r="B163">
        <v>94</v>
      </c>
      <c r="C163">
        <v>31411226</v>
      </c>
      <c r="D163" t="s">
        <v>224</v>
      </c>
      <c r="E163">
        <v>9.2940000000000005</v>
      </c>
      <c r="F163" t="s">
        <v>21</v>
      </c>
      <c r="G163" t="s">
        <v>26</v>
      </c>
      <c r="H163" t="s">
        <v>21</v>
      </c>
      <c r="I163" t="s">
        <v>20</v>
      </c>
      <c r="J163" t="s">
        <v>20</v>
      </c>
      <c r="K163" t="s">
        <v>22</v>
      </c>
      <c r="L163" t="s">
        <v>198</v>
      </c>
      <c r="M163" t="s">
        <v>194</v>
      </c>
      <c r="N163">
        <v>40.063220000000001</v>
      </c>
      <c r="O163">
        <v>-111.66733499999999</v>
      </c>
      <c r="P163">
        <v>4536.5733440000004</v>
      </c>
      <c r="Q163">
        <v>408</v>
      </c>
      <c r="R163">
        <v>0</v>
      </c>
    </row>
    <row r="164" spans="1:18" x14ac:dyDescent="0.25">
      <c r="A164">
        <v>163</v>
      </c>
      <c r="B164">
        <v>94</v>
      </c>
      <c r="C164">
        <v>540845</v>
      </c>
      <c r="D164" t="s">
        <v>44</v>
      </c>
      <c r="E164">
        <v>9.2959999999999994</v>
      </c>
      <c r="F164" t="s">
        <v>21</v>
      </c>
      <c r="G164" t="s">
        <v>26</v>
      </c>
      <c r="H164" t="s">
        <v>21</v>
      </c>
      <c r="I164" t="s">
        <v>20</v>
      </c>
      <c r="J164" t="s">
        <v>20</v>
      </c>
      <c r="K164" t="s">
        <v>41</v>
      </c>
      <c r="L164" t="s">
        <v>87</v>
      </c>
      <c r="M164" t="s">
        <v>46</v>
      </c>
      <c r="N164">
        <v>41.000793999999999</v>
      </c>
      <c r="O164">
        <v>-111.90562199999999</v>
      </c>
      <c r="P164">
        <v>4228.3016660000003</v>
      </c>
      <c r="Q164">
        <v>1395</v>
      </c>
      <c r="R164">
        <v>0</v>
      </c>
    </row>
    <row r="165" spans="1:18" x14ac:dyDescent="0.25">
      <c r="A165">
        <v>164</v>
      </c>
      <c r="B165">
        <v>94</v>
      </c>
      <c r="C165" t="e">
        <f>-JX8nbg-GJqxEuPXKTneMF</f>
        <v>#NAME?</v>
      </c>
      <c r="D165" t="s">
        <v>225</v>
      </c>
      <c r="E165">
        <v>9.2970000000000006</v>
      </c>
      <c r="F165" t="s">
        <v>21</v>
      </c>
      <c r="G165" t="s">
        <v>20</v>
      </c>
      <c r="H165" t="s">
        <v>21</v>
      </c>
      <c r="I165" t="s">
        <v>20</v>
      </c>
      <c r="J165" t="s">
        <v>20</v>
      </c>
      <c r="K165" t="s">
        <v>27</v>
      </c>
      <c r="L165" t="s">
        <v>146</v>
      </c>
      <c r="M165" t="s">
        <v>226</v>
      </c>
      <c r="N165">
        <v>37.995438</v>
      </c>
      <c r="O165">
        <v>-109.480204</v>
      </c>
      <c r="P165">
        <v>6552.9278039999999</v>
      </c>
      <c r="Q165">
        <v>355</v>
      </c>
      <c r="R165">
        <v>0</v>
      </c>
    </row>
    <row r="166" spans="1:18" x14ac:dyDescent="0.25">
      <c r="A166">
        <v>165</v>
      </c>
      <c r="B166">
        <v>94</v>
      </c>
      <c r="C166">
        <v>31634887</v>
      </c>
      <c r="D166" t="s">
        <v>227</v>
      </c>
      <c r="E166">
        <v>9.2989999999999995</v>
      </c>
      <c r="F166" t="s">
        <v>21</v>
      </c>
      <c r="G166" t="s">
        <v>26</v>
      </c>
      <c r="H166" t="s">
        <v>21</v>
      </c>
      <c r="I166" t="s">
        <v>20</v>
      </c>
      <c r="J166" t="s">
        <v>20</v>
      </c>
      <c r="K166" t="s">
        <v>27</v>
      </c>
      <c r="L166" t="s">
        <v>158</v>
      </c>
      <c r="M166" t="s">
        <v>190</v>
      </c>
      <c r="N166">
        <v>39.54618</v>
      </c>
      <c r="O166">
        <v>-110.40427699999999</v>
      </c>
      <c r="P166">
        <v>6317.3386460000002</v>
      </c>
      <c r="Q166">
        <v>1407</v>
      </c>
      <c r="R166">
        <v>0</v>
      </c>
    </row>
    <row r="167" spans="1:18" x14ac:dyDescent="0.25">
      <c r="A167">
        <v>166</v>
      </c>
      <c r="B167">
        <v>94</v>
      </c>
      <c r="C167">
        <v>31531328</v>
      </c>
      <c r="D167" t="s">
        <v>228</v>
      </c>
      <c r="E167">
        <v>9.3119999999999994</v>
      </c>
      <c r="F167" t="s">
        <v>21</v>
      </c>
      <c r="G167" t="s">
        <v>26</v>
      </c>
      <c r="H167" t="s">
        <v>21</v>
      </c>
      <c r="I167" t="s">
        <v>20</v>
      </c>
      <c r="J167" t="s">
        <v>20</v>
      </c>
      <c r="K167" t="s">
        <v>22</v>
      </c>
      <c r="L167" t="s">
        <v>155</v>
      </c>
      <c r="M167" t="s">
        <v>76</v>
      </c>
      <c r="N167">
        <v>39.558861999999998</v>
      </c>
      <c r="O167">
        <v>-111.865769</v>
      </c>
      <c r="P167">
        <v>5241.3825989999996</v>
      </c>
      <c r="Q167">
        <v>320</v>
      </c>
      <c r="R167">
        <v>0</v>
      </c>
    </row>
    <row r="168" spans="1:18" x14ac:dyDescent="0.25">
      <c r="A168">
        <v>167</v>
      </c>
      <c r="B168">
        <v>94</v>
      </c>
      <c r="C168">
        <v>31367566</v>
      </c>
      <c r="D168" t="s">
        <v>229</v>
      </c>
      <c r="E168">
        <v>9.3160000000000007</v>
      </c>
      <c r="F168" t="s">
        <v>21</v>
      </c>
      <c r="G168" t="s">
        <v>26</v>
      </c>
      <c r="H168" t="s">
        <v>21</v>
      </c>
      <c r="I168" t="s">
        <v>20</v>
      </c>
      <c r="J168" t="s">
        <v>20</v>
      </c>
      <c r="K168" t="s">
        <v>27</v>
      </c>
      <c r="L168" t="s">
        <v>230</v>
      </c>
      <c r="M168" t="s">
        <v>82</v>
      </c>
      <c r="N168">
        <v>39.493284000000003</v>
      </c>
      <c r="O168">
        <v>-111.494293</v>
      </c>
      <c r="P168">
        <v>5728.2441950000002</v>
      </c>
      <c r="Q168">
        <v>331</v>
      </c>
      <c r="R168">
        <v>0</v>
      </c>
    </row>
    <row r="169" spans="1:18" x14ac:dyDescent="0.25">
      <c r="A169">
        <v>168</v>
      </c>
      <c r="B169">
        <v>94</v>
      </c>
      <c r="C169">
        <v>31527028</v>
      </c>
      <c r="D169" t="s">
        <v>231</v>
      </c>
      <c r="E169">
        <v>9.3160000000000007</v>
      </c>
      <c r="F169" t="s">
        <v>21</v>
      </c>
      <c r="G169" t="s">
        <v>26</v>
      </c>
      <c r="H169" t="s">
        <v>21</v>
      </c>
      <c r="I169" t="s">
        <v>20</v>
      </c>
      <c r="J169" t="s">
        <v>20</v>
      </c>
      <c r="K169" t="s">
        <v>41</v>
      </c>
      <c r="L169" t="s">
        <v>57</v>
      </c>
      <c r="M169" t="s">
        <v>93</v>
      </c>
      <c r="N169">
        <v>41.170090000000002</v>
      </c>
      <c r="O169">
        <v>-112.025997</v>
      </c>
      <c r="P169">
        <v>4484.4990079999998</v>
      </c>
      <c r="Q169">
        <v>1409</v>
      </c>
      <c r="R169">
        <v>0</v>
      </c>
    </row>
    <row r="170" spans="1:18" x14ac:dyDescent="0.25">
      <c r="A170">
        <v>169</v>
      </c>
      <c r="B170">
        <v>94</v>
      </c>
      <c r="C170">
        <v>1691629</v>
      </c>
      <c r="D170" t="s">
        <v>100</v>
      </c>
      <c r="E170">
        <v>9.3160000000000007</v>
      </c>
      <c r="F170" t="s">
        <v>21</v>
      </c>
      <c r="G170" t="s">
        <v>26</v>
      </c>
      <c r="H170" t="s">
        <v>21</v>
      </c>
      <c r="I170" t="s">
        <v>20</v>
      </c>
      <c r="J170" t="s">
        <v>20</v>
      </c>
      <c r="K170" t="s">
        <v>41</v>
      </c>
      <c r="L170" t="s">
        <v>57</v>
      </c>
      <c r="M170" t="s">
        <v>46</v>
      </c>
      <c r="N170">
        <v>41.166035000000001</v>
      </c>
      <c r="O170">
        <v>-112.064421</v>
      </c>
      <c r="P170">
        <v>4249.0200750000004</v>
      </c>
      <c r="Q170">
        <v>1396</v>
      </c>
      <c r="R170">
        <v>0</v>
      </c>
    </row>
    <row r="171" spans="1:18" x14ac:dyDescent="0.25">
      <c r="A171">
        <v>170</v>
      </c>
      <c r="B171">
        <v>94</v>
      </c>
      <c r="C171">
        <v>31608676</v>
      </c>
      <c r="D171" t="s">
        <v>232</v>
      </c>
      <c r="E171">
        <v>9.3219999999999992</v>
      </c>
      <c r="F171" t="s">
        <v>21</v>
      </c>
      <c r="G171" t="s">
        <v>26</v>
      </c>
      <c r="H171" t="s">
        <v>21</v>
      </c>
      <c r="I171" t="s">
        <v>20</v>
      </c>
      <c r="J171" t="s">
        <v>20</v>
      </c>
      <c r="K171" t="s">
        <v>31</v>
      </c>
      <c r="L171" t="s">
        <v>130</v>
      </c>
      <c r="M171" t="s">
        <v>131</v>
      </c>
      <c r="N171">
        <v>40.634053999999999</v>
      </c>
      <c r="O171">
        <v>-111.377731</v>
      </c>
      <c r="P171">
        <v>6939.8778309999998</v>
      </c>
      <c r="Q171">
        <v>1279</v>
      </c>
      <c r="R171">
        <v>0</v>
      </c>
    </row>
    <row r="172" spans="1:18" x14ac:dyDescent="0.25">
      <c r="A172">
        <v>171</v>
      </c>
      <c r="B172">
        <v>94</v>
      </c>
      <c r="C172">
        <v>28162543</v>
      </c>
      <c r="D172" t="s">
        <v>233</v>
      </c>
      <c r="E172">
        <v>9.3239999999999998</v>
      </c>
      <c r="F172" t="s">
        <v>21</v>
      </c>
      <c r="G172" t="s">
        <v>26</v>
      </c>
      <c r="H172" t="s">
        <v>21</v>
      </c>
      <c r="I172" t="s">
        <v>20</v>
      </c>
      <c r="J172" t="s">
        <v>20</v>
      </c>
      <c r="K172" t="s">
        <v>22</v>
      </c>
      <c r="L172" t="s">
        <v>234</v>
      </c>
      <c r="M172" t="s">
        <v>235</v>
      </c>
      <c r="N172">
        <v>40.077008999999997</v>
      </c>
      <c r="O172">
        <v>-109.20921199999999</v>
      </c>
      <c r="P172">
        <v>5272.3118610000001</v>
      </c>
      <c r="Q172">
        <v>1354</v>
      </c>
      <c r="R172">
        <v>0</v>
      </c>
    </row>
    <row r="173" spans="1:18" x14ac:dyDescent="0.25">
      <c r="A173">
        <v>172</v>
      </c>
      <c r="B173">
        <v>94</v>
      </c>
      <c r="C173">
        <v>809977</v>
      </c>
      <c r="D173" t="s">
        <v>236</v>
      </c>
      <c r="E173">
        <v>9.327</v>
      </c>
      <c r="F173" t="s">
        <v>21</v>
      </c>
      <c r="G173" t="s">
        <v>26</v>
      </c>
      <c r="H173" t="s">
        <v>21</v>
      </c>
      <c r="I173" t="s">
        <v>20</v>
      </c>
      <c r="J173" t="s">
        <v>20</v>
      </c>
      <c r="K173" t="s">
        <v>31</v>
      </c>
      <c r="L173" t="s">
        <v>78</v>
      </c>
      <c r="M173" t="s">
        <v>79</v>
      </c>
      <c r="N173">
        <v>40.699741000000003</v>
      </c>
      <c r="O173">
        <v>-112.091838</v>
      </c>
      <c r="P173">
        <v>4318.5563080000002</v>
      </c>
      <c r="Q173">
        <v>1398</v>
      </c>
      <c r="R173">
        <v>0</v>
      </c>
    </row>
    <row r="174" spans="1:18" x14ac:dyDescent="0.25">
      <c r="A174">
        <v>173</v>
      </c>
      <c r="B174">
        <v>94</v>
      </c>
      <c r="C174">
        <v>580227</v>
      </c>
      <c r="D174" t="s">
        <v>115</v>
      </c>
      <c r="E174">
        <v>9.3279999999999994</v>
      </c>
      <c r="F174" t="s">
        <v>19</v>
      </c>
      <c r="G174" t="s">
        <v>20</v>
      </c>
      <c r="H174" t="s">
        <v>21</v>
      </c>
      <c r="I174" t="s">
        <v>20</v>
      </c>
      <c r="J174" t="s">
        <v>20</v>
      </c>
      <c r="K174" t="s">
        <v>31</v>
      </c>
      <c r="L174" t="s">
        <v>69</v>
      </c>
      <c r="M174" t="s">
        <v>70</v>
      </c>
      <c r="N174">
        <v>40.654907000000001</v>
      </c>
      <c r="O174">
        <v>-111.899946</v>
      </c>
      <c r="P174">
        <v>4250.8643069999998</v>
      </c>
      <c r="Q174">
        <v>1437</v>
      </c>
      <c r="R174">
        <v>0</v>
      </c>
    </row>
    <row r="175" spans="1:18" x14ac:dyDescent="0.25">
      <c r="A175">
        <v>174</v>
      </c>
      <c r="B175">
        <v>94</v>
      </c>
      <c r="C175">
        <v>31565245</v>
      </c>
      <c r="D175" t="s">
        <v>237</v>
      </c>
      <c r="E175">
        <v>9.3320000000000007</v>
      </c>
      <c r="F175" t="s">
        <v>21</v>
      </c>
      <c r="G175" t="s">
        <v>20</v>
      </c>
      <c r="H175" t="s">
        <v>21</v>
      </c>
      <c r="I175" t="s">
        <v>20</v>
      </c>
      <c r="J175" t="s">
        <v>20</v>
      </c>
      <c r="K175" t="s">
        <v>27</v>
      </c>
      <c r="L175" t="s">
        <v>38</v>
      </c>
      <c r="M175" t="s">
        <v>238</v>
      </c>
      <c r="N175">
        <v>38.533363999999999</v>
      </c>
      <c r="O175">
        <v>-109.60756000000001</v>
      </c>
      <c r="P175">
        <v>3892.794167</v>
      </c>
      <c r="Q175">
        <v>434</v>
      </c>
      <c r="R175">
        <v>0</v>
      </c>
    </row>
    <row r="176" spans="1:18" x14ac:dyDescent="0.25">
      <c r="A176">
        <v>175</v>
      </c>
      <c r="B176">
        <v>94</v>
      </c>
      <c r="C176">
        <v>31291539</v>
      </c>
      <c r="D176" t="s">
        <v>126</v>
      </c>
      <c r="E176">
        <v>9.3480000000000008</v>
      </c>
      <c r="F176" t="s">
        <v>21</v>
      </c>
      <c r="G176" t="s">
        <v>26</v>
      </c>
      <c r="H176" t="s">
        <v>21</v>
      </c>
      <c r="I176" t="s">
        <v>20</v>
      </c>
      <c r="J176" t="s">
        <v>20</v>
      </c>
      <c r="K176" t="s">
        <v>41</v>
      </c>
      <c r="L176" t="s">
        <v>57</v>
      </c>
      <c r="M176" t="s">
        <v>93</v>
      </c>
      <c r="N176">
        <v>41.305101000000001</v>
      </c>
      <c r="O176">
        <v>-112.06350999999999</v>
      </c>
      <c r="P176">
        <v>4185.9367069999998</v>
      </c>
      <c r="Q176">
        <v>1412</v>
      </c>
      <c r="R176">
        <v>0</v>
      </c>
    </row>
    <row r="177" spans="1:18" x14ac:dyDescent="0.25">
      <c r="A177">
        <v>176</v>
      </c>
      <c r="B177">
        <v>94</v>
      </c>
      <c r="C177">
        <v>31367200</v>
      </c>
      <c r="D177" t="s">
        <v>229</v>
      </c>
      <c r="E177">
        <v>8.5410000000000004</v>
      </c>
      <c r="F177" t="s">
        <v>21</v>
      </c>
      <c r="G177" t="s">
        <v>26</v>
      </c>
      <c r="H177" t="s">
        <v>21</v>
      </c>
      <c r="I177" t="s">
        <v>20</v>
      </c>
      <c r="J177" t="s">
        <v>20</v>
      </c>
      <c r="K177" t="s">
        <v>27</v>
      </c>
      <c r="L177" t="s">
        <v>230</v>
      </c>
      <c r="M177" t="s">
        <v>82</v>
      </c>
      <c r="N177">
        <v>39.482362999999999</v>
      </c>
      <c r="O177">
        <v>-111.496081</v>
      </c>
      <c r="P177">
        <v>5763.688803</v>
      </c>
      <c r="Q177">
        <v>331</v>
      </c>
      <c r="R177">
        <v>0</v>
      </c>
    </row>
    <row r="178" spans="1:18" x14ac:dyDescent="0.25">
      <c r="A178">
        <v>177</v>
      </c>
      <c r="B178">
        <v>94</v>
      </c>
      <c r="C178">
        <v>31391266</v>
      </c>
      <c r="D178" t="s">
        <v>124</v>
      </c>
      <c r="E178">
        <v>8.548</v>
      </c>
      <c r="F178" t="s">
        <v>21</v>
      </c>
      <c r="G178" t="s">
        <v>26</v>
      </c>
      <c r="H178" t="s">
        <v>21</v>
      </c>
      <c r="I178" t="s">
        <v>20</v>
      </c>
      <c r="J178" t="s">
        <v>20</v>
      </c>
      <c r="K178" t="s">
        <v>22</v>
      </c>
      <c r="L178" t="s">
        <v>193</v>
      </c>
      <c r="M178" t="s">
        <v>194</v>
      </c>
      <c r="N178">
        <v>40.076064000000002</v>
      </c>
      <c r="O178">
        <v>-111.95867200000001</v>
      </c>
      <c r="P178">
        <v>4544.8058700000001</v>
      </c>
      <c r="Q178">
        <v>1368</v>
      </c>
      <c r="R178">
        <v>0</v>
      </c>
    </row>
    <row r="179" spans="1:18" x14ac:dyDescent="0.25">
      <c r="A179">
        <v>178</v>
      </c>
      <c r="B179">
        <v>94</v>
      </c>
      <c r="C179">
        <v>31639133</v>
      </c>
      <c r="D179" t="s">
        <v>239</v>
      </c>
      <c r="E179">
        <v>8.5519999999999996</v>
      </c>
      <c r="F179" t="s">
        <v>21</v>
      </c>
      <c r="G179" t="s">
        <v>26</v>
      </c>
      <c r="H179" t="s">
        <v>21</v>
      </c>
      <c r="I179" t="s">
        <v>20</v>
      </c>
      <c r="J179" t="s">
        <v>20</v>
      </c>
      <c r="K179" t="s">
        <v>41</v>
      </c>
      <c r="L179" t="s">
        <v>181</v>
      </c>
      <c r="M179" t="s">
        <v>178</v>
      </c>
      <c r="N179">
        <v>41.693485000000003</v>
      </c>
      <c r="O179">
        <v>-112.295001</v>
      </c>
      <c r="P179">
        <v>4281.3165479999998</v>
      </c>
      <c r="Q179">
        <v>1392</v>
      </c>
      <c r="R179">
        <v>0</v>
      </c>
    </row>
    <row r="180" spans="1:18" x14ac:dyDescent="0.25">
      <c r="A180">
        <v>179</v>
      </c>
      <c r="B180">
        <v>94</v>
      </c>
      <c r="C180">
        <v>31633183</v>
      </c>
      <c r="D180" t="s">
        <v>227</v>
      </c>
      <c r="E180">
        <v>8.5570000000000004</v>
      </c>
      <c r="F180" t="s">
        <v>21</v>
      </c>
      <c r="G180" t="s">
        <v>26</v>
      </c>
      <c r="H180" t="s">
        <v>21</v>
      </c>
      <c r="I180" t="s">
        <v>20</v>
      </c>
      <c r="J180" t="s">
        <v>20</v>
      </c>
      <c r="K180" t="s">
        <v>27</v>
      </c>
      <c r="L180" t="s">
        <v>158</v>
      </c>
      <c r="M180" t="s">
        <v>190</v>
      </c>
      <c r="N180">
        <v>39.542797999999998</v>
      </c>
      <c r="O180">
        <v>-110.417034</v>
      </c>
      <c r="P180">
        <v>6230.3190119999999</v>
      </c>
      <c r="Q180">
        <v>1407</v>
      </c>
      <c r="R180">
        <v>0</v>
      </c>
    </row>
    <row r="181" spans="1:18" x14ac:dyDescent="0.25">
      <c r="A181">
        <v>180</v>
      </c>
      <c r="B181">
        <v>94</v>
      </c>
      <c r="C181">
        <v>31195719</v>
      </c>
      <c r="D181" t="s">
        <v>126</v>
      </c>
      <c r="E181">
        <v>8.56</v>
      </c>
      <c r="F181" t="s">
        <v>21</v>
      </c>
      <c r="G181" t="s">
        <v>26</v>
      </c>
      <c r="H181" t="s">
        <v>21</v>
      </c>
      <c r="I181" t="s">
        <v>20</v>
      </c>
      <c r="J181" t="s">
        <v>20</v>
      </c>
      <c r="K181" t="s">
        <v>41</v>
      </c>
      <c r="L181" t="s">
        <v>57</v>
      </c>
      <c r="M181" t="s">
        <v>93</v>
      </c>
      <c r="N181">
        <v>41.305365000000002</v>
      </c>
      <c r="O181">
        <v>-112.078733</v>
      </c>
      <c r="P181">
        <v>4185.2633809999998</v>
      </c>
      <c r="Q181">
        <v>1412</v>
      </c>
      <c r="R181">
        <v>0</v>
      </c>
    </row>
    <row r="182" spans="1:18" x14ac:dyDescent="0.25">
      <c r="A182">
        <v>181</v>
      </c>
      <c r="B182">
        <v>94</v>
      </c>
      <c r="C182">
        <v>28230222</v>
      </c>
      <c r="D182" t="s">
        <v>240</v>
      </c>
      <c r="E182">
        <v>8.5619999999999994</v>
      </c>
      <c r="F182" t="s">
        <v>21</v>
      </c>
      <c r="G182" t="s">
        <v>26</v>
      </c>
      <c r="H182" t="s">
        <v>21</v>
      </c>
      <c r="I182" t="s">
        <v>20</v>
      </c>
      <c r="J182" t="s">
        <v>20</v>
      </c>
      <c r="K182" t="s">
        <v>27</v>
      </c>
      <c r="L182" t="s">
        <v>146</v>
      </c>
      <c r="M182" t="s">
        <v>147</v>
      </c>
      <c r="N182">
        <v>38.311245</v>
      </c>
      <c r="O182">
        <v>-109.25655399999999</v>
      </c>
      <c r="P182">
        <v>6885.5664749999996</v>
      </c>
      <c r="Q182">
        <v>1355</v>
      </c>
      <c r="R182">
        <v>0</v>
      </c>
    </row>
    <row r="183" spans="1:18" x14ac:dyDescent="0.25">
      <c r="A183">
        <v>182</v>
      </c>
      <c r="B183">
        <v>94</v>
      </c>
      <c r="C183">
        <v>31256545</v>
      </c>
      <c r="D183" t="s">
        <v>241</v>
      </c>
      <c r="E183">
        <v>8.5630000000000006</v>
      </c>
      <c r="F183" t="s">
        <v>21</v>
      </c>
      <c r="G183" t="s">
        <v>26</v>
      </c>
      <c r="H183" t="s">
        <v>21</v>
      </c>
      <c r="I183" t="s">
        <v>20</v>
      </c>
      <c r="J183" t="s">
        <v>20</v>
      </c>
      <c r="K183" t="s">
        <v>27</v>
      </c>
      <c r="L183" t="s">
        <v>242</v>
      </c>
      <c r="M183" t="s">
        <v>243</v>
      </c>
      <c r="N183">
        <v>38.877248000000002</v>
      </c>
      <c r="O183">
        <v>-111.290261</v>
      </c>
      <c r="P183">
        <v>5971.972941</v>
      </c>
      <c r="Q183">
        <v>1327</v>
      </c>
      <c r="R183">
        <v>0</v>
      </c>
    </row>
    <row r="184" spans="1:18" x14ac:dyDescent="0.25">
      <c r="A184">
        <v>183</v>
      </c>
      <c r="B184">
        <v>94</v>
      </c>
      <c r="C184">
        <v>31482014</v>
      </c>
      <c r="D184" t="s">
        <v>244</v>
      </c>
      <c r="E184">
        <v>8.5640000000000001</v>
      </c>
      <c r="F184" t="s">
        <v>21</v>
      </c>
      <c r="G184" t="s">
        <v>26</v>
      </c>
      <c r="H184" t="s">
        <v>21</v>
      </c>
      <c r="I184" t="s">
        <v>20</v>
      </c>
      <c r="J184" t="s">
        <v>20</v>
      </c>
      <c r="K184" t="s">
        <v>27</v>
      </c>
      <c r="L184" t="s">
        <v>75</v>
      </c>
      <c r="M184" t="s">
        <v>58</v>
      </c>
      <c r="N184">
        <v>38.859416000000003</v>
      </c>
      <c r="O184">
        <v>-111.965346</v>
      </c>
      <c r="P184">
        <v>5176.0604880000001</v>
      </c>
      <c r="Q184">
        <v>1340</v>
      </c>
      <c r="R184">
        <v>0</v>
      </c>
    </row>
    <row r="185" spans="1:18" x14ac:dyDescent="0.25">
      <c r="A185">
        <v>184</v>
      </c>
      <c r="B185">
        <v>94</v>
      </c>
      <c r="C185">
        <v>1370436</v>
      </c>
      <c r="D185" t="s">
        <v>100</v>
      </c>
      <c r="E185">
        <v>3.444</v>
      </c>
      <c r="F185" t="s">
        <v>21</v>
      </c>
      <c r="G185" t="s">
        <v>26</v>
      </c>
      <c r="H185" t="s">
        <v>21</v>
      </c>
      <c r="I185" t="s">
        <v>20</v>
      </c>
      <c r="J185" t="s">
        <v>20</v>
      </c>
      <c r="K185" t="s">
        <v>41</v>
      </c>
      <c r="L185" t="s">
        <v>57</v>
      </c>
      <c r="M185" t="s">
        <v>46</v>
      </c>
      <c r="N185">
        <v>41.089063000000003</v>
      </c>
      <c r="O185">
        <v>-112.05382899999999</v>
      </c>
      <c r="P185">
        <v>4250.111003</v>
      </c>
      <c r="Q185">
        <v>1396</v>
      </c>
      <c r="R185">
        <v>0</v>
      </c>
    </row>
    <row r="186" spans="1:18" x14ac:dyDescent="0.25">
      <c r="A186">
        <v>185</v>
      </c>
      <c r="B186">
        <v>94</v>
      </c>
      <c r="C186">
        <v>28415428</v>
      </c>
      <c r="D186" t="s">
        <v>99</v>
      </c>
      <c r="E186">
        <v>3.4449999999999998</v>
      </c>
      <c r="F186" t="s">
        <v>19</v>
      </c>
      <c r="G186" t="s">
        <v>20</v>
      </c>
      <c r="H186" t="s">
        <v>21</v>
      </c>
      <c r="I186" t="s">
        <v>20</v>
      </c>
      <c r="J186" t="s">
        <v>20</v>
      </c>
      <c r="K186" t="s">
        <v>41</v>
      </c>
      <c r="L186" t="s">
        <v>81</v>
      </c>
      <c r="M186" t="s">
        <v>82</v>
      </c>
      <c r="N186">
        <v>41.208230999999998</v>
      </c>
      <c r="O186">
        <v>-111.976378</v>
      </c>
      <c r="P186">
        <v>4262.6039780000001</v>
      </c>
      <c r="Q186">
        <v>1376</v>
      </c>
      <c r="R186">
        <v>0</v>
      </c>
    </row>
    <row r="187" spans="1:18" x14ac:dyDescent="0.25">
      <c r="A187">
        <v>186</v>
      </c>
      <c r="B187">
        <v>94</v>
      </c>
      <c r="C187">
        <v>31390972</v>
      </c>
      <c r="D187" t="s">
        <v>124</v>
      </c>
      <c r="E187">
        <v>3.4460000000000002</v>
      </c>
      <c r="F187" t="s">
        <v>21</v>
      </c>
      <c r="G187" t="s">
        <v>20</v>
      </c>
      <c r="H187" t="s">
        <v>21</v>
      </c>
      <c r="I187" t="s">
        <v>20</v>
      </c>
      <c r="J187" t="s">
        <v>20</v>
      </c>
      <c r="K187" t="s">
        <v>22</v>
      </c>
      <c r="L187" t="s">
        <v>193</v>
      </c>
      <c r="M187" t="s">
        <v>194</v>
      </c>
      <c r="N187">
        <v>40.002009000000001</v>
      </c>
      <c r="O187">
        <v>-111.957868</v>
      </c>
      <c r="P187">
        <v>4593.7771419999999</v>
      </c>
      <c r="Q187">
        <v>1368</v>
      </c>
      <c r="R187">
        <v>0</v>
      </c>
    </row>
    <row r="188" spans="1:18" x14ac:dyDescent="0.25">
      <c r="A188">
        <v>187</v>
      </c>
      <c r="B188">
        <v>94</v>
      </c>
      <c r="C188">
        <v>31192916</v>
      </c>
      <c r="D188" t="s">
        <v>150</v>
      </c>
      <c r="E188">
        <v>3.4470000000000001</v>
      </c>
      <c r="F188" t="s">
        <v>21</v>
      </c>
      <c r="G188" t="s">
        <v>26</v>
      </c>
      <c r="H188" t="s">
        <v>21</v>
      </c>
      <c r="I188" t="s">
        <v>20</v>
      </c>
      <c r="J188" t="s">
        <v>20</v>
      </c>
      <c r="K188" t="s">
        <v>27</v>
      </c>
      <c r="L188" t="s">
        <v>151</v>
      </c>
      <c r="M188" t="s">
        <v>152</v>
      </c>
      <c r="N188">
        <v>38.989787</v>
      </c>
      <c r="O188">
        <v>-110.128851</v>
      </c>
      <c r="P188">
        <v>4068.9677470000001</v>
      </c>
      <c r="Q188">
        <v>1336</v>
      </c>
      <c r="R188">
        <v>0</v>
      </c>
    </row>
    <row r="189" spans="1:18" x14ac:dyDescent="0.25">
      <c r="A189">
        <v>188</v>
      </c>
      <c r="B189">
        <v>94</v>
      </c>
      <c r="C189">
        <v>31752103</v>
      </c>
      <c r="D189" t="s">
        <v>59</v>
      </c>
      <c r="E189">
        <v>3.45</v>
      </c>
      <c r="F189" t="s">
        <v>21</v>
      </c>
      <c r="G189" t="s">
        <v>26</v>
      </c>
      <c r="H189" t="s">
        <v>21</v>
      </c>
      <c r="I189" t="s">
        <v>20</v>
      </c>
      <c r="J189" t="s">
        <v>20</v>
      </c>
      <c r="K189" t="s">
        <v>22</v>
      </c>
      <c r="L189" t="s">
        <v>60</v>
      </c>
      <c r="M189" t="s">
        <v>24</v>
      </c>
      <c r="N189">
        <v>40.312009000000003</v>
      </c>
      <c r="O189">
        <v>-111.669496</v>
      </c>
      <c r="P189">
        <v>4804.0106660000001</v>
      </c>
      <c r="Q189">
        <v>313</v>
      </c>
      <c r="R189">
        <v>0</v>
      </c>
    </row>
    <row r="190" spans="1:18" x14ac:dyDescent="0.25">
      <c r="A190">
        <v>189</v>
      </c>
      <c r="B190">
        <v>94</v>
      </c>
      <c r="C190" t="e">
        <f>-IpZ7ApqH8uMex_U3jJGlF</f>
        <v>#NAME?</v>
      </c>
      <c r="D190" t="s">
        <v>107</v>
      </c>
      <c r="E190">
        <v>3.45</v>
      </c>
      <c r="F190" t="s">
        <v>21</v>
      </c>
      <c r="G190" t="s">
        <v>26</v>
      </c>
      <c r="H190" t="s">
        <v>21</v>
      </c>
      <c r="I190" t="s">
        <v>20</v>
      </c>
      <c r="J190" t="s">
        <v>20</v>
      </c>
      <c r="K190" t="s">
        <v>41</v>
      </c>
      <c r="L190" t="s">
        <v>81</v>
      </c>
      <c r="M190" t="s">
        <v>93</v>
      </c>
      <c r="N190">
        <v>41.242626000000001</v>
      </c>
      <c r="O190">
        <v>-111.97837199999999</v>
      </c>
      <c r="P190">
        <v>4231.3140960000001</v>
      </c>
      <c r="Q190">
        <v>413</v>
      </c>
      <c r="R190">
        <v>0</v>
      </c>
    </row>
    <row r="191" spans="1:18" x14ac:dyDescent="0.25">
      <c r="A191">
        <v>190</v>
      </c>
      <c r="B191">
        <v>94</v>
      </c>
      <c r="C191">
        <v>1245616</v>
      </c>
      <c r="D191" t="s">
        <v>189</v>
      </c>
      <c r="E191">
        <v>3.452</v>
      </c>
      <c r="F191" t="s">
        <v>21</v>
      </c>
      <c r="G191" t="s">
        <v>26</v>
      </c>
      <c r="H191" t="s">
        <v>21</v>
      </c>
      <c r="I191" t="s">
        <v>20</v>
      </c>
      <c r="J191" t="s">
        <v>20</v>
      </c>
      <c r="K191" t="s">
        <v>41</v>
      </c>
      <c r="L191" t="s">
        <v>81</v>
      </c>
      <c r="M191" t="s">
        <v>190</v>
      </c>
      <c r="N191">
        <v>41.203161999999999</v>
      </c>
      <c r="O191">
        <v>-111.94865799999999</v>
      </c>
      <c r="P191">
        <v>4458.6196920000002</v>
      </c>
      <c r="Q191">
        <v>412</v>
      </c>
      <c r="R191">
        <v>0</v>
      </c>
    </row>
    <row r="192" spans="1:18" x14ac:dyDescent="0.25">
      <c r="A192">
        <v>191</v>
      </c>
      <c r="B192">
        <v>94</v>
      </c>
      <c r="C192">
        <v>31757733</v>
      </c>
      <c r="D192" t="s">
        <v>105</v>
      </c>
      <c r="E192">
        <v>3.4529999999999998</v>
      </c>
      <c r="F192" t="s">
        <v>21</v>
      </c>
      <c r="G192" t="s">
        <v>26</v>
      </c>
      <c r="H192" t="s">
        <v>21</v>
      </c>
      <c r="I192" t="s">
        <v>20</v>
      </c>
      <c r="J192" t="s">
        <v>20</v>
      </c>
      <c r="K192" t="s">
        <v>27</v>
      </c>
      <c r="L192" t="s">
        <v>51</v>
      </c>
      <c r="M192" t="s">
        <v>106</v>
      </c>
      <c r="N192">
        <v>37.880606</v>
      </c>
      <c r="O192">
        <v>-112.77770200000001</v>
      </c>
      <c r="P192">
        <v>5792.2311149999996</v>
      </c>
      <c r="Q192">
        <v>432</v>
      </c>
      <c r="R192">
        <v>0</v>
      </c>
    </row>
    <row r="193" spans="1:18" x14ac:dyDescent="0.25">
      <c r="A193">
        <v>192</v>
      </c>
      <c r="B193">
        <v>94</v>
      </c>
      <c r="C193">
        <v>27828646</v>
      </c>
      <c r="D193" t="s">
        <v>245</v>
      </c>
      <c r="E193">
        <v>3.4540000000000002</v>
      </c>
      <c r="F193" t="s">
        <v>21</v>
      </c>
      <c r="G193" t="s">
        <v>26</v>
      </c>
      <c r="H193" t="s">
        <v>21</v>
      </c>
      <c r="I193" t="s">
        <v>20</v>
      </c>
      <c r="J193" t="s">
        <v>20</v>
      </c>
      <c r="K193" t="s">
        <v>22</v>
      </c>
      <c r="L193" t="s">
        <v>97</v>
      </c>
      <c r="M193" t="s">
        <v>98</v>
      </c>
      <c r="N193">
        <v>40.860875</v>
      </c>
      <c r="O193">
        <v>-109.541633</v>
      </c>
      <c r="P193">
        <v>7567.8596889999999</v>
      </c>
      <c r="Q193">
        <v>1353</v>
      </c>
      <c r="R193">
        <v>0</v>
      </c>
    </row>
    <row r="194" spans="1:18" x14ac:dyDescent="0.25">
      <c r="A194">
        <v>193</v>
      </c>
      <c r="B194">
        <v>94</v>
      </c>
      <c r="C194" t="s">
        <v>246</v>
      </c>
      <c r="D194" t="s">
        <v>114</v>
      </c>
      <c r="E194">
        <v>3.456</v>
      </c>
      <c r="F194" t="s">
        <v>21</v>
      </c>
      <c r="G194" t="s">
        <v>20</v>
      </c>
      <c r="H194" t="s">
        <v>21</v>
      </c>
      <c r="I194" t="s">
        <v>20</v>
      </c>
      <c r="J194" t="s">
        <v>20</v>
      </c>
      <c r="K194" t="s">
        <v>41</v>
      </c>
      <c r="L194" t="s">
        <v>87</v>
      </c>
      <c r="M194" t="s">
        <v>82</v>
      </c>
      <c r="N194">
        <v>41.103537000000003</v>
      </c>
      <c r="O194">
        <v>-112.002522</v>
      </c>
      <c r="P194">
        <v>4487.6289070000003</v>
      </c>
      <c r="Q194">
        <v>405</v>
      </c>
      <c r="R194">
        <v>0</v>
      </c>
    </row>
    <row r="195" spans="1:18" x14ac:dyDescent="0.25">
      <c r="A195">
        <v>194</v>
      </c>
      <c r="B195">
        <v>94</v>
      </c>
      <c r="C195">
        <v>875872</v>
      </c>
      <c r="D195" t="s">
        <v>115</v>
      </c>
      <c r="E195">
        <v>3.46</v>
      </c>
      <c r="F195" t="s">
        <v>21</v>
      </c>
      <c r="G195" t="s">
        <v>26</v>
      </c>
      <c r="H195" t="s">
        <v>21</v>
      </c>
      <c r="I195" t="s">
        <v>20</v>
      </c>
      <c r="J195" t="s">
        <v>20</v>
      </c>
      <c r="K195" t="s">
        <v>31</v>
      </c>
      <c r="L195" t="s">
        <v>48</v>
      </c>
      <c r="M195" t="s">
        <v>70</v>
      </c>
      <c r="N195">
        <v>40.653033000000001</v>
      </c>
      <c r="O195">
        <v>-112.011144</v>
      </c>
      <c r="P195">
        <v>4626.4632549999997</v>
      </c>
      <c r="Q195">
        <v>1437</v>
      </c>
      <c r="R195">
        <v>0</v>
      </c>
    </row>
    <row r="196" spans="1:18" x14ac:dyDescent="0.25">
      <c r="A196">
        <v>195</v>
      </c>
      <c r="B196">
        <v>94</v>
      </c>
      <c r="C196">
        <v>538128</v>
      </c>
      <c r="D196" t="s">
        <v>47</v>
      </c>
      <c r="E196">
        <v>3.4609999999999999</v>
      </c>
      <c r="F196" t="s">
        <v>19</v>
      </c>
      <c r="G196" t="s">
        <v>20</v>
      </c>
      <c r="H196" t="s">
        <v>21</v>
      </c>
      <c r="I196" t="s">
        <v>20</v>
      </c>
      <c r="J196" t="s">
        <v>20</v>
      </c>
      <c r="K196" t="s">
        <v>31</v>
      </c>
      <c r="L196" t="s">
        <v>89</v>
      </c>
      <c r="M196" t="s">
        <v>49</v>
      </c>
      <c r="N196">
        <v>40.544257999999999</v>
      </c>
      <c r="O196">
        <v>-111.917935</v>
      </c>
      <c r="P196">
        <v>4273.8709330000002</v>
      </c>
      <c r="Q196">
        <v>6715</v>
      </c>
      <c r="R196">
        <v>0</v>
      </c>
    </row>
    <row r="197" spans="1:18" x14ac:dyDescent="0.25">
      <c r="A197">
        <v>196</v>
      </c>
      <c r="B197">
        <v>94</v>
      </c>
      <c r="C197">
        <v>31519723</v>
      </c>
      <c r="D197" t="s">
        <v>231</v>
      </c>
      <c r="E197">
        <v>3.4649999999999999</v>
      </c>
      <c r="F197" t="s">
        <v>21</v>
      </c>
      <c r="G197" t="s">
        <v>26</v>
      </c>
      <c r="H197" t="s">
        <v>21</v>
      </c>
      <c r="I197" t="s">
        <v>20</v>
      </c>
      <c r="J197" t="s">
        <v>20</v>
      </c>
      <c r="K197" t="s">
        <v>41</v>
      </c>
      <c r="L197" t="s">
        <v>57</v>
      </c>
      <c r="M197" t="s">
        <v>93</v>
      </c>
      <c r="N197">
        <v>41.090702</v>
      </c>
      <c r="O197">
        <v>-112.002624</v>
      </c>
      <c r="P197">
        <v>4405.7495840000001</v>
      </c>
      <c r="Q197">
        <v>1409</v>
      </c>
      <c r="R197">
        <v>0</v>
      </c>
    </row>
    <row r="198" spans="1:18" x14ac:dyDescent="0.25">
      <c r="A198">
        <v>197</v>
      </c>
      <c r="B198">
        <v>94</v>
      </c>
      <c r="C198">
        <v>1418474</v>
      </c>
      <c r="D198" t="s">
        <v>109</v>
      </c>
      <c r="E198">
        <v>3.4710000000000001</v>
      </c>
      <c r="F198" t="s">
        <v>21</v>
      </c>
      <c r="G198" t="s">
        <v>26</v>
      </c>
      <c r="H198" t="s">
        <v>21</v>
      </c>
      <c r="I198" t="s">
        <v>20</v>
      </c>
      <c r="J198" t="s">
        <v>20</v>
      </c>
      <c r="K198" t="s">
        <v>41</v>
      </c>
      <c r="L198" t="s">
        <v>42</v>
      </c>
      <c r="M198" t="s">
        <v>73</v>
      </c>
      <c r="N198">
        <v>41.612448999999998</v>
      </c>
      <c r="O198">
        <v>-111.832752</v>
      </c>
      <c r="P198">
        <v>4751.823711</v>
      </c>
      <c r="Q198">
        <v>345</v>
      </c>
      <c r="R198">
        <v>0</v>
      </c>
    </row>
    <row r="199" spans="1:18" x14ac:dyDescent="0.25">
      <c r="A199">
        <v>198</v>
      </c>
      <c r="B199">
        <v>94</v>
      </c>
      <c r="C199">
        <v>31411384</v>
      </c>
      <c r="D199" t="s">
        <v>129</v>
      </c>
      <c r="E199">
        <v>3.4750000000000001</v>
      </c>
      <c r="F199" t="s">
        <v>21</v>
      </c>
      <c r="G199" t="s">
        <v>20</v>
      </c>
      <c r="H199" t="s">
        <v>21</v>
      </c>
      <c r="I199" t="s">
        <v>20</v>
      </c>
      <c r="J199" t="s">
        <v>20</v>
      </c>
      <c r="K199" t="s">
        <v>31</v>
      </c>
      <c r="L199" t="s">
        <v>130</v>
      </c>
      <c r="M199" t="s">
        <v>131</v>
      </c>
      <c r="N199">
        <v>40.622902000000003</v>
      </c>
      <c r="O199">
        <v>-111.224062</v>
      </c>
      <c r="P199">
        <v>6754.5843580000001</v>
      </c>
      <c r="Q199">
        <v>340</v>
      </c>
      <c r="R199">
        <v>0</v>
      </c>
    </row>
    <row r="200" spans="1:18" x14ac:dyDescent="0.25">
      <c r="A200">
        <v>199</v>
      </c>
      <c r="B200">
        <v>94</v>
      </c>
      <c r="C200">
        <v>31571249</v>
      </c>
      <c r="D200" t="s">
        <v>172</v>
      </c>
      <c r="E200">
        <v>32.822000000000003</v>
      </c>
      <c r="F200" t="s">
        <v>21</v>
      </c>
      <c r="G200" t="s">
        <v>26</v>
      </c>
      <c r="H200" t="s">
        <v>21</v>
      </c>
      <c r="I200" t="s">
        <v>20</v>
      </c>
      <c r="J200" t="s">
        <v>20</v>
      </c>
      <c r="K200" t="s">
        <v>22</v>
      </c>
      <c r="L200" t="s">
        <v>155</v>
      </c>
      <c r="M200" t="s">
        <v>174</v>
      </c>
      <c r="N200">
        <v>39.710006999999997</v>
      </c>
      <c r="O200">
        <v>-111.843692</v>
      </c>
      <c r="P200">
        <v>5050.7203330000002</v>
      </c>
      <c r="Q200">
        <v>1411</v>
      </c>
      <c r="R200">
        <v>0</v>
      </c>
    </row>
    <row r="201" spans="1:18" x14ac:dyDescent="0.25">
      <c r="A201">
        <v>200</v>
      </c>
      <c r="B201">
        <v>94</v>
      </c>
      <c r="C201" t="e">
        <f>-IovFWjvFnTfKunEHoeXsV</f>
        <v>#NAME?</v>
      </c>
      <c r="D201" t="s">
        <v>176</v>
      </c>
      <c r="E201">
        <v>32.843000000000004</v>
      </c>
      <c r="F201" t="s">
        <v>21</v>
      </c>
      <c r="G201" t="s">
        <v>26</v>
      </c>
      <c r="H201" t="s">
        <v>21</v>
      </c>
      <c r="I201" t="s">
        <v>20</v>
      </c>
      <c r="J201" t="s">
        <v>20</v>
      </c>
      <c r="K201" t="s">
        <v>41</v>
      </c>
      <c r="L201" t="s">
        <v>223</v>
      </c>
      <c r="M201" t="s">
        <v>178</v>
      </c>
      <c r="N201">
        <v>41.886496999999999</v>
      </c>
      <c r="O201">
        <v>-112.166673</v>
      </c>
      <c r="P201">
        <v>4454.3737540000002</v>
      </c>
      <c r="Q201">
        <v>1329</v>
      </c>
      <c r="R201">
        <v>0</v>
      </c>
    </row>
    <row r="202" spans="1:18" x14ac:dyDescent="0.25">
      <c r="A202">
        <v>201</v>
      </c>
      <c r="B202">
        <v>94</v>
      </c>
      <c r="C202">
        <v>31381534</v>
      </c>
      <c r="D202" t="s">
        <v>116</v>
      </c>
      <c r="E202">
        <v>32.845999999999997</v>
      </c>
      <c r="F202" t="s">
        <v>21</v>
      </c>
      <c r="G202" t="s">
        <v>26</v>
      </c>
      <c r="H202" t="s">
        <v>21</v>
      </c>
      <c r="I202" t="s">
        <v>20</v>
      </c>
      <c r="J202" t="s">
        <v>20</v>
      </c>
      <c r="K202" t="s">
        <v>41</v>
      </c>
      <c r="L202" t="s">
        <v>95</v>
      </c>
      <c r="M202" t="s">
        <v>117</v>
      </c>
      <c r="N202">
        <v>41.821572000000003</v>
      </c>
      <c r="O202">
        <v>-111.833051</v>
      </c>
      <c r="P202">
        <v>4481.8497580000003</v>
      </c>
      <c r="Q202">
        <v>324</v>
      </c>
      <c r="R202">
        <v>0</v>
      </c>
    </row>
    <row r="203" spans="1:18" x14ac:dyDescent="0.25">
      <c r="A203">
        <v>202</v>
      </c>
      <c r="B203">
        <v>94</v>
      </c>
      <c r="C203">
        <v>31620521</v>
      </c>
      <c r="D203" t="s">
        <v>50</v>
      </c>
      <c r="E203">
        <v>32.878</v>
      </c>
      <c r="F203" t="s">
        <v>21</v>
      </c>
      <c r="G203" t="s">
        <v>26</v>
      </c>
      <c r="H203" t="s">
        <v>21</v>
      </c>
      <c r="I203" t="s">
        <v>20</v>
      </c>
      <c r="J203" t="s">
        <v>20</v>
      </c>
      <c r="K203" t="s">
        <v>27</v>
      </c>
      <c r="L203" t="s">
        <v>247</v>
      </c>
      <c r="M203" t="s">
        <v>52</v>
      </c>
      <c r="N203">
        <v>37.703175000000002</v>
      </c>
      <c r="O203">
        <v>-112.649779</v>
      </c>
      <c r="P203">
        <v>8258.6814040000008</v>
      </c>
      <c r="Q203">
        <v>1418</v>
      </c>
      <c r="R203">
        <v>0</v>
      </c>
    </row>
    <row r="204" spans="1:18" x14ac:dyDescent="0.25">
      <c r="A204">
        <v>203</v>
      </c>
      <c r="B204">
        <v>94</v>
      </c>
      <c r="C204">
        <v>31572010</v>
      </c>
      <c r="D204" t="s">
        <v>172</v>
      </c>
      <c r="E204">
        <v>32.912999999999997</v>
      </c>
      <c r="F204" t="s">
        <v>21</v>
      </c>
      <c r="G204" t="s">
        <v>26</v>
      </c>
      <c r="H204" t="s">
        <v>21</v>
      </c>
      <c r="I204" t="s">
        <v>20</v>
      </c>
      <c r="J204" t="s">
        <v>20</v>
      </c>
      <c r="K204" t="s">
        <v>22</v>
      </c>
      <c r="L204" t="s">
        <v>155</v>
      </c>
      <c r="M204" t="s">
        <v>174</v>
      </c>
      <c r="N204">
        <v>39.710019000000003</v>
      </c>
      <c r="O204">
        <v>-111.84197500000001</v>
      </c>
      <c r="P204">
        <v>5056.3379720000003</v>
      </c>
      <c r="Q204">
        <v>1411</v>
      </c>
      <c r="R204">
        <v>0</v>
      </c>
    </row>
    <row r="205" spans="1:18" x14ac:dyDescent="0.25">
      <c r="A205">
        <v>204</v>
      </c>
      <c r="B205">
        <v>94</v>
      </c>
      <c r="C205">
        <v>31395297</v>
      </c>
      <c r="D205" t="s">
        <v>124</v>
      </c>
      <c r="E205">
        <v>32.941000000000003</v>
      </c>
      <c r="F205" t="s">
        <v>19</v>
      </c>
      <c r="G205" t="s">
        <v>20</v>
      </c>
      <c r="H205" t="s">
        <v>21</v>
      </c>
      <c r="I205" t="s">
        <v>20</v>
      </c>
      <c r="J205" t="s">
        <v>20</v>
      </c>
      <c r="K205" t="s">
        <v>22</v>
      </c>
      <c r="L205" t="s">
        <v>84</v>
      </c>
      <c r="M205" t="s">
        <v>125</v>
      </c>
      <c r="N205">
        <v>40.390551000000002</v>
      </c>
      <c r="O205">
        <v>-111.916714</v>
      </c>
      <c r="P205">
        <v>4504.5983210000004</v>
      </c>
      <c r="Q205">
        <v>1368</v>
      </c>
      <c r="R205">
        <v>0</v>
      </c>
    </row>
    <row r="206" spans="1:18" x14ac:dyDescent="0.25">
      <c r="A206">
        <v>205</v>
      </c>
      <c r="B206">
        <v>94</v>
      </c>
      <c r="C206">
        <v>31572046</v>
      </c>
      <c r="D206" t="s">
        <v>172</v>
      </c>
      <c r="E206">
        <v>32.941000000000003</v>
      </c>
      <c r="F206" t="s">
        <v>21</v>
      </c>
      <c r="G206" t="s">
        <v>26</v>
      </c>
      <c r="H206" t="s">
        <v>21</v>
      </c>
      <c r="I206" t="s">
        <v>20</v>
      </c>
      <c r="J206" t="s">
        <v>20</v>
      </c>
      <c r="K206" t="s">
        <v>22</v>
      </c>
      <c r="L206" t="s">
        <v>155</v>
      </c>
      <c r="M206" t="s">
        <v>174</v>
      </c>
      <c r="N206">
        <v>39.710000999999998</v>
      </c>
      <c r="O206">
        <v>-111.84144999999999</v>
      </c>
      <c r="P206">
        <v>5057.4965810000003</v>
      </c>
      <c r="Q206">
        <v>1411</v>
      </c>
      <c r="R206">
        <v>0</v>
      </c>
    </row>
    <row r="207" spans="1:18" x14ac:dyDescent="0.25">
      <c r="A207">
        <v>206</v>
      </c>
      <c r="B207">
        <v>94</v>
      </c>
      <c r="C207">
        <v>27372749</v>
      </c>
      <c r="D207" t="s">
        <v>185</v>
      </c>
      <c r="E207">
        <v>3.6949999999999998</v>
      </c>
      <c r="F207" t="s">
        <v>21</v>
      </c>
      <c r="G207" t="s">
        <v>26</v>
      </c>
      <c r="H207" t="s">
        <v>21</v>
      </c>
      <c r="I207" t="s">
        <v>20</v>
      </c>
      <c r="J207" t="s">
        <v>20</v>
      </c>
      <c r="K207" t="s">
        <v>41</v>
      </c>
      <c r="L207" t="s">
        <v>57</v>
      </c>
      <c r="M207" t="s">
        <v>58</v>
      </c>
      <c r="N207">
        <v>41.139873000000001</v>
      </c>
      <c r="O207">
        <v>-112.096971</v>
      </c>
      <c r="P207">
        <v>4208.4557850000001</v>
      </c>
      <c r="Q207">
        <v>309</v>
      </c>
      <c r="R207">
        <v>0</v>
      </c>
    </row>
    <row r="208" spans="1:18" x14ac:dyDescent="0.25">
      <c r="A208">
        <v>207</v>
      </c>
      <c r="B208">
        <v>94</v>
      </c>
      <c r="C208" t="e">
        <f>-Iov61DXIWPANIciAfGtVV</f>
        <v>#NAME?</v>
      </c>
      <c r="D208" t="s">
        <v>176</v>
      </c>
      <c r="E208">
        <v>14.462</v>
      </c>
      <c r="F208" t="s">
        <v>21</v>
      </c>
      <c r="G208" t="s">
        <v>26</v>
      </c>
      <c r="H208" t="s">
        <v>21</v>
      </c>
      <c r="I208" t="s">
        <v>20</v>
      </c>
      <c r="J208" t="s">
        <v>20</v>
      </c>
      <c r="K208" t="s">
        <v>41</v>
      </c>
      <c r="L208" t="s">
        <v>181</v>
      </c>
      <c r="M208" t="s">
        <v>178</v>
      </c>
      <c r="N208">
        <v>41.631920999999998</v>
      </c>
      <c r="O208">
        <v>-112.12763</v>
      </c>
      <c r="P208">
        <v>4218.6804510000002</v>
      </c>
      <c r="Q208">
        <v>1329</v>
      </c>
      <c r="R208">
        <v>0</v>
      </c>
    </row>
    <row r="209" spans="1:18" x14ac:dyDescent="0.25">
      <c r="A209">
        <v>208</v>
      </c>
      <c r="B209">
        <v>94</v>
      </c>
      <c r="C209">
        <v>1122973</v>
      </c>
      <c r="D209" t="s">
        <v>171</v>
      </c>
      <c r="E209">
        <v>14.464</v>
      </c>
      <c r="F209" t="s">
        <v>21</v>
      </c>
      <c r="G209" t="s">
        <v>26</v>
      </c>
      <c r="H209" t="s">
        <v>21</v>
      </c>
      <c r="I209" t="s">
        <v>20</v>
      </c>
      <c r="J209" t="s">
        <v>20</v>
      </c>
      <c r="K209" t="s">
        <v>31</v>
      </c>
      <c r="L209" t="s">
        <v>188</v>
      </c>
      <c r="M209" t="s">
        <v>79</v>
      </c>
      <c r="N209">
        <v>40.699863000000001</v>
      </c>
      <c r="O209">
        <v>-111.817367</v>
      </c>
      <c r="P209">
        <v>4606.4093830000002</v>
      </c>
      <c r="Q209">
        <v>346</v>
      </c>
      <c r="R209">
        <v>0</v>
      </c>
    </row>
    <row r="210" spans="1:18" x14ac:dyDescent="0.25">
      <c r="A210">
        <v>209</v>
      </c>
      <c r="B210">
        <v>94</v>
      </c>
      <c r="C210">
        <v>31277010</v>
      </c>
      <c r="D210" t="s">
        <v>241</v>
      </c>
      <c r="E210">
        <v>14.471</v>
      </c>
      <c r="F210" t="s">
        <v>21</v>
      </c>
      <c r="G210" t="s">
        <v>26</v>
      </c>
      <c r="H210" t="s">
        <v>21</v>
      </c>
      <c r="I210" t="s">
        <v>20</v>
      </c>
      <c r="J210" t="s">
        <v>20</v>
      </c>
      <c r="K210" t="s">
        <v>27</v>
      </c>
      <c r="L210" t="s">
        <v>242</v>
      </c>
      <c r="M210" t="s">
        <v>243</v>
      </c>
      <c r="N210">
        <v>38.939458000000002</v>
      </c>
      <c r="O210">
        <v>-111.223117</v>
      </c>
      <c r="P210">
        <v>6148.4298669999998</v>
      </c>
      <c r="Q210">
        <v>1327</v>
      </c>
      <c r="R210">
        <v>0</v>
      </c>
    </row>
    <row r="211" spans="1:18" x14ac:dyDescent="0.25">
      <c r="A211">
        <v>210</v>
      </c>
      <c r="B211">
        <v>94</v>
      </c>
      <c r="C211">
        <v>1122980</v>
      </c>
      <c r="D211" t="s">
        <v>171</v>
      </c>
      <c r="E211">
        <v>14.474</v>
      </c>
      <c r="F211" t="s">
        <v>21</v>
      </c>
      <c r="G211" t="s">
        <v>26</v>
      </c>
      <c r="H211" t="s">
        <v>21</v>
      </c>
      <c r="I211" t="s">
        <v>20</v>
      </c>
      <c r="J211" t="s">
        <v>20</v>
      </c>
      <c r="K211" t="s">
        <v>31</v>
      </c>
      <c r="L211" t="s">
        <v>188</v>
      </c>
      <c r="M211" t="s">
        <v>79</v>
      </c>
      <c r="N211">
        <v>40.699863999999998</v>
      </c>
      <c r="O211">
        <v>-111.81716900000001</v>
      </c>
      <c r="P211">
        <v>4609.9684079999997</v>
      </c>
      <c r="Q211">
        <v>346</v>
      </c>
      <c r="R211">
        <v>0</v>
      </c>
    </row>
    <row r="212" spans="1:18" x14ac:dyDescent="0.25">
      <c r="A212">
        <v>211</v>
      </c>
      <c r="B212">
        <v>94</v>
      </c>
      <c r="C212" t="s">
        <v>248</v>
      </c>
      <c r="D212" t="s">
        <v>249</v>
      </c>
      <c r="E212">
        <v>1.6279999999999999</v>
      </c>
      <c r="F212" t="s">
        <v>21</v>
      </c>
      <c r="G212" t="s">
        <v>26</v>
      </c>
      <c r="H212" t="s">
        <v>21</v>
      </c>
      <c r="I212" t="s">
        <v>20</v>
      </c>
      <c r="J212" t="s">
        <v>20</v>
      </c>
      <c r="K212" t="s">
        <v>31</v>
      </c>
      <c r="L212" t="s">
        <v>89</v>
      </c>
      <c r="M212" t="s">
        <v>24</v>
      </c>
      <c r="N212">
        <v>40.486165</v>
      </c>
      <c r="O212">
        <v>-111.91450399999999</v>
      </c>
      <c r="P212">
        <v>4405.501593</v>
      </c>
      <c r="Q212">
        <v>337</v>
      </c>
      <c r="R212">
        <v>0</v>
      </c>
    </row>
    <row r="213" spans="1:18" x14ac:dyDescent="0.25">
      <c r="A213">
        <v>212</v>
      </c>
      <c r="B213">
        <v>94</v>
      </c>
      <c r="C213">
        <v>31399367</v>
      </c>
      <c r="D213" t="s">
        <v>250</v>
      </c>
      <c r="E213">
        <v>1.6279999999999999</v>
      </c>
      <c r="F213" t="s">
        <v>21</v>
      </c>
      <c r="G213" t="s">
        <v>26</v>
      </c>
      <c r="H213" t="s">
        <v>21</v>
      </c>
      <c r="I213" t="s">
        <v>20</v>
      </c>
      <c r="J213" t="s">
        <v>20</v>
      </c>
      <c r="K213" t="s">
        <v>27</v>
      </c>
      <c r="L213" t="s">
        <v>75</v>
      </c>
      <c r="M213" t="s">
        <v>76</v>
      </c>
      <c r="N213">
        <v>38.773463</v>
      </c>
      <c r="O213">
        <v>-112.038678</v>
      </c>
      <c r="P213">
        <v>5188.8102799999997</v>
      </c>
      <c r="Q213">
        <v>1404</v>
      </c>
      <c r="R213">
        <v>0</v>
      </c>
    </row>
    <row r="214" spans="1:18" x14ac:dyDescent="0.25">
      <c r="A214">
        <v>213</v>
      </c>
      <c r="B214">
        <v>94</v>
      </c>
      <c r="C214">
        <v>31486474</v>
      </c>
      <c r="D214" t="s">
        <v>164</v>
      </c>
      <c r="E214">
        <v>1.6279999999999999</v>
      </c>
      <c r="F214" t="s">
        <v>21</v>
      </c>
      <c r="G214" t="s">
        <v>26</v>
      </c>
      <c r="H214" t="s">
        <v>21</v>
      </c>
      <c r="I214" t="s">
        <v>20</v>
      </c>
      <c r="J214" t="s">
        <v>20</v>
      </c>
      <c r="K214" t="s">
        <v>27</v>
      </c>
      <c r="L214" t="s">
        <v>165</v>
      </c>
      <c r="M214" t="s">
        <v>166</v>
      </c>
      <c r="N214">
        <v>38.957993000000002</v>
      </c>
      <c r="O214">
        <v>-112.326425</v>
      </c>
      <c r="P214">
        <v>5080.2386999999999</v>
      </c>
      <c r="Q214">
        <v>1390</v>
      </c>
      <c r="R214">
        <v>0</v>
      </c>
    </row>
    <row r="215" spans="1:18" x14ac:dyDescent="0.25">
      <c r="A215">
        <v>214</v>
      </c>
      <c r="B215">
        <v>94</v>
      </c>
      <c r="C215">
        <v>27579068</v>
      </c>
      <c r="D215" t="s">
        <v>201</v>
      </c>
      <c r="E215">
        <v>1.629</v>
      </c>
      <c r="F215" t="s">
        <v>21</v>
      </c>
      <c r="G215" t="s">
        <v>26</v>
      </c>
      <c r="H215" t="s">
        <v>21</v>
      </c>
      <c r="I215" t="s">
        <v>20</v>
      </c>
      <c r="J215" t="s">
        <v>20</v>
      </c>
      <c r="K215" t="s">
        <v>27</v>
      </c>
      <c r="L215" t="s">
        <v>202</v>
      </c>
      <c r="M215" t="s">
        <v>104</v>
      </c>
      <c r="N215">
        <v>39.102607999999996</v>
      </c>
      <c r="O215">
        <v>-112.270939</v>
      </c>
      <c r="P215">
        <v>5048.1592719999999</v>
      </c>
      <c r="Q215">
        <v>1366</v>
      </c>
      <c r="R215">
        <v>0</v>
      </c>
    </row>
    <row r="216" spans="1:18" x14ac:dyDescent="0.25">
      <c r="A216">
        <v>215</v>
      </c>
      <c r="B216">
        <v>94</v>
      </c>
      <c r="C216">
        <v>1628643</v>
      </c>
      <c r="D216" t="s">
        <v>180</v>
      </c>
      <c r="E216">
        <v>1.63</v>
      </c>
      <c r="F216" t="s">
        <v>21</v>
      </c>
      <c r="G216" t="s">
        <v>26</v>
      </c>
      <c r="H216" t="s">
        <v>21</v>
      </c>
      <c r="I216" t="s">
        <v>20</v>
      </c>
      <c r="J216" t="s">
        <v>20</v>
      </c>
      <c r="K216" t="s">
        <v>41</v>
      </c>
      <c r="L216" t="s">
        <v>181</v>
      </c>
      <c r="M216" t="s">
        <v>117</v>
      </c>
      <c r="N216">
        <v>41.735725000000002</v>
      </c>
      <c r="O216">
        <v>-112.162488</v>
      </c>
      <c r="P216">
        <v>4285.8411859999997</v>
      </c>
      <c r="Q216">
        <v>1379</v>
      </c>
      <c r="R216">
        <v>0</v>
      </c>
    </row>
    <row r="217" spans="1:18" x14ac:dyDescent="0.25">
      <c r="A217">
        <v>216</v>
      </c>
      <c r="B217">
        <v>94</v>
      </c>
      <c r="C217" t="e">
        <f>-JP6si5DIUqFXWD3edQ4aF</f>
        <v>#NAME?</v>
      </c>
      <c r="D217" t="s">
        <v>251</v>
      </c>
      <c r="E217">
        <v>1.63</v>
      </c>
      <c r="F217" t="s">
        <v>21</v>
      </c>
      <c r="G217" t="s">
        <v>26</v>
      </c>
      <c r="H217" t="s">
        <v>21</v>
      </c>
      <c r="I217" t="s">
        <v>20</v>
      </c>
      <c r="J217" t="s">
        <v>20</v>
      </c>
      <c r="K217" t="s">
        <v>27</v>
      </c>
      <c r="L217" t="s">
        <v>165</v>
      </c>
      <c r="M217" t="s">
        <v>166</v>
      </c>
      <c r="N217">
        <v>38.979163</v>
      </c>
      <c r="O217">
        <v>-112.353514</v>
      </c>
      <c r="P217">
        <v>4906.2347209999998</v>
      </c>
      <c r="Q217">
        <v>326</v>
      </c>
      <c r="R217">
        <v>0</v>
      </c>
    </row>
    <row r="218" spans="1:18" x14ac:dyDescent="0.25">
      <c r="A218">
        <v>217</v>
      </c>
      <c r="B218">
        <v>94</v>
      </c>
      <c r="C218">
        <v>31597457</v>
      </c>
      <c r="D218" t="s">
        <v>50</v>
      </c>
      <c r="E218">
        <v>1.6319999999999999</v>
      </c>
      <c r="F218" t="s">
        <v>21</v>
      </c>
      <c r="G218" t="s">
        <v>26</v>
      </c>
      <c r="H218" t="s">
        <v>21</v>
      </c>
      <c r="I218" t="s">
        <v>20</v>
      </c>
      <c r="J218" t="s">
        <v>20</v>
      </c>
      <c r="K218" t="s">
        <v>27</v>
      </c>
      <c r="L218" t="s">
        <v>51</v>
      </c>
      <c r="M218" t="s">
        <v>52</v>
      </c>
      <c r="N218">
        <v>37.838718</v>
      </c>
      <c r="O218">
        <v>-112.84182300000001</v>
      </c>
      <c r="P218">
        <v>5872.3364819999997</v>
      </c>
      <c r="Q218">
        <v>1418</v>
      </c>
      <c r="R218">
        <v>0</v>
      </c>
    </row>
    <row r="219" spans="1:18" x14ac:dyDescent="0.25">
      <c r="A219">
        <v>218</v>
      </c>
      <c r="B219">
        <v>94</v>
      </c>
      <c r="C219">
        <v>31655798</v>
      </c>
      <c r="D219" t="s">
        <v>71</v>
      </c>
      <c r="E219">
        <v>1.6339999999999999</v>
      </c>
      <c r="F219" t="s">
        <v>21</v>
      </c>
      <c r="G219" t="s">
        <v>20</v>
      </c>
      <c r="H219" t="s">
        <v>21</v>
      </c>
      <c r="I219" t="s">
        <v>20</v>
      </c>
      <c r="J219" t="s">
        <v>20</v>
      </c>
      <c r="K219" t="s">
        <v>27</v>
      </c>
      <c r="L219" t="s">
        <v>72</v>
      </c>
      <c r="M219" t="s">
        <v>73</v>
      </c>
      <c r="N219">
        <v>37.244421000000003</v>
      </c>
      <c r="O219">
        <v>-113.353454</v>
      </c>
      <c r="P219">
        <v>3483.9930760000002</v>
      </c>
      <c r="Q219">
        <v>423</v>
      </c>
      <c r="R219">
        <v>0</v>
      </c>
    </row>
    <row r="220" spans="1:18" x14ac:dyDescent="0.25">
      <c r="A220">
        <v>219</v>
      </c>
      <c r="B220">
        <v>94</v>
      </c>
      <c r="C220">
        <v>31746121</v>
      </c>
      <c r="D220" t="s">
        <v>59</v>
      </c>
      <c r="E220">
        <v>1.635</v>
      </c>
      <c r="F220" t="s">
        <v>21</v>
      </c>
      <c r="G220" t="s">
        <v>26</v>
      </c>
      <c r="H220" t="s">
        <v>21</v>
      </c>
      <c r="I220" t="s">
        <v>20</v>
      </c>
      <c r="J220" t="s">
        <v>20</v>
      </c>
      <c r="K220" t="s">
        <v>22</v>
      </c>
      <c r="L220" t="s">
        <v>60</v>
      </c>
      <c r="M220" t="s">
        <v>24</v>
      </c>
      <c r="N220">
        <v>40.311919000000003</v>
      </c>
      <c r="O220">
        <v>-111.703743</v>
      </c>
      <c r="P220">
        <v>4708.8411900000001</v>
      </c>
      <c r="Q220">
        <v>313</v>
      </c>
      <c r="R220">
        <v>0</v>
      </c>
    </row>
    <row r="221" spans="1:18" x14ac:dyDescent="0.25">
      <c r="A221">
        <v>220</v>
      </c>
      <c r="B221">
        <v>94</v>
      </c>
      <c r="C221" t="e">
        <f>-IovaaGPHlqBLTM7anYSTF</f>
        <v>#NAME?</v>
      </c>
      <c r="D221" t="s">
        <v>170</v>
      </c>
      <c r="E221">
        <v>1.6359999999999999</v>
      </c>
      <c r="F221" t="s">
        <v>21</v>
      </c>
      <c r="G221" t="s">
        <v>26</v>
      </c>
      <c r="H221" t="s">
        <v>21</v>
      </c>
      <c r="I221" t="s">
        <v>20</v>
      </c>
      <c r="J221" t="s">
        <v>20</v>
      </c>
      <c r="K221" t="s">
        <v>41</v>
      </c>
      <c r="L221" t="s">
        <v>81</v>
      </c>
      <c r="M221" t="s">
        <v>82</v>
      </c>
      <c r="N221">
        <v>41.195402999999999</v>
      </c>
      <c r="O221">
        <v>-111.937202</v>
      </c>
      <c r="P221">
        <v>4726.7658099999999</v>
      </c>
      <c r="Q221">
        <v>1284</v>
      </c>
      <c r="R221">
        <v>0</v>
      </c>
    </row>
    <row r="222" spans="1:18" x14ac:dyDescent="0.25">
      <c r="A222">
        <v>221</v>
      </c>
      <c r="B222">
        <v>94</v>
      </c>
      <c r="C222">
        <v>31321545</v>
      </c>
      <c r="D222" t="s">
        <v>160</v>
      </c>
      <c r="E222">
        <v>1.637</v>
      </c>
      <c r="F222" t="s">
        <v>21</v>
      </c>
      <c r="G222" t="s">
        <v>26</v>
      </c>
      <c r="H222" t="s">
        <v>21</v>
      </c>
      <c r="I222" t="s">
        <v>20</v>
      </c>
      <c r="J222" t="s">
        <v>20</v>
      </c>
      <c r="K222" t="s">
        <v>27</v>
      </c>
      <c r="L222" t="s">
        <v>72</v>
      </c>
      <c r="M222" t="s">
        <v>73</v>
      </c>
      <c r="N222">
        <v>37.231721</v>
      </c>
      <c r="O222">
        <v>-113.281632</v>
      </c>
      <c r="P222">
        <v>3198.022097</v>
      </c>
      <c r="Q222">
        <v>1335</v>
      </c>
      <c r="R222">
        <v>0</v>
      </c>
    </row>
    <row r="223" spans="1:18" x14ac:dyDescent="0.25">
      <c r="A223">
        <v>222</v>
      </c>
      <c r="B223">
        <v>94</v>
      </c>
      <c r="C223">
        <v>2537768</v>
      </c>
      <c r="D223" t="s">
        <v>176</v>
      </c>
      <c r="E223">
        <v>1.6379999999999999</v>
      </c>
      <c r="F223" t="s">
        <v>19</v>
      </c>
      <c r="G223" t="s">
        <v>20</v>
      </c>
      <c r="H223" t="s">
        <v>21</v>
      </c>
      <c r="I223" t="s">
        <v>20</v>
      </c>
      <c r="J223" t="s">
        <v>20</v>
      </c>
      <c r="K223" t="s">
        <v>41</v>
      </c>
      <c r="L223" t="s">
        <v>177</v>
      </c>
      <c r="M223" t="s">
        <v>178</v>
      </c>
      <c r="N223">
        <v>41.510382</v>
      </c>
      <c r="O223">
        <v>-112.015771</v>
      </c>
      <c r="P223">
        <v>4377.7302149999996</v>
      </c>
      <c r="Q223">
        <v>1329</v>
      </c>
      <c r="R223">
        <v>0</v>
      </c>
    </row>
    <row r="224" spans="1:18" x14ac:dyDescent="0.25">
      <c r="A224">
        <v>223</v>
      </c>
      <c r="B224">
        <v>94</v>
      </c>
      <c r="C224">
        <v>31525094</v>
      </c>
      <c r="D224" t="s">
        <v>252</v>
      </c>
      <c r="E224">
        <v>1.639</v>
      </c>
      <c r="F224" t="s">
        <v>21</v>
      </c>
      <c r="G224" t="s">
        <v>20</v>
      </c>
      <c r="H224" t="s">
        <v>21</v>
      </c>
      <c r="I224" t="s">
        <v>20</v>
      </c>
      <c r="J224" t="s">
        <v>20</v>
      </c>
      <c r="K224" t="s">
        <v>22</v>
      </c>
      <c r="L224" t="s">
        <v>253</v>
      </c>
      <c r="M224" t="s">
        <v>169</v>
      </c>
      <c r="N224">
        <v>40.173447000000003</v>
      </c>
      <c r="O224">
        <v>-110.43773899999999</v>
      </c>
      <c r="P224">
        <v>5532.2378939999999</v>
      </c>
      <c r="Q224">
        <v>265</v>
      </c>
      <c r="R224">
        <v>0</v>
      </c>
    </row>
    <row r="225" spans="1:18" x14ac:dyDescent="0.25">
      <c r="A225">
        <v>224</v>
      </c>
      <c r="B225">
        <v>94</v>
      </c>
      <c r="C225">
        <v>31439677</v>
      </c>
      <c r="D225" t="s">
        <v>254</v>
      </c>
      <c r="E225">
        <v>1.641</v>
      </c>
      <c r="F225" t="s">
        <v>21</v>
      </c>
      <c r="G225" t="s">
        <v>26</v>
      </c>
      <c r="H225" t="s">
        <v>21</v>
      </c>
      <c r="I225" t="s">
        <v>20</v>
      </c>
      <c r="J225" t="s">
        <v>20</v>
      </c>
      <c r="K225" t="s">
        <v>41</v>
      </c>
      <c r="L225" t="s">
        <v>255</v>
      </c>
      <c r="M225" t="s">
        <v>204</v>
      </c>
      <c r="N225">
        <v>41.268898</v>
      </c>
      <c r="O225">
        <v>-111.822503</v>
      </c>
      <c r="P225">
        <v>4893.7421139999997</v>
      </c>
      <c r="Q225">
        <v>1429</v>
      </c>
      <c r="R225">
        <v>0</v>
      </c>
    </row>
    <row r="226" spans="1:18" x14ac:dyDescent="0.25">
      <c r="A226">
        <v>225</v>
      </c>
      <c r="B226">
        <v>94</v>
      </c>
      <c r="C226">
        <v>31370522</v>
      </c>
      <c r="D226" t="s">
        <v>199</v>
      </c>
      <c r="E226">
        <v>1.6439999999999999</v>
      </c>
      <c r="F226" t="s">
        <v>21</v>
      </c>
      <c r="G226" t="s">
        <v>26</v>
      </c>
      <c r="H226" t="s">
        <v>21</v>
      </c>
      <c r="I226" t="s">
        <v>20</v>
      </c>
      <c r="J226" t="s">
        <v>20</v>
      </c>
      <c r="K226" t="s">
        <v>27</v>
      </c>
      <c r="L226" t="s">
        <v>103</v>
      </c>
      <c r="M226" t="s">
        <v>200</v>
      </c>
      <c r="N226">
        <v>38.276783000000002</v>
      </c>
      <c r="O226">
        <v>-112.611183</v>
      </c>
      <c r="P226">
        <v>5938.3329519999998</v>
      </c>
      <c r="Q226">
        <v>341</v>
      </c>
      <c r="R226">
        <v>0</v>
      </c>
    </row>
    <row r="227" spans="1:18" x14ac:dyDescent="0.25">
      <c r="A227">
        <v>226</v>
      </c>
      <c r="B227">
        <v>94</v>
      </c>
      <c r="C227">
        <v>31422262</v>
      </c>
      <c r="D227" t="s">
        <v>107</v>
      </c>
      <c r="E227">
        <v>1.649</v>
      </c>
      <c r="F227" t="s">
        <v>21</v>
      </c>
      <c r="G227" t="s">
        <v>26</v>
      </c>
      <c r="H227" t="s">
        <v>21</v>
      </c>
      <c r="I227" t="s">
        <v>20</v>
      </c>
      <c r="J227" t="s">
        <v>20</v>
      </c>
      <c r="K227" t="s">
        <v>41</v>
      </c>
      <c r="L227" t="s">
        <v>81</v>
      </c>
      <c r="M227" t="s">
        <v>93</v>
      </c>
      <c r="N227">
        <v>41.216566</v>
      </c>
      <c r="O227">
        <v>-111.97897399999999</v>
      </c>
      <c r="P227">
        <v>4246.8675640000001</v>
      </c>
      <c r="Q227">
        <v>413</v>
      </c>
      <c r="R227">
        <v>0</v>
      </c>
    </row>
    <row r="228" spans="1:18" x14ac:dyDescent="0.25">
      <c r="A228">
        <v>227</v>
      </c>
      <c r="B228">
        <v>94</v>
      </c>
      <c r="C228">
        <v>31405863</v>
      </c>
      <c r="D228" t="s">
        <v>30</v>
      </c>
      <c r="E228">
        <v>1.6519999999999999</v>
      </c>
      <c r="F228" t="s">
        <v>21</v>
      </c>
      <c r="G228" t="s">
        <v>26</v>
      </c>
      <c r="H228" t="s">
        <v>21</v>
      </c>
      <c r="I228" t="s">
        <v>20</v>
      </c>
      <c r="J228" t="s">
        <v>20</v>
      </c>
      <c r="K228" t="s">
        <v>31</v>
      </c>
      <c r="L228" t="s">
        <v>32</v>
      </c>
      <c r="M228" t="s">
        <v>33</v>
      </c>
      <c r="N228">
        <v>40.596919999999997</v>
      </c>
      <c r="O228">
        <v>-111.79759199999999</v>
      </c>
      <c r="P228">
        <v>4993.3030829999998</v>
      </c>
      <c r="Q228">
        <v>415</v>
      </c>
      <c r="R228">
        <v>0</v>
      </c>
    </row>
    <row r="229" spans="1:18" x14ac:dyDescent="0.25">
      <c r="A229">
        <v>228</v>
      </c>
      <c r="B229">
        <v>94</v>
      </c>
      <c r="C229" t="e">
        <f>-JWSYDNYIwXD8ABaid1VwV</f>
        <v>#NAME?</v>
      </c>
      <c r="D229" t="s">
        <v>114</v>
      </c>
      <c r="E229">
        <v>1.653</v>
      </c>
      <c r="F229" t="s">
        <v>21</v>
      </c>
      <c r="G229" t="s">
        <v>26</v>
      </c>
      <c r="H229" t="s">
        <v>21</v>
      </c>
      <c r="I229" t="s">
        <v>20</v>
      </c>
      <c r="J229" t="s">
        <v>20</v>
      </c>
      <c r="K229" t="s">
        <v>41</v>
      </c>
      <c r="L229" t="s">
        <v>87</v>
      </c>
      <c r="M229" t="s">
        <v>256</v>
      </c>
      <c r="N229">
        <v>41.110156000000003</v>
      </c>
      <c r="O229">
        <v>-112.03276099999999</v>
      </c>
      <c r="P229">
        <v>4382.9297290000004</v>
      </c>
      <c r="Q229">
        <v>405</v>
      </c>
      <c r="R229">
        <v>0</v>
      </c>
    </row>
    <row r="230" spans="1:18" x14ac:dyDescent="0.25">
      <c r="A230">
        <v>229</v>
      </c>
      <c r="B230">
        <v>94</v>
      </c>
      <c r="C230">
        <v>31875020</v>
      </c>
      <c r="D230" t="s">
        <v>179</v>
      </c>
      <c r="E230">
        <v>1.653</v>
      </c>
      <c r="F230" t="s">
        <v>19</v>
      </c>
      <c r="G230" t="s">
        <v>20</v>
      </c>
      <c r="H230" t="s">
        <v>21</v>
      </c>
      <c r="I230" t="s">
        <v>20</v>
      </c>
      <c r="J230" t="s">
        <v>20</v>
      </c>
      <c r="K230" t="s">
        <v>31</v>
      </c>
      <c r="L230" t="s">
        <v>66</v>
      </c>
      <c r="M230" t="s">
        <v>67</v>
      </c>
      <c r="N230">
        <v>40.758485</v>
      </c>
      <c r="O230">
        <v>-111.902529</v>
      </c>
      <c r="P230">
        <v>4175.2570750000004</v>
      </c>
      <c r="Q230">
        <v>362</v>
      </c>
      <c r="R230">
        <v>0</v>
      </c>
    </row>
    <row r="231" spans="1:18" x14ac:dyDescent="0.25">
      <c r="A231">
        <v>230</v>
      </c>
      <c r="B231">
        <v>94</v>
      </c>
      <c r="C231">
        <v>1105321</v>
      </c>
      <c r="D231" t="s">
        <v>195</v>
      </c>
      <c r="E231">
        <v>1.6559999999999999</v>
      </c>
      <c r="F231" t="s">
        <v>21</v>
      </c>
      <c r="G231" t="s">
        <v>26</v>
      </c>
      <c r="H231" t="s">
        <v>21</v>
      </c>
      <c r="I231" t="s">
        <v>20</v>
      </c>
      <c r="J231" t="s">
        <v>20</v>
      </c>
      <c r="K231" t="s">
        <v>41</v>
      </c>
      <c r="L231" t="s">
        <v>57</v>
      </c>
      <c r="M231" t="s">
        <v>190</v>
      </c>
      <c r="N231">
        <v>41.089222999999997</v>
      </c>
      <c r="O231">
        <v>-112.080955</v>
      </c>
      <c r="P231">
        <v>4191.1501019999996</v>
      </c>
      <c r="Q231">
        <v>334</v>
      </c>
      <c r="R231">
        <v>0</v>
      </c>
    </row>
    <row r="232" spans="1:18" x14ac:dyDescent="0.25">
      <c r="A232">
        <v>231</v>
      </c>
      <c r="B232">
        <v>94</v>
      </c>
      <c r="C232">
        <v>28327523</v>
      </c>
      <c r="D232" t="s">
        <v>160</v>
      </c>
      <c r="E232">
        <v>1.657</v>
      </c>
      <c r="F232" t="s">
        <v>21</v>
      </c>
      <c r="G232" t="s">
        <v>20</v>
      </c>
      <c r="H232" t="s">
        <v>21</v>
      </c>
      <c r="I232" t="s">
        <v>20</v>
      </c>
      <c r="J232" t="s">
        <v>20</v>
      </c>
      <c r="K232" t="s">
        <v>27</v>
      </c>
      <c r="L232" t="s">
        <v>72</v>
      </c>
      <c r="M232" t="s">
        <v>73</v>
      </c>
      <c r="N232">
        <v>37.231991999999998</v>
      </c>
      <c r="O232">
        <v>-113.28157400000001</v>
      </c>
      <c r="P232">
        <v>3203.767472</v>
      </c>
      <c r="Q232">
        <v>1335</v>
      </c>
      <c r="R232">
        <v>0</v>
      </c>
    </row>
    <row r="233" spans="1:18" x14ac:dyDescent="0.25">
      <c r="A233">
        <v>232</v>
      </c>
      <c r="B233">
        <v>94</v>
      </c>
      <c r="C233">
        <v>31406692</v>
      </c>
      <c r="D233" t="s">
        <v>257</v>
      </c>
      <c r="E233">
        <v>1.657</v>
      </c>
      <c r="F233" t="s">
        <v>21</v>
      </c>
      <c r="G233" t="s">
        <v>26</v>
      </c>
      <c r="H233" t="s">
        <v>21</v>
      </c>
      <c r="I233" t="s">
        <v>20</v>
      </c>
      <c r="J233" t="s">
        <v>20</v>
      </c>
      <c r="K233" t="s">
        <v>22</v>
      </c>
      <c r="L233" t="s">
        <v>140</v>
      </c>
      <c r="M233" t="s">
        <v>76</v>
      </c>
      <c r="N233">
        <v>40.085334000000003</v>
      </c>
      <c r="O233">
        <v>-111.672139</v>
      </c>
      <c r="P233">
        <v>4485.9346139999998</v>
      </c>
      <c r="Q233">
        <v>1433</v>
      </c>
      <c r="R233">
        <v>0</v>
      </c>
    </row>
    <row r="234" spans="1:18" x14ac:dyDescent="0.25">
      <c r="A234">
        <v>233</v>
      </c>
      <c r="B234">
        <v>94</v>
      </c>
      <c r="C234">
        <v>31677279</v>
      </c>
      <c r="D234" t="s">
        <v>258</v>
      </c>
      <c r="E234">
        <v>1.657</v>
      </c>
      <c r="F234" t="s">
        <v>21</v>
      </c>
      <c r="G234" t="s">
        <v>26</v>
      </c>
      <c r="H234" t="s">
        <v>21</v>
      </c>
      <c r="I234" t="s">
        <v>20</v>
      </c>
      <c r="J234" t="s">
        <v>20</v>
      </c>
      <c r="K234" t="s">
        <v>27</v>
      </c>
      <c r="L234" t="s">
        <v>259</v>
      </c>
      <c r="M234" t="s">
        <v>29</v>
      </c>
      <c r="N234">
        <v>37.024242000000001</v>
      </c>
      <c r="O234">
        <v>-112.524845</v>
      </c>
      <c r="P234">
        <v>4804.7918280000004</v>
      </c>
      <c r="Q234">
        <v>301</v>
      </c>
      <c r="R234">
        <v>0</v>
      </c>
    </row>
    <row r="235" spans="1:18" x14ac:dyDescent="0.25">
      <c r="A235">
        <v>234</v>
      </c>
      <c r="B235">
        <v>94</v>
      </c>
      <c r="C235">
        <v>31836172</v>
      </c>
      <c r="D235" t="s">
        <v>161</v>
      </c>
      <c r="E235">
        <v>1.661</v>
      </c>
      <c r="F235" t="s">
        <v>21</v>
      </c>
      <c r="G235" t="s">
        <v>26</v>
      </c>
      <c r="H235" t="s">
        <v>19</v>
      </c>
      <c r="I235">
        <v>18</v>
      </c>
      <c r="J235" t="s">
        <v>20</v>
      </c>
      <c r="K235" t="s">
        <v>27</v>
      </c>
      <c r="L235" t="s">
        <v>162</v>
      </c>
      <c r="M235" t="s">
        <v>163</v>
      </c>
      <c r="N235">
        <v>37.573714000000002</v>
      </c>
      <c r="O235">
        <v>-113.704539</v>
      </c>
      <c r="P235">
        <v>5282.4484739999998</v>
      </c>
      <c r="Q235">
        <v>419</v>
      </c>
      <c r="R235">
        <v>0</v>
      </c>
    </row>
    <row r="236" spans="1:18" x14ac:dyDescent="0.25">
      <c r="A236">
        <v>235</v>
      </c>
      <c r="B236">
        <v>94</v>
      </c>
      <c r="C236">
        <v>31192211</v>
      </c>
      <c r="D236" t="s">
        <v>150</v>
      </c>
      <c r="E236">
        <v>1.661</v>
      </c>
      <c r="F236" t="s">
        <v>21</v>
      </c>
      <c r="G236" t="s">
        <v>26</v>
      </c>
      <c r="H236" t="s">
        <v>21</v>
      </c>
      <c r="I236" t="s">
        <v>20</v>
      </c>
      <c r="J236" t="s">
        <v>20</v>
      </c>
      <c r="K236" t="s">
        <v>27</v>
      </c>
      <c r="L236" t="s">
        <v>151</v>
      </c>
      <c r="M236" t="s">
        <v>152</v>
      </c>
      <c r="N236">
        <v>38.995505999999999</v>
      </c>
      <c r="O236">
        <v>-110.161023</v>
      </c>
      <c r="P236">
        <v>4000.3444829999999</v>
      </c>
      <c r="Q236">
        <v>1336</v>
      </c>
      <c r="R236">
        <v>0</v>
      </c>
    </row>
    <row r="237" spans="1:18" x14ac:dyDescent="0.25">
      <c r="A237">
        <v>236</v>
      </c>
      <c r="B237">
        <v>94</v>
      </c>
      <c r="C237">
        <v>1734949</v>
      </c>
      <c r="D237" t="s">
        <v>260</v>
      </c>
      <c r="E237">
        <v>1.6619999999999999</v>
      </c>
      <c r="F237" t="s">
        <v>19</v>
      </c>
      <c r="G237" t="s">
        <v>20</v>
      </c>
      <c r="H237" t="s">
        <v>21</v>
      </c>
      <c r="I237" t="s">
        <v>20</v>
      </c>
      <c r="J237" t="s">
        <v>20</v>
      </c>
      <c r="K237" t="s">
        <v>41</v>
      </c>
      <c r="L237" t="s">
        <v>81</v>
      </c>
      <c r="M237" t="s">
        <v>46</v>
      </c>
      <c r="N237">
        <v>41.222819000000001</v>
      </c>
      <c r="O237">
        <v>-111.97605799999999</v>
      </c>
      <c r="P237">
        <v>4244.3898630000003</v>
      </c>
      <c r="Q237">
        <v>1358</v>
      </c>
      <c r="R237">
        <v>0</v>
      </c>
    </row>
    <row r="238" spans="1:18" x14ac:dyDescent="0.25">
      <c r="A238">
        <v>237</v>
      </c>
      <c r="B238">
        <v>94</v>
      </c>
      <c r="C238" t="e">
        <f>-IpdZ8XMHHmMaW5bPX9jVF</f>
        <v>#NAME?</v>
      </c>
      <c r="D238" t="s">
        <v>187</v>
      </c>
      <c r="E238">
        <v>1.6659999999999999</v>
      </c>
      <c r="F238" t="s">
        <v>19</v>
      </c>
      <c r="G238" t="s">
        <v>20</v>
      </c>
      <c r="H238" t="s">
        <v>21</v>
      </c>
      <c r="I238" t="s">
        <v>20</v>
      </c>
      <c r="J238" t="s">
        <v>20</v>
      </c>
      <c r="K238" t="s">
        <v>31</v>
      </c>
      <c r="L238" t="s">
        <v>188</v>
      </c>
      <c r="M238" t="s">
        <v>90</v>
      </c>
      <c r="N238">
        <v>40.765824000000002</v>
      </c>
      <c r="O238">
        <v>-111.836882</v>
      </c>
      <c r="P238">
        <v>4787.1172020000004</v>
      </c>
      <c r="Q238">
        <v>435</v>
      </c>
      <c r="R238">
        <v>0</v>
      </c>
    </row>
    <row r="239" spans="1:18" x14ac:dyDescent="0.25">
      <c r="A239">
        <v>238</v>
      </c>
      <c r="B239">
        <v>94</v>
      </c>
      <c r="C239">
        <v>31404103</v>
      </c>
      <c r="D239" t="s">
        <v>63</v>
      </c>
      <c r="E239">
        <v>1.6679999999999999</v>
      </c>
      <c r="F239" t="s">
        <v>21</v>
      </c>
      <c r="G239" t="s">
        <v>20</v>
      </c>
      <c r="H239" t="s">
        <v>21</v>
      </c>
      <c r="I239" t="s">
        <v>20</v>
      </c>
      <c r="J239" t="s">
        <v>20</v>
      </c>
      <c r="K239" t="s">
        <v>27</v>
      </c>
      <c r="L239" t="s">
        <v>64</v>
      </c>
      <c r="M239" t="s">
        <v>29</v>
      </c>
      <c r="N239">
        <v>38.208342000000002</v>
      </c>
      <c r="O239">
        <v>-112.194204</v>
      </c>
      <c r="P239">
        <v>5945.1441199999999</v>
      </c>
      <c r="Q239">
        <v>1365</v>
      </c>
      <c r="R239">
        <v>0</v>
      </c>
    </row>
    <row r="240" spans="1:18" x14ac:dyDescent="0.25">
      <c r="A240">
        <v>239</v>
      </c>
      <c r="B240">
        <v>94</v>
      </c>
      <c r="C240" t="s">
        <v>261</v>
      </c>
      <c r="D240" t="s">
        <v>115</v>
      </c>
      <c r="E240">
        <v>1.6719999999999999</v>
      </c>
      <c r="F240" t="s">
        <v>19</v>
      </c>
      <c r="G240" t="s">
        <v>20</v>
      </c>
      <c r="H240" t="s">
        <v>19</v>
      </c>
      <c r="I240">
        <v>85</v>
      </c>
      <c r="J240" t="s">
        <v>20</v>
      </c>
      <c r="K240" t="s">
        <v>31</v>
      </c>
      <c r="L240" t="s">
        <v>48</v>
      </c>
      <c r="M240" t="s">
        <v>70</v>
      </c>
      <c r="N240">
        <v>40.653140999999998</v>
      </c>
      <c r="O240">
        <v>-112.045069</v>
      </c>
      <c r="P240">
        <v>4908.2441280000003</v>
      </c>
      <c r="Q240">
        <v>1437</v>
      </c>
      <c r="R240">
        <v>0</v>
      </c>
    </row>
    <row r="241" spans="1:18" x14ac:dyDescent="0.25">
      <c r="A241">
        <v>240</v>
      </c>
      <c r="B241">
        <v>94</v>
      </c>
      <c r="C241">
        <v>31752786</v>
      </c>
      <c r="D241" t="s">
        <v>262</v>
      </c>
      <c r="E241">
        <v>1.6739999999999999</v>
      </c>
      <c r="F241" t="s">
        <v>19</v>
      </c>
      <c r="G241" t="s">
        <v>20</v>
      </c>
      <c r="H241" t="s">
        <v>21</v>
      </c>
      <c r="I241" t="s">
        <v>20</v>
      </c>
      <c r="J241" t="s">
        <v>20</v>
      </c>
      <c r="K241" t="s">
        <v>22</v>
      </c>
      <c r="L241" t="s">
        <v>263</v>
      </c>
      <c r="M241" t="s">
        <v>24</v>
      </c>
      <c r="N241">
        <v>40.376212000000002</v>
      </c>
      <c r="O241">
        <v>-111.886512</v>
      </c>
      <c r="P241">
        <v>4448.8294320000005</v>
      </c>
      <c r="Q241">
        <v>1419</v>
      </c>
      <c r="R241">
        <v>0</v>
      </c>
    </row>
    <row r="242" spans="1:18" x14ac:dyDescent="0.25">
      <c r="A242">
        <v>241</v>
      </c>
      <c r="B242">
        <v>94</v>
      </c>
      <c r="C242">
        <v>31535166</v>
      </c>
      <c r="D242" t="s">
        <v>53</v>
      </c>
      <c r="E242">
        <v>1.677</v>
      </c>
      <c r="F242" t="s">
        <v>19</v>
      </c>
      <c r="G242" t="s">
        <v>20</v>
      </c>
      <c r="H242" t="s">
        <v>21</v>
      </c>
      <c r="I242" t="s">
        <v>20</v>
      </c>
      <c r="J242" t="s">
        <v>20</v>
      </c>
      <c r="K242" t="s">
        <v>27</v>
      </c>
      <c r="L242" t="s">
        <v>54</v>
      </c>
      <c r="M242" t="s">
        <v>55</v>
      </c>
      <c r="N242">
        <v>37.673808999999999</v>
      </c>
      <c r="O242">
        <v>-113.06684</v>
      </c>
      <c r="P242">
        <v>5789.4149870000001</v>
      </c>
      <c r="Q242">
        <v>1285</v>
      </c>
      <c r="R242">
        <v>0</v>
      </c>
    </row>
    <row r="243" spans="1:18" x14ac:dyDescent="0.25">
      <c r="A243">
        <v>242</v>
      </c>
      <c r="B243">
        <v>94</v>
      </c>
      <c r="C243">
        <v>1257530</v>
      </c>
      <c r="D243" t="s">
        <v>128</v>
      </c>
      <c r="E243">
        <v>1.68</v>
      </c>
      <c r="F243" t="s">
        <v>21</v>
      </c>
      <c r="G243" t="s">
        <v>26</v>
      </c>
      <c r="H243" t="s">
        <v>21</v>
      </c>
      <c r="I243" t="s">
        <v>20</v>
      </c>
      <c r="J243" t="s">
        <v>20</v>
      </c>
      <c r="K243" t="s">
        <v>41</v>
      </c>
      <c r="L243" t="s">
        <v>42</v>
      </c>
      <c r="M243" t="s">
        <v>73</v>
      </c>
      <c r="N243">
        <v>41.721896999999998</v>
      </c>
      <c r="O243">
        <v>-111.859981</v>
      </c>
      <c r="P243">
        <v>4417.7029069999999</v>
      </c>
      <c r="Q243">
        <v>5943</v>
      </c>
      <c r="R243">
        <v>0</v>
      </c>
    </row>
    <row r="244" spans="1:18" x14ac:dyDescent="0.25">
      <c r="A244">
        <v>243</v>
      </c>
      <c r="B244">
        <v>94</v>
      </c>
      <c r="C244">
        <v>31466178</v>
      </c>
      <c r="D244" t="s">
        <v>264</v>
      </c>
      <c r="E244">
        <v>1.6830000000000001</v>
      </c>
      <c r="F244" t="s">
        <v>21</v>
      </c>
      <c r="G244" t="s">
        <v>26</v>
      </c>
      <c r="H244" t="s">
        <v>21</v>
      </c>
      <c r="I244" t="s">
        <v>20</v>
      </c>
      <c r="J244" t="s">
        <v>20</v>
      </c>
      <c r="K244" t="s">
        <v>22</v>
      </c>
      <c r="L244" t="s">
        <v>35</v>
      </c>
      <c r="M244" t="s">
        <v>36</v>
      </c>
      <c r="N244">
        <v>40.524613000000002</v>
      </c>
      <c r="O244">
        <v>-111.487574</v>
      </c>
      <c r="P244">
        <v>5681.0644540000003</v>
      </c>
      <c r="Q244">
        <v>420</v>
      </c>
      <c r="R244">
        <v>0</v>
      </c>
    </row>
    <row r="245" spans="1:18" x14ac:dyDescent="0.25">
      <c r="A245">
        <v>244</v>
      </c>
      <c r="B245">
        <v>94</v>
      </c>
      <c r="C245">
        <v>536189</v>
      </c>
      <c r="D245" t="s">
        <v>77</v>
      </c>
      <c r="E245">
        <v>1.6859999999999999</v>
      </c>
      <c r="F245" t="s">
        <v>21</v>
      </c>
      <c r="G245" t="s">
        <v>26</v>
      </c>
      <c r="H245" t="s">
        <v>21</v>
      </c>
      <c r="I245" t="s">
        <v>20</v>
      </c>
      <c r="J245" t="s">
        <v>20</v>
      </c>
      <c r="K245" t="s">
        <v>31</v>
      </c>
      <c r="L245" t="s">
        <v>78</v>
      </c>
      <c r="M245" t="s">
        <v>79</v>
      </c>
      <c r="N245">
        <v>40.663100999999997</v>
      </c>
      <c r="O245">
        <v>-112.02467799999999</v>
      </c>
      <c r="P245">
        <v>4621.8276729999998</v>
      </c>
      <c r="Q245">
        <v>1436</v>
      </c>
      <c r="R245">
        <v>0</v>
      </c>
    </row>
    <row r="246" spans="1:18" x14ac:dyDescent="0.25">
      <c r="A246">
        <v>245</v>
      </c>
      <c r="B246">
        <v>94</v>
      </c>
      <c r="C246">
        <v>27943301</v>
      </c>
      <c r="D246" t="s">
        <v>265</v>
      </c>
      <c r="E246">
        <v>1.6879999999999999</v>
      </c>
      <c r="F246" t="s">
        <v>21</v>
      </c>
      <c r="G246" t="s">
        <v>26</v>
      </c>
      <c r="H246" t="s">
        <v>21</v>
      </c>
      <c r="I246" t="s">
        <v>20</v>
      </c>
      <c r="J246" t="s">
        <v>20</v>
      </c>
      <c r="K246" t="s">
        <v>27</v>
      </c>
      <c r="L246" t="s">
        <v>266</v>
      </c>
      <c r="M246" t="s">
        <v>267</v>
      </c>
      <c r="N246">
        <v>38.418753000000002</v>
      </c>
      <c r="O246">
        <v>-111.620205</v>
      </c>
      <c r="P246">
        <v>7022.6780740000004</v>
      </c>
      <c r="Q246">
        <v>1371</v>
      </c>
      <c r="R246">
        <v>0</v>
      </c>
    </row>
    <row r="247" spans="1:18" x14ac:dyDescent="0.25">
      <c r="A247">
        <v>246</v>
      </c>
      <c r="B247">
        <v>94</v>
      </c>
      <c r="C247" t="e">
        <f>-Ip5HpaYHyiY7zbHQQJm5k</f>
        <v>#NAME?</v>
      </c>
      <c r="D247" t="s">
        <v>208</v>
      </c>
      <c r="E247">
        <v>1.6890000000000001</v>
      </c>
      <c r="F247" t="s">
        <v>21</v>
      </c>
      <c r="G247" t="s">
        <v>26</v>
      </c>
      <c r="H247" t="s">
        <v>21</v>
      </c>
      <c r="I247" t="s">
        <v>20</v>
      </c>
      <c r="J247" t="s">
        <v>20</v>
      </c>
      <c r="K247" t="s">
        <v>31</v>
      </c>
      <c r="L247" t="s">
        <v>209</v>
      </c>
      <c r="M247" t="s">
        <v>131</v>
      </c>
      <c r="N247">
        <v>40.620936999999998</v>
      </c>
      <c r="O247">
        <v>-111.503935</v>
      </c>
      <c r="P247">
        <v>8074.1758719999998</v>
      </c>
      <c r="Q247">
        <v>357</v>
      </c>
      <c r="R247">
        <v>0</v>
      </c>
    </row>
    <row r="248" spans="1:18" x14ac:dyDescent="0.25">
      <c r="A248">
        <v>247</v>
      </c>
      <c r="B248">
        <v>94</v>
      </c>
      <c r="C248">
        <v>31406505</v>
      </c>
      <c r="D248" t="s">
        <v>74</v>
      </c>
      <c r="E248">
        <v>1.6890000000000001</v>
      </c>
      <c r="F248" t="s">
        <v>21</v>
      </c>
      <c r="G248" t="s">
        <v>26</v>
      </c>
      <c r="H248" t="s">
        <v>21</v>
      </c>
      <c r="I248" t="s">
        <v>20</v>
      </c>
      <c r="J248" t="s">
        <v>20</v>
      </c>
      <c r="K248" t="s">
        <v>27</v>
      </c>
      <c r="L248" t="s">
        <v>75</v>
      </c>
      <c r="M248" t="s">
        <v>76</v>
      </c>
      <c r="N248">
        <v>38.759084000000001</v>
      </c>
      <c r="O248">
        <v>-112.08478700000001</v>
      </c>
      <c r="P248">
        <v>5237.3611650000003</v>
      </c>
      <c r="Q248">
        <v>332</v>
      </c>
      <c r="R248">
        <v>0</v>
      </c>
    </row>
    <row r="249" spans="1:18" x14ac:dyDescent="0.25">
      <c r="A249">
        <v>248</v>
      </c>
      <c r="B249">
        <v>94</v>
      </c>
      <c r="C249">
        <v>31398676</v>
      </c>
      <c r="D249" t="s">
        <v>224</v>
      </c>
      <c r="E249">
        <v>1.69</v>
      </c>
      <c r="F249" t="s">
        <v>21</v>
      </c>
      <c r="G249" t="s">
        <v>26</v>
      </c>
      <c r="H249" t="s">
        <v>21</v>
      </c>
      <c r="I249" t="s">
        <v>20</v>
      </c>
      <c r="J249" t="s">
        <v>20</v>
      </c>
      <c r="K249" t="s">
        <v>22</v>
      </c>
      <c r="L249" t="s">
        <v>198</v>
      </c>
      <c r="M249" t="s">
        <v>194</v>
      </c>
      <c r="N249">
        <v>39.995072999999998</v>
      </c>
      <c r="O249">
        <v>-111.75347499999999</v>
      </c>
      <c r="P249">
        <v>4723.3794969999999</v>
      </c>
      <c r="Q249">
        <v>408</v>
      </c>
      <c r="R249">
        <v>0</v>
      </c>
    </row>
    <row r="250" spans="1:18" x14ac:dyDescent="0.25">
      <c r="A250">
        <v>249</v>
      </c>
      <c r="B250">
        <v>94</v>
      </c>
      <c r="C250" t="e">
        <f>-JLfi1WkGMuQCVxdTAxZgF</f>
        <v>#NAME?</v>
      </c>
      <c r="D250" t="s">
        <v>56</v>
      </c>
      <c r="E250">
        <v>1.6930000000000001</v>
      </c>
      <c r="F250" t="s">
        <v>21</v>
      </c>
      <c r="G250" t="s">
        <v>26</v>
      </c>
      <c r="H250" t="s">
        <v>21</v>
      </c>
      <c r="I250" t="s">
        <v>20</v>
      </c>
      <c r="J250" t="s">
        <v>20</v>
      </c>
      <c r="K250" t="s">
        <v>41</v>
      </c>
      <c r="L250" t="s">
        <v>57</v>
      </c>
      <c r="M250" t="s">
        <v>58</v>
      </c>
      <c r="N250">
        <v>41.163812999999998</v>
      </c>
      <c r="O250">
        <v>-112.09030300000001</v>
      </c>
      <c r="P250">
        <v>4189.3251579999996</v>
      </c>
      <c r="Q250">
        <v>1459</v>
      </c>
      <c r="R250">
        <v>0</v>
      </c>
    </row>
    <row r="251" spans="1:18" x14ac:dyDescent="0.25">
      <c r="A251">
        <v>250</v>
      </c>
      <c r="B251">
        <v>94</v>
      </c>
      <c r="C251">
        <v>31746132</v>
      </c>
      <c r="D251" t="s">
        <v>59</v>
      </c>
      <c r="E251">
        <v>1.694</v>
      </c>
      <c r="F251" t="s">
        <v>21</v>
      </c>
      <c r="G251" t="s">
        <v>26</v>
      </c>
      <c r="H251" t="s">
        <v>21</v>
      </c>
      <c r="I251" t="s">
        <v>20</v>
      </c>
      <c r="J251" t="s">
        <v>20</v>
      </c>
      <c r="K251" t="s">
        <v>22</v>
      </c>
      <c r="L251" t="s">
        <v>60</v>
      </c>
      <c r="M251" t="s">
        <v>24</v>
      </c>
      <c r="N251">
        <v>40.311860000000003</v>
      </c>
      <c r="O251">
        <v>-111.702668</v>
      </c>
      <c r="P251">
        <v>4712.623611</v>
      </c>
      <c r="Q251">
        <v>313</v>
      </c>
      <c r="R251">
        <v>0</v>
      </c>
    </row>
    <row r="252" spans="1:18" x14ac:dyDescent="0.25">
      <c r="A252">
        <v>251</v>
      </c>
      <c r="B252">
        <v>94</v>
      </c>
      <c r="C252" t="e">
        <f>-JPu2U3ZGmmNN4B9uBXbcV</f>
        <v>#NAME?</v>
      </c>
      <c r="D252" t="s">
        <v>167</v>
      </c>
      <c r="E252">
        <v>1.694</v>
      </c>
      <c r="F252" t="s">
        <v>21</v>
      </c>
      <c r="G252" t="s">
        <v>20</v>
      </c>
      <c r="H252" t="s">
        <v>21</v>
      </c>
      <c r="I252" t="s">
        <v>20</v>
      </c>
      <c r="J252" t="s">
        <v>20</v>
      </c>
      <c r="K252" t="s">
        <v>22</v>
      </c>
      <c r="L252" t="s">
        <v>168</v>
      </c>
      <c r="M252" t="s">
        <v>169</v>
      </c>
      <c r="N252">
        <v>40.229325000000003</v>
      </c>
      <c r="O252">
        <v>-110.720277</v>
      </c>
      <c r="P252">
        <v>6542.4717890000002</v>
      </c>
      <c r="Q252">
        <v>354</v>
      </c>
      <c r="R252">
        <v>0</v>
      </c>
    </row>
    <row r="253" spans="1:18" x14ac:dyDescent="0.25">
      <c r="A253">
        <v>252</v>
      </c>
      <c r="B253">
        <v>94</v>
      </c>
      <c r="C253">
        <v>733755</v>
      </c>
      <c r="D253" t="s">
        <v>68</v>
      </c>
      <c r="E253">
        <v>1.696</v>
      </c>
      <c r="F253" t="s">
        <v>19</v>
      </c>
      <c r="G253" t="s">
        <v>20</v>
      </c>
      <c r="H253" t="s">
        <v>21</v>
      </c>
      <c r="I253" t="s">
        <v>20</v>
      </c>
      <c r="J253" t="s">
        <v>20</v>
      </c>
      <c r="K253" t="s">
        <v>31</v>
      </c>
      <c r="L253" t="s">
        <v>69</v>
      </c>
      <c r="M253" t="s">
        <v>70</v>
      </c>
      <c r="N253">
        <v>40.672044</v>
      </c>
      <c r="O253">
        <v>-111.92259199999999</v>
      </c>
      <c r="P253">
        <v>4216.6147950000004</v>
      </c>
      <c r="Q253">
        <v>431</v>
      </c>
      <c r="R253">
        <v>0</v>
      </c>
    </row>
    <row r="254" spans="1:18" x14ac:dyDescent="0.25">
      <c r="A254">
        <v>253</v>
      </c>
      <c r="B254">
        <v>94</v>
      </c>
      <c r="C254">
        <v>31309757</v>
      </c>
      <c r="D254" t="s">
        <v>215</v>
      </c>
      <c r="E254">
        <v>1.5669999999999999</v>
      </c>
      <c r="F254" t="s">
        <v>19</v>
      </c>
      <c r="G254" t="s">
        <v>20</v>
      </c>
      <c r="H254" t="s">
        <v>21</v>
      </c>
      <c r="I254" t="s">
        <v>20</v>
      </c>
      <c r="J254" t="s">
        <v>20</v>
      </c>
      <c r="K254" t="s">
        <v>22</v>
      </c>
      <c r="L254" t="s">
        <v>23</v>
      </c>
      <c r="M254" t="s">
        <v>85</v>
      </c>
      <c r="N254">
        <v>40.233888999999998</v>
      </c>
      <c r="O254">
        <v>-111.69477999999999</v>
      </c>
      <c r="P254">
        <v>4459.3589750000001</v>
      </c>
      <c r="Q254">
        <v>330</v>
      </c>
      <c r="R254">
        <v>0</v>
      </c>
    </row>
    <row r="255" spans="1:18" x14ac:dyDescent="0.25">
      <c r="A255">
        <v>254</v>
      </c>
      <c r="B255">
        <v>94</v>
      </c>
      <c r="C255">
        <v>532753</v>
      </c>
      <c r="D255" t="s">
        <v>47</v>
      </c>
      <c r="E255">
        <v>1.5680000000000001</v>
      </c>
      <c r="F255" t="s">
        <v>21</v>
      </c>
      <c r="G255" t="s">
        <v>26</v>
      </c>
      <c r="H255" t="s">
        <v>21</v>
      </c>
      <c r="I255" t="s">
        <v>20</v>
      </c>
      <c r="J255" t="s">
        <v>20</v>
      </c>
      <c r="K255" t="s">
        <v>31</v>
      </c>
      <c r="L255" t="s">
        <v>48</v>
      </c>
      <c r="M255" t="s">
        <v>49</v>
      </c>
      <c r="N255">
        <v>40.544142999999998</v>
      </c>
      <c r="O255">
        <v>-111.95409600000001</v>
      </c>
      <c r="P255">
        <v>4446.4363759999997</v>
      </c>
      <c r="Q255">
        <v>6715</v>
      </c>
      <c r="R255">
        <v>0</v>
      </c>
    </row>
    <row r="256" spans="1:18" x14ac:dyDescent="0.25">
      <c r="A256">
        <v>255</v>
      </c>
      <c r="B256">
        <v>94</v>
      </c>
      <c r="C256">
        <v>31301510</v>
      </c>
      <c r="D256" t="s">
        <v>268</v>
      </c>
      <c r="E256">
        <v>1.5680000000000001</v>
      </c>
      <c r="F256" t="s">
        <v>21</v>
      </c>
      <c r="G256" t="s">
        <v>26</v>
      </c>
      <c r="H256" t="s">
        <v>21</v>
      </c>
      <c r="I256" t="s">
        <v>20</v>
      </c>
      <c r="J256" t="s">
        <v>20</v>
      </c>
      <c r="K256" t="s">
        <v>41</v>
      </c>
      <c r="L256" t="s">
        <v>177</v>
      </c>
      <c r="M256" t="s">
        <v>43</v>
      </c>
      <c r="N256">
        <v>41.561281999999999</v>
      </c>
      <c r="O256">
        <v>-112.158669</v>
      </c>
      <c r="P256">
        <v>4186.4373699999996</v>
      </c>
      <c r="Q256">
        <v>1380</v>
      </c>
      <c r="R256">
        <v>0</v>
      </c>
    </row>
    <row r="257" spans="1:18" x14ac:dyDescent="0.25">
      <c r="A257">
        <v>256</v>
      </c>
      <c r="B257">
        <v>94</v>
      </c>
      <c r="C257">
        <v>31466156</v>
      </c>
      <c r="D257" t="s">
        <v>264</v>
      </c>
      <c r="E257">
        <v>1.569</v>
      </c>
      <c r="F257" t="s">
        <v>21</v>
      </c>
      <c r="G257" t="s">
        <v>26</v>
      </c>
      <c r="H257" t="s">
        <v>21</v>
      </c>
      <c r="I257" t="s">
        <v>20</v>
      </c>
      <c r="J257" t="s">
        <v>20</v>
      </c>
      <c r="K257" t="s">
        <v>22</v>
      </c>
      <c r="L257" t="s">
        <v>35</v>
      </c>
      <c r="M257" t="s">
        <v>36</v>
      </c>
      <c r="N257">
        <v>40.522973</v>
      </c>
      <c r="O257">
        <v>-111.48763700000001</v>
      </c>
      <c r="P257">
        <v>5663.1716070000002</v>
      </c>
      <c r="Q257">
        <v>420</v>
      </c>
      <c r="R257">
        <v>0</v>
      </c>
    </row>
    <row r="258" spans="1:18" x14ac:dyDescent="0.25">
      <c r="A258">
        <v>257</v>
      </c>
      <c r="B258">
        <v>94</v>
      </c>
      <c r="C258">
        <v>31655787</v>
      </c>
      <c r="D258" t="s">
        <v>71</v>
      </c>
      <c r="E258">
        <v>1.569</v>
      </c>
      <c r="F258" t="s">
        <v>21</v>
      </c>
      <c r="G258" t="s">
        <v>20</v>
      </c>
      <c r="H258" t="s">
        <v>21</v>
      </c>
      <c r="I258" t="s">
        <v>20</v>
      </c>
      <c r="J258" t="s">
        <v>20</v>
      </c>
      <c r="K258" t="s">
        <v>27</v>
      </c>
      <c r="L258" t="s">
        <v>72</v>
      </c>
      <c r="M258" t="s">
        <v>73</v>
      </c>
      <c r="N258">
        <v>37.243696999999997</v>
      </c>
      <c r="O258">
        <v>-113.35271400000001</v>
      </c>
      <c r="P258">
        <v>3481.6343860000002</v>
      </c>
      <c r="Q258">
        <v>423</v>
      </c>
      <c r="R258">
        <v>0</v>
      </c>
    </row>
    <row r="259" spans="1:18" x14ac:dyDescent="0.25">
      <c r="A259">
        <v>258</v>
      </c>
      <c r="B259">
        <v>94</v>
      </c>
      <c r="C259">
        <v>31383819</v>
      </c>
      <c r="D259" t="s">
        <v>184</v>
      </c>
      <c r="E259">
        <v>1.57</v>
      </c>
      <c r="F259" t="s">
        <v>21</v>
      </c>
      <c r="G259" t="s">
        <v>26</v>
      </c>
      <c r="H259" t="s">
        <v>21</v>
      </c>
      <c r="I259" t="s">
        <v>20</v>
      </c>
      <c r="J259" t="s">
        <v>20</v>
      </c>
      <c r="K259" t="s">
        <v>27</v>
      </c>
      <c r="L259" t="s">
        <v>54</v>
      </c>
      <c r="M259" t="s">
        <v>55</v>
      </c>
      <c r="N259">
        <v>37.667710999999997</v>
      </c>
      <c r="O259">
        <v>-113.062395</v>
      </c>
      <c r="P259">
        <v>5879.3046979999999</v>
      </c>
      <c r="Q259">
        <v>1410</v>
      </c>
      <c r="R259">
        <v>0</v>
      </c>
    </row>
    <row r="260" spans="1:18" x14ac:dyDescent="0.25">
      <c r="A260">
        <v>259</v>
      </c>
      <c r="B260">
        <v>94</v>
      </c>
      <c r="C260">
        <v>31305520</v>
      </c>
      <c r="D260" t="s">
        <v>251</v>
      </c>
      <c r="E260">
        <v>1.571</v>
      </c>
      <c r="F260" t="s">
        <v>21</v>
      </c>
      <c r="G260" t="s">
        <v>26</v>
      </c>
      <c r="H260" t="s">
        <v>21</v>
      </c>
      <c r="I260" t="s">
        <v>20</v>
      </c>
      <c r="J260" t="s">
        <v>20</v>
      </c>
      <c r="K260" t="s">
        <v>27</v>
      </c>
      <c r="L260" t="s">
        <v>165</v>
      </c>
      <c r="M260" t="s">
        <v>166</v>
      </c>
      <c r="N260">
        <v>38.979168999999999</v>
      </c>
      <c r="O260">
        <v>-112.35240899999999</v>
      </c>
      <c r="P260">
        <v>4911.4252930000002</v>
      </c>
      <c r="Q260">
        <v>326</v>
      </c>
      <c r="R260">
        <v>0</v>
      </c>
    </row>
    <row r="261" spans="1:18" x14ac:dyDescent="0.25">
      <c r="A261">
        <v>260</v>
      </c>
      <c r="B261">
        <v>94</v>
      </c>
      <c r="C261" t="e">
        <f>-Ip5HklLHHaE5koIvRCXQV</f>
        <v>#NAME?</v>
      </c>
      <c r="D261" t="s">
        <v>208</v>
      </c>
      <c r="E261">
        <v>1.5760000000000001</v>
      </c>
      <c r="F261" t="s">
        <v>21</v>
      </c>
      <c r="G261" t="s">
        <v>26</v>
      </c>
      <c r="H261" t="s">
        <v>21</v>
      </c>
      <c r="I261" t="s">
        <v>20</v>
      </c>
      <c r="J261" t="s">
        <v>20</v>
      </c>
      <c r="K261" t="s">
        <v>31</v>
      </c>
      <c r="L261" t="s">
        <v>209</v>
      </c>
      <c r="M261" t="s">
        <v>131</v>
      </c>
      <c r="N261">
        <v>40.621195999999998</v>
      </c>
      <c r="O261">
        <v>-111.506066</v>
      </c>
      <c r="P261">
        <v>8080.149187</v>
      </c>
      <c r="Q261">
        <v>357</v>
      </c>
      <c r="R261">
        <v>0</v>
      </c>
    </row>
    <row r="262" spans="1:18" x14ac:dyDescent="0.25">
      <c r="A262">
        <v>261</v>
      </c>
      <c r="B262">
        <v>94</v>
      </c>
      <c r="C262">
        <v>31508614</v>
      </c>
      <c r="D262" t="s">
        <v>132</v>
      </c>
      <c r="E262">
        <v>1.58</v>
      </c>
      <c r="F262" t="s">
        <v>21</v>
      </c>
      <c r="G262" t="s">
        <v>26</v>
      </c>
      <c r="H262" t="s">
        <v>21</v>
      </c>
      <c r="I262" t="s">
        <v>20</v>
      </c>
      <c r="J262" t="s">
        <v>20</v>
      </c>
      <c r="K262" t="s">
        <v>22</v>
      </c>
      <c r="L262" t="s">
        <v>133</v>
      </c>
      <c r="M262" t="s">
        <v>134</v>
      </c>
      <c r="N262">
        <v>40.313547</v>
      </c>
      <c r="O262">
        <v>-110.011914</v>
      </c>
      <c r="P262">
        <v>5095.7151679999997</v>
      </c>
      <c r="Q262">
        <v>1405</v>
      </c>
      <c r="R262">
        <v>0</v>
      </c>
    </row>
    <row r="263" spans="1:18" x14ac:dyDescent="0.25">
      <c r="A263">
        <v>262</v>
      </c>
      <c r="B263">
        <v>94</v>
      </c>
      <c r="C263" t="e">
        <f>-IpZ0106Gh5kFrpVIbNyBk</f>
        <v>#NAME?</v>
      </c>
      <c r="D263" t="s">
        <v>107</v>
      </c>
      <c r="E263">
        <v>1.58</v>
      </c>
      <c r="F263" t="s">
        <v>21</v>
      </c>
      <c r="G263" t="s">
        <v>26</v>
      </c>
      <c r="H263" t="s">
        <v>21</v>
      </c>
      <c r="I263" t="s">
        <v>20</v>
      </c>
      <c r="J263" t="s">
        <v>20</v>
      </c>
      <c r="K263" t="s">
        <v>41</v>
      </c>
      <c r="L263" t="s">
        <v>81</v>
      </c>
      <c r="M263" t="s">
        <v>93</v>
      </c>
      <c r="N263">
        <v>41.215561999999998</v>
      </c>
      <c r="O263">
        <v>-111.978967</v>
      </c>
      <c r="P263">
        <v>4247.9582270000001</v>
      </c>
      <c r="Q263">
        <v>413</v>
      </c>
      <c r="R263">
        <v>0</v>
      </c>
    </row>
    <row r="264" spans="1:18" x14ac:dyDescent="0.25">
      <c r="A264">
        <v>263</v>
      </c>
      <c r="B264">
        <v>94</v>
      </c>
      <c r="C264">
        <v>1230204</v>
      </c>
      <c r="D264" t="s">
        <v>189</v>
      </c>
      <c r="E264">
        <v>1.58</v>
      </c>
      <c r="F264" t="s">
        <v>19</v>
      </c>
      <c r="G264" t="s">
        <v>20</v>
      </c>
      <c r="H264" t="s">
        <v>21</v>
      </c>
      <c r="I264" t="s">
        <v>20</v>
      </c>
      <c r="J264" t="s">
        <v>20</v>
      </c>
      <c r="K264" t="s">
        <v>41</v>
      </c>
      <c r="L264" t="s">
        <v>81</v>
      </c>
      <c r="M264" t="s">
        <v>190</v>
      </c>
      <c r="N264">
        <v>41.176057999999998</v>
      </c>
      <c r="O264">
        <v>-111.94929399999999</v>
      </c>
      <c r="P264">
        <v>4720.4760210000004</v>
      </c>
      <c r="Q264">
        <v>412</v>
      </c>
      <c r="R264">
        <v>0</v>
      </c>
    </row>
    <row r="265" spans="1:18" x14ac:dyDescent="0.25">
      <c r="A265">
        <v>264</v>
      </c>
      <c r="B265">
        <v>94</v>
      </c>
      <c r="C265">
        <v>28327512</v>
      </c>
      <c r="D265" t="s">
        <v>160</v>
      </c>
      <c r="E265">
        <v>1.581</v>
      </c>
      <c r="F265" t="s">
        <v>21</v>
      </c>
      <c r="G265" t="s">
        <v>26</v>
      </c>
      <c r="H265" t="s">
        <v>21</v>
      </c>
      <c r="I265" t="s">
        <v>20</v>
      </c>
      <c r="J265" t="s">
        <v>20</v>
      </c>
      <c r="K265" t="s">
        <v>27</v>
      </c>
      <c r="L265" t="s">
        <v>72</v>
      </c>
      <c r="M265" t="s">
        <v>73</v>
      </c>
      <c r="N265">
        <v>37.230918000000003</v>
      </c>
      <c r="O265">
        <v>-113.281425</v>
      </c>
      <c r="P265">
        <v>3182.4669640000002</v>
      </c>
      <c r="Q265">
        <v>1335</v>
      </c>
      <c r="R265">
        <v>0</v>
      </c>
    </row>
    <row r="266" spans="1:18" x14ac:dyDescent="0.25">
      <c r="A266">
        <v>265</v>
      </c>
      <c r="B266">
        <v>94</v>
      </c>
      <c r="C266">
        <v>31429989</v>
      </c>
      <c r="D266" t="s">
        <v>216</v>
      </c>
      <c r="E266">
        <v>1.581</v>
      </c>
      <c r="F266" t="s">
        <v>21</v>
      </c>
      <c r="G266" t="s">
        <v>26</v>
      </c>
      <c r="H266" t="s">
        <v>21</v>
      </c>
      <c r="I266" t="s">
        <v>20</v>
      </c>
      <c r="J266" t="s">
        <v>20</v>
      </c>
      <c r="K266" t="s">
        <v>27</v>
      </c>
      <c r="L266" t="s">
        <v>158</v>
      </c>
      <c r="M266" t="s">
        <v>159</v>
      </c>
      <c r="N266">
        <v>39.666514999999997</v>
      </c>
      <c r="O266">
        <v>-110.853745</v>
      </c>
      <c r="P266">
        <v>5735.1220300000004</v>
      </c>
      <c r="Q266">
        <v>1428</v>
      </c>
      <c r="R266">
        <v>0</v>
      </c>
    </row>
    <row r="267" spans="1:18" x14ac:dyDescent="0.25">
      <c r="A267">
        <v>266</v>
      </c>
      <c r="B267">
        <v>94</v>
      </c>
      <c r="C267">
        <v>31466167</v>
      </c>
      <c r="D267" t="s">
        <v>264</v>
      </c>
      <c r="E267">
        <v>1.5820000000000001</v>
      </c>
      <c r="F267" t="s">
        <v>21</v>
      </c>
      <c r="G267" t="s">
        <v>26</v>
      </c>
      <c r="H267" t="s">
        <v>21</v>
      </c>
      <c r="I267" t="s">
        <v>20</v>
      </c>
      <c r="J267" t="s">
        <v>20</v>
      </c>
      <c r="K267" t="s">
        <v>22</v>
      </c>
      <c r="L267" t="s">
        <v>35</v>
      </c>
      <c r="M267" t="s">
        <v>36</v>
      </c>
      <c r="N267">
        <v>40.523153000000001</v>
      </c>
      <c r="O267">
        <v>-111.48763099999999</v>
      </c>
      <c r="P267">
        <v>5665.2301340000004</v>
      </c>
      <c r="Q267">
        <v>420</v>
      </c>
      <c r="R267">
        <v>0</v>
      </c>
    </row>
    <row r="268" spans="1:18" x14ac:dyDescent="0.25">
      <c r="A268">
        <v>267</v>
      </c>
      <c r="B268">
        <v>94</v>
      </c>
      <c r="C268">
        <v>28679873</v>
      </c>
      <c r="D268" t="s">
        <v>269</v>
      </c>
      <c r="E268">
        <v>1.583</v>
      </c>
      <c r="F268" t="s">
        <v>21</v>
      </c>
      <c r="G268" t="s">
        <v>26</v>
      </c>
      <c r="H268" t="s">
        <v>21</v>
      </c>
      <c r="I268" t="s">
        <v>20</v>
      </c>
      <c r="J268" t="s">
        <v>20</v>
      </c>
      <c r="K268" t="s">
        <v>27</v>
      </c>
      <c r="L268" t="s">
        <v>122</v>
      </c>
      <c r="M268" t="s">
        <v>270</v>
      </c>
      <c r="N268">
        <v>38.583055000000002</v>
      </c>
      <c r="O268">
        <v>-110.709974</v>
      </c>
      <c r="P268">
        <v>4860.1299920000001</v>
      </c>
      <c r="Q268">
        <v>442</v>
      </c>
      <c r="R268">
        <v>0</v>
      </c>
    </row>
    <row r="269" spans="1:18" x14ac:dyDescent="0.25">
      <c r="A269">
        <v>268</v>
      </c>
      <c r="B269">
        <v>94</v>
      </c>
      <c r="C269">
        <v>31301103</v>
      </c>
      <c r="D269" t="s">
        <v>116</v>
      </c>
      <c r="E269">
        <v>1.5840000000000001</v>
      </c>
      <c r="F269" t="s">
        <v>21</v>
      </c>
      <c r="G269" t="s">
        <v>26</v>
      </c>
      <c r="H269" t="s">
        <v>21</v>
      </c>
      <c r="I269" t="s">
        <v>20</v>
      </c>
      <c r="J269" t="s">
        <v>20</v>
      </c>
      <c r="K269" t="s">
        <v>41</v>
      </c>
      <c r="L269" t="s">
        <v>177</v>
      </c>
      <c r="M269" t="s">
        <v>43</v>
      </c>
      <c r="N269">
        <v>41.486528999999997</v>
      </c>
      <c r="O269">
        <v>-112.02366600000001</v>
      </c>
      <c r="P269">
        <v>4246.3593929999997</v>
      </c>
      <c r="Q269">
        <v>324</v>
      </c>
      <c r="R269">
        <v>0</v>
      </c>
    </row>
    <row r="270" spans="1:18" x14ac:dyDescent="0.25">
      <c r="A270">
        <v>269</v>
      </c>
      <c r="B270">
        <v>94</v>
      </c>
      <c r="C270">
        <v>31609764</v>
      </c>
      <c r="D270" t="s">
        <v>271</v>
      </c>
      <c r="E270">
        <v>35.936</v>
      </c>
      <c r="F270" t="s">
        <v>21</v>
      </c>
      <c r="G270" t="s">
        <v>26</v>
      </c>
      <c r="H270" t="s">
        <v>21</v>
      </c>
      <c r="I270" t="s">
        <v>20</v>
      </c>
      <c r="J270" t="s">
        <v>20</v>
      </c>
      <c r="K270" t="s">
        <v>22</v>
      </c>
      <c r="L270" t="s">
        <v>263</v>
      </c>
      <c r="M270" t="s">
        <v>24</v>
      </c>
      <c r="N270">
        <v>40.387517000000003</v>
      </c>
      <c r="O270">
        <v>-111.92575100000001</v>
      </c>
      <c r="P270">
        <v>4546.8070760000001</v>
      </c>
      <c r="Q270">
        <v>1372</v>
      </c>
      <c r="R270">
        <v>0</v>
      </c>
    </row>
    <row r="271" spans="1:18" x14ac:dyDescent="0.25">
      <c r="A271">
        <v>270</v>
      </c>
      <c r="B271">
        <v>94</v>
      </c>
      <c r="C271" t="e">
        <f>-IoqAXzRI7yNA_aUuQ8iXk</f>
        <v>#NAME?</v>
      </c>
      <c r="D271" t="s">
        <v>272</v>
      </c>
      <c r="E271">
        <v>350.005</v>
      </c>
      <c r="F271" t="s">
        <v>21</v>
      </c>
      <c r="G271" t="s">
        <v>26</v>
      </c>
      <c r="H271" t="s">
        <v>21</v>
      </c>
      <c r="I271" t="s">
        <v>20</v>
      </c>
      <c r="J271" t="s">
        <v>20</v>
      </c>
      <c r="K271" t="s">
        <v>22</v>
      </c>
      <c r="L271" t="s">
        <v>84</v>
      </c>
      <c r="M271" t="s">
        <v>125</v>
      </c>
      <c r="N271">
        <v>40.388527000000003</v>
      </c>
      <c r="O271">
        <v>-111.826055</v>
      </c>
      <c r="P271">
        <v>4498.7117580000004</v>
      </c>
      <c r="Q271">
        <v>1384</v>
      </c>
      <c r="R271">
        <v>0</v>
      </c>
    </row>
    <row r="272" spans="1:18" x14ac:dyDescent="0.25">
      <c r="A272">
        <v>271</v>
      </c>
      <c r="B272">
        <v>94</v>
      </c>
      <c r="C272" t="s">
        <v>273</v>
      </c>
      <c r="D272" t="s">
        <v>272</v>
      </c>
      <c r="E272">
        <v>350.06099999999998</v>
      </c>
      <c r="F272" t="s">
        <v>19</v>
      </c>
      <c r="G272" t="s">
        <v>20</v>
      </c>
      <c r="H272" t="s">
        <v>19</v>
      </c>
      <c r="I272">
        <v>73</v>
      </c>
      <c r="J272" t="s">
        <v>20</v>
      </c>
      <c r="K272" t="s">
        <v>22</v>
      </c>
      <c r="L272" t="s">
        <v>84</v>
      </c>
      <c r="M272" t="s">
        <v>125</v>
      </c>
      <c r="N272">
        <v>40.388888999999999</v>
      </c>
      <c r="O272">
        <v>-111.826987</v>
      </c>
      <c r="P272">
        <v>4498.7017320000004</v>
      </c>
      <c r="Q272">
        <v>1384</v>
      </c>
      <c r="R272">
        <v>0</v>
      </c>
    </row>
    <row r="273" spans="1:18" x14ac:dyDescent="0.25">
      <c r="A273">
        <v>272</v>
      </c>
      <c r="B273">
        <v>94</v>
      </c>
      <c r="C273" t="e">
        <f>-IoqKg3BF0X_N6EInLx_JV</f>
        <v>#NAME?</v>
      </c>
      <c r="D273" t="s">
        <v>272</v>
      </c>
      <c r="E273">
        <v>350.45499999999998</v>
      </c>
      <c r="F273" t="s">
        <v>21</v>
      </c>
      <c r="G273" t="s">
        <v>26</v>
      </c>
      <c r="H273" t="s">
        <v>21</v>
      </c>
      <c r="I273" t="s">
        <v>20</v>
      </c>
      <c r="J273" t="s">
        <v>20</v>
      </c>
      <c r="K273" t="s">
        <v>22</v>
      </c>
      <c r="L273" t="s">
        <v>84</v>
      </c>
      <c r="M273" t="s">
        <v>125</v>
      </c>
      <c r="N273">
        <v>40.391452000000001</v>
      </c>
      <c r="O273">
        <v>-111.833521</v>
      </c>
      <c r="P273">
        <v>4502.7332589999996</v>
      </c>
      <c r="Q273">
        <v>1384</v>
      </c>
      <c r="R273">
        <v>0</v>
      </c>
    </row>
    <row r="274" spans="1:18" x14ac:dyDescent="0.25">
      <c r="A274">
        <v>273</v>
      </c>
      <c r="B274">
        <v>94</v>
      </c>
      <c r="C274" t="s">
        <v>274</v>
      </c>
      <c r="D274" t="s">
        <v>272</v>
      </c>
      <c r="E274">
        <v>350.52199999999999</v>
      </c>
      <c r="F274" t="s">
        <v>21</v>
      </c>
      <c r="G274" t="s">
        <v>26</v>
      </c>
      <c r="H274" t="s">
        <v>21</v>
      </c>
      <c r="I274" t="s">
        <v>20</v>
      </c>
      <c r="J274" t="s">
        <v>20</v>
      </c>
      <c r="K274" t="s">
        <v>22</v>
      </c>
      <c r="L274" t="s">
        <v>84</v>
      </c>
      <c r="M274" t="s">
        <v>125</v>
      </c>
      <c r="N274">
        <v>40.391900999999997</v>
      </c>
      <c r="O274">
        <v>-111.834633</v>
      </c>
      <c r="P274">
        <v>4501.6465170000001</v>
      </c>
      <c r="Q274">
        <v>1384</v>
      </c>
      <c r="R274">
        <v>0</v>
      </c>
    </row>
    <row r="275" spans="1:18" x14ac:dyDescent="0.25">
      <c r="A275">
        <v>274</v>
      </c>
      <c r="B275">
        <v>94</v>
      </c>
      <c r="C275" t="e">
        <f>-IoqNYjMFPHSNyfvJNqjsV</f>
        <v>#NAME?</v>
      </c>
      <c r="D275" t="s">
        <v>272</v>
      </c>
      <c r="E275">
        <v>350.66500000000002</v>
      </c>
      <c r="F275" t="s">
        <v>19</v>
      </c>
      <c r="G275" t="s">
        <v>20</v>
      </c>
      <c r="H275" t="s">
        <v>21</v>
      </c>
      <c r="I275" t="s">
        <v>20</v>
      </c>
      <c r="J275" t="s">
        <v>20</v>
      </c>
      <c r="K275" t="s">
        <v>22</v>
      </c>
      <c r="L275" t="s">
        <v>84</v>
      </c>
      <c r="M275" t="s">
        <v>125</v>
      </c>
      <c r="N275">
        <v>40.392809999999997</v>
      </c>
      <c r="O275">
        <v>-111.837017</v>
      </c>
      <c r="P275">
        <v>4501.987376</v>
      </c>
      <c r="Q275">
        <v>1384</v>
      </c>
      <c r="R275">
        <v>0</v>
      </c>
    </row>
    <row r="276" spans="1:18" x14ac:dyDescent="0.25">
      <c r="A276">
        <v>275</v>
      </c>
      <c r="B276">
        <v>94</v>
      </c>
      <c r="C276" t="e">
        <f>-IoqPAUMHPq8qdxZnDF2fV</f>
        <v>#NAME?</v>
      </c>
      <c r="D276" t="s">
        <v>272</v>
      </c>
      <c r="E276">
        <v>350.96899999999999</v>
      </c>
      <c r="F276" t="s">
        <v>21</v>
      </c>
      <c r="G276" t="s">
        <v>26</v>
      </c>
      <c r="H276" t="s">
        <v>21</v>
      </c>
      <c r="I276" t="s">
        <v>20</v>
      </c>
      <c r="J276" t="s">
        <v>20</v>
      </c>
      <c r="K276" t="s">
        <v>22</v>
      </c>
      <c r="L276" t="s">
        <v>84</v>
      </c>
      <c r="M276" t="s">
        <v>125</v>
      </c>
      <c r="N276">
        <v>40.394801000000001</v>
      </c>
      <c r="O276">
        <v>-111.84205</v>
      </c>
      <c r="P276">
        <v>4513.5474409999997</v>
      </c>
      <c r="Q276">
        <v>1384</v>
      </c>
      <c r="R276">
        <v>0</v>
      </c>
    </row>
    <row r="277" spans="1:18" x14ac:dyDescent="0.25">
      <c r="A277">
        <v>276</v>
      </c>
      <c r="B277">
        <v>94</v>
      </c>
      <c r="C277" t="e">
        <f>-IoqPTA-Fdm7LQAmrtDsbV</f>
        <v>#NAME?</v>
      </c>
      <c r="D277" t="s">
        <v>272</v>
      </c>
      <c r="E277">
        <v>351.03</v>
      </c>
      <c r="F277" t="s">
        <v>21</v>
      </c>
      <c r="G277" t="s">
        <v>26</v>
      </c>
      <c r="H277" t="s">
        <v>21</v>
      </c>
      <c r="I277" t="s">
        <v>20</v>
      </c>
      <c r="J277" t="s">
        <v>20</v>
      </c>
      <c r="K277" t="s">
        <v>22</v>
      </c>
      <c r="L277" t="s">
        <v>84</v>
      </c>
      <c r="M277" t="s">
        <v>125</v>
      </c>
      <c r="N277">
        <v>40.395221999999997</v>
      </c>
      <c r="O277">
        <v>-111.843052</v>
      </c>
      <c r="P277">
        <v>4516.2538379999996</v>
      </c>
      <c r="Q277">
        <v>1384</v>
      </c>
      <c r="R277">
        <v>0</v>
      </c>
    </row>
    <row r="278" spans="1:18" x14ac:dyDescent="0.25">
      <c r="A278">
        <v>277</v>
      </c>
      <c r="B278">
        <v>94</v>
      </c>
      <c r="C278" t="s">
        <v>275</v>
      </c>
      <c r="D278" t="s">
        <v>272</v>
      </c>
      <c r="E278">
        <v>351.05700000000002</v>
      </c>
      <c r="F278" t="s">
        <v>21</v>
      </c>
      <c r="G278" t="s">
        <v>26</v>
      </c>
      <c r="H278" t="s">
        <v>21</v>
      </c>
      <c r="I278" t="s">
        <v>20</v>
      </c>
      <c r="J278" t="s">
        <v>20</v>
      </c>
      <c r="K278" t="s">
        <v>22</v>
      </c>
      <c r="L278" t="s">
        <v>84</v>
      </c>
      <c r="M278" t="s">
        <v>125</v>
      </c>
      <c r="N278">
        <v>40.395417000000002</v>
      </c>
      <c r="O278">
        <v>-111.843506</v>
      </c>
      <c r="P278">
        <v>4517.0694290000001</v>
      </c>
      <c r="Q278">
        <v>1384</v>
      </c>
      <c r="R278">
        <v>0</v>
      </c>
    </row>
    <row r="279" spans="1:18" x14ac:dyDescent="0.25">
      <c r="A279">
        <v>278</v>
      </c>
      <c r="B279">
        <v>94</v>
      </c>
      <c r="C279" t="e">
        <f>-IoqPrGmHFiJsjaOQcLSrV</f>
        <v>#NAME?</v>
      </c>
      <c r="D279" t="s">
        <v>272</v>
      </c>
      <c r="E279">
        <v>351.12099999999998</v>
      </c>
      <c r="F279" t="s">
        <v>21</v>
      </c>
      <c r="G279" t="s">
        <v>26</v>
      </c>
      <c r="H279" t="s">
        <v>21</v>
      </c>
      <c r="I279" t="s">
        <v>20</v>
      </c>
      <c r="J279" t="s">
        <v>20</v>
      </c>
      <c r="K279" t="s">
        <v>22</v>
      </c>
      <c r="L279" t="s">
        <v>84</v>
      </c>
      <c r="M279" t="s">
        <v>125</v>
      </c>
      <c r="N279">
        <v>40.395837</v>
      </c>
      <c r="O279">
        <v>-111.844548</v>
      </c>
      <c r="P279">
        <v>4518.4872729999997</v>
      </c>
      <c r="Q279">
        <v>1384</v>
      </c>
      <c r="R279">
        <v>0</v>
      </c>
    </row>
    <row r="280" spans="1:18" x14ac:dyDescent="0.25">
      <c r="A280">
        <v>279</v>
      </c>
      <c r="B280">
        <v>94</v>
      </c>
      <c r="C280" t="e">
        <f>-IoqQUwAGnHoE-KufqRM5V</f>
        <v>#NAME?</v>
      </c>
      <c r="D280" t="s">
        <v>272</v>
      </c>
      <c r="E280">
        <v>351.21899999999999</v>
      </c>
      <c r="F280" t="s">
        <v>21</v>
      </c>
      <c r="G280" t="s">
        <v>26</v>
      </c>
      <c r="H280" t="s">
        <v>21</v>
      </c>
      <c r="I280" t="s">
        <v>20</v>
      </c>
      <c r="J280" t="s">
        <v>20</v>
      </c>
      <c r="K280" t="s">
        <v>22</v>
      </c>
      <c r="L280" t="s">
        <v>84</v>
      </c>
      <c r="M280" t="s">
        <v>125</v>
      </c>
      <c r="N280">
        <v>40.396487999999998</v>
      </c>
      <c r="O280">
        <v>-111.846172</v>
      </c>
      <c r="P280">
        <v>4522.9700350000003</v>
      </c>
      <c r="Q280">
        <v>1384</v>
      </c>
      <c r="R280">
        <v>0</v>
      </c>
    </row>
    <row r="281" spans="1:18" x14ac:dyDescent="0.25">
      <c r="A281">
        <v>280</v>
      </c>
      <c r="B281">
        <v>94</v>
      </c>
      <c r="C281" t="s">
        <v>276</v>
      </c>
      <c r="D281" t="s">
        <v>272</v>
      </c>
      <c r="E281">
        <v>351.31700000000001</v>
      </c>
      <c r="F281" t="s">
        <v>19</v>
      </c>
      <c r="G281" t="s">
        <v>20</v>
      </c>
      <c r="H281" t="s">
        <v>21</v>
      </c>
      <c r="I281" t="s">
        <v>20</v>
      </c>
      <c r="J281" t="s">
        <v>20</v>
      </c>
      <c r="K281" t="s">
        <v>22</v>
      </c>
      <c r="L281" t="s">
        <v>84</v>
      </c>
      <c r="M281" t="s">
        <v>125</v>
      </c>
      <c r="N281">
        <v>40.397137999999998</v>
      </c>
      <c r="O281">
        <v>-111.847802</v>
      </c>
      <c r="P281">
        <v>4530.5133949999999</v>
      </c>
      <c r="Q281">
        <v>1384</v>
      </c>
      <c r="R281">
        <v>0</v>
      </c>
    </row>
    <row r="282" spans="1:18" x14ac:dyDescent="0.25">
      <c r="A282">
        <v>281</v>
      </c>
      <c r="B282">
        <v>94</v>
      </c>
      <c r="C282" t="e">
        <f>-Ioqb40hG5ueO0sjJZs4lk</f>
        <v>#NAME?</v>
      </c>
      <c r="D282" t="s">
        <v>272</v>
      </c>
      <c r="E282">
        <v>351.42599999999999</v>
      </c>
      <c r="F282" t="s">
        <v>21</v>
      </c>
      <c r="G282" t="s">
        <v>26</v>
      </c>
      <c r="H282" t="s">
        <v>21</v>
      </c>
      <c r="I282" t="s">
        <v>20</v>
      </c>
      <c r="J282" t="s">
        <v>20</v>
      </c>
      <c r="K282" t="s">
        <v>22</v>
      </c>
      <c r="L282" t="s">
        <v>84</v>
      </c>
      <c r="M282" t="s">
        <v>125</v>
      </c>
      <c r="N282">
        <v>40.398032999999998</v>
      </c>
      <c r="O282">
        <v>-111.849433</v>
      </c>
      <c r="P282">
        <v>4526.7033080000001</v>
      </c>
      <c r="Q282">
        <v>1384</v>
      </c>
      <c r="R282">
        <v>0</v>
      </c>
    </row>
    <row r="283" spans="1:18" x14ac:dyDescent="0.25">
      <c r="A283">
        <v>282</v>
      </c>
      <c r="B283">
        <v>94</v>
      </c>
      <c r="C283">
        <v>31522088</v>
      </c>
      <c r="D283" t="s">
        <v>132</v>
      </c>
      <c r="E283">
        <v>38.610999999999997</v>
      </c>
      <c r="F283" t="s">
        <v>21</v>
      </c>
      <c r="G283" t="s">
        <v>26</v>
      </c>
      <c r="H283" t="s">
        <v>21</v>
      </c>
      <c r="I283" t="s">
        <v>20</v>
      </c>
      <c r="J283" t="s">
        <v>20</v>
      </c>
      <c r="K283" t="s">
        <v>22</v>
      </c>
      <c r="L283" t="s">
        <v>234</v>
      </c>
      <c r="M283" t="s">
        <v>277</v>
      </c>
      <c r="N283">
        <v>40.46266</v>
      </c>
      <c r="O283">
        <v>-109.561082</v>
      </c>
      <c r="P283">
        <v>5407.992612</v>
      </c>
      <c r="Q283">
        <v>1405</v>
      </c>
      <c r="R283">
        <v>0</v>
      </c>
    </row>
    <row r="284" spans="1:18" x14ac:dyDescent="0.25">
      <c r="A284">
        <v>283</v>
      </c>
      <c r="B284">
        <v>94</v>
      </c>
      <c r="C284">
        <v>31384023</v>
      </c>
      <c r="D284" t="s">
        <v>116</v>
      </c>
      <c r="E284">
        <v>38.65</v>
      </c>
      <c r="F284" t="s">
        <v>21</v>
      </c>
      <c r="G284" t="s">
        <v>26</v>
      </c>
      <c r="H284" t="s">
        <v>21</v>
      </c>
      <c r="I284" t="s">
        <v>20</v>
      </c>
      <c r="J284" t="s">
        <v>20</v>
      </c>
      <c r="K284" t="s">
        <v>41</v>
      </c>
      <c r="L284" t="s">
        <v>95</v>
      </c>
      <c r="M284" t="s">
        <v>117</v>
      </c>
      <c r="N284">
        <v>41.903104999999996</v>
      </c>
      <c r="O284">
        <v>-111.81474300000001</v>
      </c>
      <c r="P284">
        <v>4556.9200849999997</v>
      </c>
      <c r="Q284">
        <v>324</v>
      </c>
      <c r="R284">
        <v>0</v>
      </c>
    </row>
    <row r="285" spans="1:18" x14ac:dyDescent="0.25">
      <c r="A285">
        <v>284</v>
      </c>
      <c r="B285">
        <v>94</v>
      </c>
      <c r="C285">
        <v>31397625</v>
      </c>
      <c r="D285" t="s">
        <v>124</v>
      </c>
      <c r="E285">
        <v>38.665999999999997</v>
      </c>
      <c r="F285" t="s">
        <v>21</v>
      </c>
      <c r="G285" t="s">
        <v>26</v>
      </c>
      <c r="H285" t="s">
        <v>21</v>
      </c>
      <c r="I285" t="s">
        <v>20</v>
      </c>
      <c r="J285" t="s">
        <v>20</v>
      </c>
      <c r="K285" t="s">
        <v>31</v>
      </c>
      <c r="L285" t="s">
        <v>89</v>
      </c>
      <c r="M285" t="s">
        <v>125</v>
      </c>
      <c r="N285">
        <v>40.470286999999999</v>
      </c>
      <c r="O285">
        <v>-111.946392</v>
      </c>
      <c r="P285">
        <v>4578.9680699999999</v>
      </c>
      <c r="Q285">
        <v>1368</v>
      </c>
      <c r="R285">
        <v>0</v>
      </c>
    </row>
    <row r="286" spans="1:18" x14ac:dyDescent="0.25">
      <c r="A286">
        <v>285</v>
      </c>
      <c r="B286">
        <v>94</v>
      </c>
      <c r="C286">
        <v>31432242</v>
      </c>
      <c r="D286" t="s">
        <v>221</v>
      </c>
      <c r="E286">
        <v>38.701999999999998</v>
      </c>
      <c r="F286" t="s">
        <v>21</v>
      </c>
      <c r="G286" t="s">
        <v>26</v>
      </c>
      <c r="H286" t="s">
        <v>21</v>
      </c>
      <c r="I286" t="s">
        <v>20</v>
      </c>
      <c r="J286" t="s">
        <v>20</v>
      </c>
      <c r="K286" t="s">
        <v>22</v>
      </c>
      <c r="L286" t="s">
        <v>155</v>
      </c>
      <c r="M286" t="s">
        <v>174</v>
      </c>
      <c r="N286">
        <v>39.680382000000002</v>
      </c>
      <c r="O286">
        <v>-111.83945799999999</v>
      </c>
      <c r="P286">
        <v>5042.6514450000004</v>
      </c>
      <c r="Q286">
        <v>1342</v>
      </c>
      <c r="R286">
        <v>0</v>
      </c>
    </row>
    <row r="287" spans="1:18" x14ac:dyDescent="0.25">
      <c r="A287">
        <v>286</v>
      </c>
      <c r="B287">
        <v>94</v>
      </c>
      <c r="C287">
        <v>31432853</v>
      </c>
      <c r="D287" t="s">
        <v>221</v>
      </c>
      <c r="E287">
        <v>38.716000000000001</v>
      </c>
      <c r="F287" t="s">
        <v>21</v>
      </c>
      <c r="G287" t="s">
        <v>20</v>
      </c>
      <c r="H287" t="s">
        <v>21</v>
      </c>
      <c r="I287" t="s">
        <v>20</v>
      </c>
      <c r="J287" t="s">
        <v>20</v>
      </c>
      <c r="K287" t="s">
        <v>22</v>
      </c>
      <c r="L287" t="s">
        <v>155</v>
      </c>
      <c r="M287" t="s">
        <v>174</v>
      </c>
      <c r="N287">
        <v>39.680580999999997</v>
      </c>
      <c r="O287">
        <v>-111.839388</v>
      </c>
      <c r="P287">
        <v>5043.0057500000003</v>
      </c>
      <c r="Q287">
        <v>1342</v>
      </c>
      <c r="R287">
        <v>0</v>
      </c>
    </row>
    <row r="288" spans="1:18" x14ac:dyDescent="0.25">
      <c r="A288">
        <v>287</v>
      </c>
      <c r="B288">
        <v>94</v>
      </c>
      <c r="C288">
        <v>31328527</v>
      </c>
      <c r="D288" t="s">
        <v>278</v>
      </c>
      <c r="E288">
        <v>38.738</v>
      </c>
      <c r="F288" t="s">
        <v>21</v>
      </c>
      <c r="G288" t="s">
        <v>20</v>
      </c>
      <c r="H288" t="s">
        <v>21</v>
      </c>
      <c r="I288" t="s">
        <v>20</v>
      </c>
      <c r="J288" t="s">
        <v>20</v>
      </c>
      <c r="K288" t="s">
        <v>27</v>
      </c>
      <c r="L288" t="s">
        <v>279</v>
      </c>
      <c r="M288" t="s">
        <v>280</v>
      </c>
      <c r="N288">
        <v>37.496026999999998</v>
      </c>
      <c r="O288">
        <v>-112.542087</v>
      </c>
      <c r="P288">
        <v>7686.7276320000001</v>
      </c>
      <c r="Q288">
        <v>1330</v>
      </c>
      <c r="R288">
        <v>0</v>
      </c>
    </row>
    <row r="289" spans="1:18" x14ac:dyDescent="0.25">
      <c r="A289">
        <v>288</v>
      </c>
      <c r="B289">
        <v>94</v>
      </c>
      <c r="C289">
        <v>27982377</v>
      </c>
      <c r="D289" t="s">
        <v>281</v>
      </c>
      <c r="E289">
        <v>38.762999999999998</v>
      </c>
      <c r="F289" t="s">
        <v>21</v>
      </c>
      <c r="G289" t="s">
        <v>26</v>
      </c>
      <c r="H289" t="s">
        <v>19</v>
      </c>
      <c r="I289">
        <v>199</v>
      </c>
      <c r="J289" t="s">
        <v>20</v>
      </c>
      <c r="K289" t="s">
        <v>31</v>
      </c>
      <c r="L289" t="s">
        <v>282</v>
      </c>
      <c r="M289" t="s">
        <v>283</v>
      </c>
      <c r="N289">
        <v>40.337214000000003</v>
      </c>
      <c r="O289">
        <v>-112.409598</v>
      </c>
      <c r="P289">
        <v>4968.4479220000003</v>
      </c>
      <c r="Q289">
        <v>1347</v>
      </c>
      <c r="R289">
        <v>0</v>
      </c>
    </row>
    <row r="290" spans="1:18" x14ac:dyDescent="0.25">
      <c r="A290">
        <v>289</v>
      </c>
      <c r="B290">
        <v>94</v>
      </c>
      <c r="C290">
        <v>31646093</v>
      </c>
      <c r="D290" t="s">
        <v>233</v>
      </c>
      <c r="E290">
        <v>36.838999999999999</v>
      </c>
      <c r="F290" t="s">
        <v>21</v>
      </c>
      <c r="G290" t="s">
        <v>20</v>
      </c>
      <c r="H290" t="s">
        <v>21</v>
      </c>
      <c r="I290" t="s">
        <v>20</v>
      </c>
      <c r="J290" t="s">
        <v>20</v>
      </c>
      <c r="K290" t="s">
        <v>22</v>
      </c>
      <c r="L290" t="s">
        <v>234</v>
      </c>
      <c r="M290" t="s">
        <v>235</v>
      </c>
      <c r="N290">
        <v>40.368412999999997</v>
      </c>
      <c r="O290">
        <v>-109.49831500000001</v>
      </c>
      <c r="P290">
        <v>5303.1683370000001</v>
      </c>
      <c r="Q290">
        <v>1354</v>
      </c>
      <c r="R290">
        <v>0</v>
      </c>
    </row>
    <row r="291" spans="1:18" x14ac:dyDescent="0.25">
      <c r="A291">
        <v>290</v>
      </c>
      <c r="B291">
        <v>94</v>
      </c>
      <c r="C291">
        <v>31804534</v>
      </c>
      <c r="D291" t="s">
        <v>272</v>
      </c>
      <c r="E291">
        <v>36.847999999999999</v>
      </c>
      <c r="F291" t="s">
        <v>21</v>
      </c>
      <c r="G291" t="s">
        <v>26</v>
      </c>
      <c r="H291" t="s">
        <v>21</v>
      </c>
      <c r="I291" t="s">
        <v>20</v>
      </c>
      <c r="J291" t="s">
        <v>20</v>
      </c>
      <c r="K291" t="s">
        <v>27</v>
      </c>
      <c r="L291" t="s">
        <v>259</v>
      </c>
      <c r="M291" t="s">
        <v>214</v>
      </c>
      <c r="N291">
        <v>37.133249999999997</v>
      </c>
      <c r="O291">
        <v>-112.08711</v>
      </c>
      <c r="P291">
        <v>5269.2292029999999</v>
      </c>
      <c r="Q291">
        <v>1384</v>
      </c>
      <c r="R291">
        <v>0</v>
      </c>
    </row>
    <row r="292" spans="1:18" x14ac:dyDescent="0.25">
      <c r="A292">
        <v>291</v>
      </c>
      <c r="B292">
        <v>94</v>
      </c>
      <c r="C292">
        <v>31615600</v>
      </c>
      <c r="D292" t="s">
        <v>271</v>
      </c>
      <c r="E292">
        <v>36.884999999999998</v>
      </c>
      <c r="F292" t="s">
        <v>19</v>
      </c>
      <c r="G292" t="s">
        <v>20</v>
      </c>
      <c r="H292" t="s">
        <v>19</v>
      </c>
      <c r="I292">
        <v>89</v>
      </c>
      <c r="J292" t="s">
        <v>20</v>
      </c>
      <c r="K292" t="s">
        <v>22</v>
      </c>
      <c r="L292" t="s">
        <v>84</v>
      </c>
      <c r="M292" t="s">
        <v>24</v>
      </c>
      <c r="N292">
        <v>40.388809999999999</v>
      </c>
      <c r="O292">
        <v>-111.826965</v>
      </c>
      <c r="P292">
        <v>4498.3148890000002</v>
      </c>
      <c r="Q292">
        <v>1372</v>
      </c>
      <c r="R292">
        <v>0</v>
      </c>
    </row>
    <row r="293" spans="1:18" x14ac:dyDescent="0.25">
      <c r="A293">
        <v>292</v>
      </c>
      <c r="B293">
        <v>94</v>
      </c>
      <c r="C293" t="e">
        <f>-JN0gN66I7uAyOxquUIRAV</f>
        <v>#NAME?</v>
      </c>
      <c r="D293" t="s">
        <v>184</v>
      </c>
      <c r="E293">
        <v>36.893000000000001</v>
      </c>
      <c r="F293" t="s">
        <v>21</v>
      </c>
      <c r="G293" t="s">
        <v>20</v>
      </c>
      <c r="H293" t="s">
        <v>21</v>
      </c>
      <c r="I293" t="s">
        <v>20</v>
      </c>
      <c r="J293" t="s">
        <v>20</v>
      </c>
      <c r="K293" t="s">
        <v>27</v>
      </c>
      <c r="L293" t="s">
        <v>143</v>
      </c>
      <c r="M293" t="s">
        <v>55</v>
      </c>
      <c r="N293">
        <v>38.138463999999999</v>
      </c>
      <c r="O293">
        <v>-112.960076</v>
      </c>
      <c r="P293">
        <v>5629.5695560000004</v>
      </c>
      <c r="Q293">
        <v>1410</v>
      </c>
      <c r="R293">
        <v>0</v>
      </c>
    </row>
    <row r="294" spans="1:18" x14ac:dyDescent="0.25">
      <c r="A294">
        <v>293</v>
      </c>
      <c r="B294">
        <v>94</v>
      </c>
      <c r="C294">
        <v>31388321</v>
      </c>
      <c r="D294" t="s">
        <v>284</v>
      </c>
      <c r="E294">
        <v>36.905999999999999</v>
      </c>
      <c r="F294" t="s">
        <v>21</v>
      </c>
      <c r="G294" t="s">
        <v>26</v>
      </c>
      <c r="H294" t="s">
        <v>21</v>
      </c>
      <c r="I294" t="s">
        <v>20</v>
      </c>
      <c r="J294" t="s">
        <v>20</v>
      </c>
      <c r="K294" t="s">
        <v>31</v>
      </c>
      <c r="L294" t="s">
        <v>285</v>
      </c>
      <c r="M294" t="s">
        <v>206</v>
      </c>
      <c r="N294">
        <v>40.746402000000003</v>
      </c>
      <c r="O294">
        <v>-112.65269499999999</v>
      </c>
      <c r="P294">
        <v>4163.578904</v>
      </c>
      <c r="Q294">
        <v>407</v>
      </c>
      <c r="R294">
        <v>0</v>
      </c>
    </row>
    <row r="295" spans="1:18" x14ac:dyDescent="0.25">
      <c r="A295">
        <v>294</v>
      </c>
      <c r="B295">
        <v>94</v>
      </c>
      <c r="C295">
        <v>31383529</v>
      </c>
      <c r="D295" t="s">
        <v>116</v>
      </c>
      <c r="E295">
        <v>36.923000000000002</v>
      </c>
      <c r="F295" t="s">
        <v>21</v>
      </c>
      <c r="G295" t="s">
        <v>26</v>
      </c>
      <c r="H295" t="s">
        <v>21</v>
      </c>
      <c r="I295" t="s">
        <v>20</v>
      </c>
      <c r="J295" t="s">
        <v>20</v>
      </c>
      <c r="K295" t="s">
        <v>41</v>
      </c>
      <c r="L295" t="s">
        <v>95</v>
      </c>
      <c r="M295" t="s">
        <v>117</v>
      </c>
      <c r="N295">
        <v>41.879328000000001</v>
      </c>
      <c r="O295">
        <v>-111.82204400000001</v>
      </c>
      <c r="P295">
        <v>4530.3624959999997</v>
      </c>
      <c r="Q295">
        <v>324</v>
      </c>
      <c r="R295">
        <v>0</v>
      </c>
    </row>
    <row r="296" spans="1:18" x14ac:dyDescent="0.25">
      <c r="A296">
        <v>295</v>
      </c>
      <c r="B296">
        <v>94</v>
      </c>
      <c r="C296">
        <v>31646254</v>
      </c>
      <c r="D296" t="s">
        <v>233</v>
      </c>
      <c r="E296">
        <v>36.942999999999998</v>
      </c>
      <c r="F296" t="s">
        <v>21</v>
      </c>
      <c r="G296" t="s">
        <v>20</v>
      </c>
      <c r="H296" t="s">
        <v>21</v>
      </c>
      <c r="I296" t="s">
        <v>20</v>
      </c>
      <c r="J296" t="s">
        <v>20</v>
      </c>
      <c r="K296" t="s">
        <v>22</v>
      </c>
      <c r="L296" t="s">
        <v>234</v>
      </c>
      <c r="M296" t="s">
        <v>235</v>
      </c>
      <c r="N296">
        <v>40.369922000000003</v>
      </c>
      <c r="O296">
        <v>-109.498332</v>
      </c>
      <c r="P296">
        <v>5295.8185400000002</v>
      </c>
      <c r="Q296">
        <v>1354</v>
      </c>
      <c r="R296">
        <v>0</v>
      </c>
    </row>
    <row r="297" spans="1:18" x14ac:dyDescent="0.25">
      <c r="A297">
        <v>296</v>
      </c>
      <c r="B297">
        <v>94</v>
      </c>
      <c r="C297" t="s">
        <v>286</v>
      </c>
      <c r="D297" t="s">
        <v>118</v>
      </c>
      <c r="E297">
        <v>36.981000000000002</v>
      </c>
      <c r="F297" t="s">
        <v>21</v>
      </c>
      <c r="G297" t="s">
        <v>26</v>
      </c>
      <c r="H297" t="s">
        <v>21</v>
      </c>
      <c r="I297" t="s">
        <v>20</v>
      </c>
      <c r="J297" t="s">
        <v>20</v>
      </c>
      <c r="K297" t="s">
        <v>22</v>
      </c>
      <c r="L297" t="s">
        <v>119</v>
      </c>
      <c r="M297" t="s">
        <v>120</v>
      </c>
      <c r="N297">
        <v>40.278767999999999</v>
      </c>
      <c r="O297">
        <v>-111.21911</v>
      </c>
      <c r="P297">
        <v>7704.1145660000002</v>
      </c>
      <c r="Q297">
        <v>310</v>
      </c>
      <c r="R297">
        <v>0</v>
      </c>
    </row>
    <row r="298" spans="1:18" x14ac:dyDescent="0.25">
      <c r="A298">
        <v>297</v>
      </c>
      <c r="B298">
        <v>94</v>
      </c>
      <c r="C298" t="e">
        <f>-IrpE3oIIouX3y826xzNHk</f>
        <v>#NAME?</v>
      </c>
      <c r="D298" t="s">
        <v>272</v>
      </c>
      <c r="E298">
        <v>362.55200000000002</v>
      </c>
      <c r="F298" t="s">
        <v>19</v>
      </c>
      <c r="G298" t="s">
        <v>20</v>
      </c>
      <c r="H298" t="s">
        <v>19</v>
      </c>
      <c r="I298">
        <v>71</v>
      </c>
      <c r="J298" t="s">
        <v>20</v>
      </c>
      <c r="K298" t="s">
        <v>22</v>
      </c>
      <c r="L298" t="s">
        <v>84</v>
      </c>
      <c r="M298" t="s">
        <v>49</v>
      </c>
      <c r="N298">
        <v>40.526758000000001</v>
      </c>
      <c r="O298">
        <v>-111.888588</v>
      </c>
      <c r="P298">
        <v>4370.7186320000001</v>
      </c>
      <c r="Q298">
        <v>1384</v>
      </c>
      <c r="R298">
        <v>0</v>
      </c>
    </row>
    <row r="299" spans="1:18" x14ac:dyDescent="0.25">
      <c r="A299">
        <v>298</v>
      </c>
      <c r="B299">
        <v>94</v>
      </c>
      <c r="C299" t="e">
        <f>-JRwbc0UF8DC5Hzeu98lHF</f>
        <v>#NAME?</v>
      </c>
      <c r="D299" t="s">
        <v>272</v>
      </c>
      <c r="E299">
        <v>362.66699999999997</v>
      </c>
      <c r="F299" t="s">
        <v>19</v>
      </c>
      <c r="G299" t="s">
        <v>20</v>
      </c>
      <c r="H299" t="s">
        <v>21</v>
      </c>
      <c r="I299" t="s">
        <v>20</v>
      </c>
      <c r="J299" t="s">
        <v>20</v>
      </c>
      <c r="K299" t="s">
        <v>31</v>
      </c>
      <c r="L299" t="s">
        <v>89</v>
      </c>
      <c r="M299" t="s">
        <v>49</v>
      </c>
      <c r="N299">
        <v>40.528410999999998</v>
      </c>
      <c r="O299">
        <v>-111.889256</v>
      </c>
      <c r="P299">
        <v>4365.1906070000005</v>
      </c>
      <c r="Q299">
        <v>1384</v>
      </c>
      <c r="R299">
        <v>0</v>
      </c>
    </row>
    <row r="300" spans="1:18" x14ac:dyDescent="0.25">
      <c r="A300">
        <v>299</v>
      </c>
      <c r="B300">
        <v>94</v>
      </c>
      <c r="C300" t="s">
        <v>287</v>
      </c>
      <c r="D300" t="s">
        <v>272</v>
      </c>
      <c r="E300">
        <v>362.72699999999998</v>
      </c>
      <c r="F300" t="s">
        <v>21</v>
      </c>
      <c r="G300" t="s">
        <v>26</v>
      </c>
      <c r="H300" t="s">
        <v>21</v>
      </c>
      <c r="I300" t="s">
        <v>20</v>
      </c>
      <c r="J300" t="s">
        <v>20</v>
      </c>
      <c r="K300" t="s">
        <v>31</v>
      </c>
      <c r="L300" t="s">
        <v>89</v>
      </c>
      <c r="M300" t="s">
        <v>49</v>
      </c>
      <c r="N300">
        <v>40.529049999999998</v>
      </c>
      <c r="O300">
        <v>-111.890046</v>
      </c>
      <c r="P300">
        <v>4365.3221530000001</v>
      </c>
      <c r="Q300">
        <v>1384</v>
      </c>
      <c r="R300">
        <v>0</v>
      </c>
    </row>
    <row r="301" spans="1:18" x14ac:dyDescent="0.25">
      <c r="A301">
        <v>300</v>
      </c>
      <c r="B301">
        <v>94</v>
      </c>
      <c r="C301">
        <v>31569586</v>
      </c>
      <c r="D301" t="s">
        <v>288</v>
      </c>
      <c r="E301">
        <v>362.75</v>
      </c>
      <c r="F301" t="s">
        <v>21</v>
      </c>
      <c r="G301" t="s">
        <v>26</v>
      </c>
      <c r="H301" t="s">
        <v>21</v>
      </c>
      <c r="I301" t="s">
        <v>20</v>
      </c>
      <c r="J301" t="s">
        <v>20</v>
      </c>
      <c r="K301" t="s">
        <v>22</v>
      </c>
      <c r="L301" t="s">
        <v>234</v>
      </c>
      <c r="M301" t="s">
        <v>98</v>
      </c>
      <c r="N301">
        <v>40.580362999999998</v>
      </c>
      <c r="O301">
        <v>-109.474474</v>
      </c>
      <c r="P301">
        <v>5844.8870989999996</v>
      </c>
      <c r="Q301">
        <v>350</v>
      </c>
      <c r="R301">
        <v>0</v>
      </c>
    </row>
    <row r="302" spans="1:18" x14ac:dyDescent="0.25">
      <c r="A302">
        <v>301</v>
      </c>
      <c r="B302">
        <v>94</v>
      </c>
      <c r="C302" t="e">
        <f>-Ior780JG8HIipDXZXMndk</f>
        <v>#NAME?</v>
      </c>
      <c r="D302" t="s">
        <v>272</v>
      </c>
      <c r="E302">
        <v>362.77499999999998</v>
      </c>
      <c r="F302" t="s">
        <v>21</v>
      </c>
      <c r="G302" t="s">
        <v>26</v>
      </c>
      <c r="H302" t="s">
        <v>21</v>
      </c>
      <c r="I302" t="s">
        <v>20</v>
      </c>
      <c r="J302" t="s">
        <v>20</v>
      </c>
      <c r="K302" t="s">
        <v>31</v>
      </c>
      <c r="L302" t="s">
        <v>89</v>
      </c>
      <c r="M302" t="s">
        <v>49</v>
      </c>
      <c r="N302">
        <v>40.529651999999999</v>
      </c>
      <c r="O302">
        <v>-111.890558</v>
      </c>
      <c r="P302">
        <v>4367.3260490000002</v>
      </c>
      <c r="Q302">
        <v>1384</v>
      </c>
      <c r="R302">
        <v>0</v>
      </c>
    </row>
    <row r="303" spans="1:18" x14ac:dyDescent="0.25">
      <c r="A303">
        <v>302</v>
      </c>
      <c r="B303">
        <v>94</v>
      </c>
      <c r="C303" t="e">
        <f>-Ior8bQlHmmTQ8duTSA7uk</f>
        <v>#NAME?</v>
      </c>
      <c r="D303" t="s">
        <v>272</v>
      </c>
      <c r="E303">
        <v>362.91</v>
      </c>
      <c r="F303" t="s">
        <v>21</v>
      </c>
      <c r="G303" t="s">
        <v>26</v>
      </c>
      <c r="H303" t="s">
        <v>21</v>
      </c>
      <c r="I303" t="s">
        <v>20</v>
      </c>
      <c r="J303" t="s">
        <v>20</v>
      </c>
      <c r="K303" t="s">
        <v>31</v>
      </c>
      <c r="L303" t="s">
        <v>89</v>
      </c>
      <c r="M303" t="s">
        <v>49</v>
      </c>
      <c r="N303">
        <v>40.531554</v>
      </c>
      <c r="O303">
        <v>-111.89116199999999</v>
      </c>
      <c r="P303">
        <v>4368.5190249999996</v>
      </c>
      <c r="Q303">
        <v>1384</v>
      </c>
      <c r="R303">
        <v>0</v>
      </c>
    </row>
    <row r="304" spans="1:18" x14ac:dyDescent="0.25">
      <c r="A304">
        <v>303</v>
      </c>
      <c r="B304">
        <v>94</v>
      </c>
      <c r="C304" t="e">
        <f>-Ior91gfGoLdkX1YiGMoSF</f>
        <v>#NAME?</v>
      </c>
      <c r="D304" t="s">
        <v>272</v>
      </c>
      <c r="E304">
        <v>363.28699999999998</v>
      </c>
      <c r="F304" t="s">
        <v>19</v>
      </c>
      <c r="G304" t="s">
        <v>20</v>
      </c>
      <c r="H304" t="s">
        <v>21</v>
      </c>
      <c r="I304" t="s">
        <v>20</v>
      </c>
      <c r="J304" t="s">
        <v>20</v>
      </c>
      <c r="K304" t="s">
        <v>31</v>
      </c>
      <c r="L304" t="s">
        <v>89</v>
      </c>
      <c r="M304" t="s">
        <v>49</v>
      </c>
      <c r="N304">
        <v>40.537042</v>
      </c>
      <c r="O304">
        <v>-111.891406</v>
      </c>
      <c r="P304">
        <v>4392.8282849999996</v>
      </c>
      <c r="Q304">
        <v>1384</v>
      </c>
      <c r="R304">
        <v>0</v>
      </c>
    </row>
    <row r="305" spans="1:18" x14ac:dyDescent="0.25">
      <c r="A305">
        <v>304</v>
      </c>
      <c r="B305">
        <v>94</v>
      </c>
      <c r="C305">
        <v>31569597</v>
      </c>
      <c r="D305" t="s">
        <v>288</v>
      </c>
      <c r="E305">
        <v>363.64600000000002</v>
      </c>
      <c r="F305" t="s">
        <v>21</v>
      </c>
      <c r="G305" t="s">
        <v>26</v>
      </c>
      <c r="H305" t="s">
        <v>21</v>
      </c>
      <c r="I305" t="s">
        <v>20</v>
      </c>
      <c r="J305" t="s">
        <v>20</v>
      </c>
      <c r="K305" t="s">
        <v>22</v>
      </c>
      <c r="L305" t="s">
        <v>234</v>
      </c>
      <c r="M305" t="s">
        <v>98</v>
      </c>
      <c r="N305">
        <v>40.591051</v>
      </c>
      <c r="O305">
        <v>-109.46808900000001</v>
      </c>
      <c r="P305">
        <v>5614.7632389999999</v>
      </c>
      <c r="Q305">
        <v>350</v>
      </c>
      <c r="R305">
        <v>0</v>
      </c>
    </row>
    <row r="306" spans="1:18" x14ac:dyDescent="0.25">
      <c r="A306">
        <v>305</v>
      </c>
      <c r="B306">
        <v>94</v>
      </c>
      <c r="C306">
        <v>31574708</v>
      </c>
      <c r="D306" t="s">
        <v>288</v>
      </c>
      <c r="E306">
        <v>363.69600000000003</v>
      </c>
      <c r="F306" t="s">
        <v>21</v>
      </c>
      <c r="G306" t="s">
        <v>20</v>
      </c>
      <c r="H306" t="s">
        <v>21</v>
      </c>
      <c r="I306" t="s">
        <v>20</v>
      </c>
      <c r="J306" t="s">
        <v>20</v>
      </c>
      <c r="K306" t="s">
        <v>22</v>
      </c>
      <c r="L306" t="s">
        <v>234</v>
      </c>
      <c r="M306" t="s">
        <v>98</v>
      </c>
      <c r="N306">
        <v>40.591769999999997</v>
      </c>
      <c r="O306">
        <v>-109.467984</v>
      </c>
      <c r="P306">
        <v>5619.1777380000003</v>
      </c>
      <c r="Q306">
        <v>350</v>
      </c>
      <c r="R306">
        <v>0</v>
      </c>
    </row>
    <row r="307" spans="1:18" x14ac:dyDescent="0.25">
      <c r="A307">
        <v>306</v>
      </c>
      <c r="B307">
        <v>94</v>
      </c>
      <c r="C307" t="e">
        <f>-JODtQFTFpD6V9oyCW08bk</f>
        <v>#NAME?</v>
      </c>
      <c r="D307" t="s">
        <v>210</v>
      </c>
      <c r="E307">
        <v>29.375</v>
      </c>
      <c r="F307" t="s">
        <v>21</v>
      </c>
      <c r="G307" t="s">
        <v>20</v>
      </c>
      <c r="H307" t="s">
        <v>21</v>
      </c>
      <c r="I307" t="s">
        <v>20</v>
      </c>
      <c r="J307" t="s">
        <v>20</v>
      </c>
      <c r="K307" t="s">
        <v>27</v>
      </c>
      <c r="L307" t="s">
        <v>211</v>
      </c>
      <c r="M307" t="s">
        <v>212</v>
      </c>
      <c r="N307">
        <v>37.168084</v>
      </c>
      <c r="O307">
        <v>-109.08310299999999</v>
      </c>
      <c r="P307">
        <v>4768.4179119999999</v>
      </c>
      <c r="Q307">
        <v>344</v>
      </c>
      <c r="R307">
        <v>0</v>
      </c>
    </row>
    <row r="308" spans="1:18" x14ac:dyDescent="0.25">
      <c r="A308">
        <v>307</v>
      </c>
      <c r="B308">
        <v>94</v>
      </c>
      <c r="C308" t="e">
        <f>-Iov4DFmIS5dyRhKzz5_bk</f>
        <v>#NAME?</v>
      </c>
      <c r="D308" t="s">
        <v>221</v>
      </c>
      <c r="E308">
        <v>29.376999999999999</v>
      </c>
      <c r="F308" t="s">
        <v>21</v>
      </c>
      <c r="G308" t="s">
        <v>20</v>
      </c>
      <c r="H308" t="s">
        <v>21</v>
      </c>
      <c r="I308" t="s">
        <v>20</v>
      </c>
      <c r="J308" t="s">
        <v>20</v>
      </c>
      <c r="K308" t="s">
        <v>22</v>
      </c>
      <c r="L308" t="s">
        <v>155</v>
      </c>
      <c r="M308" t="s">
        <v>174</v>
      </c>
      <c r="N308">
        <v>39.550218000000001</v>
      </c>
      <c r="O308">
        <v>-111.86380200000001</v>
      </c>
      <c r="P308">
        <v>5260.10113</v>
      </c>
      <c r="Q308">
        <v>1342</v>
      </c>
      <c r="R308">
        <v>0</v>
      </c>
    </row>
    <row r="309" spans="1:18" x14ac:dyDescent="0.25">
      <c r="A309">
        <v>308</v>
      </c>
      <c r="B309">
        <v>94</v>
      </c>
      <c r="C309">
        <v>31462628</v>
      </c>
      <c r="D309" t="s">
        <v>91</v>
      </c>
      <c r="E309">
        <v>29.422999999999998</v>
      </c>
      <c r="F309" t="s">
        <v>21</v>
      </c>
      <c r="G309" t="s">
        <v>26</v>
      </c>
      <c r="H309" t="s">
        <v>21</v>
      </c>
      <c r="I309" t="s">
        <v>20</v>
      </c>
      <c r="J309" t="s">
        <v>20</v>
      </c>
      <c r="K309" t="s">
        <v>41</v>
      </c>
      <c r="L309" t="s">
        <v>95</v>
      </c>
      <c r="M309" t="s">
        <v>73</v>
      </c>
      <c r="N309">
        <v>41.991818000000002</v>
      </c>
      <c r="O309">
        <v>-111.954768</v>
      </c>
      <c r="P309">
        <v>4468.1910870000002</v>
      </c>
      <c r="Q309">
        <v>1339</v>
      </c>
      <c r="R309">
        <v>0</v>
      </c>
    </row>
    <row r="310" spans="1:18" x14ac:dyDescent="0.25">
      <c r="A310">
        <v>309</v>
      </c>
      <c r="B310">
        <v>94</v>
      </c>
      <c r="C310">
        <v>28628903</v>
      </c>
      <c r="D310" t="s">
        <v>142</v>
      </c>
      <c r="E310">
        <v>29.44</v>
      </c>
      <c r="F310" t="s">
        <v>21</v>
      </c>
      <c r="G310" t="s">
        <v>26</v>
      </c>
      <c r="H310" t="s">
        <v>21</v>
      </c>
      <c r="I310" t="s">
        <v>20</v>
      </c>
      <c r="J310" t="s">
        <v>20</v>
      </c>
      <c r="K310" t="s">
        <v>27</v>
      </c>
      <c r="L310" t="s">
        <v>143</v>
      </c>
      <c r="M310" t="s">
        <v>106</v>
      </c>
      <c r="N310">
        <v>38.578845000000001</v>
      </c>
      <c r="O310">
        <v>-113.805384</v>
      </c>
      <c r="P310">
        <v>5586.3850510000002</v>
      </c>
      <c r="Q310">
        <v>305</v>
      </c>
      <c r="R310">
        <v>0</v>
      </c>
    </row>
    <row r="311" spans="1:18" x14ac:dyDescent="0.25">
      <c r="A311">
        <v>310</v>
      </c>
      <c r="B311">
        <v>94</v>
      </c>
      <c r="C311" t="e">
        <f>-IoSfZKJIBmx-wtBeGxK0k</f>
        <v>#NAME?</v>
      </c>
      <c r="D311" t="s">
        <v>272</v>
      </c>
      <c r="E311">
        <v>337.23599999999999</v>
      </c>
      <c r="F311" t="s">
        <v>19</v>
      </c>
      <c r="G311" t="s">
        <v>20</v>
      </c>
      <c r="H311" t="s">
        <v>21</v>
      </c>
      <c r="I311" t="s">
        <v>20</v>
      </c>
      <c r="J311" t="s">
        <v>20</v>
      </c>
      <c r="K311" t="s">
        <v>22</v>
      </c>
      <c r="L311" t="s">
        <v>23</v>
      </c>
      <c r="M311" t="s">
        <v>125</v>
      </c>
      <c r="N311">
        <v>40.264861000000003</v>
      </c>
      <c r="O311">
        <v>-111.680232</v>
      </c>
      <c r="P311">
        <v>4683.0455849999998</v>
      </c>
      <c r="Q311">
        <v>1384</v>
      </c>
      <c r="R311">
        <v>0</v>
      </c>
    </row>
    <row r="312" spans="1:18" x14ac:dyDescent="0.25">
      <c r="A312">
        <v>311</v>
      </c>
      <c r="B312">
        <v>94</v>
      </c>
      <c r="C312" t="s">
        <v>289</v>
      </c>
      <c r="D312" t="s">
        <v>265</v>
      </c>
      <c r="E312">
        <v>29.507000000000001</v>
      </c>
      <c r="F312" t="s">
        <v>21</v>
      </c>
      <c r="G312" t="s">
        <v>20</v>
      </c>
      <c r="H312" t="s">
        <v>21</v>
      </c>
      <c r="I312" t="s">
        <v>20</v>
      </c>
      <c r="J312" t="s">
        <v>20</v>
      </c>
      <c r="K312" t="s">
        <v>27</v>
      </c>
      <c r="L312" t="s">
        <v>183</v>
      </c>
      <c r="M312" t="s">
        <v>267</v>
      </c>
      <c r="N312">
        <v>38.706905999999996</v>
      </c>
      <c r="O312">
        <v>-111.401501</v>
      </c>
      <c r="P312">
        <v>7513.1911030000001</v>
      </c>
      <c r="Q312">
        <v>1371</v>
      </c>
      <c r="R312">
        <v>0</v>
      </c>
    </row>
    <row r="313" spans="1:18" x14ac:dyDescent="0.25">
      <c r="A313">
        <v>312</v>
      </c>
      <c r="B313">
        <v>94</v>
      </c>
      <c r="C313">
        <v>31741489</v>
      </c>
      <c r="D313" t="s">
        <v>290</v>
      </c>
      <c r="E313">
        <v>29.562999999999999</v>
      </c>
      <c r="F313" t="s">
        <v>21</v>
      </c>
      <c r="G313" t="s">
        <v>20</v>
      </c>
      <c r="H313" t="s">
        <v>21</v>
      </c>
      <c r="I313" t="s">
        <v>20</v>
      </c>
      <c r="J313" t="s">
        <v>20</v>
      </c>
      <c r="K313" t="s">
        <v>41</v>
      </c>
      <c r="L313" t="s">
        <v>291</v>
      </c>
      <c r="M313" t="s">
        <v>238</v>
      </c>
      <c r="N313">
        <v>41.561742000000002</v>
      </c>
      <c r="O313">
        <v>-113.58284500000001</v>
      </c>
      <c r="P313">
        <v>4794.0002969999996</v>
      </c>
      <c r="Q313">
        <v>1343</v>
      </c>
      <c r="R313">
        <v>0</v>
      </c>
    </row>
    <row r="314" spans="1:18" x14ac:dyDescent="0.25">
      <c r="A314">
        <v>313</v>
      </c>
      <c r="B314">
        <v>94</v>
      </c>
      <c r="C314">
        <v>31425811</v>
      </c>
      <c r="D314" t="s">
        <v>221</v>
      </c>
      <c r="E314">
        <v>29.568999999999999</v>
      </c>
      <c r="F314" t="s">
        <v>21</v>
      </c>
      <c r="G314" t="s">
        <v>26</v>
      </c>
      <c r="H314" t="s">
        <v>21</v>
      </c>
      <c r="I314" t="s">
        <v>20</v>
      </c>
      <c r="J314" t="s">
        <v>20</v>
      </c>
      <c r="K314" t="s">
        <v>22</v>
      </c>
      <c r="L314" t="s">
        <v>155</v>
      </c>
      <c r="M314" t="s">
        <v>174</v>
      </c>
      <c r="N314">
        <v>39.553009000000003</v>
      </c>
      <c r="O314">
        <v>-111.863812</v>
      </c>
      <c r="P314">
        <v>5258.4502080000002</v>
      </c>
      <c r="Q314">
        <v>1342</v>
      </c>
      <c r="R314">
        <v>0</v>
      </c>
    </row>
    <row r="315" spans="1:18" x14ac:dyDescent="0.25">
      <c r="A315">
        <v>314</v>
      </c>
      <c r="B315">
        <v>94</v>
      </c>
      <c r="C315">
        <v>31312661</v>
      </c>
      <c r="D315" t="s">
        <v>268</v>
      </c>
      <c r="E315">
        <v>29.573</v>
      </c>
      <c r="F315" t="s">
        <v>21</v>
      </c>
      <c r="G315" t="s">
        <v>20</v>
      </c>
      <c r="H315" t="s">
        <v>21</v>
      </c>
      <c r="I315" t="s">
        <v>20</v>
      </c>
      <c r="J315" t="s">
        <v>20</v>
      </c>
      <c r="K315" t="s">
        <v>41</v>
      </c>
      <c r="L315" t="s">
        <v>181</v>
      </c>
      <c r="M315" t="s">
        <v>43</v>
      </c>
      <c r="N315">
        <v>41.801636999999999</v>
      </c>
      <c r="O315">
        <v>-112.416331</v>
      </c>
      <c r="P315">
        <v>4690.242193</v>
      </c>
      <c r="Q315">
        <v>1380</v>
      </c>
      <c r="R315">
        <v>0</v>
      </c>
    </row>
    <row r="316" spans="1:18" x14ac:dyDescent="0.25">
      <c r="A316">
        <v>315</v>
      </c>
      <c r="B316">
        <v>94</v>
      </c>
      <c r="C316">
        <v>31817125</v>
      </c>
      <c r="D316" t="s">
        <v>290</v>
      </c>
      <c r="E316">
        <v>29.584</v>
      </c>
      <c r="F316" t="s">
        <v>21</v>
      </c>
      <c r="G316" t="s">
        <v>20</v>
      </c>
      <c r="H316" t="s">
        <v>21</v>
      </c>
      <c r="I316" t="s">
        <v>20</v>
      </c>
      <c r="J316" t="s">
        <v>20</v>
      </c>
      <c r="K316" t="s">
        <v>41</v>
      </c>
      <c r="L316" t="s">
        <v>291</v>
      </c>
      <c r="M316" t="s">
        <v>238</v>
      </c>
      <c r="N316">
        <v>41.562036999999997</v>
      </c>
      <c r="O316">
        <v>-113.582742</v>
      </c>
      <c r="P316">
        <v>4794.2325440000004</v>
      </c>
      <c r="Q316">
        <v>1343</v>
      </c>
      <c r="R316">
        <v>0</v>
      </c>
    </row>
    <row r="317" spans="1:18" x14ac:dyDescent="0.25">
      <c r="A317">
        <v>316</v>
      </c>
      <c r="B317">
        <v>94</v>
      </c>
      <c r="C317">
        <v>31605110</v>
      </c>
      <c r="D317" t="s">
        <v>271</v>
      </c>
      <c r="E317">
        <v>29.626000000000001</v>
      </c>
      <c r="F317" t="s">
        <v>21</v>
      </c>
      <c r="G317" t="s">
        <v>20</v>
      </c>
      <c r="H317" t="s">
        <v>21</v>
      </c>
      <c r="I317" t="s">
        <v>20</v>
      </c>
      <c r="J317" t="s">
        <v>20</v>
      </c>
      <c r="K317" t="s">
        <v>22</v>
      </c>
      <c r="L317" t="s">
        <v>263</v>
      </c>
      <c r="M317" t="s">
        <v>24</v>
      </c>
      <c r="N317">
        <v>40.364623999999999</v>
      </c>
      <c r="O317">
        <v>-112.040042</v>
      </c>
      <c r="P317">
        <v>5043.7915270000003</v>
      </c>
      <c r="Q317">
        <v>1372</v>
      </c>
      <c r="R317">
        <v>0</v>
      </c>
    </row>
    <row r="318" spans="1:18" x14ac:dyDescent="0.25">
      <c r="A318">
        <v>317</v>
      </c>
      <c r="B318">
        <v>94</v>
      </c>
      <c r="C318">
        <v>31817136</v>
      </c>
      <c r="D318" t="s">
        <v>290</v>
      </c>
      <c r="E318">
        <v>29.65</v>
      </c>
      <c r="F318" t="s">
        <v>21</v>
      </c>
      <c r="G318" t="s">
        <v>20</v>
      </c>
      <c r="H318" t="s">
        <v>21</v>
      </c>
      <c r="I318" t="s">
        <v>20</v>
      </c>
      <c r="J318" t="s">
        <v>20</v>
      </c>
      <c r="K318" t="s">
        <v>41</v>
      </c>
      <c r="L318" t="s">
        <v>291</v>
      </c>
      <c r="M318" t="s">
        <v>238</v>
      </c>
      <c r="N318">
        <v>41.562963000000003</v>
      </c>
      <c r="O318">
        <v>-113.582414</v>
      </c>
      <c r="P318">
        <v>4794.9671230000004</v>
      </c>
      <c r="Q318">
        <v>1343</v>
      </c>
      <c r="R318">
        <v>0</v>
      </c>
    </row>
    <row r="319" spans="1:18" x14ac:dyDescent="0.25">
      <c r="A319">
        <v>318</v>
      </c>
      <c r="B319">
        <v>94</v>
      </c>
      <c r="C319">
        <v>31283114</v>
      </c>
      <c r="D319" t="s">
        <v>241</v>
      </c>
      <c r="E319">
        <v>29.67</v>
      </c>
      <c r="F319" t="s">
        <v>21</v>
      </c>
      <c r="G319" t="s">
        <v>20</v>
      </c>
      <c r="H319" t="s">
        <v>21</v>
      </c>
      <c r="I319" t="s">
        <v>20</v>
      </c>
      <c r="J319" t="s">
        <v>20</v>
      </c>
      <c r="K319" t="s">
        <v>27</v>
      </c>
      <c r="L319" t="s">
        <v>111</v>
      </c>
      <c r="M319" t="s">
        <v>243</v>
      </c>
      <c r="N319">
        <v>39.124560000000002</v>
      </c>
      <c r="O319">
        <v>-111.109497</v>
      </c>
      <c r="P319">
        <v>5976.2429359999996</v>
      </c>
      <c r="Q319">
        <v>1327</v>
      </c>
      <c r="R319">
        <v>0</v>
      </c>
    </row>
    <row r="320" spans="1:18" x14ac:dyDescent="0.25">
      <c r="A320">
        <v>319</v>
      </c>
      <c r="B320">
        <v>94</v>
      </c>
      <c r="C320">
        <v>31425822</v>
      </c>
      <c r="D320" t="s">
        <v>221</v>
      </c>
      <c r="E320">
        <v>29.67</v>
      </c>
      <c r="F320" t="s">
        <v>21</v>
      </c>
      <c r="G320" t="s">
        <v>26</v>
      </c>
      <c r="H320" t="s">
        <v>21</v>
      </c>
      <c r="I320" t="s">
        <v>20</v>
      </c>
      <c r="J320" t="s">
        <v>20</v>
      </c>
      <c r="K320" t="s">
        <v>22</v>
      </c>
      <c r="L320" t="s">
        <v>155</v>
      </c>
      <c r="M320" t="s">
        <v>174</v>
      </c>
      <c r="N320">
        <v>39.554471999999997</v>
      </c>
      <c r="O320">
        <v>-111.863823</v>
      </c>
      <c r="P320">
        <v>5256.4937829999999</v>
      </c>
      <c r="Q320">
        <v>1342</v>
      </c>
      <c r="R320">
        <v>0</v>
      </c>
    </row>
    <row r="321" spans="1:18" x14ac:dyDescent="0.25">
      <c r="A321">
        <v>320</v>
      </c>
      <c r="B321">
        <v>94</v>
      </c>
      <c r="C321">
        <v>28628914</v>
      </c>
      <c r="D321" t="s">
        <v>142</v>
      </c>
      <c r="E321">
        <v>29.696999999999999</v>
      </c>
      <c r="F321" t="s">
        <v>21</v>
      </c>
      <c r="G321" t="s">
        <v>26</v>
      </c>
      <c r="H321" t="s">
        <v>21</v>
      </c>
      <c r="I321" t="s">
        <v>20</v>
      </c>
      <c r="J321" t="s">
        <v>20</v>
      </c>
      <c r="K321" t="s">
        <v>27</v>
      </c>
      <c r="L321" t="s">
        <v>143</v>
      </c>
      <c r="M321" t="s">
        <v>106</v>
      </c>
      <c r="N321">
        <v>38.576704999999997</v>
      </c>
      <c r="O321">
        <v>-113.80150999999999</v>
      </c>
      <c r="P321">
        <v>5554.9941650000001</v>
      </c>
      <c r="Q321">
        <v>305</v>
      </c>
      <c r="R321">
        <v>0</v>
      </c>
    </row>
    <row r="322" spans="1:18" x14ac:dyDescent="0.25">
      <c r="A322">
        <v>321</v>
      </c>
      <c r="B322">
        <v>94</v>
      </c>
      <c r="C322">
        <v>31380293</v>
      </c>
      <c r="D322" t="s">
        <v>116</v>
      </c>
      <c r="E322">
        <v>29.699000000000002</v>
      </c>
      <c r="F322" t="s">
        <v>21</v>
      </c>
      <c r="G322" t="s">
        <v>26</v>
      </c>
      <c r="H322" t="s">
        <v>21</v>
      </c>
      <c r="I322" t="s">
        <v>20</v>
      </c>
      <c r="J322" t="s">
        <v>20</v>
      </c>
      <c r="K322" t="s">
        <v>41</v>
      </c>
      <c r="L322" t="s">
        <v>95</v>
      </c>
      <c r="M322" t="s">
        <v>117</v>
      </c>
      <c r="N322">
        <v>41.776009999999999</v>
      </c>
      <c r="O322">
        <v>-111.83401600000001</v>
      </c>
      <c r="P322">
        <v>4432.8718680000002</v>
      </c>
      <c r="Q322">
        <v>324</v>
      </c>
      <c r="R322">
        <v>0</v>
      </c>
    </row>
    <row r="323" spans="1:18" x14ac:dyDescent="0.25">
      <c r="A323">
        <v>322</v>
      </c>
      <c r="B323">
        <v>94</v>
      </c>
      <c r="C323">
        <v>31605121</v>
      </c>
      <c r="D323" t="s">
        <v>271</v>
      </c>
      <c r="E323">
        <v>29.72</v>
      </c>
      <c r="F323" t="s">
        <v>21</v>
      </c>
      <c r="G323" t="s">
        <v>26</v>
      </c>
      <c r="H323" t="s">
        <v>21</v>
      </c>
      <c r="I323" t="s">
        <v>20</v>
      </c>
      <c r="J323" t="s">
        <v>20</v>
      </c>
      <c r="K323" t="s">
        <v>22</v>
      </c>
      <c r="L323" t="s">
        <v>263</v>
      </c>
      <c r="M323" t="s">
        <v>24</v>
      </c>
      <c r="N323">
        <v>40.365262999999999</v>
      </c>
      <c r="O323">
        <v>-112.038477</v>
      </c>
      <c r="P323">
        <v>5041.0227949999999</v>
      </c>
      <c r="Q323">
        <v>1372</v>
      </c>
      <c r="R323">
        <v>0</v>
      </c>
    </row>
    <row r="324" spans="1:18" x14ac:dyDescent="0.25">
      <c r="A324">
        <v>323</v>
      </c>
      <c r="B324">
        <v>94</v>
      </c>
      <c r="C324">
        <v>31385590</v>
      </c>
      <c r="D324" t="s">
        <v>116</v>
      </c>
      <c r="E324">
        <v>29.736999999999998</v>
      </c>
      <c r="F324" t="s">
        <v>21</v>
      </c>
      <c r="G324" t="s">
        <v>26</v>
      </c>
      <c r="H324" t="s">
        <v>21</v>
      </c>
      <c r="I324" t="s">
        <v>20</v>
      </c>
      <c r="J324" t="s">
        <v>20</v>
      </c>
      <c r="K324" t="s">
        <v>41</v>
      </c>
      <c r="L324" t="s">
        <v>95</v>
      </c>
      <c r="M324" t="s">
        <v>117</v>
      </c>
      <c r="N324">
        <v>41.776549000000003</v>
      </c>
      <c r="O324">
        <v>-111.833997</v>
      </c>
      <c r="P324">
        <v>4432.7697440000002</v>
      </c>
      <c r="Q324">
        <v>324</v>
      </c>
      <c r="R324">
        <v>0</v>
      </c>
    </row>
    <row r="325" spans="1:18" x14ac:dyDescent="0.25">
      <c r="A325">
        <v>324</v>
      </c>
      <c r="B325">
        <v>94</v>
      </c>
      <c r="C325">
        <v>31516684</v>
      </c>
      <c r="D325" t="s">
        <v>292</v>
      </c>
      <c r="E325">
        <v>29.738</v>
      </c>
      <c r="F325" t="s">
        <v>21</v>
      </c>
      <c r="G325" t="s">
        <v>26</v>
      </c>
      <c r="H325" t="s">
        <v>21</v>
      </c>
      <c r="I325" t="s">
        <v>20</v>
      </c>
      <c r="J325" t="s">
        <v>20</v>
      </c>
      <c r="K325" t="s">
        <v>22</v>
      </c>
      <c r="L325" t="s">
        <v>253</v>
      </c>
      <c r="M325" t="s">
        <v>134</v>
      </c>
      <c r="N325">
        <v>40.262411</v>
      </c>
      <c r="O325">
        <v>-110.217325</v>
      </c>
      <c r="P325">
        <v>5659.4542149999997</v>
      </c>
      <c r="Q325">
        <v>323</v>
      </c>
      <c r="R325">
        <v>0</v>
      </c>
    </row>
    <row r="326" spans="1:18" x14ac:dyDescent="0.25">
      <c r="A326">
        <v>325</v>
      </c>
      <c r="B326">
        <v>94</v>
      </c>
      <c r="C326">
        <v>1370443</v>
      </c>
      <c r="D326" t="s">
        <v>100</v>
      </c>
      <c r="E326">
        <v>3.7440000000000002</v>
      </c>
      <c r="F326" t="s">
        <v>21</v>
      </c>
      <c r="G326" t="s">
        <v>26</v>
      </c>
      <c r="H326" t="s">
        <v>21</v>
      </c>
      <c r="I326" t="s">
        <v>20</v>
      </c>
      <c r="J326" t="s">
        <v>20</v>
      </c>
      <c r="K326" t="s">
        <v>41</v>
      </c>
      <c r="L326" t="s">
        <v>57</v>
      </c>
      <c r="M326" t="s">
        <v>46</v>
      </c>
      <c r="N326">
        <v>41.089081999999998</v>
      </c>
      <c r="O326">
        <v>-112.059558</v>
      </c>
      <c r="P326">
        <v>4237.3691470000003</v>
      </c>
      <c r="Q326">
        <v>1396</v>
      </c>
      <c r="R326">
        <v>0</v>
      </c>
    </row>
    <row r="327" spans="1:18" x14ac:dyDescent="0.25">
      <c r="A327">
        <v>326</v>
      </c>
      <c r="B327">
        <v>94</v>
      </c>
      <c r="C327">
        <v>541591</v>
      </c>
      <c r="D327" t="s">
        <v>77</v>
      </c>
      <c r="E327">
        <v>3.75</v>
      </c>
      <c r="F327" t="s">
        <v>21</v>
      </c>
      <c r="G327" t="s">
        <v>26</v>
      </c>
      <c r="H327" t="s">
        <v>21</v>
      </c>
      <c r="I327" t="s">
        <v>20</v>
      </c>
      <c r="J327" t="s">
        <v>20</v>
      </c>
      <c r="K327" t="s">
        <v>31</v>
      </c>
      <c r="L327" t="s">
        <v>78</v>
      </c>
      <c r="M327" t="s">
        <v>79</v>
      </c>
      <c r="N327">
        <v>40.69303</v>
      </c>
      <c r="O327">
        <v>-112.024764</v>
      </c>
      <c r="P327">
        <v>4267.7686729999996</v>
      </c>
      <c r="Q327">
        <v>1436</v>
      </c>
      <c r="R327">
        <v>0</v>
      </c>
    </row>
    <row r="328" spans="1:18" x14ac:dyDescent="0.25">
      <c r="A328">
        <v>327</v>
      </c>
      <c r="B328">
        <v>94</v>
      </c>
      <c r="C328" t="e">
        <f>-JP6uHWJHqXko__fF3E4vV</f>
        <v>#NAME?</v>
      </c>
      <c r="D328" t="s">
        <v>251</v>
      </c>
      <c r="E328">
        <v>3.7639999999999998</v>
      </c>
      <c r="F328" t="s">
        <v>21</v>
      </c>
      <c r="G328" t="s">
        <v>26</v>
      </c>
      <c r="H328" t="s">
        <v>21</v>
      </c>
      <c r="I328" t="s">
        <v>20</v>
      </c>
      <c r="J328" t="s">
        <v>20</v>
      </c>
      <c r="K328" t="s">
        <v>27</v>
      </c>
      <c r="L328" t="s">
        <v>165</v>
      </c>
      <c r="M328" t="s">
        <v>166</v>
      </c>
      <c r="N328">
        <v>38.979176000000002</v>
      </c>
      <c r="O328">
        <v>-112.39318</v>
      </c>
      <c r="P328">
        <v>4772.1922100000002</v>
      </c>
      <c r="Q328">
        <v>326</v>
      </c>
      <c r="R328">
        <v>0</v>
      </c>
    </row>
    <row r="329" spans="1:18" x14ac:dyDescent="0.25">
      <c r="A329">
        <v>328</v>
      </c>
      <c r="B329">
        <v>94</v>
      </c>
      <c r="C329">
        <v>492205</v>
      </c>
      <c r="D329" t="s">
        <v>83</v>
      </c>
      <c r="E329">
        <v>3.7639999999999998</v>
      </c>
      <c r="F329" t="s">
        <v>21</v>
      </c>
      <c r="G329" t="s">
        <v>26</v>
      </c>
      <c r="H329" t="s">
        <v>21</v>
      </c>
      <c r="I329" t="s">
        <v>20</v>
      </c>
      <c r="J329" t="s">
        <v>20</v>
      </c>
      <c r="K329" t="s">
        <v>22</v>
      </c>
      <c r="L329" t="s">
        <v>84</v>
      </c>
      <c r="M329" t="s">
        <v>85</v>
      </c>
      <c r="N329">
        <v>40.429974000000001</v>
      </c>
      <c r="O329">
        <v>-111.78537</v>
      </c>
      <c r="P329">
        <v>4857.1058640000001</v>
      </c>
      <c r="Q329">
        <v>319</v>
      </c>
      <c r="R329">
        <v>0</v>
      </c>
    </row>
    <row r="330" spans="1:18" x14ac:dyDescent="0.25">
      <c r="A330">
        <v>329</v>
      </c>
      <c r="B330">
        <v>94</v>
      </c>
      <c r="C330">
        <v>31285807</v>
      </c>
      <c r="D330" t="s">
        <v>241</v>
      </c>
      <c r="E330">
        <v>37.302999999999997</v>
      </c>
      <c r="F330" t="s">
        <v>21</v>
      </c>
      <c r="G330" t="s">
        <v>26</v>
      </c>
      <c r="H330" t="s">
        <v>21</v>
      </c>
      <c r="I330" t="s">
        <v>20</v>
      </c>
      <c r="J330" t="s">
        <v>20</v>
      </c>
      <c r="K330" t="s">
        <v>27</v>
      </c>
      <c r="L330" t="s">
        <v>111</v>
      </c>
      <c r="M330" t="s">
        <v>243</v>
      </c>
      <c r="N330">
        <v>39.205924000000003</v>
      </c>
      <c r="O330">
        <v>-111.024252</v>
      </c>
      <c r="P330">
        <v>5600.1979929999998</v>
      </c>
      <c r="Q330">
        <v>1327</v>
      </c>
      <c r="R330">
        <v>0</v>
      </c>
    </row>
    <row r="331" spans="1:18" x14ac:dyDescent="0.25">
      <c r="A331">
        <v>330</v>
      </c>
      <c r="B331">
        <v>94</v>
      </c>
      <c r="C331" t="e">
        <f>-Ip5Sx5jG5PHrsguuWJKAk</f>
        <v>#NAME?</v>
      </c>
      <c r="D331" t="s">
        <v>124</v>
      </c>
      <c r="E331">
        <v>37.356000000000002</v>
      </c>
      <c r="F331" t="s">
        <v>21</v>
      </c>
      <c r="G331" t="s">
        <v>20</v>
      </c>
      <c r="H331" t="s">
        <v>21</v>
      </c>
      <c r="I331" t="s">
        <v>20</v>
      </c>
      <c r="J331" t="s">
        <v>20</v>
      </c>
      <c r="K331" t="s">
        <v>31</v>
      </c>
      <c r="L331" t="s">
        <v>89</v>
      </c>
      <c r="M331" t="s">
        <v>125</v>
      </c>
      <c r="N331">
        <v>40.452375000000004</v>
      </c>
      <c r="O331">
        <v>-111.938023</v>
      </c>
      <c r="P331">
        <v>4652.343038</v>
      </c>
      <c r="Q331">
        <v>1368</v>
      </c>
      <c r="R331">
        <v>0</v>
      </c>
    </row>
    <row r="332" spans="1:18" x14ac:dyDescent="0.25">
      <c r="A332">
        <v>331</v>
      </c>
      <c r="B332">
        <v>94</v>
      </c>
      <c r="C332" t="e">
        <f>-Ip5T6PNHdm7IND3R295Fk</f>
        <v>#NAME?</v>
      </c>
      <c r="D332" t="s">
        <v>124</v>
      </c>
      <c r="E332">
        <v>37.384999999999998</v>
      </c>
      <c r="F332" t="s">
        <v>21</v>
      </c>
      <c r="G332" t="s">
        <v>20</v>
      </c>
      <c r="H332" t="s">
        <v>21</v>
      </c>
      <c r="I332" t="s">
        <v>20</v>
      </c>
      <c r="J332" t="s">
        <v>20</v>
      </c>
      <c r="K332" t="s">
        <v>31</v>
      </c>
      <c r="L332" t="s">
        <v>89</v>
      </c>
      <c r="M332" t="s">
        <v>125</v>
      </c>
      <c r="N332">
        <v>40.452781000000002</v>
      </c>
      <c r="O332">
        <v>-111.938221</v>
      </c>
      <c r="P332">
        <v>4649.3217690000001</v>
      </c>
      <c r="Q332">
        <v>1368</v>
      </c>
      <c r="R332">
        <v>0</v>
      </c>
    </row>
    <row r="333" spans="1:18" x14ac:dyDescent="0.25">
      <c r="A333">
        <v>332</v>
      </c>
      <c r="B333">
        <v>94</v>
      </c>
      <c r="C333">
        <v>28634295</v>
      </c>
      <c r="D333" t="s">
        <v>142</v>
      </c>
      <c r="E333">
        <v>37.414000000000001</v>
      </c>
      <c r="F333" t="s">
        <v>21</v>
      </c>
      <c r="G333" t="s">
        <v>26</v>
      </c>
      <c r="H333" t="s">
        <v>21</v>
      </c>
      <c r="I333" t="s">
        <v>20</v>
      </c>
      <c r="J333" t="s">
        <v>20</v>
      </c>
      <c r="K333" t="s">
        <v>27</v>
      </c>
      <c r="L333" t="s">
        <v>143</v>
      </c>
      <c r="M333" t="s">
        <v>106</v>
      </c>
      <c r="N333">
        <v>38.528905000000002</v>
      </c>
      <c r="O333">
        <v>-113.672601</v>
      </c>
      <c r="P333">
        <v>5151.0165290000004</v>
      </c>
      <c r="Q333">
        <v>305</v>
      </c>
      <c r="R333">
        <v>0</v>
      </c>
    </row>
    <row r="334" spans="1:18" x14ac:dyDescent="0.25">
      <c r="A334">
        <v>333</v>
      </c>
      <c r="B334">
        <v>94</v>
      </c>
      <c r="C334" t="s">
        <v>293</v>
      </c>
      <c r="D334" t="s">
        <v>272</v>
      </c>
      <c r="E334">
        <v>337.32100000000003</v>
      </c>
      <c r="F334" t="s">
        <v>21</v>
      </c>
      <c r="G334" t="s">
        <v>26</v>
      </c>
      <c r="H334" t="s">
        <v>21</v>
      </c>
      <c r="I334" t="s">
        <v>20</v>
      </c>
      <c r="J334" t="s">
        <v>20</v>
      </c>
      <c r="K334" t="s">
        <v>22</v>
      </c>
      <c r="L334" t="s">
        <v>23</v>
      </c>
      <c r="M334" t="s">
        <v>125</v>
      </c>
      <c r="N334">
        <v>40.265906999999999</v>
      </c>
      <c r="O334">
        <v>-111.68109</v>
      </c>
      <c r="P334">
        <v>4685.8531990000001</v>
      </c>
      <c r="Q334">
        <v>1384</v>
      </c>
      <c r="R334">
        <v>0</v>
      </c>
    </row>
    <row r="335" spans="1:18" x14ac:dyDescent="0.25">
      <c r="A335">
        <v>334</v>
      </c>
      <c r="B335">
        <v>94</v>
      </c>
      <c r="C335" t="e">
        <f>-IoShaL1FQyFrPPLfl1mBk</f>
        <v>#NAME?</v>
      </c>
      <c r="D335" t="s">
        <v>272</v>
      </c>
      <c r="E335">
        <v>337.33600000000001</v>
      </c>
      <c r="F335" t="s">
        <v>21</v>
      </c>
      <c r="G335" t="s">
        <v>20</v>
      </c>
      <c r="H335" t="s">
        <v>21</v>
      </c>
      <c r="I335" t="s">
        <v>20</v>
      </c>
      <c r="J335" t="s">
        <v>20</v>
      </c>
      <c r="K335" t="s">
        <v>22</v>
      </c>
      <c r="L335" t="s">
        <v>23</v>
      </c>
      <c r="M335" t="s">
        <v>125</v>
      </c>
      <c r="N335">
        <v>40.266081999999997</v>
      </c>
      <c r="O335">
        <v>-111.681234</v>
      </c>
      <c r="P335">
        <v>4686.0591729999996</v>
      </c>
      <c r="Q335">
        <v>1384</v>
      </c>
      <c r="R335">
        <v>0</v>
      </c>
    </row>
    <row r="336" spans="1:18" x14ac:dyDescent="0.25">
      <c r="A336">
        <v>335</v>
      </c>
      <c r="B336">
        <v>94</v>
      </c>
      <c r="C336" t="s">
        <v>294</v>
      </c>
      <c r="D336" t="s">
        <v>272</v>
      </c>
      <c r="E336">
        <v>337.471</v>
      </c>
      <c r="F336" t="s">
        <v>19</v>
      </c>
      <c r="G336" t="s">
        <v>20</v>
      </c>
      <c r="H336" t="s">
        <v>21</v>
      </c>
      <c r="I336" t="s">
        <v>20</v>
      </c>
      <c r="J336" t="s">
        <v>20</v>
      </c>
      <c r="K336" t="s">
        <v>22</v>
      </c>
      <c r="L336" t="s">
        <v>23</v>
      </c>
      <c r="M336" t="s">
        <v>125</v>
      </c>
      <c r="N336">
        <v>40.267892000000003</v>
      </c>
      <c r="O336">
        <v>-111.68212699999999</v>
      </c>
      <c r="P336">
        <v>4688.0771459999996</v>
      </c>
      <c r="Q336">
        <v>1384</v>
      </c>
      <c r="R336">
        <v>0</v>
      </c>
    </row>
    <row r="337" spans="1:18" x14ac:dyDescent="0.25">
      <c r="A337">
        <v>336</v>
      </c>
      <c r="B337">
        <v>94</v>
      </c>
      <c r="C337" t="s">
        <v>295</v>
      </c>
      <c r="D337" t="s">
        <v>272</v>
      </c>
      <c r="E337">
        <v>337.60399999999998</v>
      </c>
      <c r="F337" t="s">
        <v>21</v>
      </c>
      <c r="G337" t="s">
        <v>26</v>
      </c>
      <c r="H337" t="s">
        <v>21</v>
      </c>
      <c r="I337" t="s">
        <v>20</v>
      </c>
      <c r="J337" t="s">
        <v>20</v>
      </c>
      <c r="K337" t="s">
        <v>22</v>
      </c>
      <c r="L337" t="s">
        <v>23</v>
      </c>
      <c r="M337" t="s">
        <v>125</v>
      </c>
      <c r="N337">
        <v>40.269689</v>
      </c>
      <c r="O337">
        <v>-111.68292700000001</v>
      </c>
      <c r="P337">
        <v>4690.8740859999998</v>
      </c>
      <c r="Q337">
        <v>1384</v>
      </c>
      <c r="R337">
        <v>0</v>
      </c>
    </row>
    <row r="338" spans="1:18" x14ac:dyDescent="0.25">
      <c r="A338">
        <v>337</v>
      </c>
      <c r="B338">
        <v>94</v>
      </c>
      <c r="C338" t="e">
        <f>-IoVwedtGziPqdMS2zxu3F</f>
        <v>#NAME?</v>
      </c>
      <c r="D338" t="s">
        <v>272</v>
      </c>
      <c r="E338">
        <v>337.74099999999999</v>
      </c>
      <c r="F338" t="s">
        <v>21</v>
      </c>
      <c r="G338" t="s">
        <v>26</v>
      </c>
      <c r="H338" t="s">
        <v>21</v>
      </c>
      <c r="I338" t="s">
        <v>20</v>
      </c>
      <c r="J338" t="s">
        <v>20</v>
      </c>
      <c r="K338" t="s">
        <v>22</v>
      </c>
      <c r="L338" t="s">
        <v>23</v>
      </c>
      <c r="M338" t="s">
        <v>125</v>
      </c>
      <c r="N338">
        <v>40.271549</v>
      </c>
      <c r="O338">
        <v>-111.683739</v>
      </c>
      <c r="P338">
        <v>4690.6186360000002</v>
      </c>
      <c r="Q338">
        <v>1384</v>
      </c>
      <c r="R338">
        <v>0</v>
      </c>
    </row>
    <row r="339" spans="1:18" x14ac:dyDescent="0.25">
      <c r="A339">
        <v>338</v>
      </c>
      <c r="B339">
        <v>94</v>
      </c>
      <c r="C339" t="s">
        <v>296</v>
      </c>
      <c r="D339" t="s">
        <v>272</v>
      </c>
      <c r="E339">
        <v>337.87700000000001</v>
      </c>
      <c r="F339" t="s">
        <v>19</v>
      </c>
      <c r="G339" t="s">
        <v>20</v>
      </c>
      <c r="H339" t="s">
        <v>19</v>
      </c>
      <c r="I339">
        <v>265</v>
      </c>
      <c r="J339" t="s">
        <v>20</v>
      </c>
      <c r="K339" t="s">
        <v>22</v>
      </c>
      <c r="L339" t="s">
        <v>23</v>
      </c>
      <c r="M339" t="s">
        <v>125</v>
      </c>
      <c r="N339">
        <v>40.273415999999997</v>
      </c>
      <c r="O339">
        <v>-111.684574</v>
      </c>
      <c r="P339">
        <v>4690.7346879999996</v>
      </c>
      <c r="Q339">
        <v>1384</v>
      </c>
      <c r="R339">
        <v>0</v>
      </c>
    </row>
    <row r="340" spans="1:18" x14ac:dyDescent="0.25">
      <c r="A340">
        <v>339</v>
      </c>
      <c r="B340">
        <v>94</v>
      </c>
      <c r="C340" t="s">
        <v>297</v>
      </c>
      <c r="D340" t="s">
        <v>272</v>
      </c>
      <c r="E340">
        <v>338.005</v>
      </c>
      <c r="F340" t="s">
        <v>19</v>
      </c>
      <c r="G340" t="s">
        <v>20</v>
      </c>
      <c r="H340" t="s">
        <v>21</v>
      </c>
      <c r="I340" t="s">
        <v>20</v>
      </c>
      <c r="J340" t="s">
        <v>20</v>
      </c>
      <c r="K340" t="s">
        <v>22</v>
      </c>
      <c r="L340" t="s">
        <v>23</v>
      </c>
      <c r="M340" t="s">
        <v>125</v>
      </c>
      <c r="N340">
        <v>40.275153000000003</v>
      </c>
      <c r="O340">
        <v>-111.685316</v>
      </c>
      <c r="P340">
        <v>4696.2499310000003</v>
      </c>
      <c r="Q340">
        <v>1384</v>
      </c>
      <c r="R340">
        <v>0</v>
      </c>
    </row>
    <row r="341" spans="1:18" x14ac:dyDescent="0.25">
      <c r="A341">
        <v>340</v>
      </c>
      <c r="B341">
        <v>94</v>
      </c>
      <c r="C341" t="e">
        <f>-IoWnGcpHa9mx06J40lGXk</f>
        <v>#NAME?</v>
      </c>
      <c r="D341" t="s">
        <v>272</v>
      </c>
      <c r="E341">
        <v>338.10399999999998</v>
      </c>
      <c r="F341" t="s">
        <v>21</v>
      </c>
      <c r="G341" t="s">
        <v>26</v>
      </c>
      <c r="H341" t="s">
        <v>21</v>
      </c>
      <c r="I341" t="s">
        <v>20</v>
      </c>
      <c r="J341" t="s">
        <v>20</v>
      </c>
      <c r="K341" t="s">
        <v>22</v>
      </c>
      <c r="L341" t="s">
        <v>23</v>
      </c>
      <c r="M341" t="s">
        <v>125</v>
      </c>
      <c r="N341">
        <v>40.276496000000002</v>
      </c>
      <c r="O341">
        <v>-111.685925</v>
      </c>
      <c r="P341">
        <v>4697.8931199999997</v>
      </c>
      <c r="Q341">
        <v>1384</v>
      </c>
      <c r="R341">
        <v>0</v>
      </c>
    </row>
    <row r="342" spans="1:18" x14ac:dyDescent="0.25">
      <c r="A342">
        <v>341</v>
      </c>
      <c r="B342">
        <v>94</v>
      </c>
      <c r="C342" t="s">
        <v>298</v>
      </c>
      <c r="D342" t="s">
        <v>272</v>
      </c>
      <c r="E342">
        <v>338.17399999999998</v>
      </c>
      <c r="F342" t="s">
        <v>21</v>
      </c>
      <c r="G342" t="s">
        <v>26</v>
      </c>
      <c r="H342" t="s">
        <v>21</v>
      </c>
      <c r="I342" t="s">
        <v>20</v>
      </c>
      <c r="J342" t="s">
        <v>20</v>
      </c>
      <c r="K342" t="s">
        <v>22</v>
      </c>
      <c r="L342" t="s">
        <v>23</v>
      </c>
      <c r="M342" t="s">
        <v>125</v>
      </c>
      <c r="N342">
        <v>40.277436000000002</v>
      </c>
      <c r="O342">
        <v>-111.686336</v>
      </c>
      <c r="P342">
        <v>4697.56567</v>
      </c>
      <c r="Q342">
        <v>1384</v>
      </c>
      <c r="R342">
        <v>0</v>
      </c>
    </row>
    <row r="343" spans="1:18" x14ac:dyDescent="0.25">
      <c r="A343">
        <v>342</v>
      </c>
      <c r="B343">
        <v>94</v>
      </c>
      <c r="C343" t="s">
        <v>299</v>
      </c>
      <c r="D343" t="s">
        <v>272</v>
      </c>
      <c r="E343">
        <v>338.233</v>
      </c>
      <c r="F343" t="s">
        <v>21</v>
      </c>
      <c r="G343" t="s">
        <v>26</v>
      </c>
      <c r="H343" t="s">
        <v>21</v>
      </c>
      <c r="I343" t="s">
        <v>20</v>
      </c>
      <c r="J343" t="s">
        <v>20</v>
      </c>
      <c r="K343" t="s">
        <v>22</v>
      </c>
      <c r="L343" t="s">
        <v>23</v>
      </c>
      <c r="M343" t="s">
        <v>125</v>
      </c>
      <c r="N343">
        <v>40.27825</v>
      </c>
      <c r="O343">
        <v>-111.68669300000001</v>
      </c>
      <c r="P343">
        <v>4697.5321670000003</v>
      </c>
      <c r="Q343">
        <v>1384</v>
      </c>
      <c r="R343">
        <v>0</v>
      </c>
    </row>
    <row r="344" spans="1:18" x14ac:dyDescent="0.25">
      <c r="A344">
        <v>343</v>
      </c>
      <c r="B344">
        <v>94</v>
      </c>
      <c r="C344" t="e">
        <f>-IoWoQYRInqCzj_ZU9Hx7V</f>
        <v>#NAME?</v>
      </c>
      <c r="D344" t="s">
        <v>272</v>
      </c>
      <c r="E344">
        <v>338.27199999999999</v>
      </c>
      <c r="F344" t="s">
        <v>21</v>
      </c>
      <c r="G344" t="s">
        <v>26</v>
      </c>
      <c r="H344" t="s">
        <v>21</v>
      </c>
      <c r="I344" t="s">
        <v>20</v>
      </c>
      <c r="J344" t="s">
        <v>20</v>
      </c>
      <c r="K344" t="s">
        <v>22</v>
      </c>
      <c r="L344" t="s">
        <v>23</v>
      </c>
      <c r="M344" t="s">
        <v>125</v>
      </c>
      <c r="N344">
        <v>40.278775000000003</v>
      </c>
      <c r="O344">
        <v>-111.68692799999999</v>
      </c>
      <c r="P344">
        <v>4697.1825589999999</v>
      </c>
      <c r="Q344">
        <v>1384</v>
      </c>
      <c r="R344">
        <v>0</v>
      </c>
    </row>
    <row r="345" spans="1:18" x14ac:dyDescent="0.25">
      <c r="A345">
        <v>344</v>
      </c>
      <c r="B345">
        <v>94</v>
      </c>
      <c r="C345" t="s">
        <v>300</v>
      </c>
      <c r="D345" t="s">
        <v>272</v>
      </c>
      <c r="E345">
        <v>338.34399999999999</v>
      </c>
      <c r="F345" t="s">
        <v>21</v>
      </c>
      <c r="G345" t="s">
        <v>26</v>
      </c>
      <c r="H345" t="s">
        <v>21</v>
      </c>
      <c r="I345" t="s">
        <v>20</v>
      </c>
      <c r="J345" t="s">
        <v>20</v>
      </c>
      <c r="K345" t="s">
        <v>22</v>
      </c>
      <c r="L345" t="s">
        <v>23</v>
      </c>
      <c r="M345" t="s">
        <v>125</v>
      </c>
      <c r="N345">
        <v>40.279735000000002</v>
      </c>
      <c r="O345">
        <v>-111.68735100000001</v>
      </c>
      <c r="P345">
        <v>4697.4602779999996</v>
      </c>
      <c r="Q345">
        <v>1384</v>
      </c>
      <c r="R345">
        <v>0</v>
      </c>
    </row>
    <row r="346" spans="1:18" x14ac:dyDescent="0.25">
      <c r="A346">
        <v>345</v>
      </c>
      <c r="B346">
        <v>94</v>
      </c>
      <c r="C346" t="s">
        <v>301</v>
      </c>
      <c r="D346" t="s">
        <v>272</v>
      </c>
      <c r="E346">
        <v>338.40499999999997</v>
      </c>
      <c r="F346" t="s">
        <v>21</v>
      </c>
      <c r="G346" t="s">
        <v>26</v>
      </c>
      <c r="H346" t="s">
        <v>21</v>
      </c>
      <c r="I346" t="s">
        <v>20</v>
      </c>
      <c r="J346" t="s">
        <v>20</v>
      </c>
      <c r="K346" t="s">
        <v>22</v>
      </c>
      <c r="L346" t="s">
        <v>23</v>
      </c>
      <c r="M346" t="s">
        <v>125</v>
      </c>
      <c r="N346">
        <v>40.280566</v>
      </c>
      <c r="O346">
        <v>-111.68771700000001</v>
      </c>
      <c r="P346">
        <v>4699.0377989999997</v>
      </c>
      <c r="Q346">
        <v>1384</v>
      </c>
      <c r="R346">
        <v>0</v>
      </c>
    </row>
    <row r="347" spans="1:18" x14ac:dyDescent="0.25">
      <c r="A347">
        <v>346</v>
      </c>
      <c r="B347">
        <v>94</v>
      </c>
      <c r="C347" t="e">
        <f>-IoWrRRcIeeMJ36KRXzuAF</f>
        <v>#NAME?</v>
      </c>
      <c r="D347" t="s">
        <v>272</v>
      </c>
      <c r="E347">
        <v>338.54399999999998</v>
      </c>
      <c r="F347" t="s">
        <v>19</v>
      </c>
      <c r="G347" t="s">
        <v>20</v>
      </c>
      <c r="H347" t="s">
        <v>21</v>
      </c>
      <c r="I347" t="s">
        <v>20</v>
      </c>
      <c r="J347" t="s">
        <v>20</v>
      </c>
      <c r="K347" t="s">
        <v>22</v>
      </c>
      <c r="L347" t="s">
        <v>23</v>
      </c>
      <c r="M347" t="s">
        <v>125</v>
      </c>
      <c r="N347">
        <v>40.282459000000003</v>
      </c>
      <c r="O347">
        <v>-111.68853900000001</v>
      </c>
      <c r="P347">
        <v>4701.1259550000004</v>
      </c>
      <c r="Q347">
        <v>1384</v>
      </c>
      <c r="R347">
        <v>0</v>
      </c>
    </row>
    <row r="348" spans="1:18" x14ac:dyDescent="0.25">
      <c r="A348">
        <v>347</v>
      </c>
      <c r="B348">
        <v>94</v>
      </c>
      <c r="C348" t="e">
        <f>-IoWtvbLFtLtwLeIBErlvF</f>
        <v>#NAME?</v>
      </c>
      <c r="D348" t="s">
        <v>272</v>
      </c>
      <c r="E348">
        <v>338.65499999999997</v>
      </c>
      <c r="F348" t="s">
        <v>21</v>
      </c>
      <c r="G348" t="s">
        <v>26</v>
      </c>
      <c r="H348" t="s">
        <v>21</v>
      </c>
      <c r="I348" t="s">
        <v>20</v>
      </c>
      <c r="J348" t="s">
        <v>20</v>
      </c>
      <c r="K348" t="s">
        <v>22</v>
      </c>
      <c r="L348" t="s">
        <v>23</v>
      </c>
      <c r="M348" t="s">
        <v>125</v>
      </c>
      <c r="N348">
        <v>40.283963</v>
      </c>
      <c r="O348">
        <v>-111.68919</v>
      </c>
      <c r="P348">
        <v>4702.3050620000004</v>
      </c>
      <c r="Q348">
        <v>1384</v>
      </c>
      <c r="R348">
        <v>0</v>
      </c>
    </row>
    <row r="349" spans="1:18" x14ac:dyDescent="0.25">
      <c r="A349">
        <v>348</v>
      </c>
      <c r="B349">
        <v>94</v>
      </c>
      <c r="C349" t="e">
        <f>-IoWvw6GFMHyGnIS6BYuhk</f>
        <v>#NAME?</v>
      </c>
      <c r="D349" t="s">
        <v>272</v>
      </c>
      <c r="E349">
        <v>338.78899999999999</v>
      </c>
      <c r="F349" t="s">
        <v>21</v>
      </c>
      <c r="G349" t="s">
        <v>26</v>
      </c>
      <c r="H349" t="s">
        <v>21</v>
      </c>
      <c r="I349" t="s">
        <v>20</v>
      </c>
      <c r="J349" t="s">
        <v>20</v>
      </c>
      <c r="K349" t="s">
        <v>22</v>
      </c>
      <c r="L349" t="s">
        <v>23</v>
      </c>
      <c r="M349" t="s">
        <v>125</v>
      </c>
      <c r="N349">
        <v>40.285787999999997</v>
      </c>
      <c r="O349">
        <v>-111.69001900000001</v>
      </c>
      <c r="P349">
        <v>4698.3283499999998</v>
      </c>
      <c r="Q349">
        <v>1384</v>
      </c>
      <c r="R349">
        <v>0</v>
      </c>
    </row>
    <row r="350" spans="1:18" x14ac:dyDescent="0.25">
      <c r="A350">
        <v>349</v>
      </c>
      <c r="B350">
        <v>94</v>
      </c>
      <c r="C350" t="e">
        <f>-JYlTY7xFDXZtABur-CsyV</f>
        <v>#NAME?</v>
      </c>
      <c r="D350" t="s">
        <v>129</v>
      </c>
      <c r="E350">
        <v>37.103999999999999</v>
      </c>
      <c r="F350" t="s">
        <v>21</v>
      </c>
      <c r="G350" t="s">
        <v>20</v>
      </c>
      <c r="H350" t="s">
        <v>21</v>
      </c>
      <c r="I350" t="s">
        <v>20</v>
      </c>
      <c r="J350" t="s">
        <v>20</v>
      </c>
      <c r="K350" t="s">
        <v>31</v>
      </c>
      <c r="L350" t="s">
        <v>130</v>
      </c>
      <c r="M350" t="s">
        <v>302</v>
      </c>
      <c r="N350">
        <v>40.761406000000001</v>
      </c>
      <c r="O350">
        <v>-110.882268</v>
      </c>
      <c r="P350">
        <v>9472.8586990000003</v>
      </c>
      <c r="Q350">
        <v>340</v>
      </c>
      <c r="R350">
        <v>0</v>
      </c>
    </row>
    <row r="351" spans="1:18" x14ac:dyDescent="0.25">
      <c r="A351">
        <v>350</v>
      </c>
      <c r="B351">
        <v>94</v>
      </c>
      <c r="C351">
        <v>31411942</v>
      </c>
      <c r="D351" t="s">
        <v>63</v>
      </c>
      <c r="E351">
        <v>37.228999999999999</v>
      </c>
      <c r="F351" t="s">
        <v>21</v>
      </c>
      <c r="G351" t="s">
        <v>26</v>
      </c>
      <c r="H351" t="s">
        <v>21</v>
      </c>
      <c r="I351" t="s">
        <v>20</v>
      </c>
      <c r="J351" t="s">
        <v>20</v>
      </c>
      <c r="K351" t="s">
        <v>27</v>
      </c>
      <c r="L351" t="s">
        <v>266</v>
      </c>
      <c r="M351" t="s">
        <v>29</v>
      </c>
      <c r="N351">
        <v>38.501331</v>
      </c>
      <c r="O351">
        <v>-111.881332</v>
      </c>
      <c r="P351">
        <v>6804.670486</v>
      </c>
      <c r="Q351">
        <v>1365</v>
      </c>
      <c r="R351">
        <v>0</v>
      </c>
    </row>
    <row r="352" spans="1:18" x14ac:dyDescent="0.25">
      <c r="A352">
        <v>351</v>
      </c>
      <c r="B352">
        <v>94</v>
      </c>
      <c r="C352">
        <v>31521608</v>
      </c>
      <c r="D352" t="s">
        <v>132</v>
      </c>
      <c r="E352">
        <v>37.284999999999997</v>
      </c>
      <c r="F352" t="s">
        <v>21</v>
      </c>
      <c r="G352" t="s">
        <v>26</v>
      </c>
      <c r="H352" t="s">
        <v>21</v>
      </c>
      <c r="I352" t="s">
        <v>20</v>
      </c>
      <c r="J352" t="s">
        <v>20</v>
      </c>
      <c r="K352" t="s">
        <v>22</v>
      </c>
      <c r="L352" t="s">
        <v>234</v>
      </c>
      <c r="M352" t="s">
        <v>277</v>
      </c>
      <c r="N352">
        <v>40.462679000000001</v>
      </c>
      <c r="O352">
        <v>-109.586185</v>
      </c>
      <c r="P352">
        <v>5531.2391879999996</v>
      </c>
      <c r="Q352">
        <v>1405</v>
      </c>
      <c r="R352">
        <v>0</v>
      </c>
    </row>
    <row r="353" spans="1:18" x14ac:dyDescent="0.25">
      <c r="A353">
        <v>352</v>
      </c>
      <c r="B353">
        <v>94</v>
      </c>
      <c r="C353">
        <v>31263291</v>
      </c>
      <c r="D353" t="s">
        <v>303</v>
      </c>
      <c r="E353">
        <v>8.5779999999999994</v>
      </c>
      <c r="F353" t="s">
        <v>19</v>
      </c>
      <c r="G353" t="s">
        <v>20</v>
      </c>
      <c r="H353" t="s">
        <v>21</v>
      </c>
      <c r="I353" t="s">
        <v>20</v>
      </c>
      <c r="J353" t="s">
        <v>20</v>
      </c>
      <c r="K353" t="s">
        <v>27</v>
      </c>
      <c r="L353" t="s">
        <v>72</v>
      </c>
      <c r="M353" t="s">
        <v>73</v>
      </c>
      <c r="N353">
        <v>37.176473000000001</v>
      </c>
      <c r="O353">
        <v>-113.309844</v>
      </c>
      <c r="P353">
        <v>3124.6042109999999</v>
      </c>
      <c r="Q353">
        <v>1326</v>
      </c>
      <c r="R353">
        <v>0</v>
      </c>
    </row>
    <row r="354" spans="1:18" x14ac:dyDescent="0.25">
      <c r="A354">
        <v>353</v>
      </c>
      <c r="B354">
        <v>94</v>
      </c>
      <c r="C354">
        <v>1441173</v>
      </c>
      <c r="D354" t="s">
        <v>304</v>
      </c>
      <c r="E354">
        <v>8.5779999999999994</v>
      </c>
      <c r="F354" t="s">
        <v>21</v>
      </c>
      <c r="G354" t="s">
        <v>26</v>
      </c>
      <c r="H354" t="s">
        <v>21</v>
      </c>
      <c r="I354" t="s">
        <v>20</v>
      </c>
      <c r="J354" t="s">
        <v>20</v>
      </c>
      <c r="K354" t="s">
        <v>41</v>
      </c>
      <c r="L354" t="s">
        <v>223</v>
      </c>
      <c r="M354" t="s">
        <v>43</v>
      </c>
      <c r="N354">
        <v>41.638888999999999</v>
      </c>
      <c r="O354">
        <v>-112.07960799999999</v>
      </c>
      <c r="P354">
        <v>4249.6334550000001</v>
      </c>
      <c r="Q354">
        <v>1348</v>
      </c>
      <c r="R354">
        <v>0</v>
      </c>
    </row>
    <row r="355" spans="1:18" x14ac:dyDescent="0.25">
      <c r="A355">
        <v>354</v>
      </c>
      <c r="B355">
        <v>94</v>
      </c>
      <c r="C355">
        <v>31286123</v>
      </c>
      <c r="D355" t="s">
        <v>305</v>
      </c>
      <c r="E355">
        <v>8.5779999999999994</v>
      </c>
      <c r="F355" t="s">
        <v>21</v>
      </c>
      <c r="G355" t="s">
        <v>26</v>
      </c>
      <c r="H355" t="s">
        <v>21</v>
      </c>
      <c r="I355" t="s">
        <v>20</v>
      </c>
      <c r="J355" t="s">
        <v>20</v>
      </c>
      <c r="K355" t="s">
        <v>22</v>
      </c>
      <c r="L355" t="s">
        <v>133</v>
      </c>
      <c r="M355" t="s">
        <v>235</v>
      </c>
      <c r="N355">
        <v>40.205433999999997</v>
      </c>
      <c r="O355">
        <v>-109.665119</v>
      </c>
      <c r="P355">
        <v>4779.6595889999999</v>
      </c>
      <c r="Q355">
        <v>1383</v>
      </c>
      <c r="R355">
        <v>0</v>
      </c>
    </row>
    <row r="356" spans="1:18" x14ac:dyDescent="0.25">
      <c r="A356">
        <v>355</v>
      </c>
      <c r="B356">
        <v>94</v>
      </c>
      <c r="C356">
        <v>31663358</v>
      </c>
      <c r="D356" t="s">
        <v>306</v>
      </c>
      <c r="E356">
        <v>8.5779999999999994</v>
      </c>
      <c r="F356" t="s">
        <v>21</v>
      </c>
      <c r="G356" t="s">
        <v>20</v>
      </c>
      <c r="H356" t="s">
        <v>21</v>
      </c>
      <c r="I356" t="s">
        <v>20</v>
      </c>
      <c r="J356" t="s">
        <v>20</v>
      </c>
      <c r="K356" t="s">
        <v>27</v>
      </c>
      <c r="L356" t="s">
        <v>307</v>
      </c>
      <c r="M356" t="s">
        <v>82</v>
      </c>
      <c r="N356">
        <v>39.682006000000001</v>
      </c>
      <c r="O356">
        <v>-111.244337</v>
      </c>
      <c r="P356">
        <v>8671.6146769999996</v>
      </c>
      <c r="Q356">
        <v>430</v>
      </c>
      <c r="R356">
        <v>0</v>
      </c>
    </row>
    <row r="357" spans="1:18" x14ac:dyDescent="0.25">
      <c r="A357">
        <v>356</v>
      </c>
      <c r="B357">
        <v>94</v>
      </c>
      <c r="C357">
        <v>31290902</v>
      </c>
      <c r="D357" t="s">
        <v>308</v>
      </c>
      <c r="E357">
        <v>8.5790000000000006</v>
      </c>
      <c r="F357" t="s">
        <v>21</v>
      </c>
      <c r="G357" t="s">
        <v>26</v>
      </c>
      <c r="H357" t="s">
        <v>19</v>
      </c>
      <c r="I357">
        <v>264</v>
      </c>
      <c r="J357" t="s">
        <v>20</v>
      </c>
      <c r="K357" t="s">
        <v>27</v>
      </c>
      <c r="L357" t="s">
        <v>230</v>
      </c>
      <c r="M357" t="s">
        <v>82</v>
      </c>
      <c r="N357">
        <v>39.676352999999999</v>
      </c>
      <c r="O357">
        <v>-111.314639</v>
      </c>
      <c r="P357">
        <v>8794.5713350000005</v>
      </c>
      <c r="Q357">
        <v>1344</v>
      </c>
      <c r="R357">
        <v>0</v>
      </c>
    </row>
    <row r="358" spans="1:18" x14ac:dyDescent="0.25">
      <c r="A358">
        <v>357</v>
      </c>
      <c r="B358">
        <v>94</v>
      </c>
      <c r="C358">
        <v>31409902</v>
      </c>
      <c r="D358" t="s">
        <v>224</v>
      </c>
      <c r="E358">
        <v>8.5820000000000007</v>
      </c>
      <c r="F358" t="s">
        <v>21</v>
      </c>
      <c r="G358" t="s">
        <v>26</v>
      </c>
      <c r="H358" t="s">
        <v>21</v>
      </c>
      <c r="I358" t="s">
        <v>20</v>
      </c>
      <c r="J358" t="s">
        <v>20</v>
      </c>
      <c r="K358" t="s">
        <v>22</v>
      </c>
      <c r="L358" t="s">
        <v>198</v>
      </c>
      <c r="M358" t="s">
        <v>194</v>
      </c>
      <c r="N358">
        <v>40.055754</v>
      </c>
      <c r="O358">
        <v>-111.675601</v>
      </c>
      <c r="P358">
        <v>4527.5857059999998</v>
      </c>
      <c r="Q358">
        <v>408</v>
      </c>
      <c r="R358">
        <v>0</v>
      </c>
    </row>
    <row r="359" spans="1:18" x14ac:dyDescent="0.25">
      <c r="A359">
        <v>358</v>
      </c>
      <c r="B359">
        <v>94</v>
      </c>
      <c r="C359">
        <v>31193231</v>
      </c>
      <c r="D359" t="s">
        <v>309</v>
      </c>
      <c r="E359">
        <v>8.5890000000000004</v>
      </c>
      <c r="F359" t="s">
        <v>21</v>
      </c>
      <c r="G359" t="s">
        <v>26</v>
      </c>
      <c r="H359" t="s">
        <v>21</v>
      </c>
      <c r="I359" t="s">
        <v>20</v>
      </c>
      <c r="J359" t="s">
        <v>20</v>
      </c>
      <c r="K359" t="s">
        <v>22</v>
      </c>
      <c r="L359" t="s">
        <v>140</v>
      </c>
      <c r="M359" t="s">
        <v>125</v>
      </c>
      <c r="N359">
        <v>40.114693000000003</v>
      </c>
      <c r="O359">
        <v>-111.721009</v>
      </c>
      <c r="P359">
        <v>4472.2323159999996</v>
      </c>
      <c r="Q359">
        <v>339</v>
      </c>
      <c r="R359">
        <v>0</v>
      </c>
    </row>
    <row r="360" spans="1:18" x14ac:dyDescent="0.25">
      <c r="A360">
        <v>359</v>
      </c>
      <c r="B360">
        <v>94</v>
      </c>
      <c r="C360">
        <v>31313640</v>
      </c>
      <c r="D360" t="s">
        <v>215</v>
      </c>
      <c r="E360">
        <v>8.593</v>
      </c>
      <c r="F360" t="s">
        <v>19</v>
      </c>
      <c r="G360" t="s">
        <v>20</v>
      </c>
      <c r="H360" t="s">
        <v>19</v>
      </c>
      <c r="I360">
        <v>241</v>
      </c>
      <c r="J360" t="s">
        <v>20</v>
      </c>
      <c r="K360" t="s">
        <v>22</v>
      </c>
      <c r="L360" t="s">
        <v>23</v>
      </c>
      <c r="M360" t="s">
        <v>85</v>
      </c>
      <c r="N360">
        <v>40.326267999999999</v>
      </c>
      <c r="O360">
        <v>-111.73730999999999</v>
      </c>
      <c r="P360">
        <v>4496.6948869999997</v>
      </c>
      <c r="Q360">
        <v>330</v>
      </c>
      <c r="R360">
        <v>0</v>
      </c>
    </row>
    <row r="361" spans="1:18" x14ac:dyDescent="0.25">
      <c r="A361">
        <v>360</v>
      </c>
      <c r="B361">
        <v>94</v>
      </c>
      <c r="C361">
        <v>31525325</v>
      </c>
      <c r="D361" t="s">
        <v>231</v>
      </c>
      <c r="E361">
        <v>8.6029999999999998</v>
      </c>
      <c r="F361" t="s">
        <v>19</v>
      </c>
      <c r="G361" t="s">
        <v>20</v>
      </c>
      <c r="H361" t="s">
        <v>21</v>
      </c>
      <c r="I361" t="s">
        <v>20</v>
      </c>
      <c r="J361" t="s">
        <v>20</v>
      </c>
      <c r="K361" t="s">
        <v>41</v>
      </c>
      <c r="L361" t="s">
        <v>57</v>
      </c>
      <c r="M361" t="s">
        <v>93</v>
      </c>
      <c r="N361">
        <v>41.159652000000001</v>
      </c>
      <c r="O361">
        <v>-112.02604700000001</v>
      </c>
      <c r="P361">
        <v>4486.7799219999997</v>
      </c>
      <c r="Q361">
        <v>1409</v>
      </c>
      <c r="R361">
        <v>0</v>
      </c>
    </row>
    <row r="362" spans="1:18" x14ac:dyDescent="0.25">
      <c r="A362">
        <v>361</v>
      </c>
      <c r="B362">
        <v>94</v>
      </c>
      <c r="C362" t="e">
        <f>-Ip_FKEfHdPGCmyrwhiaQF</f>
        <v>#NAME?</v>
      </c>
      <c r="D362" t="s">
        <v>272</v>
      </c>
      <c r="E362">
        <v>8.6080000000000005</v>
      </c>
      <c r="F362" t="s">
        <v>21</v>
      </c>
      <c r="G362" t="s">
        <v>20</v>
      </c>
      <c r="H362" t="s">
        <v>21</v>
      </c>
      <c r="I362" t="s">
        <v>20</v>
      </c>
      <c r="J362" t="s">
        <v>20</v>
      </c>
      <c r="K362" t="s">
        <v>27</v>
      </c>
      <c r="L362" t="s">
        <v>259</v>
      </c>
      <c r="M362" t="s">
        <v>214</v>
      </c>
      <c r="N362">
        <v>37.085458000000003</v>
      </c>
      <c r="O362">
        <v>-111.684046</v>
      </c>
      <c r="P362">
        <v>4217.0347359999996</v>
      </c>
      <c r="Q362">
        <v>1384</v>
      </c>
      <c r="R362">
        <v>0</v>
      </c>
    </row>
    <row r="363" spans="1:18" x14ac:dyDescent="0.25">
      <c r="A363">
        <v>362</v>
      </c>
      <c r="B363">
        <v>94</v>
      </c>
      <c r="C363">
        <v>28126914</v>
      </c>
      <c r="D363" t="s">
        <v>239</v>
      </c>
      <c r="E363">
        <v>8.6120000000000001</v>
      </c>
      <c r="F363" t="s">
        <v>21</v>
      </c>
      <c r="G363" t="s">
        <v>26</v>
      </c>
      <c r="H363" t="s">
        <v>21</v>
      </c>
      <c r="I363" t="s">
        <v>20</v>
      </c>
      <c r="J363" t="s">
        <v>20</v>
      </c>
      <c r="K363" t="s">
        <v>41</v>
      </c>
      <c r="L363" t="s">
        <v>181</v>
      </c>
      <c r="M363" t="s">
        <v>178</v>
      </c>
      <c r="N363">
        <v>41.694270000000003</v>
      </c>
      <c r="O363">
        <v>-112.294568</v>
      </c>
      <c r="P363">
        <v>4280.9195559999998</v>
      </c>
      <c r="Q363">
        <v>1392</v>
      </c>
      <c r="R363">
        <v>0</v>
      </c>
    </row>
    <row r="364" spans="1:18" x14ac:dyDescent="0.25">
      <c r="A364">
        <v>363</v>
      </c>
      <c r="B364">
        <v>94</v>
      </c>
      <c r="C364">
        <v>31191748</v>
      </c>
      <c r="D364" t="s">
        <v>310</v>
      </c>
      <c r="E364">
        <v>9.3559999999999999</v>
      </c>
      <c r="F364" t="s">
        <v>21</v>
      </c>
      <c r="G364" t="s">
        <v>26</v>
      </c>
      <c r="H364" t="s">
        <v>21</v>
      </c>
      <c r="I364" t="s">
        <v>20</v>
      </c>
      <c r="J364" t="s">
        <v>20</v>
      </c>
      <c r="K364" t="s">
        <v>31</v>
      </c>
      <c r="L364" t="s">
        <v>285</v>
      </c>
      <c r="M364" t="s">
        <v>206</v>
      </c>
      <c r="N364">
        <v>40.600000999999999</v>
      </c>
      <c r="O364">
        <v>-112.480159</v>
      </c>
      <c r="P364">
        <v>4295.8194819999999</v>
      </c>
      <c r="Q364">
        <v>1414</v>
      </c>
      <c r="R364">
        <v>0</v>
      </c>
    </row>
    <row r="365" spans="1:18" x14ac:dyDescent="0.25">
      <c r="A365">
        <v>364</v>
      </c>
      <c r="B365">
        <v>94</v>
      </c>
      <c r="C365" t="e">
        <f>-JX8nnwoFnDcJVZUBIsxJF</f>
        <v>#NAME?</v>
      </c>
      <c r="D365" t="s">
        <v>225</v>
      </c>
      <c r="E365">
        <v>9.36</v>
      </c>
      <c r="F365" t="s">
        <v>21</v>
      </c>
      <c r="G365" t="s">
        <v>26</v>
      </c>
      <c r="H365" t="s">
        <v>21</v>
      </c>
      <c r="I365" t="s">
        <v>20</v>
      </c>
      <c r="J365" t="s">
        <v>20</v>
      </c>
      <c r="K365" t="s">
        <v>27</v>
      </c>
      <c r="L365" t="s">
        <v>146</v>
      </c>
      <c r="M365" t="s">
        <v>226</v>
      </c>
      <c r="N365">
        <v>37.995801999999998</v>
      </c>
      <c r="O365">
        <v>-109.47915</v>
      </c>
      <c r="P365">
        <v>6542.7585060000001</v>
      </c>
      <c r="Q365">
        <v>355</v>
      </c>
      <c r="R365">
        <v>0</v>
      </c>
    </row>
    <row r="366" spans="1:18" x14ac:dyDescent="0.25">
      <c r="A366">
        <v>365</v>
      </c>
      <c r="B366">
        <v>94</v>
      </c>
      <c r="C366" t="e">
        <f>-JMnrBGIH-ag2ir4Dd0UnF</f>
        <v>#NAME?</v>
      </c>
      <c r="D366" t="s">
        <v>224</v>
      </c>
      <c r="E366">
        <v>9.3699999999999992</v>
      </c>
      <c r="F366" t="s">
        <v>21</v>
      </c>
      <c r="G366" t="s">
        <v>26</v>
      </c>
      <c r="H366" t="s">
        <v>21</v>
      </c>
      <c r="I366" t="s">
        <v>20</v>
      </c>
      <c r="J366" t="s">
        <v>20</v>
      </c>
      <c r="K366" t="s">
        <v>22</v>
      </c>
      <c r="L366" t="s">
        <v>198</v>
      </c>
      <c r="M366" t="s">
        <v>194</v>
      </c>
      <c r="N366">
        <v>40.064227000000002</v>
      </c>
      <c r="O366">
        <v>-111.666788</v>
      </c>
      <c r="P366">
        <v>4533.8085799999999</v>
      </c>
      <c r="Q366">
        <v>408</v>
      </c>
      <c r="R366">
        <v>0</v>
      </c>
    </row>
    <row r="367" spans="1:18" x14ac:dyDescent="0.25">
      <c r="A367">
        <v>366</v>
      </c>
      <c r="B367">
        <v>94</v>
      </c>
      <c r="C367">
        <v>31764754</v>
      </c>
      <c r="D367" t="s">
        <v>268</v>
      </c>
      <c r="E367">
        <v>9.3729999999999993</v>
      </c>
      <c r="F367" t="s">
        <v>21</v>
      </c>
      <c r="G367" t="s">
        <v>20</v>
      </c>
      <c r="H367" t="s">
        <v>21</v>
      </c>
      <c r="I367" t="s">
        <v>20</v>
      </c>
      <c r="J367" t="s">
        <v>20</v>
      </c>
      <c r="K367" t="s">
        <v>41</v>
      </c>
      <c r="L367" t="s">
        <v>177</v>
      </c>
      <c r="M367" t="s">
        <v>43</v>
      </c>
      <c r="N367">
        <v>41.599068000000003</v>
      </c>
      <c r="O367">
        <v>-112.299102</v>
      </c>
      <c r="P367">
        <v>4184.5395390000003</v>
      </c>
      <c r="Q367">
        <v>1380</v>
      </c>
      <c r="R367">
        <v>0</v>
      </c>
    </row>
    <row r="368" spans="1:18" x14ac:dyDescent="0.25">
      <c r="A368">
        <v>367</v>
      </c>
      <c r="B368">
        <v>94</v>
      </c>
      <c r="C368">
        <v>1504370</v>
      </c>
      <c r="D368" t="s">
        <v>88</v>
      </c>
      <c r="E368">
        <v>9.3729999999999993</v>
      </c>
      <c r="F368" t="s">
        <v>21</v>
      </c>
      <c r="G368" t="s">
        <v>26</v>
      </c>
      <c r="H368" t="s">
        <v>21</v>
      </c>
      <c r="I368" t="s">
        <v>20</v>
      </c>
      <c r="J368" t="s">
        <v>20</v>
      </c>
      <c r="K368" t="s">
        <v>31</v>
      </c>
      <c r="L368" t="s">
        <v>89</v>
      </c>
      <c r="M368" t="s">
        <v>90</v>
      </c>
      <c r="N368">
        <v>40.575606000000001</v>
      </c>
      <c r="O368">
        <v>-111.872195</v>
      </c>
      <c r="P368">
        <v>4465.9627810000002</v>
      </c>
      <c r="Q368">
        <v>318</v>
      </c>
      <c r="R368">
        <v>0</v>
      </c>
    </row>
    <row r="369" spans="1:18" x14ac:dyDescent="0.25">
      <c r="A369">
        <v>368</v>
      </c>
      <c r="B369">
        <v>94</v>
      </c>
      <c r="C369">
        <v>811130</v>
      </c>
      <c r="D369" t="s">
        <v>236</v>
      </c>
      <c r="E369">
        <v>9.3819999999999997</v>
      </c>
      <c r="F369" t="s">
        <v>21</v>
      </c>
      <c r="G369" t="s">
        <v>26</v>
      </c>
      <c r="H369" t="s">
        <v>21</v>
      </c>
      <c r="I369" t="s">
        <v>20</v>
      </c>
      <c r="J369" t="s">
        <v>20</v>
      </c>
      <c r="K369" t="s">
        <v>31</v>
      </c>
      <c r="L369" t="s">
        <v>78</v>
      </c>
      <c r="M369" t="s">
        <v>79</v>
      </c>
      <c r="N369">
        <v>40.700529000000003</v>
      </c>
      <c r="O369">
        <v>-112.09183299999999</v>
      </c>
      <c r="P369">
        <v>4310.6392379999998</v>
      </c>
      <c r="Q369">
        <v>1398</v>
      </c>
      <c r="R369">
        <v>0</v>
      </c>
    </row>
    <row r="370" spans="1:18" x14ac:dyDescent="0.25">
      <c r="A370">
        <v>369</v>
      </c>
      <c r="B370">
        <v>94</v>
      </c>
      <c r="C370">
        <v>544635</v>
      </c>
      <c r="D370" t="s">
        <v>44</v>
      </c>
      <c r="E370">
        <v>9.3849999999999998</v>
      </c>
      <c r="F370" t="s">
        <v>19</v>
      </c>
      <c r="G370" t="s">
        <v>20</v>
      </c>
      <c r="H370" t="s">
        <v>21</v>
      </c>
      <c r="I370" t="s">
        <v>20</v>
      </c>
      <c r="J370" t="s">
        <v>20</v>
      </c>
      <c r="K370" t="s">
        <v>41</v>
      </c>
      <c r="L370" t="s">
        <v>87</v>
      </c>
      <c r="M370" t="s">
        <v>46</v>
      </c>
      <c r="N370">
        <v>41.000779999999999</v>
      </c>
      <c r="O370">
        <v>-111.907359</v>
      </c>
      <c r="P370">
        <v>4224.6708269999999</v>
      </c>
      <c r="Q370">
        <v>1395</v>
      </c>
      <c r="R370">
        <v>0</v>
      </c>
    </row>
    <row r="371" spans="1:18" x14ac:dyDescent="0.25">
      <c r="A371">
        <v>370</v>
      </c>
      <c r="B371">
        <v>94</v>
      </c>
      <c r="C371">
        <v>28591887</v>
      </c>
      <c r="D371" t="s">
        <v>142</v>
      </c>
      <c r="E371">
        <v>9.3870000000000005</v>
      </c>
      <c r="F371" t="s">
        <v>21</v>
      </c>
      <c r="G371" t="s">
        <v>26</v>
      </c>
      <c r="H371" t="s">
        <v>21</v>
      </c>
      <c r="I371" t="s">
        <v>20</v>
      </c>
      <c r="J371" t="s">
        <v>20</v>
      </c>
      <c r="K371" t="s">
        <v>27</v>
      </c>
      <c r="L371" t="s">
        <v>143</v>
      </c>
      <c r="M371" t="s">
        <v>106</v>
      </c>
      <c r="N371">
        <v>38.827359999999999</v>
      </c>
      <c r="O371">
        <v>-113.988197</v>
      </c>
      <c r="P371">
        <v>5346.7637279999999</v>
      </c>
      <c r="Q371">
        <v>305</v>
      </c>
      <c r="R371">
        <v>0</v>
      </c>
    </row>
    <row r="372" spans="1:18" x14ac:dyDescent="0.25">
      <c r="A372">
        <v>371</v>
      </c>
      <c r="B372">
        <v>94</v>
      </c>
      <c r="C372">
        <v>31527039</v>
      </c>
      <c r="D372" t="s">
        <v>231</v>
      </c>
      <c r="E372">
        <v>9.3889999999999993</v>
      </c>
      <c r="F372" t="s">
        <v>21</v>
      </c>
      <c r="G372" t="s">
        <v>26</v>
      </c>
      <c r="H372" t="s">
        <v>21</v>
      </c>
      <c r="I372" t="s">
        <v>20</v>
      </c>
      <c r="J372" t="s">
        <v>20</v>
      </c>
      <c r="K372" t="s">
        <v>41</v>
      </c>
      <c r="L372" t="s">
        <v>57</v>
      </c>
      <c r="M372" t="s">
        <v>93</v>
      </c>
      <c r="N372">
        <v>41.171187000000003</v>
      </c>
      <c r="O372">
        <v>-112.026025</v>
      </c>
      <c r="P372">
        <v>4480.7572819999996</v>
      </c>
      <c r="Q372">
        <v>1409</v>
      </c>
      <c r="R372">
        <v>0</v>
      </c>
    </row>
    <row r="373" spans="1:18" x14ac:dyDescent="0.25">
      <c r="A373">
        <v>372</v>
      </c>
      <c r="B373">
        <v>94</v>
      </c>
      <c r="C373" t="s">
        <v>311</v>
      </c>
      <c r="D373" t="s">
        <v>208</v>
      </c>
      <c r="E373">
        <v>9.3960000000000008</v>
      </c>
      <c r="F373" t="s">
        <v>19</v>
      </c>
      <c r="G373" t="s">
        <v>20</v>
      </c>
      <c r="H373" t="s">
        <v>21</v>
      </c>
      <c r="I373" t="s">
        <v>20</v>
      </c>
      <c r="J373" t="s">
        <v>20</v>
      </c>
      <c r="K373" t="s">
        <v>31</v>
      </c>
      <c r="L373" t="s">
        <v>209</v>
      </c>
      <c r="M373" t="s">
        <v>131</v>
      </c>
      <c r="N373">
        <v>40.696654000000002</v>
      </c>
      <c r="O373">
        <v>-111.54423800000001</v>
      </c>
      <c r="P373">
        <v>6515.7534109999997</v>
      </c>
      <c r="Q373">
        <v>357</v>
      </c>
      <c r="R373">
        <v>0</v>
      </c>
    </row>
    <row r="374" spans="1:18" x14ac:dyDescent="0.25">
      <c r="A374">
        <v>373</v>
      </c>
      <c r="B374">
        <v>94</v>
      </c>
      <c r="C374">
        <v>31397614</v>
      </c>
      <c r="D374" t="s">
        <v>124</v>
      </c>
      <c r="E374">
        <v>38.783000000000001</v>
      </c>
      <c r="F374" t="s">
        <v>21</v>
      </c>
      <c r="G374" t="s">
        <v>26</v>
      </c>
      <c r="H374" t="s">
        <v>21</v>
      </c>
      <c r="I374" t="s">
        <v>20</v>
      </c>
      <c r="J374" t="s">
        <v>20</v>
      </c>
      <c r="K374" t="s">
        <v>31</v>
      </c>
      <c r="L374" t="s">
        <v>89</v>
      </c>
      <c r="M374" t="s">
        <v>125</v>
      </c>
      <c r="N374">
        <v>40.471936999999997</v>
      </c>
      <c r="O374">
        <v>-111.946851</v>
      </c>
      <c r="P374">
        <v>4576.1684290000003</v>
      </c>
      <c r="Q374">
        <v>1368</v>
      </c>
      <c r="R374">
        <v>0</v>
      </c>
    </row>
    <row r="375" spans="1:18" x14ac:dyDescent="0.25">
      <c r="A375">
        <v>374</v>
      </c>
      <c r="B375">
        <v>94</v>
      </c>
      <c r="C375">
        <v>31522099</v>
      </c>
      <c r="D375" t="s">
        <v>132</v>
      </c>
      <c r="E375">
        <v>38.805999999999997</v>
      </c>
      <c r="F375" t="s">
        <v>19</v>
      </c>
      <c r="G375" t="s">
        <v>20</v>
      </c>
      <c r="H375" t="s">
        <v>21</v>
      </c>
      <c r="I375" t="s">
        <v>20</v>
      </c>
      <c r="J375" t="s">
        <v>20</v>
      </c>
      <c r="K375" t="s">
        <v>22</v>
      </c>
      <c r="L375" t="s">
        <v>234</v>
      </c>
      <c r="M375" t="s">
        <v>277</v>
      </c>
      <c r="N375">
        <v>40.462696999999999</v>
      </c>
      <c r="O375">
        <v>-109.55739</v>
      </c>
      <c r="P375">
        <v>5392.2867649999998</v>
      </c>
      <c r="Q375">
        <v>1405</v>
      </c>
      <c r="R375">
        <v>0</v>
      </c>
    </row>
    <row r="376" spans="1:18" x14ac:dyDescent="0.25">
      <c r="A376">
        <v>375</v>
      </c>
      <c r="B376">
        <v>94</v>
      </c>
      <c r="C376">
        <v>31432864</v>
      </c>
      <c r="D376" t="s">
        <v>221</v>
      </c>
      <c r="E376">
        <v>38.831000000000003</v>
      </c>
      <c r="F376" t="s">
        <v>21</v>
      </c>
      <c r="G376" t="s">
        <v>20</v>
      </c>
      <c r="H376" t="s">
        <v>21</v>
      </c>
      <c r="I376" t="s">
        <v>20</v>
      </c>
      <c r="J376" t="s">
        <v>20</v>
      </c>
      <c r="K376" t="s">
        <v>22</v>
      </c>
      <c r="L376" t="s">
        <v>155</v>
      </c>
      <c r="M376" t="s">
        <v>174</v>
      </c>
      <c r="N376">
        <v>39.682209999999998</v>
      </c>
      <c r="O376">
        <v>-111.83883299999999</v>
      </c>
      <c r="P376">
        <v>5048.9292009999999</v>
      </c>
      <c r="Q376">
        <v>1342</v>
      </c>
      <c r="R376">
        <v>0</v>
      </c>
    </row>
    <row r="377" spans="1:18" x14ac:dyDescent="0.25">
      <c r="A377">
        <v>376</v>
      </c>
      <c r="B377">
        <v>94</v>
      </c>
      <c r="C377">
        <v>31766513</v>
      </c>
      <c r="D377" t="s">
        <v>312</v>
      </c>
      <c r="E377">
        <v>38.841999999999999</v>
      </c>
      <c r="F377" t="s">
        <v>21</v>
      </c>
      <c r="G377" t="s">
        <v>26</v>
      </c>
      <c r="H377" t="s">
        <v>21</v>
      </c>
      <c r="I377" t="s">
        <v>20</v>
      </c>
      <c r="J377" t="s">
        <v>20</v>
      </c>
      <c r="K377" t="s">
        <v>27</v>
      </c>
      <c r="L377" t="s">
        <v>173</v>
      </c>
      <c r="M377" t="s">
        <v>313</v>
      </c>
      <c r="N377">
        <v>38.913398000000001</v>
      </c>
      <c r="O377">
        <v>-112.815228</v>
      </c>
      <c r="P377">
        <v>4751.5273729999999</v>
      </c>
      <c r="Q377">
        <v>255</v>
      </c>
      <c r="R377">
        <v>0</v>
      </c>
    </row>
    <row r="378" spans="1:18" x14ac:dyDescent="0.25">
      <c r="A378">
        <v>377</v>
      </c>
      <c r="B378">
        <v>94</v>
      </c>
      <c r="C378">
        <v>28194079</v>
      </c>
      <c r="D378" t="s">
        <v>233</v>
      </c>
      <c r="E378">
        <v>38.851999999999997</v>
      </c>
      <c r="F378" t="s">
        <v>21</v>
      </c>
      <c r="G378" t="s">
        <v>26</v>
      </c>
      <c r="H378" t="s">
        <v>21</v>
      </c>
      <c r="I378" t="s">
        <v>20</v>
      </c>
      <c r="J378" t="s">
        <v>20</v>
      </c>
      <c r="K378" t="s">
        <v>22</v>
      </c>
      <c r="L378" t="s">
        <v>234</v>
      </c>
      <c r="M378" t="s">
        <v>235</v>
      </c>
      <c r="N378">
        <v>40.397571999999997</v>
      </c>
      <c r="O378">
        <v>-109.498893</v>
      </c>
      <c r="P378">
        <v>5237.0458570000001</v>
      </c>
      <c r="Q378">
        <v>1354</v>
      </c>
      <c r="R378">
        <v>0</v>
      </c>
    </row>
    <row r="379" spans="1:18" x14ac:dyDescent="0.25">
      <c r="A379">
        <v>378</v>
      </c>
      <c r="B379">
        <v>94</v>
      </c>
      <c r="C379">
        <v>31432875</v>
      </c>
      <c r="D379" t="s">
        <v>221</v>
      </c>
      <c r="E379">
        <v>38.878</v>
      </c>
      <c r="F379" t="s">
        <v>21</v>
      </c>
      <c r="G379" t="s">
        <v>26</v>
      </c>
      <c r="H379" t="s">
        <v>21</v>
      </c>
      <c r="I379" t="s">
        <v>20</v>
      </c>
      <c r="J379" t="s">
        <v>20</v>
      </c>
      <c r="K379" t="s">
        <v>22</v>
      </c>
      <c r="L379" t="s">
        <v>155</v>
      </c>
      <c r="M379" t="s">
        <v>174</v>
      </c>
      <c r="N379">
        <v>39.682850999999999</v>
      </c>
      <c r="O379">
        <v>-111.83860900000001</v>
      </c>
      <c r="P379">
        <v>5053.3863289999999</v>
      </c>
      <c r="Q379">
        <v>1342</v>
      </c>
      <c r="R379">
        <v>0</v>
      </c>
    </row>
    <row r="380" spans="1:18" x14ac:dyDescent="0.25">
      <c r="A380">
        <v>379</v>
      </c>
      <c r="B380">
        <v>94</v>
      </c>
      <c r="C380" t="e">
        <f>-JQEFNX_FhT6quwjswD1Mk</f>
        <v>#NAME?</v>
      </c>
      <c r="D380" t="s">
        <v>132</v>
      </c>
      <c r="E380">
        <v>38.918999999999997</v>
      </c>
      <c r="F380" t="s">
        <v>21</v>
      </c>
      <c r="G380" t="s">
        <v>20</v>
      </c>
      <c r="H380" t="s">
        <v>21</v>
      </c>
      <c r="I380" t="s">
        <v>20</v>
      </c>
      <c r="J380" t="s">
        <v>20</v>
      </c>
      <c r="K380" t="s">
        <v>22</v>
      </c>
      <c r="L380" t="s">
        <v>234</v>
      </c>
      <c r="M380" t="s">
        <v>277</v>
      </c>
      <c r="N380">
        <v>40.462716</v>
      </c>
      <c r="O380">
        <v>-109.555252</v>
      </c>
      <c r="P380">
        <v>5383.0144550000005</v>
      </c>
      <c r="Q380">
        <v>1405</v>
      </c>
      <c r="R380">
        <v>0</v>
      </c>
    </row>
    <row r="381" spans="1:18" x14ac:dyDescent="0.25">
      <c r="A381">
        <v>380</v>
      </c>
      <c r="B381">
        <v>94</v>
      </c>
      <c r="C381">
        <v>31328538</v>
      </c>
      <c r="D381" t="s">
        <v>278</v>
      </c>
      <c r="E381">
        <v>38.948</v>
      </c>
      <c r="F381" t="s">
        <v>21</v>
      </c>
      <c r="G381" t="s">
        <v>20</v>
      </c>
      <c r="H381" t="s">
        <v>21</v>
      </c>
      <c r="I381" t="s">
        <v>20</v>
      </c>
      <c r="J381" t="s">
        <v>20</v>
      </c>
      <c r="K381" t="s">
        <v>27</v>
      </c>
      <c r="L381" t="s">
        <v>279</v>
      </c>
      <c r="M381" t="s">
        <v>280</v>
      </c>
      <c r="N381">
        <v>37.496212999999997</v>
      </c>
      <c r="O381">
        <v>-112.53845200000001</v>
      </c>
      <c r="P381">
        <v>7688.8117130000001</v>
      </c>
      <c r="Q381">
        <v>1330</v>
      </c>
      <c r="R381">
        <v>0</v>
      </c>
    </row>
    <row r="382" spans="1:18" x14ac:dyDescent="0.25">
      <c r="A382">
        <v>381</v>
      </c>
      <c r="B382">
        <v>94</v>
      </c>
      <c r="C382">
        <v>31501976</v>
      </c>
      <c r="D382" t="s">
        <v>129</v>
      </c>
      <c r="E382">
        <v>38.950000000000003</v>
      </c>
      <c r="F382" t="s">
        <v>21</v>
      </c>
      <c r="G382" t="s">
        <v>26</v>
      </c>
      <c r="H382" t="s">
        <v>21</v>
      </c>
      <c r="I382" t="s">
        <v>20</v>
      </c>
      <c r="J382" t="s">
        <v>20</v>
      </c>
      <c r="K382" t="s">
        <v>31</v>
      </c>
      <c r="L382" t="s">
        <v>130</v>
      </c>
      <c r="M382" t="s">
        <v>302</v>
      </c>
      <c r="N382">
        <v>40.787765</v>
      </c>
      <c r="O382">
        <v>-110.88594000000001</v>
      </c>
      <c r="P382">
        <v>9088.0637499999993</v>
      </c>
      <c r="Q382">
        <v>340</v>
      </c>
      <c r="R382">
        <v>0</v>
      </c>
    </row>
    <row r="383" spans="1:18" x14ac:dyDescent="0.25">
      <c r="A383">
        <v>382</v>
      </c>
      <c r="B383">
        <v>94</v>
      </c>
      <c r="C383">
        <v>31397658</v>
      </c>
      <c r="D383" t="s">
        <v>124</v>
      </c>
      <c r="E383">
        <v>38.968000000000004</v>
      </c>
      <c r="F383" t="s">
        <v>21</v>
      </c>
      <c r="G383" t="s">
        <v>26</v>
      </c>
      <c r="H383" t="s">
        <v>21</v>
      </c>
      <c r="I383" t="s">
        <v>20</v>
      </c>
      <c r="J383" t="s">
        <v>20</v>
      </c>
      <c r="K383" t="s">
        <v>31</v>
      </c>
      <c r="L383" t="s">
        <v>89</v>
      </c>
      <c r="M383" t="s">
        <v>125</v>
      </c>
      <c r="N383">
        <v>40.474606000000001</v>
      </c>
      <c r="O383">
        <v>-111.94658</v>
      </c>
      <c r="P383">
        <v>4551.9478749999998</v>
      </c>
      <c r="Q383">
        <v>1368</v>
      </c>
      <c r="R383">
        <v>0</v>
      </c>
    </row>
    <row r="384" spans="1:18" x14ac:dyDescent="0.25">
      <c r="A384">
        <v>383</v>
      </c>
      <c r="B384">
        <v>94</v>
      </c>
      <c r="C384" t="e">
        <f>-Ip5jtw9GCaDp31LxdG5HV</f>
        <v>#NAME?</v>
      </c>
      <c r="D384" t="s">
        <v>272</v>
      </c>
      <c r="E384">
        <v>380.26100000000002</v>
      </c>
      <c r="F384" t="s">
        <v>19</v>
      </c>
      <c r="G384" t="s">
        <v>20</v>
      </c>
      <c r="H384" t="s">
        <v>21</v>
      </c>
      <c r="I384" t="s">
        <v>20</v>
      </c>
      <c r="J384" t="s">
        <v>20</v>
      </c>
      <c r="K384" t="s">
        <v>31</v>
      </c>
      <c r="L384" t="s">
        <v>66</v>
      </c>
      <c r="M384" t="s">
        <v>49</v>
      </c>
      <c r="N384">
        <v>40.775872999999997</v>
      </c>
      <c r="O384">
        <v>-111.899692</v>
      </c>
      <c r="P384">
        <v>4211.0736740000002</v>
      </c>
      <c r="Q384">
        <v>1384</v>
      </c>
      <c r="R384">
        <v>0</v>
      </c>
    </row>
    <row r="385" spans="1:18" x14ac:dyDescent="0.25">
      <c r="A385">
        <v>384</v>
      </c>
      <c r="B385">
        <v>94</v>
      </c>
      <c r="C385" t="s">
        <v>314</v>
      </c>
      <c r="D385" t="s">
        <v>272</v>
      </c>
      <c r="E385">
        <v>380.35300000000001</v>
      </c>
      <c r="F385" t="s">
        <v>21</v>
      </c>
      <c r="G385" t="s">
        <v>26</v>
      </c>
      <c r="H385" t="s">
        <v>21</v>
      </c>
      <c r="I385" t="s">
        <v>20</v>
      </c>
      <c r="J385" t="s">
        <v>20</v>
      </c>
      <c r="K385" t="s">
        <v>31</v>
      </c>
      <c r="L385" t="s">
        <v>66</v>
      </c>
      <c r="M385" t="s">
        <v>49</v>
      </c>
      <c r="N385">
        <v>40.777213000000003</v>
      </c>
      <c r="O385">
        <v>-111.899601</v>
      </c>
      <c r="P385">
        <v>4203.4506890000002</v>
      </c>
      <c r="Q385">
        <v>1384</v>
      </c>
      <c r="R385">
        <v>0</v>
      </c>
    </row>
    <row r="386" spans="1:18" x14ac:dyDescent="0.25">
      <c r="A386">
        <v>385</v>
      </c>
      <c r="B386">
        <v>94</v>
      </c>
      <c r="C386" t="e">
        <f>-Ip5qX7VIU9yoCN0duWc-k</f>
        <v>#NAME?</v>
      </c>
      <c r="D386" t="s">
        <v>272</v>
      </c>
      <c r="E386">
        <v>380.41</v>
      </c>
      <c r="F386" t="s">
        <v>21</v>
      </c>
      <c r="G386" t="s">
        <v>26</v>
      </c>
      <c r="H386" t="s">
        <v>21</v>
      </c>
      <c r="I386" t="s">
        <v>20</v>
      </c>
      <c r="J386" t="s">
        <v>20</v>
      </c>
      <c r="K386" t="s">
        <v>31</v>
      </c>
      <c r="L386" t="s">
        <v>66</v>
      </c>
      <c r="M386" t="s">
        <v>49</v>
      </c>
      <c r="N386">
        <v>40.778055999999999</v>
      </c>
      <c r="O386">
        <v>-111.89968399999999</v>
      </c>
      <c r="P386">
        <v>4199.2920039999999</v>
      </c>
      <c r="Q386">
        <v>1384</v>
      </c>
      <c r="R386">
        <v>0</v>
      </c>
    </row>
    <row r="387" spans="1:18" x14ac:dyDescent="0.25">
      <c r="A387">
        <v>386</v>
      </c>
      <c r="B387">
        <v>94</v>
      </c>
      <c r="C387" t="e">
        <f>-Ip5rYPUG0mmLFxpSLIfOk</f>
        <v>#NAME?</v>
      </c>
      <c r="D387" t="s">
        <v>272</v>
      </c>
      <c r="E387">
        <v>380.464</v>
      </c>
      <c r="F387" t="s">
        <v>21</v>
      </c>
      <c r="G387" t="s">
        <v>20</v>
      </c>
      <c r="H387" t="s">
        <v>21</v>
      </c>
      <c r="I387" t="s">
        <v>20</v>
      </c>
      <c r="J387" t="s">
        <v>20</v>
      </c>
      <c r="K387" t="s">
        <v>31</v>
      </c>
      <c r="L387" t="s">
        <v>66</v>
      </c>
      <c r="M387" t="s">
        <v>49</v>
      </c>
      <c r="N387">
        <v>40.778848000000004</v>
      </c>
      <c r="O387">
        <v>-111.899592</v>
      </c>
      <c r="P387">
        <v>4195.5428959999999</v>
      </c>
      <c r="Q387">
        <v>1384</v>
      </c>
      <c r="R387">
        <v>0</v>
      </c>
    </row>
    <row r="388" spans="1:18" x14ac:dyDescent="0.25">
      <c r="A388">
        <v>387</v>
      </c>
      <c r="B388">
        <v>94</v>
      </c>
      <c r="C388">
        <v>27853605</v>
      </c>
      <c r="D388" t="s">
        <v>136</v>
      </c>
      <c r="E388">
        <v>13.06</v>
      </c>
      <c r="F388" t="s">
        <v>21</v>
      </c>
      <c r="G388" t="s">
        <v>26</v>
      </c>
      <c r="H388" t="s">
        <v>21</v>
      </c>
      <c r="I388" t="s">
        <v>20</v>
      </c>
      <c r="J388" t="s">
        <v>20</v>
      </c>
      <c r="K388" t="s">
        <v>41</v>
      </c>
      <c r="L388" t="s">
        <v>137</v>
      </c>
      <c r="M388" t="s">
        <v>138</v>
      </c>
      <c r="N388">
        <v>41.040425999999997</v>
      </c>
      <c r="O388">
        <v>-111.679598</v>
      </c>
      <c r="P388">
        <v>5005.4489750000002</v>
      </c>
      <c r="Q388">
        <v>317</v>
      </c>
      <c r="R388">
        <v>0</v>
      </c>
    </row>
    <row r="389" spans="1:18" x14ac:dyDescent="0.25">
      <c r="A389">
        <v>388</v>
      </c>
      <c r="B389">
        <v>94</v>
      </c>
      <c r="C389" t="e">
        <f>-JMCQjmcFYXYH-ySz1IPSF</f>
        <v>#NAME?</v>
      </c>
      <c r="D389" t="s">
        <v>88</v>
      </c>
      <c r="E389">
        <v>13.06</v>
      </c>
      <c r="F389" t="s">
        <v>21</v>
      </c>
      <c r="G389" t="s">
        <v>20</v>
      </c>
      <c r="H389" t="s">
        <v>21</v>
      </c>
      <c r="I389" t="s">
        <v>20</v>
      </c>
      <c r="J389" t="s">
        <v>20</v>
      </c>
      <c r="K389" t="s">
        <v>31</v>
      </c>
      <c r="L389" t="s">
        <v>32</v>
      </c>
      <c r="M389" t="s">
        <v>90</v>
      </c>
      <c r="N389">
        <v>40.627493999999999</v>
      </c>
      <c r="O389">
        <v>-111.865982</v>
      </c>
      <c r="P389">
        <v>4369.2141220000003</v>
      </c>
      <c r="Q389">
        <v>318</v>
      </c>
      <c r="R389">
        <v>0</v>
      </c>
    </row>
    <row r="390" spans="1:18" x14ac:dyDescent="0.25">
      <c r="A390">
        <v>389</v>
      </c>
      <c r="B390">
        <v>94</v>
      </c>
      <c r="C390">
        <v>28134569</v>
      </c>
      <c r="D390" t="s">
        <v>220</v>
      </c>
      <c r="E390">
        <v>19.652999999999999</v>
      </c>
      <c r="F390" t="s">
        <v>21</v>
      </c>
      <c r="G390" t="s">
        <v>26</v>
      </c>
      <c r="H390" t="s">
        <v>21</v>
      </c>
      <c r="I390" t="s">
        <v>20</v>
      </c>
      <c r="J390" t="s">
        <v>20</v>
      </c>
      <c r="K390" t="s">
        <v>27</v>
      </c>
      <c r="L390" t="s">
        <v>28</v>
      </c>
      <c r="M390" t="s">
        <v>29</v>
      </c>
      <c r="N390">
        <v>37.644561000000003</v>
      </c>
      <c r="O390">
        <v>-112.080877</v>
      </c>
      <c r="P390">
        <v>6343.337399</v>
      </c>
      <c r="Q390">
        <v>1328</v>
      </c>
      <c r="R390">
        <v>0</v>
      </c>
    </row>
    <row r="391" spans="1:18" x14ac:dyDescent="0.25">
      <c r="A391">
        <v>390</v>
      </c>
      <c r="B391">
        <v>94</v>
      </c>
      <c r="C391">
        <v>1559715</v>
      </c>
      <c r="D391" t="s">
        <v>88</v>
      </c>
      <c r="E391">
        <v>19.66</v>
      </c>
      <c r="F391" t="s">
        <v>21</v>
      </c>
      <c r="G391" t="s">
        <v>26</v>
      </c>
      <c r="H391" t="s">
        <v>21</v>
      </c>
      <c r="I391" t="s">
        <v>20</v>
      </c>
      <c r="J391" t="s">
        <v>20</v>
      </c>
      <c r="K391" t="s">
        <v>31</v>
      </c>
      <c r="L391" t="s">
        <v>66</v>
      </c>
      <c r="M391" t="s">
        <v>90</v>
      </c>
      <c r="N391">
        <v>40.719901999999998</v>
      </c>
      <c r="O391">
        <v>-111.871121</v>
      </c>
      <c r="P391">
        <v>4248.3082299999996</v>
      </c>
      <c r="Q391">
        <v>318</v>
      </c>
      <c r="R391">
        <v>0</v>
      </c>
    </row>
    <row r="392" spans="1:18" x14ac:dyDescent="0.25">
      <c r="A392">
        <v>391</v>
      </c>
      <c r="B392">
        <v>94</v>
      </c>
      <c r="C392" t="e">
        <f>-JYljklxGWaiZhcuDITR2V</f>
        <v>#NAME?</v>
      </c>
      <c r="D392" t="s">
        <v>220</v>
      </c>
      <c r="E392">
        <v>19.667000000000002</v>
      </c>
      <c r="F392" t="s">
        <v>21</v>
      </c>
      <c r="G392" t="s">
        <v>26</v>
      </c>
      <c r="H392" t="s">
        <v>21</v>
      </c>
      <c r="I392" t="s">
        <v>20</v>
      </c>
      <c r="J392" t="s">
        <v>20</v>
      </c>
      <c r="K392" t="s">
        <v>27</v>
      </c>
      <c r="L392" t="s">
        <v>28</v>
      </c>
      <c r="M392" t="s">
        <v>29</v>
      </c>
      <c r="N392">
        <v>37.644354</v>
      </c>
      <c r="O392">
        <v>-112.080916</v>
      </c>
      <c r="P392">
        <v>6343.1524120000004</v>
      </c>
      <c r="Q392">
        <v>1328</v>
      </c>
      <c r="R392">
        <v>0</v>
      </c>
    </row>
    <row r="393" spans="1:18" x14ac:dyDescent="0.25">
      <c r="A393">
        <v>392</v>
      </c>
      <c r="B393">
        <v>94</v>
      </c>
      <c r="C393" t="e">
        <f>-Iov8QksFwXyrO3vblHXKV</f>
        <v>#NAME?</v>
      </c>
      <c r="D393" t="s">
        <v>176</v>
      </c>
      <c r="E393">
        <v>19.68</v>
      </c>
      <c r="F393" t="s">
        <v>21</v>
      </c>
      <c r="G393" t="s">
        <v>26</v>
      </c>
      <c r="H393" t="s">
        <v>21</v>
      </c>
      <c r="I393" t="s">
        <v>20</v>
      </c>
      <c r="J393" t="s">
        <v>20</v>
      </c>
      <c r="K393" t="s">
        <v>41</v>
      </c>
      <c r="L393" t="s">
        <v>181</v>
      </c>
      <c r="M393" t="s">
        <v>178</v>
      </c>
      <c r="N393">
        <v>41.705092</v>
      </c>
      <c r="O393">
        <v>-112.142022</v>
      </c>
      <c r="P393">
        <v>4268.2410799999998</v>
      </c>
      <c r="Q393">
        <v>1329</v>
      </c>
      <c r="R393">
        <v>0</v>
      </c>
    </row>
    <row r="394" spans="1:18" x14ac:dyDescent="0.25">
      <c r="A394">
        <v>393</v>
      </c>
      <c r="B394">
        <v>94</v>
      </c>
      <c r="C394" t="e">
        <f>-JQ9LZ9wIJaxH29_Gshw4V</f>
        <v>#NAME?</v>
      </c>
      <c r="D394" t="s">
        <v>292</v>
      </c>
      <c r="E394">
        <v>19.68</v>
      </c>
      <c r="F394" t="s">
        <v>21</v>
      </c>
      <c r="G394" t="s">
        <v>26</v>
      </c>
      <c r="H394" t="s">
        <v>21</v>
      </c>
      <c r="I394" t="s">
        <v>20</v>
      </c>
      <c r="J394" t="s">
        <v>20</v>
      </c>
      <c r="K394" t="s">
        <v>22</v>
      </c>
      <c r="L394" t="s">
        <v>253</v>
      </c>
      <c r="M394" t="s">
        <v>134</v>
      </c>
      <c r="N394">
        <v>40.357517000000001</v>
      </c>
      <c r="O394">
        <v>-110.31263300000001</v>
      </c>
      <c r="P394">
        <v>6229.2871100000002</v>
      </c>
      <c r="Q394">
        <v>323</v>
      </c>
      <c r="R394">
        <v>0</v>
      </c>
    </row>
    <row r="395" spans="1:18" x14ac:dyDescent="0.25">
      <c r="A395">
        <v>394</v>
      </c>
      <c r="B395">
        <v>94</v>
      </c>
      <c r="C395">
        <v>31720206</v>
      </c>
      <c r="D395" t="s">
        <v>118</v>
      </c>
      <c r="E395">
        <v>19.681000000000001</v>
      </c>
      <c r="F395" t="s">
        <v>21</v>
      </c>
      <c r="G395" t="s">
        <v>26</v>
      </c>
      <c r="H395" t="s">
        <v>21</v>
      </c>
      <c r="I395" t="s">
        <v>20</v>
      </c>
      <c r="J395" t="s">
        <v>20</v>
      </c>
      <c r="K395" t="s">
        <v>22</v>
      </c>
      <c r="L395" t="s">
        <v>119</v>
      </c>
      <c r="M395" t="s">
        <v>120</v>
      </c>
      <c r="N395">
        <v>40.472904999999997</v>
      </c>
      <c r="O395">
        <v>-111.392865</v>
      </c>
      <c r="P395">
        <v>5753.0019769999999</v>
      </c>
      <c r="Q395">
        <v>310</v>
      </c>
      <c r="R395">
        <v>0</v>
      </c>
    </row>
    <row r="396" spans="1:18" x14ac:dyDescent="0.25">
      <c r="A396">
        <v>395</v>
      </c>
      <c r="B396">
        <v>94</v>
      </c>
      <c r="C396">
        <v>31294740</v>
      </c>
      <c r="D396" t="s">
        <v>315</v>
      </c>
      <c r="E396">
        <v>19.684999999999999</v>
      </c>
      <c r="F396" t="s">
        <v>21</v>
      </c>
      <c r="G396" t="s">
        <v>26</v>
      </c>
      <c r="H396" t="s">
        <v>21</v>
      </c>
      <c r="I396" t="s">
        <v>20</v>
      </c>
      <c r="J396" t="s">
        <v>20</v>
      </c>
      <c r="K396" t="s">
        <v>27</v>
      </c>
      <c r="L396" t="s">
        <v>111</v>
      </c>
      <c r="M396" t="s">
        <v>243</v>
      </c>
      <c r="N396">
        <v>39.229039</v>
      </c>
      <c r="O396">
        <v>-111.019887</v>
      </c>
      <c r="P396">
        <v>5788.8064990000003</v>
      </c>
      <c r="Q396">
        <v>307</v>
      </c>
      <c r="R396">
        <v>0</v>
      </c>
    </row>
    <row r="397" spans="1:18" x14ac:dyDescent="0.25">
      <c r="A397">
        <v>396</v>
      </c>
      <c r="B397">
        <v>94</v>
      </c>
      <c r="C397">
        <v>31297374</v>
      </c>
      <c r="D397" t="s">
        <v>316</v>
      </c>
      <c r="E397">
        <v>19.728999999999999</v>
      </c>
      <c r="F397" t="s">
        <v>21</v>
      </c>
      <c r="G397" t="s">
        <v>26</v>
      </c>
      <c r="H397" t="s">
        <v>21</v>
      </c>
      <c r="I397" t="s">
        <v>20</v>
      </c>
      <c r="J397" t="s">
        <v>20</v>
      </c>
      <c r="K397" t="s">
        <v>22</v>
      </c>
      <c r="L397" t="s">
        <v>168</v>
      </c>
      <c r="M397" t="s">
        <v>302</v>
      </c>
      <c r="N397">
        <v>40.482466000000002</v>
      </c>
      <c r="O397">
        <v>-111.031896</v>
      </c>
      <c r="P397">
        <v>9422.7510779999993</v>
      </c>
      <c r="Q397">
        <v>1346</v>
      </c>
      <c r="R397">
        <v>0</v>
      </c>
    </row>
    <row r="398" spans="1:18" x14ac:dyDescent="0.25">
      <c r="A398">
        <v>397</v>
      </c>
      <c r="B398">
        <v>94</v>
      </c>
      <c r="C398">
        <v>28172554</v>
      </c>
      <c r="D398" t="s">
        <v>233</v>
      </c>
      <c r="E398">
        <v>19.731999999999999</v>
      </c>
      <c r="F398" t="s">
        <v>21</v>
      </c>
      <c r="G398" t="s">
        <v>26</v>
      </c>
      <c r="H398" t="s">
        <v>21</v>
      </c>
      <c r="I398" t="s">
        <v>20</v>
      </c>
      <c r="J398" t="s">
        <v>20</v>
      </c>
      <c r="K398" t="s">
        <v>22</v>
      </c>
      <c r="L398" t="s">
        <v>234</v>
      </c>
      <c r="M398" t="s">
        <v>235</v>
      </c>
      <c r="N398">
        <v>40.185301000000003</v>
      </c>
      <c r="O398">
        <v>-109.329808</v>
      </c>
      <c r="P398">
        <v>5577.9577730000001</v>
      </c>
      <c r="Q398">
        <v>1354</v>
      </c>
      <c r="R398">
        <v>0</v>
      </c>
    </row>
    <row r="399" spans="1:18" x14ac:dyDescent="0.25">
      <c r="A399">
        <v>398</v>
      </c>
      <c r="B399">
        <v>94</v>
      </c>
      <c r="C399">
        <v>31754692</v>
      </c>
      <c r="D399" t="s">
        <v>231</v>
      </c>
      <c r="E399">
        <v>19.741</v>
      </c>
      <c r="F399" t="s">
        <v>21</v>
      </c>
      <c r="G399" t="s">
        <v>26</v>
      </c>
      <c r="H399" t="s">
        <v>21</v>
      </c>
      <c r="I399" t="s">
        <v>20</v>
      </c>
      <c r="J399" t="s">
        <v>20</v>
      </c>
      <c r="K399" t="s">
        <v>41</v>
      </c>
      <c r="L399" t="s">
        <v>57</v>
      </c>
      <c r="M399" t="s">
        <v>93</v>
      </c>
      <c r="N399">
        <v>41.321361000000003</v>
      </c>
      <c r="O399">
        <v>-112.029982</v>
      </c>
      <c r="P399">
        <v>4200.8383329999997</v>
      </c>
      <c r="Q399">
        <v>1409</v>
      </c>
      <c r="R399">
        <v>0</v>
      </c>
    </row>
    <row r="400" spans="1:18" x14ac:dyDescent="0.25">
      <c r="A400">
        <v>399</v>
      </c>
      <c r="B400">
        <v>94</v>
      </c>
      <c r="C400">
        <v>31498200</v>
      </c>
      <c r="D400" t="s">
        <v>317</v>
      </c>
      <c r="E400">
        <v>19.757000000000001</v>
      </c>
      <c r="F400" t="s">
        <v>21</v>
      </c>
      <c r="G400" t="s">
        <v>20</v>
      </c>
      <c r="H400" t="s">
        <v>21</v>
      </c>
      <c r="I400" t="s">
        <v>20</v>
      </c>
      <c r="J400" t="s">
        <v>20</v>
      </c>
      <c r="K400" t="s">
        <v>27</v>
      </c>
      <c r="L400" t="s">
        <v>211</v>
      </c>
      <c r="M400" t="s">
        <v>212</v>
      </c>
      <c r="N400">
        <v>37.137922000000003</v>
      </c>
      <c r="O400">
        <v>-109.88061</v>
      </c>
      <c r="P400">
        <v>4232.2840770000003</v>
      </c>
      <c r="Q400">
        <v>1432</v>
      </c>
      <c r="R400">
        <v>0</v>
      </c>
    </row>
    <row r="401" spans="1:18" x14ac:dyDescent="0.25">
      <c r="A401">
        <v>400</v>
      </c>
      <c r="B401">
        <v>94</v>
      </c>
      <c r="C401">
        <v>27876627</v>
      </c>
      <c r="D401" t="s">
        <v>91</v>
      </c>
      <c r="E401">
        <v>19.760000000000002</v>
      </c>
      <c r="F401" t="s">
        <v>21</v>
      </c>
      <c r="G401" t="s">
        <v>20</v>
      </c>
      <c r="H401" t="s">
        <v>21</v>
      </c>
      <c r="I401" t="s">
        <v>20</v>
      </c>
      <c r="J401" t="s">
        <v>20</v>
      </c>
      <c r="K401" t="s">
        <v>41</v>
      </c>
      <c r="L401" t="s">
        <v>95</v>
      </c>
      <c r="M401" t="s">
        <v>73</v>
      </c>
      <c r="N401">
        <v>41.862822999999999</v>
      </c>
      <c r="O401">
        <v>-111.968653</v>
      </c>
      <c r="P401">
        <v>4594.1889629999996</v>
      </c>
      <c r="Q401">
        <v>1339</v>
      </c>
      <c r="R401">
        <v>0</v>
      </c>
    </row>
    <row r="402" spans="1:18" x14ac:dyDescent="0.25">
      <c r="A402">
        <v>401</v>
      </c>
      <c r="B402">
        <v>94</v>
      </c>
      <c r="C402">
        <v>31283017</v>
      </c>
      <c r="D402" t="s">
        <v>288</v>
      </c>
      <c r="E402">
        <v>19.774999999999999</v>
      </c>
      <c r="F402" t="s">
        <v>21</v>
      </c>
      <c r="G402" t="s">
        <v>20</v>
      </c>
      <c r="H402" t="s">
        <v>21</v>
      </c>
      <c r="I402" t="s">
        <v>20</v>
      </c>
      <c r="J402" t="s">
        <v>20</v>
      </c>
      <c r="K402" t="s">
        <v>27</v>
      </c>
      <c r="L402" t="s">
        <v>211</v>
      </c>
      <c r="M402" t="s">
        <v>318</v>
      </c>
      <c r="N402">
        <v>37.248542</v>
      </c>
      <c r="O402">
        <v>-109.610315</v>
      </c>
      <c r="P402">
        <v>4369.2505199999996</v>
      </c>
      <c r="Q402">
        <v>350</v>
      </c>
      <c r="R402">
        <v>0</v>
      </c>
    </row>
    <row r="403" spans="1:18" x14ac:dyDescent="0.25">
      <c r="A403">
        <v>402</v>
      </c>
      <c r="B403">
        <v>94</v>
      </c>
      <c r="C403">
        <v>31432023</v>
      </c>
      <c r="D403" t="s">
        <v>319</v>
      </c>
      <c r="E403">
        <v>19.79</v>
      </c>
      <c r="F403" t="s">
        <v>21</v>
      </c>
      <c r="G403" t="s">
        <v>26</v>
      </c>
      <c r="H403" t="s">
        <v>21</v>
      </c>
      <c r="I403" t="s">
        <v>20</v>
      </c>
      <c r="J403" t="s">
        <v>20</v>
      </c>
      <c r="K403" t="s">
        <v>27</v>
      </c>
      <c r="L403" t="s">
        <v>162</v>
      </c>
      <c r="M403" t="s">
        <v>55</v>
      </c>
      <c r="N403">
        <v>37.741205999999998</v>
      </c>
      <c r="O403">
        <v>-113.74463</v>
      </c>
      <c r="P403">
        <v>5119.5298460000004</v>
      </c>
      <c r="Q403">
        <v>314</v>
      </c>
      <c r="R403">
        <v>0</v>
      </c>
    </row>
    <row r="404" spans="1:18" x14ac:dyDescent="0.25">
      <c r="A404">
        <v>403</v>
      </c>
      <c r="B404">
        <v>94</v>
      </c>
      <c r="C404">
        <v>31373247</v>
      </c>
      <c r="D404" t="s">
        <v>199</v>
      </c>
      <c r="E404">
        <v>19.795000000000002</v>
      </c>
      <c r="F404" t="s">
        <v>21</v>
      </c>
      <c r="G404" t="s">
        <v>20</v>
      </c>
      <c r="H404" t="s">
        <v>21</v>
      </c>
      <c r="I404" t="s">
        <v>20</v>
      </c>
      <c r="J404" t="s">
        <v>20</v>
      </c>
      <c r="K404" t="s">
        <v>27</v>
      </c>
      <c r="L404" t="s">
        <v>103</v>
      </c>
      <c r="M404" t="s">
        <v>200</v>
      </c>
      <c r="N404">
        <v>38.327007000000002</v>
      </c>
      <c r="O404">
        <v>-112.37020200000001</v>
      </c>
      <c r="P404">
        <v>9912.6747469999991</v>
      </c>
      <c r="Q404">
        <v>341</v>
      </c>
      <c r="R404">
        <v>0</v>
      </c>
    </row>
    <row r="405" spans="1:18" x14ac:dyDescent="0.25">
      <c r="A405">
        <v>404</v>
      </c>
      <c r="B405">
        <v>94</v>
      </c>
      <c r="C405">
        <v>1558923</v>
      </c>
      <c r="D405" t="s">
        <v>88</v>
      </c>
      <c r="E405">
        <v>19.818999999999999</v>
      </c>
      <c r="F405" t="s">
        <v>21</v>
      </c>
      <c r="G405" t="s">
        <v>26</v>
      </c>
      <c r="H405" t="s">
        <v>21</v>
      </c>
      <c r="I405" t="s">
        <v>20</v>
      </c>
      <c r="J405" t="s">
        <v>20</v>
      </c>
      <c r="K405" t="s">
        <v>31</v>
      </c>
      <c r="L405" t="s">
        <v>66</v>
      </c>
      <c r="M405" t="s">
        <v>90</v>
      </c>
      <c r="N405">
        <v>40.722208999999999</v>
      </c>
      <c r="O405">
        <v>-111.871234</v>
      </c>
      <c r="P405">
        <v>4253.8602520000004</v>
      </c>
      <c r="Q405">
        <v>318</v>
      </c>
      <c r="R405">
        <v>0</v>
      </c>
    </row>
    <row r="406" spans="1:18" x14ac:dyDescent="0.25">
      <c r="A406">
        <v>405</v>
      </c>
      <c r="B406">
        <v>94</v>
      </c>
      <c r="C406">
        <v>31665512</v>
      </c>
      <c r="D406" t="s">
        <v>306</v>
      </c>
      <c r="E406">
        <v>13.689</v>
      </c>
      <c r="F406" t="s">
        <v>21</v>
      </c>
      <c r="G406" t="s">
        <v>20</v>
      </c>
      <c r="H406" t="s">
        <v>21</v>
      </c>
      <c r="I406" t="s">
        <v>20</v>
      </c>
      <c r="J406" t="s">
        <v>20</v>
      </c>
      <c r="K406" t="s">
        <v>27</v>
      </c>
      <c r="L406" t="s">
        <v>307</v>
      </c>
      <c r="M406" t="s">
        <v>82</v>
      </c>
      <c r="N406">
        <v>39.682319999999997</v>
      </c>
      <c r="O406">
        <v>-111.18638900000001</v>
      </c>
      <c r="P406">
        <v>8285.9701280000008</v>
      </c>
      <c r="Q406">
        <v>430</v>
      </c>
      <c r="R406">
        <v>0</v>
      </c>
    </row>
    <row r="407" spans="1:18" x14ac:dyDescent="0.25">
      <c r="A407">
        <v>406</v>
      </c>
      <c r="B407">
        <v>94</v>
      </c>
      <c r="C407">
        <v>2586950</v>
      </c>
      <c r="D407" t="s">
        <v>176</v>
      </c>
      <c r="E407">
        <v>13.689</v>
      </c>
      <c r="F407" t="s">
        <v>21</v>
      </c>
      <c r="G407" t="s">
        <v>26</v>
      </c>
      <c r="H407" t="s">
        <v>21</v>
      </c>
      <c r="I407" t="s">
        <v>20</v>
      </c>
      <c r="J407" t="s">
        <v>20</v>
      </c>
      <c r="K407" t="s">
        <v>41</v>
      </c>
      <c r="L407" t="s">
        <v>181</v>
      </c>
      <c r="M407" t="s">
        <v>178</v>
      </c>
      <c r="N407">
        <v>41.620730000000002</v>
      </c>
      <c r="O407">
        <v>-112.126874</v>
      </c>
      <c r="P407">
        <v>4209.0373129999998</v>
      </c>
      <c r="Q407">
        <v>1329</v>
      </c>
      <c r="R407">
        <v>0</v>
      </c>
    </row>
    <row r="408" spans="1:18" x14ac:dyDescent="0.25">
      <c r="A408">
        <v>407</v>
      </c>
      <c r="B408">
        <v>94</v>
      </c>
      <c r="C408">
        <v>31579652</v>
      </c>
      <c r="D408" t="s">
        <v>213</v>
      </c>
      <c r="E408">
        <v>139.15799999999999</v>
      </c>
      <c r="F408" t="s">
        <v>21</v>
      </c>
      <c r="G408" t="s">
        <v>20</v>
      </c>
      <c r="H408" t="s">
        <v>21</v>
      </c>
      <c r="I408" t="s">
        <v>20</v>
      </c>
      <c r="J408" t="s">
        <v>20</v>
      </c>
      <c r="K408" t="s">
        <v>22</v>
      </c>
      <c r="L408" t="s">
        <v>193</v>
      </c>
      <c r="M408" t="s">
        <v>214</v>
      </c>
      <c r="N408">
        <v>39.946871000000002</v>
      </c>
      <c r="O408">
        <v>-112.131606</v>
      </c>
      <c r="P408">
        <v>6232.3901699999997</v>
      </c>
      <c r="Q408">
        <v>1332</v>
      </c>
      <c r="R408">
        <v>0</v>
      </c>
    </row>
    <row r="409" spans="1:18" x14ac:dyDescent="0.25">
      <c r="A409">
        <v>408</v>
      </c>
      <c r="B409">
        <v>94</v>
      </c>
      <c r="C409">
        <v>31537622</v>
      </c>
      <c r="D409" t="s">
        <v>320</v>
      </c>
      <c r="E409">
        <v>139.238</v>
      </c>
      <c r="F409" t="s">
        <v>21</v>
      </c>
      <c r="G409" t="s">
        <v>26</v>
      </c>
      <c r="H409" t="s">
        <v>21</v>
      </c>
      <c r="I409" t="s">
        <v>20</v>
      </c>
      <c r="J409" t="s">
        <v>20</v>
      </c>
      <c r="K409" t="s">
        <v>27</v>
      </c>
      <c r="L409" t="s">
        <v>202</v>
      </c>
      <c r="M409" t="s">
        <v>76</v>
      </c>
      <c r="N409">
        <v>39.132379999999998</v>
      </c>
      <c r="O409">
        <v>-112.058734</v>
      </c>
      <c r="P409">
        <v>5885.8304269999999</v>
      </c>
      <c r="Q409">
        <v>1356</v>
      </c>
      <c r="R409">
        <v>0</v>
      </c>
    </row>
    <row r="410" spans="1:18" x14ac:dyDescent="0.25">
      <c r="A410">
        <v>409</v>
      </c>
      <c r="B410">
        <v>94</v>
      </c>
      <c r="C410">
        <v>31579663</v>
      </c>
      <c r="D410" t="s">
        <v>213</v>
      </c>
      <c r="E410">
        <v>139.28200000000001</v>
      </c>
      <c r="F410" t="s">
        <v>21</v>
      </c>
      <c r="G410" t="s">
        <v>20</v>
      </c>
      <c r="H410" t="s">
        <v>21</v>
      </c>
      <c r="I410" t="s">
        <v>20</v>
      </c>
      <c r="J410" t="s">
        <v>20</v>
      </c>
      <c r="K410" t="s">
        <v>22</v>
      </c>
      <c r="L410" t="s">
        <v>193</v>
      </c>
      <c r="M410" t="s">
        <v>214</v>
      </c>
      <c r="N410">
        <v>39.947783999999999</v>
      </c>
      <c r="O410">
        <v>-112.129631</v>
      </c>
      <c r="P410">
        <v>6249.319692</v>
      </c>
      <c r="Q410">
        <v>1332</v>
      </c>
      <c r="R410">
        <v>0</v>
      </c>
    </row>
    <row r="411" spans="1:18" x14ac:dyDescent="0.25">
      <c r="A411">
        <v>410</v>
      </c>
      <c r="B411">
        <v>94</v>
      </c>
      <c r="C411" t="e">
        <f>-IoHmPcuIXPdG3rYYS5nUF</f>
        <v>#NAME?</v>
      </c>
      <c r="D411" t="s">
        <v>272</v>
      </c>
      <c r="E411">
        <v>139.37200000000001</v>
      </c>
      <c r="F411" t="s">
        <v>21</v>
      </c>
      <c r="G411" t="s">
        <v>26</v>
      </c>
      <c r="H411" t="s">
        <v>21</v>
      </c>
      <c r="I411" t="s">
        <v>20</v>
      </c>
      <c r="J411" t="s">
        <v>20</v>
      </c>
      <c r="K411" t="s">
        <v>27</v>
      </c>
      <c r="L411" t="s">
        <v>247</v>
      </c>
      <c r="M411" t="s">
        <v>214</v>
      </c>
      <c r="N411">
        <v>37.941491999999997</v>
      </c>
      <c r="O411">
        <v>-112.42319999999999</v>
      </c>
      <c r="P411">
        <v>6430.4561430000003</v>
      </c>
      <c r="Q411">
        <v>1384</v>
      </c>
      <c r="R411">
        <v>0</v>
      </c>
    </row>
    <row r="412" spans="1:18" x14ac:dyDescent="0.25">
      <c r="A412">
        <v>411</v>
      </c>
      <c r="B412">
        <v>94</v>
      </c>
      <c r="C412">
        <v>31510770</v>
      </c>
      <c r="D412" t="s">
        <v>292</v>
      </c>
      <c r="E412">
        <v>18.631</v>
      </c>
      <c r="F412" t="s">
        <v>21</v>
      </c>
      <c r="G412" t="s">
        <v>26</v>
      </c>
      <c r="H412" t="s">
        <v>21</v>
      </c>
      <c r="I412" t="s">
        <v>20</v>
      </c>
      <c r="J412" t="s">
        <v>20</v>
      </c>
      <c r="K412" t="s">
        <v>22</v>
      </c>
      <c r="L412" t="s">
        <v>253</v>
      </c>
      <c r="M412" t="s">
        <v>134</v>
      </c>
      <c r="N412">
        <v>40.355632999999997</v>
      </c>
      <c r="O412">
        <v>-110.332005</v>
      </c>
      <c r="P412">
        <v>6369.287977</v>
      </c>
      <c r="Q412">
        <v>323</v>
      </c>
      <c r="R412">
        <v>0</v>
      </c>
    </row>
    <row r="413" spans="1:18" x14ac:dyDescent="0.25">
      <c r="A413">
        <v>412</v>
      </c>
      <c r="B413">
        <v>94</v>
      </c>
      <c r="C413">
        <v>31297363</v>
      </c>
      <c r="D413" t="s">
        <v>316</v>
      </c>
      <c r="E413">
        <v>18.637</v>
      </c>
      <c r="F413" t="s">
        <v>21</v>
      </c>
      <c r="G413" t="s">
        <v>26</v>
      </c>
      <c r="H413" t="s">
        <v>21</v>
      </c>
      <c r="I413" t="s">
        <v>20</v>
      </c>
      <c r="J413" t="s">
        <v>20</v>
      </c>
      <c r="K413" t="s">
        <v>22</v>
      </c>
      <c r="L413" t="s">
        <v>168</v>
      </c>
      <c r="M413" t="s">
        <v>302</v>
      </c>
      <c r="N413">
        <v>40.496454</v>
      </c>
      <c r="O413">
        <v>-111.036028</v>
      </c>
      <c r="P413">
        <v>9141.3455819999999</v>
      </c>
      <c r="Q413">
        <v>1346</v>
      </c>
      <c r="R413">
        <v>0</v>
      </c>
    </row>
    <row r="414" spans="1:18" x14ac:dyDescent="0.25">
      <c r="A414">
        <v>413</v>
      </c>
      <c r="B414">
        <v>94</v>
      </c>
      <c r="C414" t="e">
        <f>-IoM07Y_GFaQqPfk-synLk</f>
        <v>#NAME?</v>
      </c>
      <c r="D414" t="s">
        <v>304</v>
      </c>
      <c r="E414">
        <v>18.643999999999998</v>
      </c>
      <c r="F414" t="s">
        <v>21</v>
      </c>
      <c r="G414" t="s">
        <v>26</v>
      </c>
      <c r="H414" t="s">
        <v>21</v>
      </c>
      <c r="I414" t="s">
        <v>20</v>
      </c>
      <c r="J414" t="s">
        <v>20</v>
      </c>
      <c r="K414" t="s">
        <v>41</v>
      </c>
      <c r="L414" t="s">
        <v>223</v>
      </c>
      <c r="M414" t="s">
        <v>43</v>
      </c>
      <c r="N414">
        <v>41.781311000000002</v>
      </c>
      <c r="O414">
        <v>-112.093029</v>
      </c>
      <c r="P414">
        <v>4410.5234060000003</v>
      </c>
      <c r="Q414">
        <v>1348</v>
      </c>
      <c r="R414">
        <v>0</v>
      </c>
    </row>
    <row r="415" spans="1:18" x14ac:dyDescent="0.25">
      <c r="A415">
        <v>414</v>
      </c>
      <c r="B415">
        <v>94</v>
      </c>
      <c r="C415">
        <v>31719423</v>
      </c>
      <c r="D415" t="s">
        <v>118</v>
      </c>
      <c r="E415">
        <v>18.649999999999999</v>
      </c>
      <c r="F415" t="s">
        <v>21</v>
      </c>
      <c r="G415" t="s">
        <v>26</v>
      </c>
      <c r="H415" t="s">
        <v>21</v>
      </c>
      <c r="I415" t="s">
        <v>20</v>
      </c>
      <c r="J415" t="s">
        <v>20</v>
      </c>
      <c r="K415" t="s">
        <v>22</v>
      </c>
      <c r="L415" t="s">
        <v>119</v>
      </c>
      <c r="M415" t="s">
        <v>120</v>
      </c>
      <c r="N415">
        <v>40.484706000000003</v>
      </c>
      <c r="O415">
        <v>-111.404971</v>
      </c>
      <c r="P415">
        <v>5650.3310760000004</v>
      </c>
      <c r="Q415">
        <v>310</v>
      </c>
      <c r="R415">
        <v>0</v>
      </c>
    </row>
    <row r="416" spans="1:18" x14ac:dyDescent="0.25">
      <c r="A416">
        <v>415</v>
      </c>
      <c r="B416">
        <v>94</v>
      </c>
      <c r="C416" t="s">
        <v>321</v>
      </c>
      <c r="D416" t="s">
        <v>322</v>
      </c>
      <c r="E416">
        <v>18.655000000000001</v>
      </c>
      <c r="F416" t="s">
        <v>19</v>
      </c>
      <c r="G416" t="s">
        <v>20</v>
      </c>
      <c r="H416" t="s">
        <v>19</v>
      </c>
      <c r="I416">
        <v>173</v>
      </c>
      <c r="J416" t="s">
        <v>20</v>
      </c>
      <c r="K416" t="s">
        <v>31</v>
      </c>
      <c r="L416" t="s">
        <v>84</v>
      </c>
      <c r="M416" t="s">
        <v>24</v>
      </c>
      <c r="N416">
        <v>40.653151999999999</v>
      </c>
      <c r="O416">
        <v>-112.04369</v>
      </c>
      <c r="P416">
        <v>4896.7253030000002</v>
      </c>
      <c r="Q416">
        <v>6660</v>
      </c>
      <c r="R416">
        <v>0</v>
      </c>
    </row>
    <row r="417" spans="1:18" x14ac:dyDescent="0.25">
      <c r="A417">
        <v>416</v>
      </c>
      <c r="B417">
        <v>94</v>
      </c>
      <c r="C417">
        <v>1547866</v>
      </c>
      <c r="D417" t="s">
        <v>88</v>
      </c>
      <c r="E417">
        <v>18.664999999999999</v>
      </c>
      <c r="F417" t="s">
        <v>21</v>
      </c>
      <c r="G417" t="s">
        <v>26</v>
      </c>
      <c r="H417" t="s">
        <v>21</v>
      </c>
      <c r="I417" t="s">
        <v>20</v>
      </c>
      <c r="J417" t="s">
        <v>20</v>
      </c>
      <c r="K417" t="s">
        <v>31</v>
      </c>
      <c r="L417" t="s">
        <v>66</v>
      </c>
      <c r="M417" t="s">
        <v>90</v>
      </c>
      <c r="N417">
        <v>40.705508999999999</v>
      </c>
      <c r="O417">
        <v>-111.871334</v>
      </c>
      <c r="P417">
        <v>4229.042238</v>
      </c>
      <c r="Q417">
        <v>318</v>
      </c>
      <c r="R417">
        <v>0</v>
      </c>
    </row>
    <row r="418" spans="1:18" x14ac:dyDescent="0.25">
      <c r="A418">
        <v>417</v>
      </c>
      <c r="B418">
        <v>94</v>
      </c>
      <c r="C418">
        <v>27873917</v>
      </c>
      <c r="D418" t="s">
        <v>91</v>
      </c>
      <c r="E418">
        <v>18.666</v>
      </c>
      <c r="F418" t="s">
        <v>21</v>
      </c>
      <c r="G418" t="s">
        <v>26</v>
      </c>
      <c r="H418" t="s">
        <v>21</v>
      </c>
      <c r="I418" t="s">
        <v>20</v>
      </c>
      <c r="J418" t="s">
        <v>20</v>
      </c>
      <c r="K418" t="s">
        <v>41</v>
      </c>
      <c r="L418" t="s">
        <v>95</v>
      </c>
      <c r="M418" t="s">
        <v>73</v>
      </c>
      <c r="N418">
        <v>41.862411000000002</v>
      </c>
      <c r="O418">
        <v>-111.98848700000001</v>
      </c>
      <c r="P418">
        <v>4482.8688689999999</v>
      </c>
      <c r="Q418">
        <v>1339</v>
      </c>
      <c r="R418">
        <v>0</v>
      </c>
    </row>
    <row r="419" spans="1:18" x14ac:dyDescent="0.25">
      <c r="A419">
        <v>418</v>
      </c>
      <c r="B419">
        <v>94</v>
      </c>
      <c r="C419">
        <v>31766833</v>
      </c>
      <c r="D419" t="s">
        <v>268</v>
      </c>
      <c r="E419">
        <v>18.667999999999999</v>
      </c>
      <c r="F419" t="s">
        <v>21</v>
      </c>
      <c r="G419" t="s">
        <v>20</v>
      </c>
      <c r="H419" t="s">
        <v>21</v>
      </c>
      <c r="I419" t="s">
        <v>20</v>
      </c>
      <c r="J419" t="s">
        <v>20</v>
      </c>
      <c r="K419" t="s">
        <v>41</v>
      </c>
      <c r="L419" t="s">
        <v>181</v>
      </c>
      <c r="M419" t="s">
        <v>43</v>
      </c>
      <c r="N419">
        <v>41.663395000000001</v>
      </c>
      <c r="O419">
        <v>-112.443786</v>
      </c>
      <c r="P419">
        <v>4332.4908509999996</v>
      </c>
      <c r="Q419">
        <v>1380</v>
      </c>
      <c r="R419">
        <v>0</v>
      </c>
    </row>
    <row r="420" spans="1:18" x14ac:dyDescent="0.25">
      <c r="A420">
        <v>419</v>
      </c>
      <c r="B420">
        <v>94</v>
      </c>
      <c r="C420">
        <v>2601573</v>
      </c>
      <c r="D420" t="s">
        <v>176</v>
      </c>
      <c r="E420">
        <v>18.678000000000001</v>
      </c>
      <c r="F420" t="s">
        <v>21</v>
      </c>
      <c r="G420" t="s">
        <v>26</v>
      </c>
      <c r="H420" t="s">
        <v>21</v>
      </c>
      <c r="I420" t="s">
        <v>20</v>
      </c>
      <c r="J420" t="s">
        <v>20</v>
      </c>
      <c r="K420" t="s">
        <v>41</v>
      </c>
      <c r="L420" t="s">
        <v>181</v>
      </c>
      <c r="M420" t="s">
        <v>178</v>
      </c>
      <c r="N420">
        <v>41.690539999999999</v>
      </c>
      <c r="O420">
        <v>-112.14155</v>
      </c>
      <c r="P420">
        <v>4245.6964939999998</v>
      </c>
      <c r="Q420">
        <v>1329</v>
      </c>
      <c r="R420">
        <v>0</v>
      </c>
    </row>
    <row r="421" spans="1:18" x14ac:dyDescent="0.25">
      <c r="A421">
        <v>420</v>
      </c>
      <c r="B421">
        <v>94</v>
      </c>
      <c r="C421">
        <v>28565280</v>
      </c>
      <c r="D421" t="s">
        <v>323</v>
      </c>
      <c r="E421">
        <v>18.681999999999999</v>
      </c>
      <c r="F421" t="s">
        <v>21</v>
      </c>
      <c r="G421" t="s">
        <v>26</v>
      </c>
      <c r="H421" t="s">
        <v>21</v>
      </c>
      <c r="I421" t="s">
        <v>20</v>
      </c>
      <c r="J421" t="s">
        <v>20</v>
      </c>
      <c r="K421" t="s">
        <v>31</v>
      </c>
      <c r="L421" t="s">
        <v>130</v>
      </c>
      <c r="M421" t="s">
        <v>131</v>
      </c>
      <c r="N421">
        <v>40.722821000000003</v>
      </c>
      <c r="O421">
        <v>-111.300369</v>
      </c>
      <c r="P421">
        <v>6464.1268849999997</v>
      </c>
      <c r="Q421">
        <v>1345</v>
      </c>
      <c r="R421">
        <v>0</v>
      </c>
    </row>
    <row r="422" spans="1:18" x14ac:dyDescent="0.25">
      <c r="A422">
        <v>421</v>
      </c>
      <c r="B422">
        <v>94</v>
      </c>
      <c r="C422">
        <v>1547881</v>
      </c>
      <c r="D422" t="s">
        <v>88</v>
      </c>
      <c r="E422">
        <v>18.690999999999999</v>
      </c>
      <c r="F422" t="s">
        <v>21</v>
      </c>
      <c r="G422" t="s">
        <v>26</v>
      </c>
      <c r="H422" t="s">
        <v>21</v>
      </c>
      <c r="I422" t="s">
        <v>20</v>
      </c>
      <c r="J422" t="s">
        <v>20</v>
      </c>
      <c r="K422" t="s">
        <v>31</v>
      </c>
      <c r="L422" t="s">
        <v>66</v>
      </c>
      <c r="M422" t="s">
        <v>90</v>
      </c>
      <c r="N422">
        <v>40.705880999999998</v>
      </c>
      <c r="O422">
        <v>-111.871207</v>
      </c>
      <c r="P422">
        <v>4229.7128670000002</v>
      </c>
      <c r="Q422">
        <v>318</v>
      </c>
      <c r="R422">
        <v>0</v>
      </c>
    </row>
    <row r="423" spans="1:18" x14ac:dyDescent="0.25">
      <c r="A423">
        <v>422</v>
      </c>
      <c r="B423">
        <v>94</v>
      </c>
      <c r="C423">
        <v>31867196</v>
      </c>
      <c r="D423" t="s">
        <v>118</v>
      </c>
      <c r="E423">
        <v>148.24100000000001</v>
      </c>
      <c r="F423" t="s">
        <v>19</v>
      </c>
      <c r="G423" t="s">
        <v>20</v>
      </c>
      <c r="H423" t="s">
        <v>19</v>
      </c>
      <c r="I423">
        <v>45</v>
      </c>
      <c r="J423" t="s">
        <v>20</v>
      </c>
      <c r="K423" t="s">
        <v>22</v>
      </c>
      <c r="L423" t="s">
        <v>234</v>
      </c>
      <c r="M423" t="s">
        <v>169</v>
      </c>
      <c r="N423">
        <v>40.414610000000003</v>
      </c>
      <c r="O423">
        <v>-109.49851200000001</v>
      </c>
      <c r="P423">
        <v>5206.7063479999997</v>
      </c>
      <c r="Q423">
        <v>310</v>
      </c>
      <c r="R423">
        <v>0</v>
      </c>
    </row>
    <row r="424" spans="1:18" x14ac:dyDescent="0.25">
      <c r="A424">
        <v>423</v>
      </c>
      <c r="B424">
        <v>94</v>
      </c>
      <c r="C424">
        <v>1539714</v>
      </c>
      <c r="D424" t="s">
        <v>88</v>
      </c>
      <c r="E424">
        <v>16.988</v>
      </c>
      <c r="F424" t="s">
        <v>21</v>
      </c>
      <c r="G424" t="s">
        <v>26</v>
      </c>
      <c r="H424" t="s">
        <v>21</v>
      </c>
      <c r="I424" t="s">
        <v>20</v>
      </c>
      <c r="J424" t="s">
        <v>20</v>
      </c>
      <c r="K424" t="s">
        <v>31</v>
      </c>
      <c r="L424" t="s">
        <v>69</v>
      </c>
      <c r="M424" t="s">
        <v>90</v>
      </c>
      <c r="N424">
        <v>40.681218999999999</v>
      </c>
      <c r="O424">
        <v>-111.871426</v>
      </c>
      <c r="P424">
        <v>4240.305539</v>
      </c>
      <c r="Q424">
        <v>318</v>
      </c>
      <c r="R424">
        <v>0</v>
      </c>
    </row>
    <row r="425" spans="1:18" x14ac:dyDescent="0.25">
      <c r="A425">
        <v>424</v>
      </c>
      <c r="B425">
        <v>94</v>
      </c>
      <c r="C425">
        <v>31287100</v>
      </c>
      <c r="D425" t="s">
        <v>305</v>
      </c>
      <c r="E425">
        <v>16.992000000000001</v>
      </c>
      <c r="F425" t="s">
        <v>21</v>
      </c>
      <c r="G425" t="s">
        <v>26</v>
      </c>
      <c r="H425" t="s">
        <v>19</v>
      </c>
      <c r="I425">
        <v>40</v>
      </c>
      <c r="J425">
        <v>191</v>
      </c>
      <c r="K425" t="s">
        <v>22</v>
      </c>
      <c r="L425" t="s">
        <v>133</v>
      </c>
      <c r="M425" t="s">
        <v>235</v>
      </c>
      <c r="N425">
        <v>40.319330999999998</v>
      </c>
      <c r="O425">
        <v>-109.694295</v>
      </c>
      <c r="P425">
        <v>5047.4845260000002</v>
      </c>
      <c r="Q425">
        <v>1383</v>
      </c>
      <c r="R425">
        <v>0</v>
      </c>
    </row>
    <row r="426" spans="1:18" x14ac:dyDescent="0.25">
      <c r="A426">
        <v>425</v>
      </c>
      <c r="B426">
        <v>94</v>
      </c>
      <c r="C426">
        <v>28163096</v>
      </c>
      <c r="D426" t="s">
        <v>239</v>
      </c>
      <c r="E426">
        <v>16.995999999999999</v>
      </c>
      <c r="F426" t="s">
        <v>21</v>
      </c>
      <c r="G426" t="s">
        <v>26</v>
      </c>
      <c r="H426" t="s">
        <v>21</v>
      </c>
      <c r="I426" t="s">
        <v>20</v>
      </c>
      <c r="J426" t="s">
        <v>20</v>
      </c>
      <c r="K426" t="s">
        <v>41</v>
      </c>
      <c r="L426" t="s">
        <v>181</v>
      </c>
      <c r="M426" t="s">
        <v>178</v>
      </c>
      <c r="N426">
        <v>41.712113000000002</v>
      </c>
      <c r="O426">
        <v>-112.15202600000001</v>
      </c>
      <c r="P426">
        <v>4271.0357839999997</v>
      </c>
      <c r="Q426">
        <v>1392</v>
      </c>
      <c r="R426">
        <v>0</v>
      </c>
    </row>
    <row r="427" spans="1:18" x14ac:dyDescent="0.25">
      <c r="A427">
        <v>426</v>
      </c>
      <c r="B427">
        <v>94</v>
      </c>
      <c r="C427">
        <v>31601660</v>
      </c>
      <c r="D427" t="s">
        <v>213</v>
      </c>
      <c r="E427">
        <v>160.05799999999999</v>
      </c>
      <c r="F427" t="s">
        <v>21</v>
      </c>
      <c r="G427" t="s">
        <v>26</v>
      </c>
      <c r="H427" t="s">
        <v>21</v>
      </c>
      <c r="I427" t="s">
        <v>20</v>
      </c>
      <c r="J427" t="s">
        <v>20</v>
      </c>
      <c r="K427" t="s">
        <v>22</v>
      </c>
      <c r="L427" t="s">
        <v>198</v>
      </c>
      <c r="M427" t="s">
        <v>214</v>
      </c>
      <c r="N427">
        <v>39.975588000000002</v>
      </c>
      <c r="O427">
        <v>-111.781109</v>
      </c>
      <c r="P427">
        <v>4900.4294280000004</v>
      </c>
      <c r="Q427">
        <v>1332</v>
      </c>
      <c r="R427">
        <v>0</v>
      </c>
    </row>
    <row r="428" spans="1:18" x14ac:dyDescent="0.25">
      <c r="A428">
        <v>427</v>
      </c>
      <c r="B428">
        <v>94</v>
      </c>
      <c r="C428">
        <v>31601671</v>
      </c>
      <c r="D428" t="s">
        <v>213</v>
      </c>
      <c r="E428">
        <v>160.16900000000001</v>
      </c>
      <c r="F428" t="s">
        <v>21</v>
      </c>
      <c r="G428" t="s">
        <v>26</v>
      </c>
      <c r="H428" t="s">
        <v>21</v>
      </c>
      <c r="I428" t="s">
        <v>20</v>
      </c>
      <c r="J428" t="s">
        <v>20</v>
      </c>
      <c r="K428" t="s">
        <v>22</v>
      </c>
      <c r="L428" t="s">
        <v>198</v>
      </c>
      <c r="M428" t="s">
        <v>214</v>
      </c>
      <c r="N428">
        <v>39.975593000000003</v>
      </c>
      <c r="O428">
        <v>-111.779006</v>
      </c>
      <c r="P428">
        <v>4892.876381</v>
      </c>
      <c r="Q428">
        <v>1332</v>
      </c>
      <c r="R428">
        <v>0</v>
      </c>
    </row>
    <row r="429" spans="1:18" x14ac:dyDescent="0.25">
      <c r="A429">
        <v>428</v>
      </c>
      <c r="B429">
        <v>94</v>
      </c>
      <c r="C429">
        <v>31746658</v>
      </c>
      <c r="D429" t="s">
        <v>244</v>
      </c>
      <c r="E429">
        <v>160.23599999999999</v>
      </c>
      <c r="F429" t="s">
        <v>21</v>
      </c>
      <c r="G429" t="s">
        <v>26</v>
      </c>
      <c r="H429" t="s">
        <v>21</v>
      </c>
      <c r="I429" t="s">
        <v>20</v>
      </c>
      <c r="J429" t="s">
        <v>20</v>
      </c>
      <c r="K429" t="s">
        <v>27</v>
      </c>
      <c r="L429" t="s">
        <v>151</v>
      </c>
      <c r="M429" t="s">
        <v>270</v>
      </c>
      <c r="N429">
        <v>38.924657000000003</v>
      </c>
      <c r="O429">
        <v>-110.37711299999999</v>
      </c>
      <c r="P429">
        <v>4206.8125970000001</v>
      </c>
      <c r="Q429">
        <v>1340</v>
      </c>
      <c r="R429">
        <v>0</v>
      </c>
    </row>
    <row r="430" spans="1:18" x14ac:dyDescent="0.25">
      <c r="A430">
        <v>429</v>
      </c>
      <c r="B430">
        <v>94</v>
      </c>
      <c r="C430">
        <v>31601682</v>
      </c>
      <c r="D430" t="s">
        <v>213</v>
      </c>
      <c r="E430">
        <v>160.28</v>
      </c>
      <c r="F430" t="s">
        <v>19</v>
      </c>
      <c r="G430" t="s">
        <v>20</v>
      </c>
      <c r="H430" t="s">
        <v>21</v>
      </c>
      <c r="I430" t="s">
        <v>20</v>
      </c>
      <c r="J430" t="s">
        <v>20</v>
      </c>
      <c r="K430" t="s">
        <v>22</v>
      </c>
      <c r="L430" t="s">
        <v>198</v>
      </c>
      <c r="M430" t="s">
        <v>214</v>
      </c>
      <c r="N430">
        <v>39.9756</v>
      </c>
      <c r="O430">
        <v>-111.776892</v>
      </c>
      <c r="P430">
        <v>4894.2653</v>
      </c>
      <c r="Q430">
        <v>1332</v>
      </c>
      <c r="R430">
        <v>0</v>
      </c>
    </row>
    <row r="431" spans="1:18" x14ac:dyDescent="0.25">
      <c r="A431">
        <v>430</v>
      </c>
      <c r="B431">
        <v>94</v>
      </c>
      <c r="C431" t="e">
        <f>-IoI8MJ7FniCU5jT9kMIck</f>
        <v>#NAME?</v>
      </c>
      <c r="D431" t="s">
        <v>272</v>
      </c>
      <c r="E431">
        <v>160.33199999999999</v>
      </c>
      <c r="F431" t="s">
        <v>21</v>
      </c>
      <c r="G431" t="s">
        <v>26</v>
      </c>
      <c r="H431" t="s">
        <v>21</v>
      </c>
      <c r="I431" t="s">
        <v>20</v>
      </c>
      <c r="J431" t="s">
        <v>20</v>
      </c>
      <c r="K431" t="s">
        <v>27</v>
      </c>
      <c r="L431" t="s">
        <v>64</v>
      </c>
      <c r="M431" t="s">
        <v>214</v>
      </c>
      <c r="N431">
        <v>38.185417999999999</v>
      </c>
      <c r="O431">
        <v>-112.242999</v>
      </c>
      <c r="P431">
        <v>5977.4035590000003</v>
      </c>
      <c r="Q431">
        <v>1384</v>
      </c>
      <c r="R431">
        <v>0</v>
      </c>
    </row>
    <row r="432" spans="1:18" x14ac:dyDescent="0.25">
      <c r="A432">
        <v>431</v>
      </c>
      <c r="B432">
        <v>94</v>
      </c>
      <c r="C432">
        <v>31603179</v>
      </c>
      <c r="D432" t="s">
        <v>213</v>
      </c>
      <c r="E432">
        <v>160.46799999999999</v>
      </c>
      <c r="F432" t="s">
        <v>19</v>
      </c>
      <c r="G432" t="s">
        <v>20</v>
      </c>
      <c r="H432" t="s">
        <v>19</v>
      </c>
      <c r="I432">
        <v>15</v>
      </c>
      <c r="J432" t="s">
        <v>20</v>
      </c>
      <c r="K432" t="s">
        <v>22</v>
      </c>
      <c r="L432" t="s">
        <v>198</v>
      </c>
      <c r="M432" t="s">
        <v>214</v>
      </c>
      <c r="N432">
        <v>39.975594999999998</v>
      </c>
      <c r="O432">
        <v>-111.773349</v>
      </c>
      <c r="P432">
        <v>4899.5322169999999</v>
      </c>
      <c r="Q432">
        <v>1332</v>
      </c>
      <c r="R432">
        <v>0</v>
      </c>
    </row>
    <row r="433" spans="1:18" x14ac:dyDescent="0.25">
      <c r="A433">
        <v>432</v>
      </c>
      <c r="B433">
        <v>94</v>
      </c>
      <c r="C433">
        <v>31603690</v>
      </c>
      <c r="D433" t="s">
        <v>213</v>
      </c>
      <c r="E433">
        <v>160.566</v>
      </c>
      <c r="F433" t="s">
        <v>21</v>
      </c>
      <c r="G433" t="s">
        <v>26</v>
      </c>
      <c r="H433" t="s">
        <v>21</v>
      </c>
      <c r="I433" t="s">
        <v>20</v>
      </c>
      <c r="J433" t="s">
        <v>20</v>
      </c>
      <c r="K433" t="s">
        <v>22</v>
      </c>
      <c r="L433" t="s">
        <v>198</v>
      </c>
      <c r="M433" t="s">
        <v>214</v>
      </c>
      <c r="N433">
        <v>39.975582000000003</v>
      </c>
      <c r="O433">
        <v>-111.771497</v>
      </c>
      <c r="P433">
        <v>4906.1062700000002</v>
      </c>
      <c r="Q433">
        <v>1332</v>
      </c>
      <c r="R433">
        <v>0</v>
      </c>
    </row>
    <row r="434" spans="1:18" x14ac:dyDescent="0.25">
      <c r="A434">
        <v>433</v>
      </c>
      <c r="B434">
        <v>94</v>
      </c>
      <c r="C434" t="s">
        <v>324</v>
      </c>
      <c r="D434" t="s">
        <v>118</v>
      </c>
      <c r="E434">
        <v>114.65600000000001</v>
      </c>
      <c r="F434" t="s">
        <v>21</v>
      </c>
      <c r="G434" t="s">
        <v>26</v>
      </c>
      <c r="H434" t="s">
        <v>21</v>
      </c>
      <c r="I434" t="s">
        <v>20</v>
      </c>
      <c r="J434" t="s">
        <v>20</v>
      </c>
      <c r="K434" t="s">
        <v>22</v>
      </c>
      <c r="L434" t="s">
        <v>133</v>
      </c>
      <c r="M434" t="s">
        <v>169</v>
      </c>
      <c r="N434">
        <v>40.302128000000003</v>
      </c>
      <c r="O434">
        <v>-109.987346</v>
      </c>
      <c r="P434">
        <v>5033.1526780000004</v>
      </c>
      <c r="Q434">
        <v>310</v>
      </c>
      <c r="R434">
        <v>0</v>
      </c>
    </row>
    <row r="435" spans="1:18" x14ac:dyDescent="0.25">
      <c r="A435">
        <v>434</v>
      </c>
      <c r="B435">
        <v>94</v>
      </c>
      <c r="C435">
        <v>31803877</v>
      </c>
      <c r="D435" t="s">
        <v>118</v>
      </c>
      <c r="E435">
        <v>114.73099999999999</v>
      </c>
      <c r="F435" t="s">
        <v>21</v>
      </c>
      <c r="G435" t="s">
        <v>26</v>
      </c>
      <c r="H435" t="s">
        <v>21</v>
      </c>
      <c r="I435" t="s">
        <v>20</v>
      </c>
      <c r="J435" t="s">
        <v>20</v>
      </c>
      <c r="K435" t="s">
        <v>22</v>
      </c>
      <c r="L435" t="s">
        <v>133</v>
      </c>
      <c r="M435" t="s">
        <v>169</v>
      </c>
      <c r="N435">
        <v>40.302132</v>
      </c>
      <c r="O435">
        <v>-109.985921</v>
      </c>
      <c r="P435">
        <v>5023.5916150000003</v>
      </c>
      <c r="Q435">
        <v>310</v>
      </c>
      <c r="R435">
        <v>0</v>
      </c>
    </row>
    <row r="436" spans="1:18" x14ac:dyDescent="0.25">
      <c r="A436">
        <v>435</v>
      </c>
      <c r="B436">
        <v>94</v>
      </c>
      <c r="C436">
        <v>31803888</v>
      </c>
      <c r="D436" t="s">
        <v>118</v>
      </c>
      <c r="E436">
        <v>114.82</v>
      </c>
      <c r="F436" t="s">
        <v>21</v>
      </c>
      <c r="G436" t="s">
        <v>26</v>
      </c>
      <c r="H436" t="s">
        <v>21</v>
      </c>
      <c r="I436" t="s">
        <v>20</v>
      </c>
      <c r="J436" t="s">
        <v>20</v>
      </c>
      <c r="K436" t="s">
        <v>22</v>
      </c>
      <c r="L436" t="s">
        <v>133</v>
      </c>
      <c r="M436" t="s">
        <v>169</v>
      </c>
      <c r="N436">
        <v>40.302143000000001</v>
      </c>
      <c r="O436">
        <v>-109.984236</v>
      </c>
      <c r="P436">
        <v>5018.646248</v>
      </c>
      <c r="Q436">
        <v>310</v>
      </c>
      <c r="R436">
        <v>0</v>
      </c>
    </row>
    <row r="437" spans="1:18" x14ac:dyDescent="0.25">
      <c r="A437">
        <v>436</v>
      </c>
      <c r="B437">
        <v>94</v>
      </c>
      <c r="C437">
        <v>31814677</v>
      </c>
      <c r="D437" t="s">
        <v>290</v>
      </c>
      <c r="E437">
        <v>114.84</v>
      </c>
      <c r="F437" t="s">
        <v>21</v>
      </c>
      <c r="G437" t="s">
        <v>20</v>
      </c>
      <c r="H437" t="s">
        <v>21</v>
      </c>
      <c r="I437" t="s">
        <v>20</v>
      </c>
      <c r="J437" t="s">
        <v>20</v>
      </c>
      <c r="K437" t="s">
        <v>41</v>
      </c>
      <c r="L437" t="s">
        <v>325</v>
      </c>
      <c r="M437" t="s">
        <v>280</v>
      </c>
      <c r="N437">
        <v>41.886485</v>
      </c>
      <c r="O437">
        <v>-111.366578</v>
      </c>
      <c r="P437">
        <v>5883.8145679999998</v>
      </c>
      <c r="Q437">
        <v>1343</v>
      </c>
      <c r="R437">
        <v>0</v>
      </c>
    </row>
    <row r="438" spans="1:18" x14ac:dyDescent="0.25">
      <c r="A438">
        <v>437</v>
      </c>
      <c r="B438">
        <v>94</v>
      </c>
      <c r="C438">
        <v>31817567</v>
      </c>
      <c r="D438" t="s">
        <v>61</v>
      </c>
      <c r="E438">
        <v>12.207000000000001</v>
      </c>
      <c r="F438" t="s">
        <v>21</v>
      </c>
      <c r="G438" t="s">
        <v>26</v>
      </c>
      <c r="H438" t="s">
        <v>21</v>
      </c>
      <c r="I438" t="s">
        <v>20</v>
      </c>
      <c r="J438" t="s">
        <v>20</v>
      </c>
      <c r="K438" t="s">
        <v>22</v>
      </c>
      <c r="L438" t="s">
        <v>60</v>
      </c>
      <c r="M438" t="s">
        <v>62</v>
      </c>
      <c r="N438">
        <v>40.349876999999999</v>
      </c>
      <c r="O438">
        <v>-111.588623</v>
      </c>
      <c r="P438">
        <v>5167.3776909999997</v>
      </c>
      <c r="Q438">
        <v>403</v>
      </c>
      <c r="R438">
        <v>0</v>
      </c>
    </row>
    <row r="439" spans="1:18" x14ac:dyDescent="0.25">
      <c r="A439">
        <v>438</v>
      </c>
      <c r="B439">
        <v>94</v>
      </c>
      <c r="C439">
        <v>31193365</v>
      </c>
      <c r="D439" t="s">
        <v>310</v>
      </c>
      <c r="E439">
        <v>12.208</v>
      </c>
      <c r="F439" t="s">
        <v>19</v>
      </c>
      <c r="G439" t="s">
        <v>20</v>
      </c>
      <c r="H439" t="s">
        <v>19</v>
      </c>
      <c r="I439">
        <v>112</v>
      </c>
      <c r="J439" t="s">
        <v>20</v>
      </c>
      <c r="K439" t="s">
        <v>31</v>
      </c>
      <c r="L439" t="s">
        <v>285</v>
      </c>
      <c r="M439" t="s">
        <v>206</v>
      </c>
      <c r="N439">
        <v>40.599603000000002</v>
      </c>
      <c r="O439">
        <v>-112.426005</v>
      </c>
      <c r="P439">
        <v>4234.6241559999999</v>
      </c>
      <c r="Q439">
        <v>1414</v>
      </c>
      <c r="R439">
        <v>0</v>
      </c>
    </row>
    <row r="440" spans="1:18" x14ac:dyDescent="0.25">
      <c r="A440">
        <v>439</v>
      </c>
      <c r="B440">
        <v>94</v>
      </c>
      <c r="C440">
        <v>31532079</v>
      </c>
      <c r="D440" t="s">
        <v>326</v>
      </c>
      <c r="E440">
        <v>27.722000000000001</v>
      </c>
      <c r="F440" t="s">
        <v>21</v>
      </c>
      <c r="G440" t="s">
        <v>20</v>
      </c>
      <c r="H440" t="s">
        <v>21</v>
      </c>
      <c r="I440" t="s">
        <v>20</v>
      </c>
      <c r="J440" t="s">
        <v>20</v>
      </c>
      <c r="K440" t="s">
        <v>27</v>
      </c>
      <c r="L440" t="s">
        <v>327</v>
      </c>
      <c r="M440" t="s">
        <v>318</v>
      </c>
      <c r="N440">
        <v>37.509503000000002</v>
      </c>
      <c r="O440">
        <v>-109.89377899999999</v>
      </c>
      <c r="P440">
        <v>6536.174849</v>
      </c>
      <c r="Q440">
        <v>256</v>
      </c>
      <c r="R440">
        <v>0</v>
      </c>
    </row>
    <row r="441" spans="1:18" x14ac:dyDescent="0.25">
      <c r="A441">
        <v>440</v>
      </c>
      <c r="B441">
        <v>94</v>
      </c>
      <c r="C441">
        <v>27879487</v>
      </c>
      <c r="D441" t="s">
        <v>245</v>
      </c>
      <c r="E441">
        <v>27.741</v>
      </c>
      <c r="F441" t="s">
        <v>21</v>
      </c>
      <c r="G441" t="s">
        <v>26</v>
      </c>
      <c r="H441" t="s">
        <v>21</v>
      </c>
      <c r="I441" t="s">
        <v>20</v>
      </c>
      <c r="J441" t="s">
        <v>20</v>
      </c>
      <c r="K441" t="s">
        <v>22</v>
      </c>
      <c r="L441" t="s">
        <v>97</v>
      </c>
      <c r="M441" t="s">
        <v>98</v>
      </c>
      <c r="N441">
        <v>40.984591000000002</v>
      </c>
      <c r="O441">
        <v>-109.72269799999999</v>
      </c>
      <c r="P441">
        <v>6296.4609710000004</v>
      </c>
      <c r="Q441">
        <v>1353</v>
      </c>
      <c r="R441">
        <v>0</v>
      </c>
    </row>
    <row r="442" spans="1:18" x14ac:dyDescent="0.25">
      <c r="A442">
        <v>441</v>
      </c>
      <c r="B442">
        <v>94</v>
      </c>
      <c r="C442">
        <v>28567684</v>
      </c>
      <c r="D442" t="s">
        <v>323</v>
      </c>
      <c r="E442">
        <v>27.742000000000001</v>
      </c>
      <c r="F442" t="s">
        <v>21</v>
      </c>
      <c r="G442" t="s">
        <v>26</v>
      </c>
      <c r="H442" t="s">
        <v>21</v>
      </c>
      <c r="I442" t="s">
        <v>20</v>
      </c>
      <c r="J442" t="s">
        <v>20</v>
      </c>
      <c r="K442" t="s">
        <v>31</v>
      </c>
      <c r="L442" t="s">
        <v>149</v>
      </c>
      <c r="M442" t="s">
        <v>131</v>
      </c>
      <c r="N442">
        <v>40.798687000000001</v>
      </c>
      <c r="O442">
        <v>-111.409133</v>
      </c>
      <c r="P442">
        <v>5879.2946590000001</v>
      </c>
      <c r="Q442">
        <v>1345</v>
      </c>
      <c r="R442">
        <v>0</v>
      </c>
    </row>
    <row r="443" spans="1:18" x14ac:dyDescent="0.25">
      <c r="A443">
        <v>442</v>
      </c>
      <c r="B443">
        <v>94</v>
      </c>
      <c r="C443">
        <v>31313129</v>
      </c>
      <c r="D443" t="s">
        <v>116</v>
      </c>
      <c r="E443">
        <v>27.782</v>
      </c>
      <c r="F443" t="s">
        <v>21</v>
      </c>
      <c r="G443" t="s">
        <v>26</v>
      </c>
      <c r="H443" t="s">
        <v>21</v>
      </c>
      <c r="I443" t="s">
        <v>20</v>
      </c>
      <c r="J443" t="s">
        <v>20</v>
      </c>
      <c r="K443" t="s">
        <v>41</v>
      </c>
      <c r="L443" t="s">
        <v>95</v>
      </c>
      <c r="M443" t="s">
        <v>117</v>
      </c>
      <c r="N443">
        <v>41.748255</v>
      </c>
      <c r="O443">
        <v>-111.83454500000001</v>
      </c>
      <c r="P443">
        <v>4470.2358960000001</v>
      </c>
      <c r="Q443">
        <v>324</v>
      </c>
      <c r="R443">
        <v>0</v>
      </c>
    </row>
    <row r="444" spans="1:18" x14ac:dyDescent="0.25">
      <c r="A444">
        <v>443</v>
      </c>
      <c r="B444">
        <v>94</v>
      </c>
      <c r="C444">
        <v>2613500</v>
      </c>
      <c r="D444" t="s">
        <v>176</v>
      </c>
      <c r="E444">
        <v>25.754999999999999</v>
      </c>
      <c r="F444" t="s">
        <v>21</v>
      </c>
      <c r="G444" t="s">
        <v>26</v>
      </c>
      <c r="H444" t="s">
        <v>21</v>
      </c>
      <c r="I444" t="s">
        <v>20</v>
      </c>
      <c r="J444" t="s">
        <v>20</v>
      </c>
      <c r="K444" t="s">
        <v>41</v>
      </c>
      <c r="L444" t="s">
        <v>223</v>
      </c>
      <c r="M444" t="s">
        <v>178</v>
      </c>
      <c r="N444">
        <v>41.792214999999999</v>
      </c>
      <c r="O444">
        <v>-112.149489</v>
      </c>
      <c r="P444">
        <v>4315.2358750000003</v>
      </c>
      <c r="Q444">
        <v>1329</v>
      </c>
      <c r="R444">
        <v>0</v>
      </c>
    </row>
    <row r="445" spans="1:18" x14ac:dyDescent="0.25">
      <c r="A445">
        <v>444</v>
      </c>
      <c r="B445">
        <v>94</v>
      </c>
      <c r="C445">
        <v>28625233</v>
      </c>
      <c r="D445" t="s">
        <v>142</v>
      </c>
      <c r="E445">
        <v>25.759</v>
      </c>
      <c r="F445" t="s">
        <v>21</v>
      </c>
      <c r="G445" t="s">
        <v>26</v>
      </c>
      <c r="H445" t="s">
        <v>21</v>
      </c>
      <c r="I445" t="s">
        <v>20</v>
      </c>
      <c r="J445" t="s">
        <v>20</v>
      </c>
      <c r="K445" t="s">
        <v>27</v>
      </c>
      <c r="L445" t="s">
        <v>143</v>
      </c>
      <c r="M445" t="s">
        <v>106</v>
      </c>
      <c r="N445">
        <v>38.619996999999998</v>
      </c>
      <c r="O445">
        <v>-113.846553</v>
      </c>
      <c r="P445">
        <v>6162.39948</v>
      </c>
      <c r="Q445">
        <v>305</v>
      </c>
      <c r="R445">
        <v>0</v>
      </c>
    </row>
    <row r="446" spans="1:18" x14ac:dyDescent="0.25">
      <c r="A446">
        <v>445</v>
      </c>
      <c r="B446">
        <v>94</v>
      </c>
      <c r="C446">
        <v>31894409</v>
      </c>
      <c r="D446" t="s">
        <v>61</v>
      </c>
      <c r="E446">
        <v>25.77</v>
      </c>
      <c r="F446" t="s">
        <v>21</v>
      </c>
      <c r="G446" t="s">
        <v>26</v>
      </c>
      <c r="H446" t="s">
        <v>21</v>
      </c>
      <c r="I446" t="s">
        <v>20</v>
      </c>
      <c r="J446" t="s">
        <v>20</v>
      </c>
      <c r="K446" t="s">
        <v>22</v>
      </c>
      <c r="L446" t="s">
        <v>35</v>
      </c>
      <c r="M446" t="s">
        <v>328</v>
      </c>
      <c r="N446">
        <v>40.464317000000001</v>
      </c>
      <c r="O446">
        <v>-111.459104</v>
      </c>
      <c r="P446">
        <v>5439.4244369999997</v>
      </c>
      <c r="Q446">
        <v>403</v>
      </c>
      <c r="R446">
        <v>0</v>
      </c>
    </row>
    <row r="447" spans="1:18" x14ac:dyDescent="0.25">
      <c r="A447">
        <v>446</v>
      </c>
      <c r="B447">
        <v>94</v>
      </c>
      <c r="C447" t="s">
        <v>329</v>
      </c>
      <c r="D447" t="s">
        <v>132</v>
      </c>
      <c r="E447">
        <v>28.559000000000001</v>
      </c>
      <c r="F447" t="s">
        <v>21</v>
      </c>
      <c r="G447" t="s">
        <v>20</v>
      </c>
      <c r="H447" t="s">
        <v>21</v>
      </c>
      <c r="I447" t="s">
        <v>20</v>
      </c>
      <c r="J447" t="s">
        <v>20</v>
      </c>
      <c r="K447" t="s">
        <v>22</v>
      </c>
      <c r="L447" t="s">
        <v>133</v>
      </c>
      <c r="M447" t="s">
        <v>277</v>
      </c>
      <c r="N447">
        <v>40.411009999999997</v>
      </c>
      <c r="O447">
        <v>-109.721464</v>
      </c>
      <c r="P447">
        <v>5533.8141489999998</v>
      </c>
      <c r="Q447">
        <v>1405</v>
      </c>
      <c r="R447">
        <v>0</v>
      </c>
    </row>
    <row r="448" spans="1:18" x14ac:dyDescent="0.25">
      <c r="A448">
        <v>447</v>
      </c>
      <c r="B448">
        <v>94</v>
      </c>
      <c r="C448" t="s">
        <v>330</v>
      </c>
      <c r="D448" t="s">
        <v>172</v>
      </c>
      <c r="E448">
        <v>28.562999999999999</v>
      </c>
      <c r="F448" t="s">
        <v>21</v>
      </c>
      <c r="G448" t="s">
        <v>20</v>
      </c>
      <c r="H448" t="s">
        <v>21</v>
      </c>
      <c r="I448" t="s">
        <v>20</v>
      </c>
      <c r="J448" t="s">
        <v>20</v>
      </c>
      <c r="K448" t="s">
        <v>22</v>
      </c>
      <c r="L448" t="s">
        <v>155</v>
      </c>
      <c r="M448" t="s">
        <v>174</v>
      </c>
      <c r="N448">
        <v>39.702807</v>
      </c>
      <c r="O448">
        <v>-111.92189</v>
      </c>
      <c r="P448">
        <v>5085.071414</v>
      </c>
      <c r="Q448">
        <v>1411</v>
      </c>
      <c r="R448">
        <v>0</v>
      </c>
    </row>
    <row r="449" spans="1:18" x14ac:dyDescent="0.25">
      <c r="A449">
        <v>448</v>
      </c>
      <c r="B449">
        <v>94</v>
      </c>
      <c r="C449">
        <v>28568263</v>
      </c>
      <c r="D449" t="s">
        <v>323</v>
      </c>
      <c r="E449">
        <v>28.577000000000002</v>
      </c>
      <c r="F449" t="s">
        <v>21</v>
      </c>
      <c r="G449" t="s">
        <v>26</v>
      </c>
      <c r="H449" t="s">
        <v>21</v>
      </c>
      <c r="I449" t="s">
        <v>20</v>
      </c>
      <c r="J449" t="s">
        <v>20</v>
      </c>
      <c r="K449" t="s">
        <v>31</v>
      </c>
      <c r="L449" t="s">
        <v>149</v>
      </c>
      <c r="M449" t="s">
        <v>131</v>
      </c>
      <c r="N449">
        <v>40.810765000000004</v>
      </c>
      <c r="O449">
        <v>-111.40762700000001</v>
      </c>
      <c r="P449">
        <v>5814.9723960000001</v>
      </c>
      <c r="Q449">
        <v>1345</v>
      </c>
      <c r="R449">
        <v>0</v>
      </c>
    </row>
    <row r="450" spans="1:18" x14ac:dyDescent="0.25">
      <c r="A450">
        <v>449</v>
      </c>
      <c r="B450">
        <v>94</v>
      </c>
      <c r="C450">
        <v>31299740</v>
      </c>
      <c r="D450" t="s">
        <v>316</v>
      </c>
      <c r="E450">
        <v>28.651</v>
      </c>
      <c r="F450" t="s">
        <v>21</v>
      </c>
      <c r="G450" t="s">
        <v>26</v>
      </c>
      <c r="H450" t="s">
        <v>21</v>
      </c>
      <c r="I450" t="s">
        <v>20</v>
      </c>
      <c r="J450" t="s">
        <v>20</v>
      </c>
      <c r="K450" t="s">
        <v>22</v>
      </c>
      <c r="L450" t="s">
        <v>168</v>
      </c>
      <c r="M450" t="s">
        <v>302</v>
      </c>
      <c r="N450">
        <v>40.457397</v>
      </c>
      <c r="O450">
        <v>-110.88995799999999</v>
      </c>
      <c r="P450">
        <v>7275.7701269999998</v>
      </c>
      <c r="Q450">
        <v>1346</v>
      </c>
      <c r="R450">
        <v>0</v>
      </c>
    </row>
    <row r="451" spans="1:18" x14ac:dyDescent="0.25">
      <c r="A451">
        <v>450</v>
      </c>
      <c r="B451">
        <v>94</v>
      </c>
      <c r="C451">
        <v>31895886</v>
      </c>
      <c r="D451" t="s">
        <v>61</v>
      </c>
      <c r="E451">
        <v>28.652999999999999</v>
      </c>
      <c r="F451" t="s">
        <v>19</v>
      </c>
      <c r="G451" t="s">
        <v>20</v>
      </c>
      <c r="H451" t="s">
        <v>21</v>
      </c>
      <c r="I451" t="s">
        <v>20</v>
      </c>
      <c r="J451" t="s">
        <v>20</v>
      </c>
      <c r="K451" t="s">
        <v>22</v>
      </c>
      <c r="L451" t="s">
        <v>35</v>
      </c>
      <c r="M451" t="s">
        <v>328</v>
      </c>
      <c r="N451">
        <v>40.490788999999999</v>
      </c>
      <c r="O451">
        <v>-111.416847</v>
      </c>
      <c r="P451">
        <v>5581.5224040000003</v>
      </c>
      <c r="Q451">
        <v>403</v>
      </c>
      <c r="R451">
        <v>0</v>
      </c>
    </row>
    <row r="452" spans="1:18" x14ac:dyDescent="0.25">
      <c r="A452">
        <v>451</v>
      </c>
      <c r="B452">
        <v>94</v>
      </c>
      <c r="C452">
        <v>28568428</v>
      </c>
      <c r="D452" t="s">
        <v>323</v>
      </c>
      <c r="E452">
        <v>28.657</v>
      </c>
      <c r="F452" t="s">
        <v>21</v>
      </c>
      <c r="G452" t="s">
        <v>26</v>
      </c>
      <c r="H452" t="s">
        <v>21</v>
      </c>
      <c r="I452" t="s">
        <v>20</v>
      </c>
      <c r="J452" t="s">
        <v>20</v>
      </c>
      <c r="K452" t="s">
        <v>31</v>
      </c>
      <c r="L452" t="s">
        <v>149</v>
      </c>
      <c r="M452" t="s">
        <v>131</v>
      </c>
      <c r="N452">
        <v>40.811912999999997</v>
      </c>
      <c r="O452">
        <v>-111.407436</v>
      </c>
      <c r="P452">
        <v>5815.9481779999996</v>
      </c>
      <c r="Q452">
        <v>1345</v>
      </c>
      <c r="R452">
        <v>0</v>
      </c>
    </row>
    <row r="453" spans="1:18" x14ac:dyDescent="0.25">
      <c r="A453">
        <v>452</v>
      </c>
      <c r="B453">
        <v>94</v>
      </c>
      <c r="C453">
        <v>31314760</v>
      </c>
      <c r="D453" t="s">
        <v>116</v>
      </c>
      <c r="E453">
        <v>28.687000000000001</v>
      </c>
      <c r="F453" t="s">
        <v>21</v>
      </c>
      <c r="G453" t="s">
        <v>26</v>
      </c>
      <c r="H453" t="s">
        <v>21</v>
      </c>
      <c r="I453" t="s">
        <v>20</v>
      </c>
      <c r="J453" t="s">
        <v>20</v>
      </c>
      <c r="K453" t="s">
        <v>41</v>
      </c>
      <c r="L453" t="s">
        <v>95</v>
      </c>
      <c r="M453" t="s">
        <v>117</v>
      </c>
      <c r="N453">
        <v>41.761353</v>
      </c>
      <c r="O453">
        <v>-111.834311</v>
      </c>
      <c r="P453">
        <v>4463.0128260000001</v>
      </c>
      <c r="Q453">
        <v>324</v>
      </c>
      <c r="R453">
        <v>0</v>
      </c>
    </row>
    <row r="454" spans="1:18" x14ac:dyDescent="0.25">
      <c r="A454">
        <v>453</v>
      </c>
      <c r="B454">
        <v>94</v>
      </c>
      <c r="C454">
        <v>31374668</v>
      </c>
      <c r="D454" t="s">
        <v>199</v>
      </c>
      <c r="E454">
        <v>28.687000000000001</v>
      </c>
      <c r="F454" t="s">
        <v>21</v>
      </c>
      <c r="G454" t="s">
        <v>20</v>
      </c>
      <c r="H454" t="s">
        <v>21</v>
      </c>
      <c r="I454" t="s">
        <v>20</v>
      </c>
      <c r="J454" t="s">
        <v>20</v>
      </c>
      <c r="K454" t="s">
        <v>27</v>
      </c>
      <c r="L454" t="s">
        <v>64</v>
      </c>
      <c r="M454" t="s">
        <v>200</v>
      </c>
      <c r="N454">
        <v>38.236781999999998</v>
      </c>
      <c r="O454">
        <v>-112.36028899999999</v>
      </c>
      <c r="P454">
        <v>9510.7177310000006</v>
      </c>
      <c r="Q454">
        <v>341</v>
      </c>
      <c r="R454">
        <v>0</v>
      </c>
    </row>
    <row r="455" spans="1:18" x14ac:dyDescent="0.25">
      <c r="A455">
        <v>454</v>
      </c>
      <c r="B455">
        <v>94</v>
      </c>
      <c r="C455">
        <v>28568439</v>
      </c>
      <c r="D455" t="s">
        <v>323</v>
      </c>
      <c r="E455">
        <v>28.724</v>
      </c>
      <c r="F455" t="s">
        <v>21</v>
      </c>
      <c r="G455" t="s">
        <v>26</v>
      </c>
      <c r="H455" t="s">
        <v>21</v>
      </c>
      <c r="I455" t="s">
        <v>20</v>
      </c>
      <c r="J455" t="s">
        <v>20</v>
      </c>
      <c r="K455" t="s">
        <v>31</v>
      </c>
      <c r="L455" t="s">
        <v>149</v>
      </c>
      <c r="M455" t="s">
        <v>131</v>
      </c>
      <c r="N455">
        <v>40.811976000000001</v>
      </c>
      <c r="O455">
        <v>-111.406175</v>
      </c>
      <c r="P455">
        <v>5807.5206790000002</v>
      </c>
      <c r="Q455">
        <v>1345</v>
      </c>
      <c r="R455">
        <v>0</v>
      </c>
    </row>
    <row r="456" spans="1:18" x14ac:dyDescent="0.25">
      <c r="A456">
        <v>455</v>
      </c>
      <c r="B456">
        <v>94</v>
      </c>
      <c r="C456">
        <v>31399972</v>
      </c>
      <c r="D456" t="s">
        <v>250</v>
      </c>
      <c r="E456">
        <v>4.2110000000000003</v>
      </c>
      <c r="F456" t="s">
        <v>21</v>
      </c>
      <c r="G456" t="s">
        <v>26</v>
      </c>
      <c r="H456" t="s">
        <v>21</v>
      </c>
      <c r="I456" t="s">
        <v>20</v>
      </c>
      <c r="J456" t="s">
        <v>20</v>
      </c>
      <c r="K456" t="s">
        <v>27</v>
      </c>
      <c r="L456" t="s">
        <v>75</v>
      </c>
      <c r="M456" t="s">
        <v>76</v>
      </c>
      <c r="N456">
        <v>38.774576000000003</v>
      </c>
      <c r="O456">
        <v>-111.99050699999999</v>
      </c>
      <c r="P456">
        <v>5200.4434600000004</v>
      </c>
      <c r="Q456">
        <v>1404</v>
      </c>
      <c r="R456">
        <v>0</v>
      </c>
    </row>
    <row r="457" spans="1:18" x14ac:dyDescent="0.25">
      <c r="A457">
        <v>456</v>
      </c>
      <c r="B457">
        <v>94</v>
      </c>
      <c r="C457">
        <v>31192815</v>
      </c>
      <c r="D457" t="s">
        <v>153</v>
      </c>
      <c r="E457">
        <v>4.2140000000000004</v>
      </c>
      <c r="F457" t="s">
        <v>21</v>
      </c>
      <c r="G457" t="s">
        <v>26</v>
      </c>
      <c r="H457" t="s">
        <v>21</v>
      </c>
      <c r="I457" t="s">
        <v>20</v>
      </c>
      <c r="J457" t="s">
        <v>20</v>
      </c>
      <c r="K457" t="s">
        <v>22</v>
      </c>
      <c r="L457" t="s">
        <v>84</v>
      </c>
      <c r="M457" t="s">
        <v>85</v>
      </c>
      <c r="N457">
        <v>40.416635999999997</v>
      </c>
      <c r="O457">
        <v>-111.75250200000001</v>
      </c>
      <c r="P457">
        <v>4977.6536400000005</v>
      </c>
      <c r="R457">
        <v>0</v>
      </c>
    </row>
    <row r="458" spans="1:18" x14ac:dyDescent="0.25">
      <c r="A458">
        <v>457</v>
      </c>
      <c r="B458">
        <v>94</v>
      </c>
      <c r="C458">
        <v>31444279</v>
      </c>
      <c r="D458" t="s">
        <v>107</v>
      </c>
      <c r="E458">
        <v>4.2160000000000002</v>
      </c>
      <c r="F458" t="s">
        <v>21</v>
      </c>
      <c r="G458" t="s">
        <v>26</v>
      </c>
      <c r="H458" t="s">
        <v>21</v>
      </c>
      <c r="I458" t="s">
        <v>20</v>
      </c>
      <c r="J458" t="s">
        <v>20</v>
      </c>
      <c r="K458" t="s">
        <v>41</v>
      </c>
      <c r="L458" t="s">
        <v>81</v>
      </c>
      <c r="M458" t="s">
        <v>93</v>
      </c>
      <c r="N458">
        <v>41.253771999999998</v>
      </c>
      <c r="O458">
        <v>-111.978004</v>
      </c>
      <c r="P458">
        <v>4224.5847880000001</v>
      </c>
      <c r="Q458">
        <v>413</v>
      </c>
      <c r="R458">
        <v>0</v>
      </c>
    </row>
    <row r="459" spans="1:18" x14ac:dyDescent="0.25">
      <c r="A459">
        <v>458</v>
      </c>
      <c r="B459">
        <v>94</v>
      </c>
      <c r="C459">
        <v>31520225</v>
      </c>
      <c r="D459" t="s">
        <v>231</v>
      </c>
      <c r="E459">
        <v>4.2160000000000002</v>
      </c>
      <c r="F459" t="s">
        <v>21</v>
      </c>
      <c r="G459" t="s">
        <v>26</v>
      </c>
      <c r="H459" t="s">
        <v>21</v>
      </c>
      <c r="I459" t="s">
        <v>20</v>
      </c>
      <c r="J459" t="s">
        <v>20</v>
      </c>
      <c r="K459" t="s">
        <v>41</v>
      </c>
      <c r="L459" t="s">
        <v>57</v>
      </c>
      <c r="M459" t="s">
        <v>93</v>
      </c>
      <c r="N459">
        <v>41.099572000000002</v>
      </c>
      <c r="O459">
        <v>-112.01143</v>
      </c>
      <c r="P459">
        <v>4426.9190470000003</v>
      </c>
      <c r="Q459">
        <v>1409</v>
      </c>
      <c r="R459">
        <v>0</v>
      </c>
    </row>
    <row r="460" spans="1:18" x14ac:dyDescent="0.25">
      <c r="A460">
        <v>459</v>
      </c>
      <c r="B460">
        <v>94</v>
      </c>
      <c r="C460">
        <v>532035</v>
      </c>
      <c r="D460" t="s">
        <v>44</v>
      </c>
      <c r="E460">
        <v>4.2229999999999999</v>
      </c>
      <c r="F460" t="s">
        <v>21</v>
      </c>
      <c r="G460" t="s">
        <v>26</v>
      </c>
      <c r="H460" t="s">
        <v>21</v>
      </c>
      <c r="I460" t="s">
        <v>20</v>
      </c>
      <c r="J460" t="s">
        <v>20</v>
      </c>
      <c r="K460" t="s">
        <v>41</v>
      </c>
      <c r="L460" t="s">
        <v>45</v>
      </c>
      <c r="M460" t="s">
        <v>46</v>
      </c>
      <c r="N460">
        <v>40.938524000000001</v>
      </c>
      <c r="O460">
        <v>-111.87944899999999</v>
      </c>
      <c r="P460">
        <v>4267.686737</v>
      </c>
      <c r="Q460">
        <v>1395</v>
      </c>
      <c r="R460">
        <v>0</v>
      </c>
    </row>
    <row r="461" spans="1:18" x14ac:dyDescent="0.25">
      <c r="A461">
        <v>460</v>
      </c>
      <c r="B461">
        <v>94</v>
      </c>
      <c r="C461">
        <v>31435605</v>
      </c>
      <c r="D461" t="s">
        <v>216</v>
      </c>
      <c r="E461">
        <v>4.2249999999999996</v>
      </c>
      <c r="F461" t="s">
        <v>21</v>
      </c>
      <c r="G461" t="s">
        <v>20</v>
      </c>
      <c r="H461" t="s">
        <v>21</v>
      </c>
      <c r="I461" t="s">
        <v>20</v>
      </c>
      <c r="J461" t="s">
        <v>20</v>
      </c>
      <c r="K461" t="s">
        <v>27</v>
      </c>
      <c r="L461" t="s">
        <v>158</v>
      </c>
      <c r="M461" t="s">
        <v>159</v>
      </c>
      <c r="N461">
        <v>39.679080999999996</v>
      </c>
      <c r="O461">
        <v>-110.808449</v>
      </c>
      <c r="P461">
        <v>6315.1247000000003</v>
      </c>
      <c r="Q461">
        <v>1428</v>
      </c>
      <c r="R461">
        <v>0</v>
      </c>
    </row>
    <row r="462" spans="1:18" x14ac:dyDescent="0.25">
      <c r="A462">
        <v>461</v>
      </c>
      <c r="B462">
        <v>94</v>
      </c>
      <c r="C462">
        <v>31458682</v>
      </c>
      <c r="D462" t="s">
        <v>331</v>
      </c>
      <c r="E462">
        <v>4.2270000000000003</v>
      </c>
      <c r="F462" t="s">
        <v>21</v>
      </c>
      <c r="G462" t="s">
        <v>26</v>
      </c>
      <c r="H462" t="s">
        <v>21</v>
      </c>
      <c r="I462" t="s">
        <v>20</v>
      </c>
      <c r="J462" t="s">
        <v>20</v>
      </c>
      <c r="K462" t="s">
        <v>27</v>
      </c>
      <c r="L462" t="s">
        <v>111</v>
      </c>
      <c r="M462" t="s">
        <v>112</v>
      </c>
      <c r="N462">
        <v>39.348616999999997</v>
      </c>
      <c r="O462">
        <v>-110.859937</v>
      </c>
      <c r="P462">
        <v>5689.7483179999999</v>
      </c>
      <c r="Q462">
        <v>1427</v>
      </c>
      <c r="R462">
        <v>0</v>
      </c>
    </row>
    <row r="463" spans="1:18" x14ac:dyDescent="0.25">
      <c r="A463">
        <v>462</v>
      </c>
      <c r="B463">
        <v>94</v>
      </c>
      <c r="C463">
        <v>31759549</v>
      </c>
      <c r="D463" t="s">
        <v>105</v>
      </c>
      <c r="E463">
        <v>4.2279999999999998</v>
      </c>
      <c r="F463" t="s">
        <v>21</v>
      </c>
      <c r="G463" t="s">
        <v>26</v>
      </c>
      <c r="H463" t="s">
        <v>21</v>
      </c>
      <c r="I463" t="s">
        <v>20</v>
      </c>
      <c r="J463" t="s">
        <v>20</v>
      </c>
      <c r="K463" t="s">
        <v>27</v>
      </c>
      <c r="L463" t="s">
        <v>51</v>
      </c>
      <c r="M463" t="s">
        <v>106</v>
      </c>
      <c r="N463">
        <v>37.890808999999997</v>
      </c>
      <c r="O463">
        <v>-112.774964</v>
      </c>
      <c r="P463">
        <v>5793.6468809999997</v>
      </c>
      <c r="Q463">
        <v>432</v>
      </c>
      <c r="R463">
        <v>0</v>
      </c>
    </row>
    <row r="464" spans="1:18" x14ac:dyDescent="0.25">
      <c r="A464">
        <v>463</v>
      </c>
      <c r="B464">
        <v>94</v>
      </c>
      <c r="C464">
        <v>1008789</v>
      </c>
      <c r="D464" t="s">
        <v>171</v>
      </c>
      <c r="E464">
        <v>4.234</v>
      </c>
      <c r="F464" t="s">
        <v>21</v>
      </c>
      <c r="G464" t="s">
        <v>26</v>
      </c>
      <c r="H464" t="s">
        <v>21</v>
      </c>
      <c r="I464" t="s">
        <v>20</v>
      </c>
      <c r="J464" t="s">
        <v>20</v>
      </c>
      <c r="K464" t="s">
        <v>31</v>
      </c>
      <c r="L464" t="s">
        <v>78</v>
      </c>
      <c r="M464" t="s">
        <v>79</v>
      </c>
      <c r="N464">
        <v>40.696576999999998</v>
      </c>
      <c r="O464">
        <v>-112.010938</v>
      </c>
      <c r="P464">
        <v>4226.0082410000005</v>
      </c>
      <c r="Q464">
        <v>346</v>
      </c>
      <c r="R464">
        <v>0</v>
      </c>
    </row>
    <row r="465" spans="1:18" x14ac:dyDescent="0.25">
      <c r="A465">
        <v>464</v>
      </c>
      <c r="B465">
        <v>94</v>
      </c>
      <c r="C465">
        <v>559902</v>
      </c>
      <c r="D465" t="s">
        <v>115</v>
      </c>
      <c r="E465">
        <v>4.2359999999999998</v>
      </c>
      <c r="F465" t="s">
        <v>21</v>
      </c>
      <c r="G465" t="s">
        <v>26</v>
      </c>
      <c r="H465" t="s">
        <v>21</v>
      </c>
      <c r="I465" t="s">
        <v>20</v>
      </c>
      <c r="J465" t="s">
        <v>20</v>
      </c>
      <c r="K465" t="s">
        <v>31</v>
      </c>
      <c r="L465" t="s">
        <v>48</v>
      </c>
      <c r="M465" t="s">
        <v>70</v>
      </c>
      <c r="N465">
        <v>40.652766</v>
      </c>
      <c r="O465">
        <v>-111.99644000000001</v>
      </c>
      <c r="P465">
        <v>4527.7921749999996</v>
      </c>
      <c r="Q465">
        <v>1437</v>
      </c>
      <c r="R465">
        <v>0</v>
      </c>
    </row>
    <row r="466" spans="1:18" x14ac:dyDescent="0.25">
      <c r="A466">
        <v>465</v>
      </c>
      <c r="B466">
        <v>94</v>
      </c>
      <c r="C466">
        <v>2141594</v>
      </c>
      <c r="D466" t="s">
        <v>332</v>
      </c>
      <c r="E466">
        <v>4.24</v>
      </c>
      <c r="F466" t="s">
        <v>21</v>
      </c>
      <c r="G466" t="s">
        <v>20</v>
      </c>
      <c r="H466" t="s">
        <v>21</v>
      </c>
      <c r="I466" t="s">
        <v>20</v>
      </c>
      <c r="J466" t="s">
        <v>20</v>
      </c>
      <c r="K466" t="s">
        <v>31</v>
      </c>
      <c r="L466" t="s">
        <v>282</v>
      </c>
      <c r="M466" t="s">
        <v>206</v>
      </c>
      <c r="N466">
        <v>40.564964000000003</v>
      </c>
      <c r="O466">
        <v>-112.36301400000001</v>
      </c>
      <c r="P466">
        <v>4471.8825230000002</v>
      </c>
      <c r="Q466">
        <v>1399</v>
      </c>
      <c r="R466">
        <v>0</v>
      </c>
    </row>
    <row r="467" spans="1:18" x14ac:dyDescent="0.25">
      <c r="A467">
        <v>466</v>
      </c>
      <c r="B467">
        <v>94</v>
      </c>
      <c r="C467">
        <v>31766155</v>
      </c>
      <c r="D467" t="s">
        <v>136</v>
      </c>
      <c r="E467">
        <v>4.24</v>
      </c>
      <c r="F467" t="s">
        <v>21</v>
      </c>
      <c r="G467" t="s">
        <v>20</v>
      </c>
      <c r="H467" t="s">
        <v>21</v>
      </c>
      <c r="I467" t="s">
        <v>20</v>
      </c>
      <c r="J467" t="s">
        <v>20</v>
      </c>
      <c r="K467" t="s">
        <v>41</v>
      </c>
      <c r="L467" t="s">
        <v>137</v>
      </c>
      <c r="M467" t="s">
        <v>138</v>
      </c>
      <c r="N467">
        <v>40.934223000000003</v>
      </c>
      <c r="O467">
        <v>-111.627759</v>
      </c>
      <c r="P467">
        <v>5371.2311449999997</v>
      </c>
      <c r="Q467">
        <v>317</v>
      </c>
      <c r="R467">
        <v>0</v>
      </c>
    </row>
    <row r="468" spans="1:18" x14ac:dyDescent="0.25">
      <c r="A468">
        <v>467</v>
      </c>
      <c r="B468">
        <v>94</v>
      </c>
      <c r="C468">
        <v>31393480</v>
      </c>
      <c r="D468" t="s">
        <v>114</v>
      </c>
      <c r="E468">
        <v>4.242</v>
      </c>
      <c r="F468" t="s">
        <v>21</v>
      </c>
      <c r="G468" t="s">
        <v>26</v>
      </c>
      <c r="H468" t="s">
        <v>21</v>
      </c>
      <c r="I468" t="s">
        <v>20</v>
      </c>
      <c r="J468" t="s">
        <v>20</v>
      </c>
      <c r="K468" t="s">
        <v>41</v>
      </c>
      <c r="L468" t="s">
        <v>87</v>
      </c>
      <c r="M468" t="s">
        <v>82</v>
      </c>
      <c r="N468">
        <v>41.103541999999997</v>
      </c>
      <c r="O468">
        <v>-111.98739399999999</v>
      </c>
      <c r="P468">
        <v>4613.6537859999999</v>
      </c>
      <c r="Q468">
        <v>405</v>
      </c>
      <c r="R468">
        <v>0</v>
      </c>
    </row>
    <row r="469" spans="1:18" x14ac:dyDescent="0.25">
      <c r="A469">
        <v>468</v>
      </c>
      <c r="B469">
        <v>94</v>
      </c>
      <c r="C469">
        <v>31350149</v>
      </c>
      <c r="D469" t="s">
        <v>34</v>
      </c>
      <c r="E469">
        <v>4.2430000000000003</v>
      </c>
      <c r="F469" t="s">
        <v>21</v>
      </c>
      <c r="G469" t="s">
        <v>26</v>
      </c>
      <c r="H469" t="s">
        <v>21</v>
      </c>
      <c r="I469" t="s">
        <v>20</v>
      </c>
      <c r="J469" t="s">
        <v>20</v>
      </c>
      <c r="K469" t="s">
        <v>22</v>
      </c>
      <c r="L469" t="s">
        <v>35</v>
      </c>
      <c r="M469" t="s">
        <v>36</v>
      </c>
      <c r="N469">
        <v>40.512090999999998</v>
      </c>
      <c r="O469">
        <v>-111.465896</v>
      </c>
      <c r="P469">
        <v>5524.0681329999998</v>
      </c>
      <c r="Q469">
        <v>1400</v>
      </c>
      <c r="R469">
        <v>0</v>
      </c>
    </row>
    <row r="470" spans="1:18" x14ac:dyDescent="0.25">
      <c r="A470">
        <v>469</v>
      </c>
      <c r="B470">
        <v>94</v>
      </c>
      <c r="C470">
        <v>31324445</v>
      </c>
      <c r="D470" t="s">
        <v>333</v>
      </c>
      <c r="E470">
        <v>4.2450000000000001</v>
      </c>
      <c r="F470" t="s">
        <v>19</v>
      </c>
      <c r="G470" t="s">
        <v>20</v>
      </c>
      <c r="H470" t="s">
        <v>21</v>
      </c>
      <c r="I470" t="s">
        <v>20</v>
      </c>
      <c r="J470" t="s">
        <v>20</v>
      </c>
      <c r="K470" t="s">
        <v>31</v>
      </c>
      <c r="L470" t="s">
        <v>89</v>
      </c>
      <c r="M470" t="s">
        <v>49</v>
      </c>
      <c r="N470">
        <v>40.500281000000001</v>
      </c>
      <c r="O470">
        <v>-111.95773</v>
      </c>
      <c r="P470">
        <v>4446.2603870000003</v>
      </c>
      <c r="Q470">
        <v>1426</v>
      </c>
      <c r="R470">
        <v>0</v>
      </c>
    </row>
    <row r="471" spans="1:18" x14ac:dyDescent="0.25">
      <c r="A471">
        <v>470</v>
      </c>
      <c r="B471">
        <v>94</v>
      </c>
      <c r="C471">
        <v>782630</v>
      </c>
      <c r="D471" t="s">
        <v>68</v>
      </c>
      <c r="E471">
        <v>4.2519999999999998</v>
      </c>
      <c r="F471" t="s">
        <v>21</v>
      </c>
      <c r="G471" t="s">
        <v>26</v>
      </c>
      <c r="H471" t="s">
        <v>21</v>
      </c>
      <c r="I471" t="s">
        <v>20</v>
      </c>
      <c r="J471" t="s">
        <v>20</v>
      </c>
      <c r="K471" t="s">
        <v>31</v>
      </c>
      <c r="L471" t="s">
        <v>69</v>
      </c>
      <c r="M471" t="s">
        <v>70</v>
      </c>
      <c r="N471">
        <v>40.674343999999998</v>
      </c>
      <c r="O471">
        <v>-111.874656</v>
      </c>
      <c r="P471">
        <v>4243.4025549999997</v>
      </c>
      <c r="Q471">
        <v>431</v>
      </c>
      <c r="R471">
        <v>0</v>
      </c>
    </row>
    <row r="472" spans="1:18" x14ac:dyDescent="0.25">
      <c r="A472">
        <v>471</v>
      </c>
      <c r="B472">
        <v>94</v>
      </c>
      <c r="C472">
        <v>31398298</v>
      </c>
      <c r="D472" t="s">
        <v>124</v>
      </c>
      <c r="E472">
        <v>40.661999999999999</v>
      </c>
      <c r="F472" t="s">
        <v>21</v>
      </c>
      <c r="G472" t="s">
        <v>26</v>
      </c>
      <c r="H472" t="s">
        <v>21</v>
      </c>
      <c r="I472" t="s">
        <v>20</v>
      </c>
      <c r="J472" t="s">
        <v>20</v>
      </c>
      <c r="K472" t="s">
        <v>31</v>
      </c>
      <c r="L472" t="s">
        <v>89</v>
      </c>
      <c r="M472" t="s">
        <v>125</v>
      </c>
      <c r="N472">
        <v>40.498294000000001</v>
      </c>
      <c r="O472">
        <v>-111.938648</v>
      </c>
      <c r="P472">
        <v>4396.0167689999998</v>
      </c>
      <c r="Q472">
        <v>1368</v>
      </c>
      <c r="R472">
        <v>0</v>
      </c>
    </row>
    <row r="473" spans="1:18" x14ac:dyDescent="0.25">
      <c r="A473">
        <v>472</v>
      </c>
      <c r="B473">
        <v>94</v>
      </c>
      <c r="C473">
        <v>31434879</v>
      </c>
      <c r="D473" t="s">
        <v>221</v>
      </c>
      <c r="E473">
        <v>40.664000000000001</v>
      </c>
      <c r="F473" t="s">
        <v>21</v>
      </c>
      <c r="G473" t="s">
        <v>26</v>
      </c>
      <c r="H473" t="s">
        <v>21</v>
      </c>
      <c r="I473" t="s">
        <v>20</v>
      </c>
      <c r="J473" t="s">
        <v>20</v>
      </c>
      <c r="K473" t="s">
        <v>22</v>
      </c>
      <c r="L473" t="s">
        <v>155</v>
      </c>
      <c r="M473" t="s">
        <v>174</v>
      </c>
      <c r="N473">
        <v>39.708556000000002</v>
      </c>
      <c r="O473">
        <v>-111.836144</v>
      </c>
      <c r="P473">
        <v>5075.5979310000002</v>
      </c>
      <c r="Q473">
        <v>1342</v>
      </c>
      <c r="R473">
        <v>0</v>
      </c>
    </row>
    <row r="474" spans="1:18" x14ac:dyDescent="0.25">
      <c r="A474">
        <v>473</v>
      </c>
      <c r="B474">
        <v>94</v>
      </c>
      <c r="C474">
        <v>27726610</v>
      </c>
      <c r="D474" t="s">
        <v>217</v>
      </c>
      <c r="E474">
        <v>40.700000000000003</v>
      </c>
      <c r="F474" t="s">
        <v>21</v>
      </c>
      <c r="G474" t="s">
        <v>26</v>
      </c>
      <c r="H474" t="s">
        <v>21</v>
      </c>
      <c r="I474" t="s">
        <v>20</v>
      </c>
      <c r="J474" t="s">
        <v>20</v>
      </c>
      <c r="K474" t="s">
        <v>27</v>
      </c>
      <c r="L474" t="s">
        <v>162</v>
      </c>
      <c r="M474" t="s">
        <v>163</v>
      </c>
      <c r="N474">
        <v>37.575814999999999</v>
      </c>
      <c r="O474">
        <v>-113.698561</v>
      </c>
      <c r="P474">
        <v>5293.4048720000001</v>
      </c>
      <c r="Q474">
        <v>304</v>
      </c>
      <c r="R474">
        <v>0</v>
      </c>
    </row>
    <row r="475" spans="1:18" x14ac:dyDescent="0.25">
      <c r="A475">
        <v>474</v>
      </c>
      <c r="B475">
        <v>94</v>
      </c>
      <c r="C475">
        <v>27866063</v>
      </c>
      <c r="D475" t="s">
        <v>91</v>
      </c>
      <c r="E475">
        <v>2.1440000000000001</v>
      </c>
      <c r="F475" t="s">
        <v>21</v>
      </c>
      <c r="G475" t="s">
        <v>26</v>
      </c>
      <c r="H475" t="s">
        <v>21</v>
      </c>
      <c r="I475" t="s">
        <v>20</v>
      </c>
      <c r="J475" t="s">
        <v>20</v>
      </c>
      <c r="K475" t="s">
        <v>41</v>
      </c>
      <c r="L475" t="s">
        <v>42</v>
      </c>
      <c r="M475" t="s">
        <v>73</v>
      </c>
      <c r="N475">
        <v>41.647157999999997</v>
      </c>
      <c r="O475">
        <v>-111.934082</v>
      </c>
      <c r="P475">
        <v>4475.5565210000004</v>
      </c>
      <c r="Q475">
        <v>1339</v>
      </c>
      <c r="R475">
        <v>0</v>
      </c>
    </row>
    <row r="476" spans="1:18" x14ac:dyDescent="0.25">
      <c r="A476">
        <v>475</v>
      </c>
      <c r="B476">
        <v>94</v>
      </c>
      <c r="C476">
        <v>1137500</v>
      </c>
      <c r="D476" t="s">
        <v>56</v>
      </c>
      <c r="E476">
        <v>2.145</v>
      </c>
      <c r="F476" t="s">
        <v>21</v>
      </c>
      <c r="G476" t="s">
        <v>26</v>
      </c>
      <c r="H476" t="s">
        <v>21</v>
      </c>
      <c r="I476" t="s">
        <v>20</v>
      </c>
      <c r="J476" t="s">
        <v>20</v>
      </c>
      <c r="K476" t="s">
        <v>41</v>
      </c>
      <c r="L476" t="s">
        <v>57</v>
      </c>
      <c r="M476" t="s">
        <v>58</v>
      </c>
      <c r="N476">
        <v>41.163758999999999</v>
      </c>
      <c r="O476">
        <v>-112.081661</v>
      </c>
      <c r="P476">
        <v>4192.210223</v>
      </c>
      <c r="Q476">
        <v>1459</v>
      </c>
      <c r="R476">
        <v>0</v>
      </c>
    </row>
    <row r="477" spans="1:18" x14ac:dyDescent="0.25">
      <c r="A477">
        <v>476</v>
      </c>
      <c r="B477">
        <v>94</v>
      </c>
      <c r="C477">
        <v>31190231</v>
      </c>
      <c r="D477" t="s">
        <v>334</v>
      </c>
      <c r="E477">
        <v>2.1459999999999999</v>
      </c>
      <c r="F477" t="s">
        <v>21</v>
      </c>
      <c r="G477" t="s">
        <v>20</v>
      </c>
      <c r="H477" t="s">
        <v>21</v>
      </c>
      <c r="I477" t="s">
        <v>20</v>
      </c>
      <c r="J477" t="s">
        <v>20</v>
      </c>
      <c r="K477" t="s">
        <v>22</v>
      </c>
      <c r="L477" t="s">
        <v>84</v>
      </c>
      <c r="M477" t="s">
        <v>335</v>
      </c>
      <c r="N477">
        <v>40.481095000000003</v>
      </c>
      <c r="O477">
        <v>-111.64721400000001</v>
      </c>
      <c r="P477">
        <v>6341.147035</v>
      </c>
      <c r="Q477">
        <v>338</v>
      </c>
      <c r="R477">
        <v>0</v>
      </c>
    </row>
    <row r="478" spans="1:18" x14ac:dyDescent="0.25">
      <c r="A478">
        <v>477</v>
      </c>
      <c r="B478">
        <v>94</v>
      </c>
      <c r="C478">
        <v>1119612</v>
      </c>
      <c r="D478" t="s">
        <v>171</v>
      </c>
      <c r="E478">
        <v>13.728</v>
      </c>
      <c r="F478" t="s">
        <v>21</v>
      </c>
      <c r="G478" t="s">
        <v>26</v>
      </c>
      <c r="H478" t="s">
        <v>21</v>
      </c>
      <c r="I478" t="s">
        <v>20</v>
      </c>
      <c r="J478" t="s">
        <v>20</v>
      </c>
      <c r="K478" t="s">
        <v>31</v>
      </c>
      <c r="L478" t="s">
        <v>188</v>
      </c>
      <c r="M478" t="s">
        <v>79</v>
      </c>
      <c r="N478">
        <v>40.699865000000003</v>
      </c>
      <c r="O478">
        <v>-111.831327</v>
      </c>
      <c r="P478">
        <v>4494.7913859999999</v>
      </c>
      <c r="Q478">
        <v>346</v>
      </c>
      <c r="R478">
        <v>0</v>
      </c>
    </row>
    <row r="479" spans="1:18" x14ac:dyDescent="0.25">
      <c r="A479">
        <v>478</v>
      </c>
      <c r="B479">
        <v>94</v>
      </c>
      <c r="C479">
        <v>31614225</v>
      </c>
      <c r="D479" t="s">
        <v>232</v>
      </c>
      <c r="E479">
        <v>14.476000000000001</v>
      </c>
      <c r="F479" t="s">
        <v>19</v>
      </c>
      <c r="G479" t="s">
        <v>20</v>
      </c>
      <c r="H479" t="s">
        <v>19</v>
      </c>
      <c r="I479">
        <v>32</v>
      </c>
      <c r="J479" t="s">
        <v>20</v>
      </c>
      <c r="K479" t="s">
        <v>31</v>
      </c>
      <c r="L479" t="s">
        <v>130</v>
      </c>
      <c r="M479" t="s">
        <v>131</v>
      </c>
      <c r="N479">
        <v>40.639878000000003</v>
      </c>
      <c r="O479">
        <v>-111.280777</v>
      </c>
      <c r="P479">
        <v>6437.2467189999998</v>
      </c>
      <c r="Q479">
        <v>1279</v>
      </c>
      <c r="R479">
        <v>0</v>
      </c>
    </row>
    <row r="480" spans="1:18" x14ac:dyDescent="0.25">
      <c r="A480">
        <v>479</v>
      </c>
      <c r="B480">
        <v>94</v>
      </c>
      <c r="C480">
        <v>28141550</v>
      </c>
      <c r="D480" t="s">
        <v>239</v>
      </c>
      <c r="E480">
        <v>14.49</v>
      </c>
      <c r="F480" t="s">
        <v>21</v>
      </c>
      <c r="G480" t="s">
        <v>26</v>
      </c>
      <c r="H480" t="s">
        <v>21</v>
      </c>
      <c r="I480" t="s">
        <v>20</v>
      </c>
      <c r="J480" t="s">
        <v>20</v>
      </c>
      <c r="K480" t="s">
        <v>41</v>
      </c>
      <c r="L480" t="s">
        <v>181</v>
      </c>
      <c r="M480" t="s">
        <v>178</v>
      </c>
      <c r="N480">
        <v>41.710915</v>
      </c>
      <c r="O480">
        <v>-112.200419</v>
      </c>
      <c r="P480">
        <v>4270.8863490000003</v>
      </c>
      <c r="Q480">
        <v>1392</v>
      </c>
      <c r="R480">
        <v>0</v>
      </c>
    </row>
    <row r="481" spans="1:18" x14ac:dyDescent="0.25">
      <c r="A481">
        <v>480</v>
      </c>
      <c r="B481">
        <v>94</v>
      </c>
      <c r="C481">
        <v>31742866</v>
      </c>
      <c r="D481" t="s">
        <v>336</v>
      </c>
      <c r="E481">
        <v>14.506</v>
      </c>
      <c r="F481" t="s">
        <v>21</v>
      </c>
      <c r="G481" t="s">
        <v>26</v>
      </c>
      <c r="H481" t="s">
        <v>21</v>
      </c>
      <c r="I481" t="s">
        <v>20</v>
      </c>
      <c r="J481" t="s">
        <v>20</v>
      </c>
      <c r="K481" t="s">
        <v>31</v>
      </c>
      <c r="L481" t="s">
        <v>32</v>
      </c>
      <c r="M481" t="s">
        <v>33</v>
      </c>
      <c r="N481">
        <v>40.621546000000002</v>
      </c>
      <c r="O481">
        <v>-111.59195699999999</v>
      </c>
      <c r="P481">
        <v>8150.1235729999999</v>
      </c>
      <c r="Q481">
        <v>404</v>
      </c>
      <c r="R481">
        <v>0</v>
      </c>
    </row>
    <row r="482" spans="1:18" x14ac:dyDescent="0.25">
      <c r="A482">
        <v>481</v>
      </c>
      <c r="B482">
        <v>94</v>
      </c>
      <c r="C482" t="e">
        <f>-IoIZLWFIYmw8RLk3N9w5F</f>
        <v>#NAME?</v>
      </c>
      <c r="D482" t="s">
        <v>272</v>
      </c>
      <c r="E482">
        <v>184.89500000000001</v>
      </c>
      <c r="F482" t="s">
        <v>21</v>
      </c>
      <c r="G482" t="s">
        <v>20</v>
      </c>
      <c r="H482" t="s">
        <v>21</v>
      </c>
      <c r="I482" t="s">
        <v>20</v>
      </c>
      <c r="J482" t="s">
        <v>20</v>
      </c>
      <c r="K482" t="s">
        <v>27</v>
      </c>
      <c r="L482" t="s">
        <v>337</v>
      </c>
      <c r="M482" t="s">
        <v>214</v>
      </c>
      <c r="N482">
        <v>38.523408000000003</v>
      </c>
      <c r="O482">
        <v>-112.265433</v>
      </c>
      <c r="P482">
        <v>5742.02322</v>
      </c>
      <c r="Q482">
        <v>1384</v>
      </c>
      <c r="R482">
        <v>0</v>
      </c>
    </row>
    <row r="483" spans="1:18" x14ac:dyDescent="0.25">
      <c r="A483">
        <v>482</v>
      </c>
      <c r="B483">
        <v>94</v>
      </c>
      <c r="C483">
        <v>31625456</v>
      </c>
      <c r="D483" t="s">
        <v>213</v>
      </c>
      <c r="E483">
        <v>186.405</v>
      </c>
      <c r="F483" t="s">
        <v>21</v>
      </c>
      <c r="G483" t="s">
        <v>20</v>
      </c>
      <c r="H483" t="s">
        <v>21</v>
      </c>
      <c r="I483" t="s">
        <v>20</v>
      </c>
      <c r="J483" t="s">
        <v>20</v>
      </c>
      <c r="K483" t="s">
        <v>22</v>
      </c>
      <c r="L483" t="s">
        <v>140</v>
      </c>
      <c r="M483" t="s">
        <v>159</v>
      </c>
      <c r="N483">
        <v>40.001165</v>
      </c>
      <c r="O483">
        <v>-111.487146</v>
      </c>
      <c r="P483">
        <v>5395.9800539999997</v>
      </c>
      <c r="Q483">
        <v>1332</v>
      </c>
      <c r="R483">
        <v>0</v>
      </c>
    </row>
    <row r="484" spans="1:18" x14ac:dyDescent="0.25">
      <c r="A484">
        <v>483</v>
      </c>
      <c r="B484">
        <v>94</v>
      </c>
      <c r="C484" t="e">
        <f>-JMJ-tHPHdqHqX-m5Vb2iV</f>
        <v>#NAME?</v>
      </c>
      <c r="D484" t="s">
        <v>338</v>
      </c>
      <c r="E484">
        <v>13.101000000000001</v>
      </c>
      <c r="F484" t="s">
        <v>21</v>
      </c>
      <c r="G484" t="s">
        <v>20</v>
      </c>
      <c r="H484" t="s">
        <v>21</v>
      </c>
      <c r="I484" t="s">
        <v>20</v>
      </c>
      <c r="J484" t="s">
        <v>20</v>
      </c>
      <c r="K484" t="s">
        <v>27</v>
      </c>
      <c r="L484" t="s">
        <v>72</v>
      </c>
      <c r="M484" t="s">
        <v>73</v>
      </c>
      <c r="N484">
        <v>37.118594999999999</v>
      </c>
      <c r="O484">
        <v>-113.17299800000001</v>
      </c>
      <c r="P484">
        <v>4549.7193550000002</v>
      </c>
      <c r="Q484">
        <v>315</v>
      </c>
      <c r="R484">
        <v>0</v>
      </c>
    </row>
    <row r="485" spans="1:18" x14ac:dyDescent="0.25">
      <c r="A485">
        <v>484</v>
      </c>
      <c r="B485">
        <v>94</v>
      </c>
      <c r="C485">
        <v>31502975</v>
      </c>
      <c r="D485" t="s">
        <v>224</v>
      </c>
      <c r="E485">
        <v>13.112</v>
      </c>
      <c r="F485" t="s">
        <v>19</v>
      </c>
      <c r="G485" t="s">
        <v>20</v>
      </c>
      <c r="H485" t="s">
        <v>21</v>
      </c>
      <c r="I485" t="s">
        <v>20</v>
      </c>
      <c r="J485" t="s">
        <v>20</v>
      </c>
      <c r="K485" t="s">
        <v>22</v>
      </c>
      <c r="L485" t="s">
        <v>140</v>
      </c>
      <c r="M485" t="s">
        <v>194</v>
      </c>
      <c r="N485">
        <v>40.104348999999999</v>
      </c>
      <c r="O485">
        <v>-111.640767</v>
      </c>
      <c r="P485">
        <v>4650.1496880000004</v>
      </c>
      <c r="Q485">
        <v>408</v>
      </c>
      <c r="R485">
        <v>0</v>
      </c>
    </row>
    <row r="486" spans="1:18" x14ac:dyDescent="0.25">
      <c r="A486">
        <v>485</v>
      </c>
      <c r="B486">
        <v>94</v>
      </c>
      <c r="C486" t="e">
        <f>-Iov4zF_GLD7vLHc5GF7fk</f>
        <v>#NAME?</v>
      </c>
      <c r="D486" t="s">
        <v>176</v>
      </c>
      <c r="E486">
        <v>13.115</v>
      </c>
      <c r="F486" t="s">
        <v>21</v>
      </c>
      <c r="G486" t="s">
        <v>26</v>
      </c>
      <c r="H486" t="s">
        <v>21</v>
      </c>
      <c r="I486" t="s">
        <v>20</v>
      </c>
      <c r="J486" t="s">
        <v>20</v>
      </c>
      <c r="K486" t="s">
        <v>41</v>
      </c>
      <c r="L486" t="s">
        <v>181</v>
      </c>
      <c r="M486" t="s">
        <v>178</v>
      </c>
      <c r="N486">
        <v>41.612395999999997</v>
      </c>
      <c r="O486">
        <v>-112.12708600000001</v>
      </c>
      <c r="P486">
        <v>4205.7950300000002</v>
      </c>
      <c r="Q486">
        <v>1329</v>
      </c>
      <c r="R486">
        <v>0</v>
      </c>
    </row>
    <row r="487" spans="1:18" x14ac:dyDescent="0.25">
      <c r="A487">
        <v>486</v>
      </c>
      <c r="B487">
        <v>94</v>
      </c>
      <c r="C487">
        <v>31193734</v>
      </c>
      <c r="D487" t="s">
        <v>310</v>
      </c>
      <c r="E487">
        <v>13.121</v>
      </c>
      <c r="F487" t="s">
        <v>21</v>
      </c>
      <c r="G487" t="s">
        <v>26</v>
      </c>
      <c r="H487" t="s">
        <v>21</v>
      </c>
      <c r="I487" t="s">
        <v>20</v>
      </c>
      <c r="J487" t="s">
        <v>20</v>
      </c>
      <c r="K487" t="s">
        <v>31</v>
      </c>
      <c r="L487" t="s">
        <v>285</v>
      </c>
      <c r="M487" t="s">
        <v>206</v>
      </c>
      <c r="N487">
        <v>40.600312000000002</v>
      </c>
      <c r="O487">
        <v>-112.408742</v>
      </c>
      <c r="P487">
        <v>4236.3225179999999</v>
      </c>
      <c r="Q487">
        <v>1414</v>
      </c>
      <c r="R487">
        <v>0</v>
      </c>
    </row>
    <row r="488" spans="1:18" x14ac:dyDescent="0.25">
      <c r="A488">
        <v>487</v>
      </c>
      <c r="B488">
        <v>94</v>
      </c>
      <c r="C488">
        <v>31488541</v>
      </c>
      <c r="D488" t="s">
        <v>244</v>
      </c>
      <c r="E488">
        <v>13.122999999999999</v>
      </c>
      <c r="F488" t="s">
        <v>21</v>
      </c>
      <c r="G488" t="s">
        <v>26</v>
      </c>
      <c r="H488" t="s">
        <v>21</v>
      </c>
      <c r="I488" t="s">
        <v>20</v>
      </c>
      <c r="J488" t="s">
        <v>20</v>
      </c>
      <c r="K488" t="s">
        <v>27</v>
      </c>
      <c r="L488" t="s">
        <v>75</v>
      </c>
      <c r="M488" t="s">
        <v>58</v>
      </c>
      <c r="N488">
        <v>38.810482</v>
      </c>
      <c r="O488">
        <v>-111.938407</v>
      </c>
      <c r="P488">
        <v>5582.9000749999996</v>
      </c>
      <c r="Q488">
        <v>1340</v>
      </c>
      <c r="R488">
        <v>0</v>
      </c>
    </row>
    <row r="489" spans="1:18" x14ac:dyDescent="0.25">
      <c r="A489">
        <v>488</v>
      </c>
      <c r="B489">
        <v>94</v>
      </c>
      <c r="C489">
        <v>31502986</v>
      </c>
      <c r="D489" t="s">
        <v>224</v>
      </c>
      <c r="E489">
        <v>13.132</v>
      </c>
      <c r="F489" t="s">
        <v>19</v>
      </c>
      <c r="G489" t="s">
        <v>20</v>
      </c>
      <c r="H489" t="s">
        <v>21</v>
      </c>
      <c r="I489" t="s">
        <v>20</v>
      </c>
      <c r="J489" t="s">
        <v>20</v>
      </c>
      <c r="K489" t="s">
        <v>22</v>
      </c>
      <c r="L489" t="s">
        <v>140</v>
      </c>
      <c r="M489" t="s">
        <v>194</v>
      </c>
      <c r="N489">
        <v>40.104174</v>
      </c>
      <c r="O489">
        <v>-111.64046500000001</v>
      </c>
      <c r="P489">
        <v>4652.0145270000003</v>
      </c>
      <c r="Q489">
        <v>408</v>
      </c>
      <c r="R489">
        <v>0</v>
      </c>
    </row>
    <row r="490" spans="1:18" x14ac:dyDescent="0.25">
      <c r="A490">
        <v>489</v>
      </c>
      <c r="B490">
        <v>94</v>
      </c>
      <c r="C490">
        <v>31740522</v>
      </c>
      <c r="D490" t="s">
        <v>336</v>
      </c>
      <c r="E490">
        <v>13.151</v>
      </c>
      <c r="F490" t="s">
        <v>21</v>
      </c>
      <c r="G490" t="s">
        <v>20</v>
      </c>
      <c r="H490" t="s">
        <v>21</v>
      </c>
      <c r="I490" t="s">
        <v>20</v>
      </c>
      <c r="J490" t="s">
        <v>20</v>
      </c>
      <c r="K490" t="s">
        <v>31</v>
      </c>
      <c r="L490" t="s">
        <v>32</v>
      </c>
      <c r="M490" t="s">
        <v>33</v>
      </c>
      <c r="N490">
        <v>40.633203000000002</v>
      </c>
      <c r="O490">
        <v>-111.610986</v>
      </c>
      <c r="P490">
        <v>7713.5623539999997</v>
      </c>
      <c r="Q490">
        <v>404</v>
      </c>
      <c r="R490">
        <v>0</v>
      </c>
    </row>
    <row r="491" spans="1:18" x14ac:dyDescent="0.25">
      <c r="A491">
        <v>490</v>
      </c>
      <c r="B491">
        <v>94</v>
      </c>
      <c r="C491">
        <v>1529522</v>
      </c>
      <c r="D491" t="s">
        <v>88</v>
      </c>
      <c r="E491">
        <v>13.157</v>
      </c>
      <c r="F491" t="s">
        <v>21</v>
      </c>
      <c r="G491" t="s">
        <v>26</v>
      </c>
      <c r="H491" t="s">
        <v>21</v>
      </c>
      <c r="I491" t="s">
        <v>20</v>
      </c>
      <c r="J491" t="s">
        <v>20</v>
      </c>
      <c r="K491" t="s">
        <v>31</v>
      </c>
      <c r="L491" t="s">
        <v>32</v>
      </c>
      <c r="M491" t="s">
        <v>90</v>
      </c>
      <c r="N491">
        <v>40.628900000000002</v>
      </c>
      <c r="O491">
        <v>-111.865981</v>
      </c>
      <c r="P491">
        <v>4356.6030970000002</v>
      </c>
      <c r="Q491">
        <v>318</v>
      </c>
      <c r="R491">
        <v>0</v>
      </c>
    </row>
    <row r="492" spans="1:18" x14ac:dyDescent="0.25">
      <c r="A492">
        <v>491</v>
      </c>
      <c r="B492">
        <v>94</v>
      </c>
      <c r="C492">
        <v>31817578</v>
      </c>
      <c r="D492" t="s">
        <v>61</v>
      </c>
      <c r="E492">
        <v>13.162000000000001</v>
      </c>
      <c r="F492" t="s">
        <v>21</v>
      </c>
      <c r="G492" t="s">
        <v>26</v>
      </c>
      <c r="H492" t="s">
        <v>21</v>
      </c>
      <c r="I492" t="s">
        <v>20</v>
      </c>
      <c r="J492" t="s">
        <v>20</v>
      </c>
      <c r="K492" t="s">
        <v>22</v>
      </c>
      <c r="L492" t="s">
        <v>60</v>
      </c>
      <c r="M492" t="s">
        <v>62</v>
      </c>
      <c r="N492">
        <v>40.356475000000003</v>
      </c>
      <c r="O492">
        <v>-111.573604</v>
      </c>
      <c r="P492">
        <v>5141.0008639999996</v>
      </c>
      <c r="Q492">
        <v>403</v>
      </c>
      <c r="R492">
        <v>0</v>
      </c>
    </row>
    <row r="493" spans="1:18" x14ac:dyDescent="0.25">
      <c r="A493">
        <v>492</v>
      </c>
      <c r="B493">
        <v>94</v>
      </c>
      <c r="C493">
        <v>31519132</v>
      </c>
      <c r="D493" t="s">
        <v>309</v>
      </c>
      <c r="E493">
        <v>13.167</v>
      </c>
      <c r="F493" t="s">
        <v>21</v>
      </c>
      <c r="G493" t="s">
        <v>26</v>
      </c>
      <c r="H493" t="s">
        <v>19</v>
      </c>
      <c r="I493">
        <v>51</v>
      </c>
      <c r="J493" t="s">
        <v>20</v>
      </c>
      <c r="K493" t="s">
        <v>22</v>
      </c>
      <c r="L493" t="s">
        <v>140</v>
      </c>
      <c r="M493" t="s">
        <v>125</v>
      </c>
      <c r="N493">
        <v>40.115169999999999</v>
      </c>
      <c r="O493">
        <v>-111.635115</v>
      </c>
      <c r="P493">
        <v>4607.3101969999998</v>
      </c>
      <c r="Q493">
        <v>339</v>
      </c>
      <c r="R493">
        <v>0</v>
      </c>
    </row>
    <row r="494" spans="1:18" x14ac:dyDescent="0.25">
      <c r="A494">
        <v>493</v>
      </c>
      <c r="B494">
        <v>94</v>
      </c>
      <c r="C494">
        <v>31287067</v>
      </c>
      <c r="D494" t="s">
        <v>305</v>
      </c>
      <c r="E494">
        <v>13.167999999999999</v>
      </c>
      <c r="F494" t="s">
        <v>21</v>
      </c>
      <c r="G494" t="s">
        <v>20</v>
      </c>
      <c r="H494" t="s">
        <v>21</v>
      </c>
      <c r="I494" t="s">
        <v>20</v>
      </c>
      <c r="J494" t="s">
        <v>20</v>
      </c>
      <c r="K494" t="s">
        <v>22</v>
      </c>
      <c r="L494" t="s">
        <v>133</v>
      </c>
      <c r="M494" t="s">
        <v>235</v>
      </c>
      <c r="N494">
        <v>40.265498999999998</v>
      </c>
      <c r="O494">
        <v>-109.68463300000001</v>
      </c>
      <c r="P494">
        <v>4961.0674479999998</v>
      </c>
      <c r="Q494">
        <v>1383</v>
      </c>
      <c r="R494">
        <v>0</v>
      </c>
    </row>
    <row r="495" spans="1:18" x14ac:dyDescent="0.25">
      <c r="A495">
        <v>494</v>
      </c>
      <c r="B495">
        <v>94</v>
      </c>
      <c r="C495">
        <v>31194177</v>
      </c>
      <c r="D495" t="s">
        <v>339</v>
      </c>
      <c r="E495">
        <v>13.188000000000001</v>
      </c>
      <c r="F495" t="s">
        <v>21</v>
      </c>
      <c r="G495" t="s">
        <v>26</v>
      </c>
      <c r="H495" t="s">
        <v>21</v>
      </c>
      <c r="I495" t="s">
        <v>20</v>
      </c>
      <c r="J495" t="s">
        <v>20</v>
      </c>
      <c r="K495" t="s">
        <v>41</v>
      </c>
      <c r="L495" t="s">
        <v>95</v>
      </c>
      <c r="M495" t="s">
        <v>73</v>
      </c>
      <c r="N495">
        <v>41.924917999999998</v>
      </c>
      <c r="O495">
        <v>-111.894733</v>
      </c>
      <c r="P495">
        <v>4403.3095819999999</v>
      </c>
      <c r="Q495">
        <v>1417</v>
      </c>
      <c r="R495">
        <v>0</v>
      </c>
    </row>
    <row r="496" spans="1:18" x14ac:dyDescent="0.25">
      <c r="A496">
        <v>495</v>
      </c>
      <c r="B496">
        <v>94</v>
      </c>
      <c r="C496">
        <v>31290468</v>
      </c>
      <c r="D496" t="s">
        <v>315</v>
      </c>
      <c r="E496">
        <v>13.198</v>
      </c>
      <c r="F496" t="s">
        <v>21</v>
      </c>
      <c r="G496" t="s">
        <v>26</v>
      </c>
      <c r="H496" t="s">
        <v>21</v>
      </c>
      <c r="I496" t="s">
        <v>20</v>
      </c>
      <c r="J496" t="s">
        <v>20</v>
      </c>
      <c r="K496" t="s">
        <v>27</v>
      </c>
      <c r="L496" t="s">
        <v>111</v>
      </c>
      <c r="M496" t="s">
        <v>243</v>
      </c>
      <c r="N496">
        <v>39.263815000000001</v>
      </c>
      <c r="O496">
        <v>-111.123611</v>
      </c>
      <c r="P496">
        <v>6004.5514089999997</v>
      </c>
      <c r="Q496">
        <v>307</v>
      </c>
      <c r="R496">
        <v>0</v>
      </c>
    </row>
    <row r="497" spans="1:18" x14ac:dyDescent="0.25">
      <c r="A497">
        <v>496</v>
      </c>
      <c r="B497">
        <v>94</v>
      </c>
      <c r="C497">
        <v>31524048</v>
      </c>
      <c r="D497" t="s">
        <v>309</v>
      </c>
      <c r="E497">
        <v>13.204000000000001</v>
      </c>
      <c r="F497" t="s">
        <v>21</v>
      </c>
      <c r="G497" t="s">
        <v>20</v>
      </c>
      <c r="H497" t="s">
        <v>21</v>
      </c>
      <c r="I497" t="s">
        <v>20</v>
      </c>
      <c r="J497" t="s">
        <v>20</v>
      </c>
      <c r="K497" t="s">
        <v>22</v>
      </c>
      <c r="L497" t="s">
        <v>140</v>
      </c>
      <c r="M497" t="s">
        <v>125</v>
      </c>
      <c r="N497">
        <v>40.115231000000001</v>
      </c>
      <c r="O497">
        <v>-111.634424</v>
      </c>
      <c r="P497">
        <v>4618.5359280000002</v>
      </c>
      <c r="Q497">
        <v>339</v>
      </c>
      <c r="R497">
        <v>0</v>
      </c>
    </row>
    <row r="498" spans="1:18" x14ac:dyDescent="0.25">
      <c r="A498">
        <v>497</v>
      </c>
      <c r="B498">
        <v>94</v>
      </c>
      <c r="C498">
        <v>31502997</v>
      </c>
      <c r="D498" t="s">
        <v>224</v>
      </c>
      <c r="E498">
        <v>13.218</v>
      </c>
      <c r="F498" t="s">
        <v>21</v>
      </c>
      <c r="G498" t="s">
        <v>26</v>
      </c>
      <c r="H498" t="s">
        <v>21</v>
      </c>
      <c r="I498" t="s">
        <v>20</v>
      </c>
      <c r="J498" t="s">
        <v>20</v>
      </c>
      <c r="K498" t="s">
        <v>22</v>
      </c>
      <c r="L498" t="s">
        <v>140</v>
      </c>
      <c r="M498" t="s">
        <v>194</v>
      </c>
      <c r="N498">
        <v>40.103439999999999</v>
      </c>
      <c r="O498">
        <v>-111.639166</v>
      </c>
      <c r="P498">
        <v>4657.7283180000004</v>
      </c>
      <c r="Q498">
        <v>408</v>
      </c>
      <c r="R498">
        <v>0</v>
      </c>
    </row>
    <row r="499" spans="1:18" x14ac:dyDescent="0.25">
      <c r="A499">
        <v>498</v>
      </c>
      <c r="B499">
        <v>94</v>
      </c>
      <c r="C499">
        <v>31534132</v>
      </c>
      <c r="D499" t="s">
        <v>231</v>
      </c>
      <c r="E499">
        <v>13.222</v>
      </c>
      <c r="F499" t="s">
        <v>21</v>
      </c>
      <c r="G499" t="s">
        <v>26</v>
      </c>
      <c r="H499" t="s">
        <v>21</v>
      </c>
      <c r="I499" t="s">
        <v>20</v>
      </c>
      <c r="J499" t="s">
        <v>20</v>
      </c>
      <c r="K499" t="s">
        <v>41</v>
      </c>
      <c r="L499" t="s">
        <v>57</v>
      </c>
      <c r="M499" t="s">
        <v>93</v>
      </c>
      <c r="N499">
        <v>41.226936000000002</v>
      </c>
      <c r="O499">
        <v>-112.025617</v>
      </c>
      <c r="P499">
        <v>4229.4320630000002</v>
      </c>
      <c r="Q499">
        <v>1409</v>
      </c>
      <c r="R499">
        <v>0</v>
      </c>
    </row>
    <row r="500" spans="1:18" x14ac:dyDescent="0.25">
      <c r="A500">
        <v>499</v>
      </c>
      <c r="B500">
        <v>94</v>
      </c>
      <c r="C500">
        <v>31429337</v>
      </c>
      <c r="D500" t="s">
        <v>333</v>
      </c>
      <c r="E500">
        <v>19.600000000000001</v>
      </c>
      <c r="F500" t="s">
        <v>19</v>
      </c>
      <c r="G500" t="s">
        <v>20</v>
      </c>
      <c r="H500" t="s">
        <v>21</v>
      </c>
      <c r="I500" t="s">
        <v>20</v>
      </c>
      <c r="J500" t="s">
        <v>20</v>
      </c>
      <c r="K500" t="s">
        <v>31</v>
      </c>
      <c r="L500" t="s">
        <v>78</v>
      </c>
      <c r="M500" t="s">
        <v>49</v>
      </c>
      <c r="N500">
        <v>40.706024999999997</v>
      </c>
      <c r="O500">
        <v>-111.98010600000001</v>
      </c>
      <c r="P500">
        <v>4195.8530979999996</v>
      </c>
      <c r="Q500">
        <v>1426</v>
      </c>
      <c r="R500">
        <v>0</v>
      </c>
    </row>
    <row r="501" spans="1:18" x14ac:dyDescent="0.25">
      <c r="A501">
        <v>500</v>
      </c>
      <c r="B501">
        <v>94</v>
      </c>
      <c r="C501">
        <v>31432012</v>
      </c>
      <c r="D501" t="s">
        <v>319</v>
      </c>
      <c r="E501">
        <v>19.600000000000001</v>
      </c>
      <c r="F501" t="s">
        <v>21</v>
      </c>
      <c r="G501" t="s">
        <v>26</v>
      </c>
      <c r="H501" t="s">
        <v>21</v>
      </c>
      <c r="I501" t="s">
        <v>20</v>
      </c>
      <c r="J501" t="s">
        <v>20</v>
      </c>
      <c r="K501" t="s">
        <v>27</v>
      </c>
      <c r="L501" t="s">
        <v>162</v>
      </c>
      <c r="M501" t="s">
        <v>55</v>
      </c>
      <c r="N501">
        <v>37.742339999999999</v>
      </c>
      <c r="O501">
        <v>-113.747789</v>
      </c>
      <c r="P501">
        <v>5123.7378269999999</v>
      </c>
      <c r="Q501">
        <v>314</v>
      </c>
      <c r="R501">
        <v>0</v>
      </c>
    </row>
    <row r="502" spans="1:18" x14ac:dyDescent="0.25">
      <c r="A502">
        <v>501</v>
      </c>
      <c r="B502">
        <v>94</v>
      </c>
      <c r="C502">
        <v>1557748</v>
      </c>
      <c r="D502" t="s">
        <v>88</v>
      </c>
      <c r="E502">
        <v>19.616</v>
      </c>
      <c r="F502" t="s">
        <v>19</v>
      </c>
      <c r="G502" t="s">
        <v>20</v>
      </c>
      <c r="H502" t="s">
        <v>21</v>
      </c>
      <c r="I502" t="s">
        <v>20</v>
      </c>
      <c r="J502" t="s">
        <v>20</v>
      </c>
      <c r="K502" t="s">
        <v>31</v>
      </c>
      <c r="L502" t="s">
        <v>66</v>
      </c>
      <c r="M502" t="s">
        <v>90</v>
      </c>
      <c r="N502">
        <v>40.719265</v>
      </c>
      <c r="O502">
        <v>-111.871227</v>
      </c>
      <c r="P502">
        <v>4247.1126100000001</v>
      </c>
      <c r="Q502">
        <v>318</v>
      </c>
      <c r="R502">
        <v>0</v>
      </c>
    </row>
    <row r="503" spans="1:18" x14ac:dyDescent="0.25">
      <c r="A503">
        <v>502</v>
      </c>
      <c r="B503">
        <v>94</v>
      </c>
      <c r="C503" t="e">
        <f>-JNLMtatG6Hm9C1OmDwzVV</f>
        <v>#NAME?</v>
      </c>
      <c r="D503" t="s">
        <v>124</v>
      </c>
      <c r="E503">
        <v>19.649999999999999</v>
      </c>
      <c r="F503" t="s">
        <v>21</v>
      </c>
      <c r="G503" t="s">
        <v>20</v>
      </c>
      <c r="H503" t="s">
        <v>21</v>
      </c>
      <c r="I503" t="s">
        <v>20</v>
      </c>
      <c r="J503" t="s">
        <v>20</v>
      </c>
      <c r="K503" t="s">
        <v>22</v>
      </c>
      <c r="L503" t="s">
        <v>193</v>
      </c>
      <c r="M503" t="s">
        <v>194</v>
      </c>
      <c r="N503">
        <v>40.214616999999997</v>
      </c>
      <c r="O503">
        <v>-111.887265</v>
      </c>
      <c r="P503">
        <v>4672.2723660000001</v>
      </c>
      <c r="Q503">
        <v>1368</v>
      </c>
      <c r="R503">
        <v>0</v>
      </c>
    </row>
    <row r="504" spans="1:18" x14ac:dyDescent="0.25">
      <c r="A504">
        <v>503</v>
      </c>
      <c r="B504">
        <v>94</v>
      </c>
      <c r="C504" t="e">
        <f>-JO9J8npGQ1ZPeg8WhlT-V</f>
        <v>#NAME?</v>
      </c>
      <c r="D504" t="s">
        <v>340</v>
      </c>
      <c r="E504">
        <v>13.321</v>
      </c>
      <c r="F504" t="s">
        <v>21</v>
      </c>
      <c r="G504" t="s">
        <v>26</v>
      </c>
      <c r="H504" t="s">
        <v>21</v>
      </c>
      <c r="I504" t="s">
        <v>20</v>
      </c>
      <c r="J504" t="s">
        <v>20</v>
      </c>
      <c r="K504" t="s">
        <v>27</v>
      </c>
      <c r="L504" t="s">
        <v>72</v>
      </c>
      <c r="M504" t="s">
        <v>163</v>
      </c>
      <c r="N504">
        <v>37.106977999999998</v>
      </c>
      <c r="O504">
        <v>-113.396771</v>
      </c>
      <c r="P504">
        <v>3016.0038749999999</v>
      </c>
      <c r="Q504">
        <v>6516</v>
      </c>
      <c r="R504">
        <v>0</v>
      </c>
    </row>
    <row r="505" spans="1:18" x14ac:dyDescent="0.25">
      <c r="A505">
        <v>504</v>
      </c>
      <c r="B505">
        <v>94</v>
      </c>
      <c r="C505">
        <v>31503208</v>
      </c>
      <c r="D505" t="s">
        <v>224</v>
      </c>
      <c r="E505">
        <v>13.323</v>
      </c>
      <c r="F505" t="s">
        <v>21</v>
      </c>
      <c r="G505" t="s">
        <v>26</v>
      </c>
      <c r="H505" t="s">
        <v>21</v>
      </c>
      <c r="I505" t="s">
        <v>20</v>
      </c>
      <c r="J505" t="s">
        <v>20</v>
      </c>
      <c r="K505" t="s">
        <v>22</v>
      </c>
      <c r="L505" t="s">
        <v>140</v>
      </c>
      <c r="M505" t="s">
        <v>194</v>
      </c>
      <c r="N505">
        <v>40.102516000000001</v>
      </c>
      <c r="O505">
        <v>-111.637547</v>
      </c>
      <c r="P505">
        <v>4661.840886</v>
      </c>
      <c r="Q505">
        <v>408</v>
      </c>
      <c r="R505">
        <v>0</v>
      </c>
    </row>
    <row r="506" spans="1:18" x14ac:dyDescent="0.25">
      <c r="A506">
        <v>505</v>
      </c>
      <c r="B506">
        <v>94</v>
      </c>
      <c r="C506">
        <v>31507632</v>
      </c>
      <c r="D506" t="s">
        <v>292</v>
      </c>
      <c r="E506">
        <v>13.33</v>
      </c>
      <c r="F506" t="s">
        <v>21</v>
      </c>
      <c r="G506" t="s">
        <v>26</v>
      </c>
      <c r="H506" t="s">
        <v>21</v>
      </c>
      <c r="I506" t="s">
        <v>20</v>
      </c>
      <c r="J506" t="s">
        <v>20</v>
      </c>
      <c r="K506" t="s">
        <v>22</v>
      </c>
      <c r="L506" t="s">
        <v>253</v>
      </c>
      <c r="M506" t="s">
        <v>134</v>
      </c>
      <c r="N506">
        <v>40.339849999999998</v>
      </c>
      <c r="O506">
        <v>-110.407894</v>
      </c>
      <c r="P506">
        <v>6687.6030309999996</v>
      </c>
      <c r="Q506">
        <v>323</v>
      </c>
      <c r="R506">
        <v>0</v>
      </c>
    </row>
    <row r="507" spans="1:18" x14ac:dyDescent="0.25">
      <c r="A507">
        <v>506</v>
      </c>
      <c r="B507">
        <v>94</v>
      </c>
      <c r="C507">
        <v>1116050</v>
      </c>
      <c r="D507" t="s">
        <v>171</v>
      </c>
      <c r="E507">
        <v>13.333</v>
      </c>
      <c r="F507" t="s">
        <v>21</v>
      </c>
      <c r="G507" t="s">
        <v>26</v>
      </c>
      <c r="H507" t="s">
        <v>21</v>
      </c>
      <c r="I507" t="s">
        <v>20</v>
      </c>
      <c r="J507" t="s">
        <v>20</v>
      </c>
      <c r="K507" t="s">
        <v>31</v>
      </c>
      <c r="L507" t="s">
        <v>188</v>
      </c>
      <c r="M507" t="s">
        <v>79</v>
      </c>
      <c r="N507">
        <v>40.699910000000003</v>
      </c>
      <c r="O507">
        <v>-111.838823</v>
      </c>
      <c r="P507">
        <v>4445.7474359999997</v>
      </c>
      <c r="Q507">
        <v>346</v>
      </c>
      <c r="R507">
        <v>0</v>
      </c>
    </row>
    <row r="508" spans="1:18" x14ac:dyDescent="0.25">
      <c r="A508">
        <v>507</v>
      </c>
      <c r="B508">
        <v>94</v>
      </c>
      <c r="C508" t="e">
        <f>-JNQRdJ5HBaFXSSC68i2Ek</f>
        <v>#NAME?</v>
      </c>
      <c r="D508" t="s">
        <v>310</v>
      </c>
      <c r="E508">
        <v>13.333</v>
      </c>
      <c r="F508" t="s">
        <v>21</v>
      </c>
      <c r="G508" t="s">
        <v>26</v>
      </c>
      <c r="H508" t="s">
        <v>21</v>
      </c>
      <c r="I508" t="s">
        <v>20</v>
      </c>
      <c r="J508" t="s">
        <v>20</v>
      </c>
      <c r="K508" t="s">
        <v>31</v>
      </c>
      <c r="L508" t="s">
        <v>285</v>
      </c>
      <c r="M508" t="s">
        <v>206</v>
      </c>
      <c r="N508">
        <v>40.601294000000003</v>
      </c>
      <c r="O508">
        <v>-112.404932</v>
      </c>
      <c r="P508">
        <v>4239.8428540000004</v>
      </c>
      <c r="Q508">
        <v>1414</v>
      </c>
      <c r="R508">
        <v>0</v>
      </c>
    </row>
    <row r="509" spans="1:18" x14ac:dyDescent="0.25">
      <c r="A509">
        <v>508</v>
      </c>
      <c r="B509">
        <v>94</v>
      </c>
      <c r="C509">
        <v>31287078</v>
      </c>
      <c r="D509" t="s">
        <v>305</v>
      </c>
      <c r="E509">
        <v>13.334</v>
      </c>
      <c r="F509" t="s">
        <v>21</v>
      </c>
      <c r="G509" t="s">
        <v>20</v>
      </c>
      <c r="H509" t="s">
        <v>21</v>
      </c>
      <c r="I509" t="s">
        <v>20</v>
      </c>
      <c r="J509" t="s">
        <v>20</v>
      </c>
      <c r="K509" t="s">
        <v>22</v>
      </c>
      <c r="L509" t="s">
        <v>133</v>
      </c>
      <c r="M509" t="s">
        <v>235</v>
      </c>
      <c r="N509">
        <v>40.267791000000003</v>
      </c>
      <c r="O509">
        <v>-109.68369199999999</v>
      </c>
      <c r="P509">
        <v>4980.8312530000003</v>
      </c>
      <c r="Q509">
        <v>1383</v>
      </c>
      <c r="R509">
        <v>0</v>
      </c>
    </row>
    <row r="510" spans="1:18" x14ac:dyDescent="0.25">
      <c r="A510">
        <v>509</v>
      </c>
      <c r="B510">
        <v>94</v>
      </c>
      <c r="C510" t="e">
        <f>-IpTxGpsFiiLJQ2j04Vb3F</f>
        <v>#NAME?</v>
      </c>
      <c r="D510" t="s">
        <v>171</v>
      </c>
      <c r="E510">
        <v>13.34</v>
      </c>
      <c r="F510" t="s">
        <v>21</v>
      </c>
      <c r="G510" t="s">
        <v>26</v>
      </c>
      <c r="H510" t="s">
        <v>21</v>
      </c>
      <c r="I510" t="s">
        <v>20</v>
      </c>
      <c r="J510" t="s">
        <v>20</v>
      </c>
      <c r="K510" t="s">
        <v>31</v>
      </c>
      <c r="L510" t="s">
        <v>188</v>
      </c>
      <c r="M510" t="s">
        <v>79</v>
      </c>
      <c r="N510">
        <v>40.699910000000003</v>
      </c>
      <c r="O510">
        <v>-111.838707</v>
      </c>
      <c r="P510">
        <v>4446.4454480000004</v>
      </c>
      <c r="Q510">
        <v>346</v>
      </c>
      <c r="R510">
        <v>0</v>
      </c>
    </row>
    <row r="511" spans="1:18" x14ac:dyDescent="0.25">
      <c r="A511">
        <v>510</v>
      </c>
      <c r="B511">
        <v>94</v>
      </c>
      <c r="C511">
        <v>1529769</v>
      </c>
      <c r="D511" t="s">
        <v>88</v>
      </c>
      <c r="E511">
        <v>13.342000000000001</v>
      </c>
      <c r="F511" t="s">
        <v>19</v>
      </c>
      <c r="G511" t="s">
        <v>20</v>
      </c>
      <c r="H511" t="s">
        <v>21</v>
      </c>
      <c r="I511" t="s">
        <v>20</v>
      </c>
      <c r="J511" t="s">
        <v>20</v>
      </c>
      <c r="K511" t="s">
        <v>31</v>
      </c>
      <c r="L511" t="s">
        <v>32</v>
      </c>
      <c r="M511" t="s">
        <v>90</v>
      </c>
      <c r="N511">
        <v>40.631582999999999</v>
      </c>
      <c r="O511">
        <v>-111.865988</v>
      </c>
      <c r="P511">
        <v>4346.6275880000003</v>
      </c>
      <c r="Q511">
        <v>318</v>
      </c>
      <c r="R511">
        <v>0</v>
      </c>
    </row>
    <row r="512" spans="1:18" x14ac:dyDescent="0.25">
      <c r="A512">
        <v>511</v>
      </c>
      <c r="B512">
        <v>94</v>
      </c>
      <c r="C512">
        <v>31534143</v>
      </c>
      <c r="D512" t="s">
        <v>231</v>
      </c>
      <c r="E512">
        <v>13.343999999999999</v>
      </c>
      <c r="F512" t="s">
        <v>19</v>
      </c>
      <c r="G512" t="s">
        <v>20</v>
      </c>
      <c r="H512" t="s">
        <v>19</v>
      </c>
      <c r="I512">
        <v>104</v>
      </c>
      <c r="J512" t="s">
        <v>20</v>
      </c>
      <c r="K512" t="s">
        <v>41</v>
      </c>
      <c r="L512" t="s">
        <v>57</v>
      </c>
      <c r="M512" t="s">
        <v>93</v>
      </c>
      <c r="N512">
        <v>41.228696999999997</v>
      </c>
      <c r="O512">
        <v>-112.025581</v>
      </c>
      <c r="P512">
        <v>4223.092928</v>
      </c>
      <c r="Q512">
        <v>1409</v>
      </c>
      <c r="R512">
        <v>0</v>
      </c>
    </row>
    <row r="513" spans="1:18" x14ac:dyDescent="0.25">
      <c r="A513">
        <v>512</v>
      </c>
      <c r="B513">
        <v>94</v>
      </c>
      <c r="C513">
        <v>31391493</v>
      </c>
      <c r="D513" t="s">
        <v>124</v>
      </c>
      <c r="E513">
        <v>13.378</v>
      </c>
      <c r="F513" t="s">
        <v>21</v>
      </c>
      <c r="G513" t="s">
        <v>20</v>
      </c>
      <c r="H513" t="s">
        <v>21</v>
      </c>
      <c r="I513" t="s">
        <v>20</v>
      </c>
      <c r="J513" t="s">
        <v>20</v>
      </c>
      <c r="K513" t="s">
        <v>22</v>
      </c>
      <c r="L513" t="s">
        <v>193</v>
      </c>
      <c r="M513" t="s">
        <v>194</v>
      </c>
      <c r="N513">
        <v>40.143701</v>
      </c>
      <c r="O513">
        <v>-111.949618</v>
      </c>
      <c r="P513">
        <v>4512.3593380000002</v>
      </c>
      <c r="Q513">
        <v>1368</v>
      </c>
      <c r="R513">
        <v>0</v>
      </c>
    </row>
    <row r="514" spans="1:18" x14ac:dyDescent="0.25">
      <c r="A514">
        <v>513</v>
      </c>
      <c r="B514">
        <v>94</v>
      </c>
      <c r="C514">
        <v>31780750</v>
      </c>
      <c r="D514" t="s">
        <v>272</v>
      </c>
      <c r="E514">
        <v>13.378</v>
      </c>
      <c r="F514" t="s">
        <v>21</v>
      </c>
      <c r="G514" t="s">
        <v>26</v>
      </c>
      <c r="H514" t="s">
        <v>21</v>
      </c>
      <c r="I514" t="s">
        <v>20</v>
      </c>
      <c r="J514" t="s">
        <v>20</v>
      </c>
      <c r="K514" t="s">
        <v>27</v>
      </c>
      <c r="L514" t="s">
        <v>259</v>
      </c>
      <c r="M514" t="s">
        <v>214</v>
      </c>
      <c r="N514">
        <v>37.096451999999999</v>
      </c>
      <c r="O514">
        <v>-111.769525</v>
      </c>
      <c r="P514">
        <v>4461.5547340000003</v>
      </c>
      <c r="Q514">
        <v>1384</v>
      </c>
      <c r="R514">
        <v>0</v>
      </c>
    </row>
    <row r="515" spans="1:18" x14ac:dyDescent="0.25">
      <c r="A515">
        <v>514</v>
      </c>
      <c r="B515">
        <v>94</v>
      </c>
      <c r="C515">
        <v>27854403</v>
      </c>
      <c r="D515" t="s">
        <v>136</v>
      </c>
      <c r="E515">
        <v>13.38</v>
      </c>
      <c r="F515" t="s">
        <v>21</v>
      </c>
      <c r="G515" t="s">
        <v>26</v>
      </c>
      <c r="H515" t="s">
        <v>21</v>
      </c>
      <c r="I515" t="s">
        <v>20</v>
      </c>
      <c r="J515" t="s">
        <v>20</v>
      </c>
      <c r="K515" t="s">
        <v>41</v>
      </c>
      <c r="L515" t="s">
        <v>137</v>
      </c>
      <c r="M515" t="s">
        <v>138</v>
      </c>
      <c r="N515">
        <v>41.044406000000002</v>
      </c>
      <c r="O515">
        <v>-111.677145</v>
      </c>
      <c r="P515">
        <v>5005.1954370000003</v>
      </c>
      <c r="Q515">
        <v>317</v>
      </c>
      <c r="R515">
        <v>0</v>
      </c>
    </row>
    <row r="516" spans="1:18" x14ac:dyDescent="0.25">
      <c r="A516">
        <v>515</v>
      </c>
      <c r="B516">
        <v>94</v>
      </c>
      <c r="C516">
        <v>31519429</v>
      </c>
      <c r="D516" t="s">
        <v>309</v>
      </c>
      <c r="E516">
        <v>13.382999999999999</v>
      </c>
      <c r="F516" t="s">
        <v>21</v>
      </c>
      <c r="G516" t="s">
        <v>26</v>
      </c>
      <c r="H516" t="s">
        <v>21</v>
      </c>
      <c r="I516" t="s">
        <v>20</v>
      </c>
      <c r="J516" t="s">
        <v>20</v>
      </c>
      <c r="K516" t="s">
        <v>22</v>
      </c>
      <c r="L516" t="s">
        <v>140</v>
      </c>
      <c r="M516" t="s">
        <v>125</v>
      </c>
      <c r="N516">
        <v>40.115298000000003</v>
      </c>
      <c r="O516">
        <v>-111.631049</v>
      </c>
      <c r="P516">
        <v>4649.8388400000003</v>
      </c>
      <c r="Q516">
        <v>339</v>
      </c>
      <c r="R516">
        <v>0</v>
      </c>
    </row>
    <row r="517" spans="1:18" x14ac:dyDescent="0.25">
      <c r="A517">
        <v>516</v>
      </c>
      <c r="B517">
        <v>94</v>
      </c>
      <c r="C517" t="e">
        <f>-Iq20NQDHt1ZlaagrMOkcF</f>
        <v>#NAME?</v>
      </c>
      <c r="D517" t="s">
        <v>272</v>
      </c>
      <c r="E517">
        <v>498.649</v>
      </c>
      <c r="F517" t="s">
        <v>21</v>
      </c>
      <c r="G517" t="s">
        <v>20</v>
      </c>
      <c r="H517" t="s">
        <v>21</v>
      </c>
      <c r="I517" t="s">
        <v>20</v>
      </c>
      <c r="J517" t="s">
        <v>20</v>
      </c>
      <c r="K517" t="s">
        <v>41</v>
      </c>
      <c r="L517" t="s">
        <v>325</v>
      </c>
      <c r="M517" t="s">
        <v>152</v>
      </c>
      <c r="N517">
        <v>41.948645999999997</v>
      </c>
      <c r="O517">
        <v>-111.393349</v>
      </c>
      <c r="P517">
        <v>5917.4876510000004</v>
      </c>
      <c r="Q517">
        <v>1384</v>
      </c>
      <c r="R517">
        <v>0</v>
      </c>
    </row>
    <row r="518" spans="1:18" x14ac:dyDescent="0.25">
      <c r="A518">
        <v>517</v>
      </c>
      <c r="B518">
        <v>94</v>
      </c>
      <c r="C518" t="e">
        <f>-IpZYg2RIOLJYscD-CMP6V</f>
        <v>#NAME?</v>
      </c>
      <c r="D518" t="s">
        <v>272</v>
      </c>
      <c r="E518">
        <v>498.72899999999998</v>
      </c>
      <c r="F518" t="s">
        <v>21</v>
      </c>
      <c r="G518" t="s">
        <v>26</v>
      </c>
      <c r="H518" t="s">
        <v>21</v>
      </c>
      <c r="I518" t="s">
        <v>20</v>
      </c>
      <c r="J518" t="s">
        <v>20</v>
      </c>
      <c r="K518" t="s">
        <v>41</v>
      </c>
      <c r="L518" t="s">
        <v>325</v>
      </c>
      <c r="M518" t="s">
        <v>152</v>
      </c>
      <c r="N518">
        <v>41.949800000000003</v>
      </c>
      <c r="O518">
        <v>-111.393305</v>
      </c>
      <c r="P518">
        <v>5913.80206</v>
      </c>
      <c r="Q518">
        <v>1384</v>
      </c>
      <c r="R518">
        <v>0</v>
      </c>
    </row>
    <row r="519" spans="1:18" x14ac:dyDescent="0.25">
      <c r="A519">
        <v>518</v>
      </c>
      <c r="B519">
        <v>94</v>
      </c>
      <c r="C519" t="e">
        <f>-IpZZbHSFjDMu_wmBCCijk</f>
        <v>#NAME?</v>
      </c>
      <c r="D519" t="s">
        <v>272</v>
      </c>
      <c r="E519">
        <v>498.92399999999998</v>
      </c>
      <c r="F519" t="s">
        <v>21</v>
      </c>
      <c r="G519" t="s">
        <v>20</v>
      </c>
      <c r="H519" t="s">
        <v>21</v>
      </c>
      <c r="I519" t="s">
        <v>20</v>
      </c>
      <c r="J519" t="s">
        <v>20</v>
      </c>
      <c r="K519" t="s">
        <v>41</v>
      </c>
      <c r="L519" t="s">
        <v>325</v>
      </c>
      <c r="M519" t="s">
        <v>152</v>
      </c>
      <c r="N519">
        <v>41.952601000000001</v>
      </c>
      <c r="O519">
        <v>-111.393522</v>
      </c>
      <c r="P519">
        <v>5907.8608599999998</v>
      </c>
      <c r="Q519">
        <v>1384</v>
      </c>
      <c r="R519">
        <v>0</v>
      </c>
    </row>
    <row r="520" spans="1:18" x14ac:dyDescent="0.25">
      <c r="A520">
        <v>519</v>
      </c>
      <c r="B520">
        <v>94</v>
      </c>
      <c r="C520" t="e">
        <f>-IpZZrtjH0XB62kjYiSaYF</f>
        <v>#NAME?</v>
      </c>
      <c r="D520" t="s">
        <v>272</v>
      </c>
      <c r="E520">
        <v>498.952</v>
      </c>
      <c r="F520" t="s">
        <v>21</v>
      </c>
      <c r="G520" t="s">
        <v>20</v>
      </c>
      <c r="H520" t="s">
        <v>21</v>
      </c>
      <c r="I520" t="s">
        <v>20</v>
      </c>
      <c r="J520" t="s">
        <v>20</v>
      </c>
      <c r="K520" t="s">
        <v>41</v>
      </c>
      <c r="L520" t="s">
        <v>325</v>
      </c>
      <c r="M520" t="s">
        <v>152</v>
      </c>
      <c r="N520">
        <v>41.952962999999997</v>
      </c>
      <c r="O520">
        <v>-111.393766</v>
      </c>
      <c r="P520">
        <v>5907.8290070000003</v>
      </c>
      <c r="Q520">
        <v>1384</v>
      </c>
      <c r="R520">
        <v>0</v>
      </c>
    </row>
    <row r="521" spans="1:18" x14ac:dyDescent="0.25">
      <c r="A521">
        <v>520</v>
      </c>
      <c r="B521">
        <v>94</v>
      </c>
      <c r="C521" t="s">
        <v>341</v>
      </c>
      <c r="D521" t="s">
        <v>272</v>
      </c>
      <c r="E521">
        <v>499.05599999999998</v>
      </c>
      <c r="F521" t="s">
        <v>21</v>
      </c>
      <c r="G521" t="s">
        <v>20</v>
      </c>
      <c r="H521" t="s">
        <v>21</v>
      </c>
      <c r="I521" t="s">
        <v>20</v>
      </c>
      <c r="J521" t="s">
        <v>20</v>
      </c>
      <c r="K521" t="s">
        <v>41</v>
      </c>
      <c r="L521" t="s">
        <v>325</v>
      </c>
      <c r="M521" t="s">
        <v>152</v>
      </c>
      <c r="N521">
        <v>41.954090000000001</v>
      </c>
      <c r="O521">
        <v>-111.395106</v>
      </c>
      <c r="P521">
        <v>5905.3694869999999</v>
      </c>
      <c r="Q521">
        <v>1384</v>
      </c>
      <c r="R521">
        <v>0</v>
      </c>
    </row>
    <row r="522" spans="1:18" x14ac:dyDescent="0.25">
      <c r="A522">
        <v>521</v>
      </c>
      <c r="B522">
        <v>94</v>
      </c>
      <c r="C522" t="e">
        <f>-IpZ_a0HI-LilBSFZI8RUF</f>
        <v>#NAME?</v>
      </c>
      <c r="D522" t="s">
        <v>272</v>
      </c>
      <c r="E522">
        <v>499.08199999999999</v>
      </c>
      <c r="F522" t="s">
        <v>21</v>
      </c>
      <c r="G522" t="s">
        <v>26</v>
      </c>
      <c r="H522" t="s">
        <v>21</v>
      </c>
      <c r="I522" t="s">
        <v>20</v>
      </c>
      <c r="J522" t="s">
        <v>20</v>
      </c>
      <c r="K522" t="s">
        <v>41</v>
      </c>
      <c r="L522" t="s">
        <v>325</v>
      </c>
      <c r="M522" t="s">
        <v>152</v>
      </c>
      <c r="N522">
        <v>41.954363999999998</v>
      </c>
      <c r="O522">
        <v>-111.395464</v>
      </c>
      <c r="P522">
        <v>5905.5724449999998</v>
      </c>
      <c r="Q522">
        <v>1384</v>
      </c>
      <c r="R522">
        <v>0</v>
      </c>
    </row>
    <row r="523" spans="1:18" x14ac:dyDescent="0.25">
      <c r="A523">
        <v>522</v>
      </c>
      <c r="B523">
        <v>94</v>
      </c>
      <c r="C523" t="e">
        <f>-IpZaSOjGb5uSLsKWoFNQV</f>
        <v>#NAME?</v>
      </c>
      <c r="D523" t="s">
        <v>272</v>
      </c>
      <c r="E523">
        <v>499.38</v>
      </c>
      <c r="F523" t="s">
        <v>21</v>
      </c>
      <c r="G523" t="s">
        <v>26</v>
      </c>
      <c r="H523" t="s">
        <v>21</v>
      </c>
      <c r="I523" t="s">
        <v>20</v>
      </c>
      <c r="J523" t="s">
        <v>20</v>
      </c>
      <c r="K523" t="s">
        <v>41</v>
      </c>
      <c r="L523" t="s">
        <v>325</v>
      </c>
      <c r="M523" t="s">
        <v>152</v>
      </c>
      <c r="N523">
        <v>41.957647999999999</v>
      </c>
      <c r="O523">
        <v>-111.39919500000001</v>
      </c>
      <c r="P523">
        <v>5895.5028849999999</v>
      </c>
      <c r="Q523">
        <v>1384</v>
      </c>
      <c r="R523">
        <v>0</v>
      </c>
    </row>
    <row r="524" spans="1:18" x14ac:dyDescent="0.25">
      <c r="A524">
        <v>523</v>
      </c>
      <c r="B524">
        <v>94</v>
      </c>
      <c r="C524" t="e">
        <f>-IpZbJwxFJa6Toj_WJTX8k</f>
        <v>#NAME?</v>
      </c>
      <c r="D524" t="s">
        <v>272</v>
      </c>
      <c r="E524">
        <v>499.51900000000001</v>
      </c>
      <c r="F524" t="s">
        <v>21</v>
      </c>
      <c r="G524" t="s">
        <v>26</v>
      </c>
      <c r="H524" t="s">
        <v>21</v>
      </c>
      <c r="I524" t="s">
        <v>20</v>
      </c>
      <c r="J524" t="s">
        <v>20</v>
      </c>
      <c r="K524" t="s">
        <v>41</v>
      </c>
      <c r="L524" t="s">
        <v>325</v>
      </c>
      <c r="M524" t="s">
        <v>152</v>
      </c>
      <c r="N524">
        <v>41.959498000000004</v>
      </c>
      <c r="O524">
        <v>-111.400294</v>
      </c>
      <c r="P524">
        <v>5893.5644320000001</v>
      </c>
      <c r="Q524">
        <v>1384</v>
      </c>
      <c r="R524">
        <v>0</v>
      </c>
    </row>
    <row r="525" spans="1:18" x14ac:dyDescent="0.25">
      <c r="A525">
        <v>524</v>
      </c>
      <c r="B525">
        <v>94</v>
      </c>
      <c r="C525">
        <v>31797518</v>
      </c>
      <c r="D525" t="s">
        <v>118</v>
      </c>
      <c r="E525">
        <v>113.13</v>
      </c>
      <c r="F525" t="s">
        <v>21</v>
      </c>
      <c r="G525" t="s">
        <v>26</v>
      </c>
      <c r="H525" t="s">
        <v>21</v>
      </c>
      <c r="I525" t="s">
        <v>20</v>
      </c>
      <c r="J525" t="s">
        <v>20</v>
      </c>
      <c r="K525" t="s">
        <v>22</v>
      </c>
      <c r="L525" t="s">
        <v>133</v>
      </c>
      <c r="M525" t="s">
        <v>169</v>
      </c>
      <c r="N525">
        <v>40.287368000000001</v>
      </c>
      <c r="O525">
        <v>-110.003326</v>
      </c>
      <c r="P525">
        <v>4990.9383369999996</v>
      </c>
      <c r="Q525">
        <v>310</v>
      </c>
      <c r="R525">
        <v>0</v>
      </c>
    </row>
    <row r="526" spans="1:18" x14ac:dyDescent="0.25">
      <c r="A526">
        <v>525</v>
      </c>
      <c r="B526">
        <v>94</v>
      </c>
      <c r="C526">
        <v>31814233</v>
      </c>
      <c r="D526" t="s">
        <v>290</v>
      </c>
      <c r="E526">
        <v>113.134</v>
      </c>
      <c r="F526" t="s">
        <v>21</v>
      </c>
      <c r="G526" t="s">
        <v>26</v>
      </c>
      <c r="H526" t="s">
        <v>21</v>
      </c>
      <c r="I526" t="s">
        <v>20</v>
      </c>
      <c r="J526" t="s">
        <v>20</v>
      </c>
      <c r="K526" t="s">
        <v>41</v>
      </c>
      <c r="L526" t="s">
        <v>325</v>
      </c>
      <c r="M526" t="s">
        <v>280</v>
      </c>
      <c r="N526">
        <v>41.906508000000002</v>
      </c>
      <c r="O526">
        <v>-111.38006</v>
      </c>
      <c r="P526">
        <v>5902.9667140000001</v>
      </c>
      <c r="Q526">
        <v>1343</v>
      </c>
      <c r="R526">
        <v>0</v>
      </c>
    </row>
    <row r="527" spans="1:18" x14ac:dyDescent="0.25">
      <c r="A527">
        <v>526</v>
      </c>
      <c r="B527">
        <v>94</v>
      </c>
      <c r="C527">
        <v>31797529</v>
      </c>
      <c r="D527" t="s">
        <v>118</v>
      </c>
      <c r="E527">
        <v>113.193</v>
      </c>
      <c r="F527" t="s">
        <v>21</v>
      </c>
      <c r="G527" t="s">
        <v>26</v>
      </c>
      <c r="H527" t="s">
        <v>21</v>
      </c>
      <c r="I527" t="s">
        <v>20</v>
      </c>
      <c r="J527" t="s">
        <v>20</v>
      </c>
      <c r="K527" t="s">
        <v>22</v>
      </c>
      <c r="L527" t="s">
        <v>133</v>
      </c>
      <c r="M527" t="s">
        <v>169</v>
      </c>
      <c r="N527">
        <v>40.287878999999997</v>
      </c>
      <c r="O527">
        <v>-110.002332</v>
      </c>
      <c r="P527">
        <v>4990.7628910000003</v>
      </c>
      <c r="Q527">
        <v>310</v>
      </c>
      <c r="R527">
        <v>0</v>
      </c>
    </row>
    <row r="528" spans="1:18" x14ac:dyDescent="0.25">
      <c r="A528">
        <v>527</v>
      </c>
      <c r="B528">
        <v>94</v>
      </c>
      <c r="C528">
        <v>31814244</v>
      </c>
      <c r="D528" t="s">
        <v>290</v>
      </c>
      <c r="E528">
        <v>113.235</v>
      </c>
      <c r="F528" t="s">
        <v>21</v>
      </c>
      <c r="G528" t="s">
        <v>26</v>
      </c>
      <c r="H528" t="s">
        <v>21</v>
      </c>
      <c r="I528" t="s">
        <v>20</v>
      </c>
      <c r="J528" t="s">
        <v>20</v>
      </c>
      <c r="K528" t="s">
        <v>41</v>
      </c>
      <c r="L528" t="s">
        <v>325</v>
      </c>
      <c r="M528" t="s">
        <v>280</v>
      </c>
      <c r="N528">
        <v>41.906066000000003</v>
      </c>
      <c r="O528">
        <v>-111.378201</v>
      </c>
      <c r="P528">
        <v>5902.2381260000002</v>
      </c>
      <c r="Q528">
        <v>1343</v>
      </c>
      <c r="R528">
        <v>0</v>
      </c>
    </row>
    <row r="529" spans="1:18" x14ac:dyDescent="0.25">
      <c r="A529">
        <v>528</v>
      </c>
      <c r="B529">
        <v>94</v>
      </c>
      <c r="C529">
        <v>31814655</v>
      </c>
      <c r="D529" t="s">
        <v>290</v>
      </c>
      <c r="E529">
        <v>113.36199999999999</v>
      </c>
      <c r="F529" t="s">
        <v>21</v>
      </c>
      <c r="G529" t="s">
        <v>26</v>
      </c>
      <c r="H529" t="s">
        <v>21</v>
      </c>
      <c r="I529" t="s">
        <v>20</v>
      </c>
      <c r="J529" t="s">
        <v>20</v>
      </c>
      <c r="K529" t="s">
        <v>41</v>
      </c>
      <c r="L529" t="s">
        <v>325</v>
      </c>
      <c r="M529" t="s">
        <v>280</v>
      </c>
      <c r="N529">
        <v>41.904983000000001</v>
      </c>
      <c r="O529">
        <v>-111.376192</v>
      </c>
      <c r="P529">
        <v>5897.0664939999997</v>
      </c>
      <c r="Q529">
        <v>1343</v>
      </c>
      <c r="R529">
        <v>0</v>
      </c>
    </row>
    <row r="530" spans="1:18" x14ac:dyDescent="0.25">
      <c r="A530">
        <v>529</v>
      </c>
      <c r="B530">
        <v>94</v>
      </c>
      <c r="C530" t="e">
        <f>-JSTx5PxHFm3uzjyd90iZF</f>
        <v>#NAME?</v>
      </c>
      <c r="D530" t="s">
        <v>118</v>
      </c>
      <c r="E530">
        <v>113.407</v>
      </c>
      <c r="F530" t="s">
        <v>21</v>
      </c>
      <c r="G530" t="s">
        <v>26</v>
      </c>
      <c r="H530" t="s">
        <v>21</v>
      </c>
      <c r="I530" t="s">
        <v>20</v>
      </c>
      <c r="J530" t="s">
        <v>20</v>
      </c>
      <c r="K530" t="s">
        <v>22</v>
      </c>
      <c r="L530" t="s">
        <v>133</v>
      </c>
      <c r="M530" t="s">
        <v>169</v>
      </c>
      <c r="N530">
        <v>40.289577999999999</v>
      </c>
      <c r="O530">
        <v>-109.998935</v>
      </c>
      <c r="P530">
        <v>4984.959546</v>
      </c>
      <c r="Q530">
        <v>310</v>
      </c>
      <c r="R530">
        <v>0</v>
      </c>
    </row>
    <row r="531" spans="1:18" x14ac:dyDescent="0.25">
      <c r="A531">
        <v>530</v>
      </c>
      <c r="B531">
        <v>94</v>
      </c>
      <c r="C531">
        <v>31905257</v>
      </c>
      <c r="D531" t="s">
        <v>272</v>
      </c>
      <c r="E531">
        <v>113.539</v>
      </c>
      <c r="F531" t="s">
        <v>21</v>
      </c>
      <c r="G531" t="s">
        <v>20</v>
      </c>
      <c r="H531" t="s">
        <v>21</v>
      </c>
      <c r="I531" t="s">
        <v>20</v>
      </c>
      <c r="J531" t="s">
        <v>20</v>
      </c>
      <c r="K531" t="s">
        <v>27</v>
      </c>
      <c r="L531" t="s">
        <v>279</v>
      </c>
      <c r="M531" t="s">
        <v>214</v>
      </c>
      <c r="N531">
        <v>37.621856000000001</v>
      </c>
      <c r="O531">
        <v>-112.46051199999999</v>
      </c>
      <c r="P531">
        <v>6992.1772460000002</v>
      </c>
      <c r="Q531">
        <v>1384</v>
      </c>
      <c r="R531">
        <v>0</v>
      </c>
    </row>
    <row r="532" spans="1:18" x14ac:dyDescent="0.25">
      <c r="A532">
        <v>531</v>
      </c>
      <c r="B532">
        <v>94</v>
      </c>
      <c r="C532">
        <v>31797540</v>
      </c>
      <c r="D532" t="s">
        <v>118</v>
      </c>
      <c r="E532">
        <v>113.554</v>
      </c>
      <c r="F532" t="s">
        <v>21</v>
      </c>
      <c r="G532" t="s">
        <v>26</v>
      </c>
      <c r="H532" t="s">
        <v>21</v>
      </c>
      <c r="I532" t="s">
        <v>20</v>
      </c>
      <c r="J532" t="s">
        <v>20</v>
      </c>
      <c r="K532" t="s">
        <v>22</v>
      </c>
      <c r="L532" t="s">
        <v>133</v>
      </c>
      <c r="M532" t="s">
        <v>169</v>
      </c>
      <c r="N532">
        <v>40.290619</v>
      </c>
      <c r="O532">
        <v>-109.996527</v>
      </c>
      <c r="P532">
        <v>4978.0512950000002</v>
      </c>
      <c r="Q532">
        <v>310</v>
      </c>
      <c r="R532">
        <v>0</v>
      </c>
    </row>
    <row r="533" spans="1:18" x14ac:dyDescent="0.25">
      <c r="A533">
        <v>532</v>
      </c>
      <c r="B533">
        <v>94</v>
      </c>
      <c r="C533" t="e">
        <f>-JMWJ2yfIbT8pm7opPd05k</f>
        <v>#NAME?</v>
      </c>
      <c r="D533" t="s">
        <v>187</v>
      </c>
      <c r="E533">
        <v>2.6040000000000001</v>
      </c>
      <c r="F533" t="s">
        <v>21</v>
      </c>
      <c r="G533" t="s">
        <v>26</v>
      </c>
      <c r="H533" t="s">
        <v>21</v>
      </c>
      <c r="I533" t="s">
        <v>20</v>
      </c>
      <c r="J533" t="s">
        <v>20</v>
      </c>
      <c r="K533" t="s">
        <v>31</v>
      </c>
      <c r="L533" t="s">
        <v>188</v>
      </c>
      <c r="M533" t="s">
        <v>90</v>
      </c>
      <c r="N533">
        <v>40.770997000000001</v>
      </c>
      <c r="O533">
        <v>-111.846118</v>
      </c>
      <c r="P533">
        <v>4715.6710050000002</v>
      </c>
      <c r="Q533">
        <v>435</v>
      </c>
      <c r="R533">
        <v>0</v>
      </c>
    </row>
    <row r="534" spans="1:18" x14ac:dyDescent="0.25">
      <c r="A534">
        <v>533</v>
      </c>
      <c r="B534">
        <v>94</v>
      </c>
      <c r="C534">
        <v>27685811</v>
      </c>
      <c r="D534" t="s">
        <v>217</v>
      </c>
      <c r="E534">
        <v>2.6040000000000001</v>
      </c>
      <c r="F534" t="s">
        <v>19</v>
      </c>
      <c r="G534" t="s">
        <v>20</v>
      </c>
      <c r="H534" t="s">
        <v>21</v>
      </c>
      <c r="I534" t="s">
        <v>20</v>
      </c>
      <c r="J534" t="s">
        <v>20</v>
      </c>
      <c r="K534" t="s">
        <v>27</v>
      </c>
      <c r="L534" t="s">
        <v>72</v>
      </c>
      <c r="M534" t="s">
        <v>163</v>
      </c>
      <c r="N534">
        <v>37.116714999999999</v>
      </c>
      <c r="O534">
        <v>-113.596868</v>
      </c>
      <c r="P534">
        <v>2765.3432899999998</v>
      </c>
      <c r="Q534">
        <v>304</v>
      </c>
      <c r="R534">
        <v>0</v>
      </c>
    </row>
    <row r="535" spans="1:18" x14ac:dyDescent="0.25">
      <c r="A535">
        <v>534</v>
      </c>
      <c r="B535">
        <v>94</v>
      </c>
      <c r="C535">
        <v>31655675</v>
      </c>
      <c r="D535" t="s">
        <v>65</v>
      </c>
      <c r="E535">
        <v>2.605</v>
      </c>
      <c r="F535" t="s">
        <v>21</v>
      </c>
      <c r="G535" t="s">
        <v>26</v>
      </c>
      <c r="H535" t="s">
        <v>21</v>
      </c>
      <c r="I535" t="s">
        <v>20</v>
      </c>
      <c r="J535" t="s">
        <v>20</v>
      </c>
      <c r="K535" t="s">
        <v>31</v>
      </c>
      <c r="L535" t="s">
        <v>66</v>
      </c>
      <c r="M535" t="s">
        <v>67</v>
      </c>
      <c r="N535">
        <v>40.761412999999997</v>
      </c>
      <c r="O535">
        <v>-111.88829699999999</v>
      </c>
      <c r="P535">
        <v>4209.8499149999998</v>
      </c>
      <c r="Q535">
        <v>402</v>
      </c>
      <c r="R535">
        <v>0</v>
      </c>
    </row>
    <row r="536" spans="1:18" x14ac:dyDescent="0.25">
      <c r="A536">
        <v>535</v>
      </c>
      <c r="B536">
        <v>94</v>
      </c>
      <c r="C536" t="s">
        <v>342</v>
      </c>
      <c r="D536" t="s">
        <v>114</v>
      </c>
      <c r="E536">
        <v>2.6080000000000001</v>
      </c>
      <c r="F536" t="s">
        <v>21</v>
      </c>
      <c r="G536" t="s">
        <v>26</v>
      </c>
      <c r="H536" t="s">
        <v>21</v>
      </c>
      <c r="I536" t="s">
        <v>20</v>
      </c>
      <c r="J536" t="s">
        <v>20</v>
      </c>
      <c r="K536" t="s">
        <v>41</v>
      </c>
      <c r="L536" t="s">
        <v>87</v>
      </c>
      <c r="M536" t="s">
        <v>256</v>
      </c>
      <c r="N536">
        <v>41.103622000000001</v>
      </c>
      <c r="O536">
        <v>-112.018709</v>
      </c>
      <c r="P536">
        <v>4419.7518030000001</v>
      </c>
      <c r="Q536">
        <v>405</v>
      </c>
      <c r="R536">
        <v>0</v>
      </c>
    </row>
    <row r="537" spans="1:18" x14ac:dyDescent="0.25">
      <c r="A537">
        <v>536</v>
      </c>
      <c r="B537">
        <v>94</v>
      </c>
      <c r="C537">
        <v>31301543</v>
      </c>
      <c r="D537" t="s">
        <v>268</v>
      </c>
      <c r="E537">
        <v>2.609</v>
      </c>
      <c r="F537" t="s">
        <v>21</v>
      </c>
      <c r="G537" t="s">
        <v>26</v>
      </c>
      <c r="H537" t="s">
        <v>21</v>
      </c>
      <c r="I537" t="s">
        <v>20</v>
      </c>
      <c r="J537" t="s">
        <v>20</v>
      </c>
      <c r="K537" t="s">
        <v>41</v>
      </c>
      <c r="L537" t="s">
        <v>177</v>
      </c>
      <c r="M537" t="s">
        <v>43</v>
      </c>
      <c r="N537">
        <v>41.565263999999999</v>
      </c>
      <c r="O537">
        <v>-112.178079</v>
      </c>
      <c r="P537">
        <v>4188.2981829999999</v>
      </c>
      <c r="Q537">
        <v>1380</v>
      </c>
      <c r="R537">
        <v>0</v>
      </c>
    </row>
    <row r="538" spans="1:18" x14ac:dyDescent="0.25">
      <c r="A538">
        <v>537</v>
      </c>
      <c r="B538">
        <v>94</v>
      </c>
      <c r="C538" t="e">
        <f>-JLjHKTLHRXmf0uI1Qj9nF</f>
        <v>#NAME?</v>
      </c>
      <c r="D538" t="s">
        <v>59</v>
      </c>
      <c r="E538">
        <v>2.6110000000000002</v>
      </c>
      <c r="F538" t="s">
        <v>21</v>
      </c>
      <c r="G538" t="s">
        <v>26</v>
      </c>
      <c r="H538" t="s">
        <v>21</v>
      </c>
      <c r="I538" t="s">
        <v>20</v>
      </c>
      <c r="J538" t="s">
        <v>20</v>
      </c>
      <c r="K538" t="s">
        <v>22</v>
      </c>
      <c r="L538" t="s">
        <v>60</v>
      </c>
      <c r="M538" t="s">
        <v>24</v>
      </c>
      <c r="N538">
        <v>40.311993999999999</v>
      </c>
      <c r="O538">
        <v>-111.6853</v>
      </c>
      <c r="P538">
        <v>4761.1869939999997</v>
      </c>
      <c r="Q538">
        <v>313</v>
      </c>
      <c r="R538">
        <v>0</v>
      </c>
    </row>
    <row r="539" spans="1:18" x14ac:dyDescent="0.25">
      <c r="A539">
        <v>538</v>
      </c>
      <c r="B539">
        <v>94</v>
      </c>
      <c r="C539">
        <v>31364322</v>
      </c>
      <c r="D539" t="s">
        <v>343</v>
      </c>
      <c r="E539">
        <v>2.6110000000000002</v>
      </c>
      <c r="F539" t="s">
        <v>21</v>
      </c>
      <c r="G539" t="s">
        <v>26</v>
      </c>
      <c r="H539" t="s">
        <v>21</v>
      </c>
      <c r="I539" t="s">
        <v>20</v>
      </c>
      <c r="J539" t="s">
        <v>20</v>
      </c>
      <c r="K539" t="s">
        <v>27</v>
      </c>
      <c r="L539" t="s">
        <v>230</v>
      </c>
      <c r="M539" t="s">
        <v>82</v>
      </c>
      <c r="N539">
        <v>39.539651999999997</v>
      </c>
      <c r="O539">
        <v>-111.535262</v>
      </c>
      <c r="P539">
        <v>5593.9525370000001</v>
      </c>
      <c r="Q539">
        <v>1402</v>
      </c>
      <c r="R539">
        <v>0</v>
      </c>
    </row>
    <row r="540" spans="1:18" x14ac:dyDescent="0.25">
      <c r="A540">
        <v>539</v>
      </c>
      <c r="B540">
        <v>94</v>
      </c>
      <c r="C540" t="s">
        <v>344</v>
      </c>
      <c r="D540" t="s">
        <v>59</v>
      </c>
      <c r="E540">
        <v>2.6110000000000002</v>
      </c>
      <c r="F540" t="s">
        <v>21</v>
      </c>
      <c r="G540" t="s">
        <v>26</v>
      </c>
      <c r="H540" t="s">
        <v>21</v>
      </c>
      <c r="I540" t="s">
        <v>20</v>
      </c>
      <c r="J540" t="s">
        <v>20</v>
      </c>
      <c r="K540" t="s">
        <v>22</v>
      </c>
      <c r="L540" t="s">
        <v>60</v>
      </c>
      <c r="M540" t="s">
        <v>24</v>
      </c>
      <c r="N540">
        <v>40.312047</v>
      </c>
      <c r="O540">
        <v>-111.68528999999999</v>
      </c>
      <c r="P540">
        <v>4760.9580749999996</v>
      </c>
      <c r="Q540">
        <v>313</v>
      </c>
      <c r="R540">
        <v>0</v>
      </c>
    </row>
    <row r="541" spans="1:18" x14ac:dyDescent="0.25">
      <c r="A541">
        <v>540</v>
      </c>
      <c r="B541">
        <v>94</v>
      </c>
      <c r="C541">
        <v>31457599</v>
      </c>
      <c r="D541" t="s">
        <v>331</v>
      </c>
      <c r="E541">
        <v>2.6139999999999999</v>
      </c>
      <c r="F541" t="s">
        <v>21</v>
      </c>
      <c r="G541" t="s">
        <v>26</v>
      </c>
      <c r="H541" t="s">
        <v>21</v>
      </c>
      <c r="I541" t="s">
        <v>20</v>
      </c>
      <c r="J541" t="s">
        <v>20</v>
      </c>
      <c r="K541" t="s">
        <v>27</v>
      </c>
      <c r="L541" t="s">
        <v>111</v>
      </c>
      <c r="M541" t="s">
        <v>112</v>
      </c>
      <c r="N541">
        <v>39.345486000000001</v>
      </c>
      <c r="O541">
        <v>-110.889889</v>
      </c>
      <c r="P541">
        <v>5707.3251369999998</v>
      </c>
      <c r="Q541">
        <v>1427</v>
      </c>
      <c r="R541">
        <v>0</v>
      </c>
    </row>
    <row r="542" spans="1:18" x14ac:dyDescent="0.25">
      <c r="A542">
        <v>541</v>
      </c>
      <c r="B542">
        <v>94</v>
      </c>
      <c r="C542">
        <v>27344239</v>
      </c>
      <c r="D542" t="s">
        <v>185</v>
      </c>
      <c r="E542">
        <v>2.617</v>
      </c>
      <c r="F542" t="s">
        <v>21</v>
      </c>
      <c r="G542" t="s">
        <v>26</v>
      </c>
      <c r="H542" t="s">
        <v>21</v>
      </c>
      <c r="I542" t="s">
        <v>20</v>
      </c>
      <c r="J542" t="s">
        <v>20</v>
      </c>
      <c r="K542" t="s">
        <v>41</v>
      </c>
      <c r="L542" t="s">
        <v>57</v>
      </c>
      <c r="M542" t="s">
        <v>58</v>
      </c>
      <c r="N542">
        <v>41.139879999999998</v>
      </c>
      <c r="O542">
        <v>-112.076345</v>
      </c>
      <c r="P542">
        <v>4253.6131169999999</v>
      </c>
      <c r="Q542">
        <v>309</v>
      </c>
      <c r="R542">
        <v>0</v>
      </c>
    </row>
    <row r="543" spans="1:18" x14ac:dyDescent="0.25">
      <c r="A543">
        <v>542</v>
      </c>
      <c r="B543">
        <v>94</v>
      </c>
      <c r="C543">
        <v>523710</v>
      </c>
      <c r="D543" t="s">
        <v>44</v>
      </c>
      <c r="E543">
        <v>2.617</v>
      </c>
      <c r="F543" t="s">
        <v>21</v>
      </c>
      <c r="G543" t="s">
        <v>26</v>
      </c>
      <c r="H543" t="s">
        <v>21</v>
      </c>
      <c r="I543" t="s">
        <v>20</v>
      </c>
      <c r="J543" t="s">
        <v>20</v>
      </c>
      <c r="K543" t="s">
        <v>41</v>
      </c>
      <c r="L543" t="s">
        <v>45</v>
      </c>
      <c r="M543" t="s">
        <v>46</v>
      </c>
      <c r="N543">
        <v>40.915301999999997</v>
      </c>
      <c r="O543">
        <v>-111.878974</v>
      </c>
      <c r="P543">
        <v>4238.3017790000004</v>
      </c>
      <c r="Q543">
        <v>1395</v>
      </c>
      <c r="R543">
        <v>0</v>
      </c>
    </row>
    <row r="544" spans="1:18" x14ac:dyDescent="0.25">
      <c r="A544">
        <v>543</v>
      </c>
      <c r="B544">
        <v>94</v>
      </c>
      <c r="C544">
        <v>28817756</v>
      </c>
      <c r="D544" t="s">
        <v>25</v>
      </c>
      <c r="E544">
        <v>2.617</v>
      </c>
      <c r="F544" t="s">
        <v>21</v>
      </c>
      <c r="G544" t="s">
        <v>26</v>
      </c>
      <c r="H544" t="s">
        <v>19</v>
      </c>
      <c r="I544">
        <v>12</v>
      </c>
      <c r="J544" t="s">
        <v>20</v>
      </c>
      <c r="K544" t="s">
        <v>27</v>
      </c>
      <c r="L544" t="s">
        <v>28</v>
      </c>
      <c r="M544" t="s">
        <v>29</v>
      </c>
      <c r="N544">
        <v>37.692461000000002</v>
      </c>
      <c r="O544">
        <v>-112.15215499999999</v>
      </c>
      <c r="P544">
        <v>7543.1137580000004</v>
      </c>
      <c r="Q544">
        <v>316</v>
      </c>
      <c r="R544">
        <v>0</v>
      </c>
    </row>
    <row r="545" spans="1:18" x14ac:dyDescent="0.25">
      <c r="A545">
        <v>544</v>
      </c>
      <c r="B545">
        <v>94</v>
      </c>
      <c r="C545">
        <v>2586943</v>
      </c>
      <c r="D545" t="s">
        <v>176</v>
      </c>
      <c r="E545">
        <v>13.545</v>
      </c>
      <c r="F545" t="s">
        <v>21</v>
      </c>
      <c r="G545" t="s">
        <v>26</v>
      </c>
      <c r="H545" t="s">
        <v>21</v>
      </c>
      <c r="I545" t="s">
        <v>20</v>
      </c>
      <c r="J545" t="s">
        <v>20</v>
      </c>
      <c r="K545" t="s">
        <v>41</v>
      </c>
      <c r="L545" t="s">
        <v>181</v>
      </c>
      <c r="M545" t="s">
        <v>178</v>
      </c>
      <c r="N545">
        <v>41.618645999999998</v>
      </c>
      <c r="O545">
        <v>-112.126925</v>
      </c>
      <c r="P545">
        <v>4208.9205490000004</v>
      </c>
      <c r="Q545">
        <v>1329</v>
      </c>
      <c r="R545">
        <v>0</v>
      </c>
    </row>
    <row r="546" spans="1:18" x14ac:dyDescent="0.25">
      <c r="A546">
        <v>545</v>
      </c>
      <c r="B546">
        <v>94</v>
      </c>
      <c r="C546">
        <v>31751978</v>
      </c>
      <c r="D546" t="s">
        <v>231</v>
      </c>
      <c r="E546">
        <v>13.547000000000001</v>
      </c>
      <c r="F546" t="s">
        <v>21</v>
      </c>
      <c r="G546" t="s">
        <v>26</v>
      </c>
      <c r="H546" t="s">
        <v>21</v>
      </c>
      <c r="I546" t="s">
        <v>20</v>
      </c>
      <c r="J546" t="s">
        <v>20</v>
      </c>
      <c r="K546" t="s">
        <v>41</v>
      </c>
      <c r="L546" t="s">
        <v>57</v>
      </c>
      <c r="M546" t="s">
        <v>93</v>
      </c>
      <c r="N546">
        <v>41.231670000000001</v>
      </c>
      <c r="O546">
        <v>-112.025567</v>
      </c>
      <c r="P546">
        <v>4219.3867749999999</v>
      </c>
      <c r="Q546">
        <v>1409</v>
      </c>
      <c r="R546">
        <v>0</v>
      </c>
    </row>
    <row r="547" spans="1:18" x14ac:dyDescent="0.25">
      <c r="A547">
        <v>546</v>
      </c>
      <c r="B547">
        <v>94</v>
      </c>
      <c r="C547">
        <v>27856384</v>
      </c>
      <c r="D547" t="s">
        <v>136</v>
      </c>
      <c r="E547">
        <v>13.558999999999999</v>
      </c>
      <c r="F547" t="s">
        <v>21</v>
      </c>
      <c r="G547" t="s">
        <v>26</v>
      </c>
      <c r="H547" t="s">
        <v>21</v>
      </c>
      <c r="I547" t="s">
        <v>20</v>
      </c>
      <c r="J547" t="s">
        <v>20</v>
      </c>
      <c r="K547" t="s">
        <v>41</v>
      </c>
      <c r="L547" t="s">
        <v>137</v>
      </c>
      <c r="M547" t="s">
        <v>138</v>
      </c>
      <c r="N547">
        <v>41.046376000000002</v>
      </c>
      <c r="O547">
        <v>-111.674925</v>
      </c>
      <c r="P547">
        <v>5004.1909599999999</v>
      </c>
      <c r="Q547">
        <v>317</v>
      </c>
      <c r="R547">
        <v>0</v>
      </c>
    </row>
    <row r="548" spans="1:18" x14ac:dyDescent="0.25">
      <c r="A548">
        <v>547</v>
      </c>
      <c r="B548">
        <v>94</v>
      </c>
      <c r="C548">
        <v>31504016</v>
      </c>
      <c r="D548" t="s">
        <v>224</v>
      </c>
      <c r="E548">
        <v>13.577</v>
      </c>
      <c r="F548" t="s">
        <v>21</v>
      </c>
      <c r="G548" t="s">
        <v>26</v>
      </c>
      <c r="H548" t="s">
        <v>21</v>
      </c>
      <c r="I548" t="s">
        <v>20</v>
      </c>
      <c r="J548" t="s">
        <v>20</v>
      </c>
      <c r="K548" t="s">
        <v>22</v>
      </c>
      <c r="L548" t="s">
        <v>140</v>
      </c>
      <c r="M548" t="s">
        <v>194</v>
      </c>
      <c r="N548">
        <v>40.100797999999998</v>
      </c>
      <c r="O548">
        <v>-111.633331</v>
      </c>
      <c r="P548">
        <v>4665.4428070000004</v>
      </c>
      <c r="Q548">
        <v>408</v>
      </c>
      <c r="R548">
        <v>0</v>
      </c>
    </row>
    <row r="549" spans="1:18" x14ac:dyDescent="0.25">
      <c r="A549">
        <v>548</v>
      </c>
      <c r="B549">
        <v>94</v>
      </c>
      <c r="C549">
        <v>31415628</v>
      </c>
      <c r="D549" t="s">
        <v>345</v>
      </c>
      <c r="E549">
        <v>13.579000000000001</v>
      </c>
      <c r="F549" t="s">
        <v>21</v>
      </c>
      <c r="G549" t="s">
        <v>26</v>
      </c>
      <c r="H549" t="s">
        <v>21</v>
      </c>
      <c r="I549" t="s">
        <v>20</v>
      </c>
      <c r="J549" t="s">
        <v>20</v>
      </c>
      <c r="K549" t="s">
        <v>27</v>
      </c>
      <c r="L549" t="s">
        <v>75</v>
      </c>
      <c r="M549" t="s">
        <v>76</v>
      </c>
      <c r="N549">
        <v>38.734701000000001</v>
      </c>
      <c r="O549">
        <v>-112.095073</v>
      </c>
      <c r="P549">
        <v>5214.7885679999999</v>
      </c>
      <c r="Q549">
        <v>1403</v>
      </c>
      <c r="R549">
        <v>0</v>
      </c>
    </row>
    <row r="550" spans="1:18" x14ac:dyDescent="0.25">
      <c r="A550">
        <v>549</v>
      </c>
      <c r="B550">
        <v>94</v>
      </c>
      <c r="C550">
        <v>1118336</v>
      </c>
      <c r="D550" t="s">
        <v>171</v>
      </c>
      <c r="E550">
        <v>13.584</v>
      </c>
      <c r="F550" t="s">
        <v>19</v>
      </c>
      <c r="G550" t="s">
        <v>20</v>
      </c>
      <c r="H550" t="s">
        <v>21</v>
      </c>
      <c r="I550" t="s">
        <v>20</v>
      </c>
      <c r="J550" t="s">
        <v>20</v>
      </c>
      <c r="K550" t="s">
        <v>31</v>
      </c>
      <c r="L550" t="s">
        <v>188</v>
      </c>
      <c r="M550" t="s">
        <v>79</v>
      </c>
      <c r="N550">
        <v>40.699857000000002</v>
      </c>
      <c r="O550">
        <v>-111.83407200000001</v>
      </c>
      <c r="P550">
        <v>4478.4710569999997</v>
      </c>
      <c r="Q550">
        <v>346</v>
      </c>
      <c r="R550">
        <v>0</v>
      </c>
    </row>
    <row r="551" spans="1:18" x14ac:dyDescent="0.25">
      <c r="A551">
        <v>550</v>
      </c>
      <c r="B551">
        <v>94</v>
      </c>
      <c r="C551">
        <v>28112178</v>
      </c>
      <c r="D551" t="s">
        <v>220</v>
      </c>
      <c r="E551">
        <v>13.597</v>
      </c>
      <c r="F551" t="s">
        <v>21</v>
      </c>
      <c r="G551" t="s">
        <v>26</v>
      </c>
      <c r="H551" t="s">
        <v>19</v>
      </c>
      <c r="I551">
        <v>63</v>
      </c>
      <c r="J551" t="s">
        <v>20</v>
      </c>
      <c r="K551" t="s">
        <v>27</v>
      </c>
      <c r="L551" t="s">
        <v>28</v>
      </c>
      <c r="M551" t="s">
        <v>29</v>
      </c>
      <c r="N551">
        <v>37.692450000000001</v>
      </c>
      <c r="O551">
        <v>-112.152158</v>
      </c>
      <c r="P551">
        <v>7543.0521049999998</v>
      </c>
      <c r="Q551">
        <v>1328</v>
      </c>
      <c r="R551">
        <v>0</v>
      </c>
    </row>
    <row r="552" spans="1:18" x14ac:dyDescent="0.25">
      <c r="A552">
        <v>551</v>
      </c>
      <c r="B552">
        <v>94</v>
      </c>
      <c r="C552">
        <v>31765730</v>
      </c>
      <c r="D552" t="s">
        <v>346</v>
      </c>
      <c r="E552">
        <v>13.611000000000001</v>
      </c>
      <c r="F552" t="s">
        <v>21</v>
      </c>
      <c r="G552" t="s">
        <v>20</v>
      </c>
      <c r="H552" t="s">
        <v>21</v>
      </c>
      <c r="I552" t="s">
        <v>20</v>
      </c>
      <c r="J552" t="s">
        <v>20</v>
      </c>
      <c r="K552" t="s">
        <v>27</v>
      </c>
      <c r="L552" t="s">
        <v>307</v>
      </c>
      <c r="M552" t="s">
        <v>159</v>
      </c>
      <c r="N552">
        <v>39.812668000000002</v>
      </c>
      <c r="O552">
        <v>-111.135223</v>
      </c>
      <c r="P552">
        <v>7603.2036959999996</v>
      </c>
      <c r="Q552">
        <v>1389</v>
      </c>
      <c r="R552">
        <v>0</v>
      </c>
    </row>
    <row r="553" spans="1:18" x14ac:dyDescent="0.25">
      <c r="A553">
        <v>552</v>
      </c>
      <c r="B553">
        <v>94</v>
      </c>
      <c r="C553">
        <v>31461362</v>
      </c>
      <c r="D553" t="s">
        <v>91</v>
      </c>
      <c r="E553">
        <v>13.615</v>
      </c>
      <c r="F553" t="s">
        <v>21</v>
      </c>
      <c r="G553" t="s">
        <v>20</v>
      </c>
      <c r="H553" t="s">
        <v>21</v>
      </c>
      <c r="I553" t="s">
        <v>20</v>
      </c>
      <c r="J553" t="s">
        <v>20</v>
      </c>
      <c r="K553" t="s">
        <v>41</v>
      </c>
      <c r="L553" t="s">
        <v>42</v>
      </c>
      <c r="M553" t="s">
        <v>73</v>
      </c>
      <c r="N553">
        <v>41.800958000000001</v>
      </c>
      <c r="O553">
        <v>-111.991989</v>
      </c>
      <c r="P553">
        <v>4390.7424369999999</v>
      </c>
      <c r="Q553">
        <v>1339</v>
      </c>
      <c r="R553">
        <v>0</v>
      </c>
    </row>
    <row r="554" spans="1:18" x14ac:dyDescent="0.25">
      <c r="A554">
        <v>553</v>
      </c>
      <c r="B554">
        <v>94</v>
      </c>
      <c r="C554">
        <v>31783511</v>
      </c>
      <c r="D554" t="s">
        <v>272</v>
      </c>
      <c r="E554">
        <v>13.616</v>
      </c>
      <c r="F554" t="s">
        <v>21</v>
      </c>
      <c r="G554" t="s">
        <v>26</v>
      </c>
      <c r="H554" t="s">
        <v>21</v>
      </c>
      <c r="I554" t="s">
        <v>20</v>
      </c>
      <c r="J554" t="s">
        <v>20</v>
      </c>
      <c r="K554" t="s">
        <v>27</v>
      </c>
      <c r="L554" t="s">
        <v>259</v>
      </c>
      <c r="M554" t="s">
        <v>214</v>
      </c>
      <c r="N554">
        <v>37.096992</v>
      </c>
      <c r="O554">
        <v>-111.77377199999999</v>
      </c>
      <c r="P554">
        <v>4454.0427289999998</v>
      </c>
      <c r="Q554">
        <v>1384</v>
      </c>
      <c r="R554">
        <v>0</v>
      </c>
    </row>
    <row r="555" spans="1:18" x14ac:dyDescent="0.25">
      <c r="A555">
        <v>554</v>
      </c>
      <c r="B555">
        <v>94</v>
      </c>
      <c r="C555">
        <v>27857595</v>
      </c>
      <c r="D555" t="s">
        <v>136</v>
      </c>
      <c r="E555">
        <v>13.622999999999999</v>
      </c>
      <c r="F555" t="s">
        <v>21</v>
      </c>
      <c r="G555" t="s">
        <v>26</v>
      </c>
      <c r="H555" t="s">
        <v>21</v>
      </c>
      <c r="I555" t="s">
        <v>20</v>
      </c>
      <c r="J555" t="s">
        <v>20</v>
      </c>
      <c r="K555" t="s">
        <v>41</v>
      </c>
      <c r="L555" t="s">
        <v>137</v>
      </c>
      <c r="M555" t="s">
        <v>138</v>
      </c>
      <c r="N555">
        <v>41.047080000000001</v>
      </c>
      <c r="O555">
        <v>-111.674128</v>
      </c>
      <c r="P555">
        <v>5019.0231780000004</v>
      </c>
      <c r="Q555">
        <v>317</v>
      </c>
      <c r="R555">
        <v>0</v>
      </c>
    </row>
    <row r="556" spans="1:18" x14ac:dyDescent="0.25">
      <c r="A556">
        <v>555</v>
      </c>
      <c r="B556">
        <v>94</v>
      </c>
      <c r="C556">
        <v>31315412</v>
      </c>
      <c r="D556" t="s">
        <v>347</v>
      </c>
      <c r="E556">
        <v>13.622999999999999</v>
      </c>
      <c r="F556" t="s">
        <v>21</v>
      </c>
      <c r="G556" t="s">
        <v>20</v>
      </c>
      <c r="H556" t="s">
        <v>21</v>
      </c>
      <c r="I556" t="s">
        <v>20</v>
      </c>
      <c r="J556" t="s">
        <v>20</v>
      </c>
      <c r="K556" t="s">
        <v>41</v>
      </c>
      <c r="L556" t="s">
        <v>325</v>
      </c>
      <c r="M556" t="s">
        <v>204</v>
      </c>
      <c r="N556">
        <v>41.567034</v>
      </c>
      <c r="O556">
        <v>-111.15974300000001</v>
      </c>
      <c r="P556">
        <v>6257.9930599999998</v>
      </c>
      <c r="Q556">
        <v>1334</v>
      </c>
      <c r="R556">
        <v>0</v>
      </c>
    </row>
    <row r="557" spans="1:18" x14ac:dyDescent="0.25">
      <c r="A557">
        <v>556</v>
      </c>
      <c r="B557">
        <v>94</v>
      </c>
      <c r="C557">
        <v>31519451</v>
      </c>
      <c r="D557" t="s">
        <v>309</v>
      </c>
      <c r="E557">
        <v>13.651</v>
      </c>
      <c r="F557" t="s">
        <v>21</v>
      </c>
      <c r="G557" t="s">
        <v>26</v>
      </c>
      <c r="H557" t="s">
        <v>21</v>
      </c>
      <c r="I557" t="s">
        <v>20</v>
      </c>
      <c r="J557" t="s">
        <v>20</v>
      </c>
      <c r="K557" t="s">
        <v>22</v>
      </c>
      <c r="L557" t="s">
        <v>140</v>
      </c>
      <c r="M557" t="s">
        <v>125</v>
      </c>
      <c r="N557">
        <v>40.115343000000003</v>
      </c>
      <c r="O557">
        <v>-111.62598</v>
      </c>
      <c r="P557">
        <v>4660.5060659999999</v>
      </c>
      <c r="Q557">
        <v>339</v>
      </c>
      <c r="R557">
        <v>0</v>
      </c>
    </row>
    <row r="558" spans="1:18" x14ac:dyDescent="0.25">
      <c r="A558">
        <v>557</v>
      </c>
      <c r="B558">
        <v>94</v>
      </c>
      <c r="C558">
        <v>31751989</v>
      </c>
      <c r="D558" t="s">
        <v>231</v>
      </c>
      <c r="E558">
        <v>13.657999999999999</v>
      </c>
      <c r="F558" t="s">
        <v>21</v>
      </c>
      <c r="G558" t="s">
        <v>26</v>
      </c>
      <c r="H558" t="s">
        <v>21</v>
      </c>
      <c r="I558" t="s">
        <v>20</v>
      </c>
      <c r="J558" t="s">
        <v>20</v>
      </c>
      <c r="K558" t="s">
        <v>41</v>
      </c>
      <c r="L558" t="s">
        <v>57</v>
      </c>
      <c r="M558" t="s">
        <v>93</v>
      </c>
      <c r="N558">
        <v>41.233286999999997</v>
      </c>
      <c r="O558">
        <v>-112.025532</v>
      </c>
      <c r="P558">
        <v>4217.7350409999999</v>
      </c>
      <c r="Q558">
        <v>1409</v>
      </c>
      <c r="R558">
        <v>0</v>
      </c>
    </row>
    <row r="559" spans="1:18" x14ac:dyDescent="0.25">
      <c r="A559">
        <v>558</v>
      </c>
      <c r="B559">
        <v>94</v>
      </c>
      <c r="C559">
        <v>27702471</v>
      </c>
      <c r="D559" t="s">
        <v>217</v>
      </c>
      <c r="E559">
        <v>13.657999999999999</v>
      </c>
      <c r="F559" t="s">
        <v>21</v>
      </c>
      <c r="G559" t="s">
        <v>26</v>
      </c>
      <c r="H559" t="s">
        <v>21</v>
      </c>
      <c r="I559" t="s">
        <v>20</v>
      </c>
      <c r="J559" t="s">
        <v>20</v>
      </c>
      <c r="K559" t="s">
        <v>27</v>
      </c>
      <c r="L559" t="s">
        <v>162</v>
      </c>
      <c r="M559" t="s">
        <v>163</v>
      </c>
      <c r="N559">
        <v>37.260995999999999</v>
      </c>
      <c r="O559">
        <v>-113.63458300000001</v>
      </c>
      <c r="P559">
        <v>4490.6468999999997</v>
      </c>
      <c r="Q559">
        <v>304</v>
      </c>
      <c r="R559">
        <v>0</v>
      </c>
    </row>
    <row r="560" spans="1:18" x14ac:dyDescent="0.25">
      <c r="A560">
        <v>559</v>
      </c>
      <c r="B560">
        <v>94</v>
      </c>
      <c r="C560">
        <v>1119247</v>
      </c>
      <c r="D560" t="s">
        <v>171</v>
      </c>
      <c r="E560">
        <v>13.66</v>
      </c>
      <c r="F560" t="s">
        <v>21</v>
      </c>
      <c r="G560" t="s">
        <v>26</v>
      </c>
      <c r="H560" t="s">
        <v>21</v>
      </c>
      <c r="I560" t="s">
        <v>20</v>
      </c>
      <c r="J560" t="s">
        <v>20</v>
      </c>
      <c r="K560" t="s">
        <v>31</v>
      </c>
      <c r="L560" t="s">
        <v>188</v>
      </c>
      <c r="M560" t="s">
        <v>79</v>
      </c>
      <c r="N560">
        <v>40.699863000000001</v>
      </c>
      <c r="O560">
        <v>-111.832624</v>
      </c>
      <c r="P560">
        <v>4488.1968489999999</v>
      </c>
      <c r="Q560">
        <v>346</v>
      </c>
      <c r="R560">
        <v>0</v>
      </c>
    </row>
    <row r="561" spans="1:18" x14ac:dyDescent="0.25">
      <c r="A561">
        <v>560</v>
      </c>
      <c r="B561">
        <v>94</v>
      </c>
      <c r="C561">
        <v>1466209</v>
      </c>
      <c r="D561" t="s">
        <v>304</v>
      </c>
      <c r="E561">
        <v>13.661</v>
      </c>
      <c r="F561" t="s">
        <v>21</v>
      </c>
      <c r="G561" t="s">
        <v>26</v>
      </c>
      <c r="H561" t="s">
        <v>21</v>
      </c>
      <c r="I561" t="s">
        <v>20</v>
      </c>
      <c r="J561" t="s">
        <v>20</v>
      </c>
      <c r="K561" t="s">
        <v>41</v>
      </c>
      <c r="L561" t="s">
        <v>223</v>
      </c>
      <c r="M561" t="s">
        <v>43</v>
      </c>
      <c r="N561">
        <v>41.710698999999998</v>
      </c>
      <c r="O561">
        <v>-112.090435</v>
      </c>
      <c r="P561">
        <v>4280.6877510000004</v>
      </c>
      <c r="Q561">
        <v>1348</v>
      </c>
      <c r="R561">
        <v>0</v>
      </c>
    </row>
    <row r="562" spans="1:18" x14ac:dyDescent="0.25">
      <c r="A562">
        <v>561</v>
      </c>
      <c r="B562">
        <v>94</v>
      </c>
      <c r="C562">
        <v>31586992</v>
      </c>
      <c r="D562" t="s">
        <v>271</v>
      </c>
      <c r="E562">
        <v>13.664999999999999</v>
      </c>
      <c r="F562" t="s">
        <v>21</v>
      </c>
      <c r="G562" t="s">
        <v>20</v>
      </c>
      <c r="H562" t="s">
        <v>21</v>
      </c>
      <c r="I562" t="s">
        <v>20</v>
      </c>
      <c r="J562" t="s">
        <v>20</v>
      </c>
      <c r="K562" t="s">
        <v>31</v>
      </c>
      <c r="L562" t="s">
        <v>282</v>
      </c>
      <c r="M562" t="s">
        <v>24</v>
      </c>
      <c r="N562">
        <v>40.245800000000003</v>
      </c>
      <c r="O562">
        <v>-112.211755</v>
      </c>
      <c r="P562">
        <v>5293.6780820000004</v>
      </c>
      <c r="Q562">
        <v>1372</v>
      </c>
      <c r="R562">
        <v>0</v>
      </c>
    </row>
    <row r="563" spans="1:18" x14ac:dyDescent="0.25">
      <c r="A563">
        <v>562</v>
      </c>
      <c r="B563">
        <v>94</v>
      </c>
      <c r="C563">
        <v>31797551</v>
      </c>
      <c r="D563" t="s">
        <v>118</v>
      </c>
      <c r="E563">
        <v>113.679</v>
      </c>
      <c r="F563" t="s">
        <v>21</v>
      </c>
      <c r="G563" t="s">
        <v>26</v>
      </c>
      <c r="H563" t="s">
        <v>21</v>
      </c>
      <c r="I563" t="s">
        <v>20</v>
      </c>
      <c r="J563" t="s">
        <v>20</v>
      </c>
      <c r="K563" t="s">
        <v>22</v>
      </c>
      <c r="L563" t="s">
        <v>133</v>
      </c>
      <c r="M563" t="s">
        <v>169</v>
      </c>
      <c r="N563">
        <v>40.291530000000002</v>
      </c>
      <c r="O563">
        <v>-109.994468</v>
      </c>
      <c r="P563">
        <v>4984.4865730000001</v>
      </c>
      <c r="Q563">
        <v>310</v>
      </c>
      <c r="R563">
        <v>0</v>
      </c>
    </row>
    <row r="564" spans="1:18" x14ac:dyDescent="0.25">
      <c r="A564">
        <v>563</v>
      </c>
      <c r="B564">
        <v>94</v>
      </c>
      <c r="C564">
        <v>31440907</v>
      </c>
      <c r="D564" t="s">
        <v>288</v>
      </c>
      <c r="E564">
        <v>113.84</v>
      </c>
      <c r="F564" t="s">
        <v>21</v>
      </c>
      <c r="G564" t="s">
        <v>20</v>
      </c>
      <c r="H564" t="s">
        <v>21</v>
      </c>
      <c r="I564" t="s">
        <v>20</v>
      </c>
      <c r="J564" t="s">
        <v>20</v>
      </c>
      <c r="K564" t="s">
        <v>27</v>
      </c>
      <c r="L564" t="s">
        <v>38</v>
      </c>
      <c r="M564" t="s">
        <v>152</v>
      </c>
      <c r="N564">
        <v>38.435763000000001</v>
      </c>
      <c r="O564">
        <v>-109.428372</v>
      </c>
      <c r="P564">
        <v>5226.1533399999998</v>
      </c>
      <c r="Q564">
        <v>350</v>
      </c>
      <c r="R564">
        <v>0</v>
      </c>
    </row>
    <row r="565" spans="1:18" x14ac:dyDescent="0.25">
      <c r="A565">
        <v>564</v>
      </c>
      <c r="B565">
        <v>94</v>
      </c>
      <c r="C565">
        <v>31798762</v>
      </c>
      <c r="D565" t="s">
        <v>118</v>
      </c>
      <c r="E565">
        <v>113.84099999999999</v>
      </c>
      <c r="F565" t="s">
        <v>19</v>
      </c>
      <c r="G565" t="s">
        <v>20</v>
      </c>
      <c r="H565" t="s">
        <v>21</v>
      </c>
      <c r="I565" t="s">
        <v>20</v>
      </c>
      <c r="J565" t="s">
        <v>20</v>
      </c>
      <c r="K565" t="s">
        <v>22</v>
      </c>
      <c r="L565" t="s">
        <v>133</v>
      </c>
      <c r="M565" t="s">
        <v>169</v>
      </c>
      <c r="N565">
        <v>40.29271</v>
      </c>
      <c r="O565">
        <v>-109.991826</v>
      </c>
      <c r="P565">
        <v>4995.4247729999997</v>
      </c>
      <c r="Q565">
        <v>310</v>
      </c>
      <c r="R565">
        <v>0</v>
      </c>
    </row>
    <row r="566" spans="1:18" x14ac:dyDescent="0.25">
      <c r="A566">
        <v>565</v>
      </c>
      <c r="B566">
        <v>94</v>
      </c>
      <c r="C566">
        <v>31814666</v>
      </c>
      <c r="D566" t="s">
        <v>290</v>
      </c>
      <c r="E566">
        <v>113.86499999999999</v>
      </c>
      <c r="F566" t="s">
        <v>21</v>
      </c>
      <c r="G566" t="s">
        <v>20</v>
      </c>
      <c r="H566" t="s">
        <v>21</v>
      </c>
      <c r="I566" t="s">
        <v>20</v>
      </c>
      <c r="J566" t="s">
        <v>20</v>
      </c>
      <c r="K566" t="s">
        <v>41</v>
      </c>
      <c r="L566" t="s">
        <v>325</v>
      </c>
      <c r="M566" t="s">
        <v>280</v>
      </c>
      <c r="N566">
        <v>41.899408999999999</v>
      </c>
      <c r="O566">
        <v>-111.37012900000001</v>
      </c>
      <c r="P566">
        <v>5906.0924789999999</v>
      </c>
      <c r="Q566">
        <v>1343</v>
      </c>
      <c r="R566">
        <v>0</v>
      </c>
    </row>
    <row r="567" spans="1:18" x14ac:dyDescent="0.25">
      <c r="A567">
        <v>566</v>
      </c>
      <c r="B567">
        <v>94</v>
      </c>
      <c r="C567">
        <v>31799145</v>
      </c>
      <c r="D567" t="s">
        <v>118</v>
      </c>
      <c r="E567">
        <v>114.011</v>
      </c>
      <c r="F567" t="s">
        <v>21</v>
      </c>
      <c r="G567" t="s">
        <v>26</v>
      </c>
      <c r="H567" t="s">
        <v>21</v>
      </c>
      <c r="I567" t="s">
        <v>20</v>
      </c>
      <c r="J567" t="s">
        <v>20</v>
      </c>
      <c r="K567" t="s">
        <v>22</v>
      </c>
      <c r="L567" t="s">
        <v>133</v>
      </c>
      <c r="M567" t="s">
        <v>169</v>
      </c>
      <c r="N567">
        <v>40.294015000000002</v>
      </c>
      <c r="O567">
        <v>-109.98917400000001</v>
      </c>
      <c r="P567">
        <v>5021.5050140000003</v>
      </c>
      <c r="Q567">
        <v>310</v>
      </c>
      <c r="R567">
        <v>0</v>
      </c>
    </row>
    <row r="568" spans="1:18" x14ac:dyDescent="0.25">
      <c r="A568">
        <v>567</v>
      </c>
      <c r="B568">
        <v>94</v>
      </c>
      <c r="C568">
        <v>31553805</v>
      </c>
      <c r="D568" t="s">
        <v>348</v>
      </c>
      <c r="E568">
        <v>114.06</v>
      </c>
      <c r="F568" t="s">
        <v>21</v>
      </c>
      <c r="G568" t="s">
        <v>26</v>
      </c>
      <c r="H568" t="s">
        <v>21</v>
      </c>
      <c r="I568" t="s">
        <v>20</v>
      </c>
      <c r="J568" t="s">
        <v>20</v>
      </c>
      <c r="K568" t="s">
        <v>27</v>
      </c>
      <c r="L568" t="s">
        <v>327</v>
      </c>
      <c r="M568" t="s">
        <v>123</v>
      </c>
      <c r="N568">
        <v>37.560603999999998</v>
      </c>
      <c r="O568">
        <v>-109.59952</v>
      </c>
      <c r="P568">
        <v>5391.833318</v>
      </c>
      <c r="Q568">
        <v>1388</v>
      </c>
      <c r="R568">
        <v>0</v>
      </c>
    </row>
    <row r="569" spans="1:18" x14ac:dyDescent="0.25">
      <c r="A569">
        <v>568</v>
      </c>
      <c r="B569">
        <v>94</v>
      </c>
      <c r="C569">
        <v>31799506</v>
      </c>
      <c r="D569" t="s">
        <v>118</v>
      </c>
      <c r="E569">
        <v>114.114</v>
      </c>
      <c r="F569" t="s">
        <v>21</v>
      </c>
      <c r="G569" t="s">
        <v>26</v>
      </c>
      <c r="H569" t="s">
        <v>21</v>
      </c>
      <c r="I569" t="s">
        <v>20</v>
      </c>
      <c r="J569" t="s">
        <v>20</v>
      </c>
      <c r="K569" t="s">
        <v>22</v>
      </c>
      <c r="L569" t="s">
        <v>133</v>
      </c>
      <c r="M569" t="s">
        <v>169</v>
      </c>
      <c r="N569">
        <v>40.295459999999999</v>
      </c>
      <c r="O569">
        <v>-109.98882</v>
      </c>
      <c r="P569">
        <v>5026.6562459999996</v>
      </c>
      <c r="Q569">
        <v>310</v>
      </c>
      <c r="R569">
        <v>0</v>
      </c>
    </row>
    <row r="570" spans="1:18" x14ac:dyDescent="0.25">
      <c r="A570">
        <v>569</v>
      </c>
      <c r="B570">
        <v>94</v>
      </c>
      <c r="C570">
        <v>31799517</v>
      </c>
      <c r="D570" t="s">
        <v>118</v>
      </c>
      <c r="E570">
        <v>114.20399999999999</v>
      </c>
      <c r="F570" t="s">
        <v>21</v>
      </c>
      <c r="G570" t="s">
        <v>26</v>
      </c>
      <c r="H570" t="s">
        <v>21</v>
      </c>
      <c r="I570" t="s">
        <v>20</v>
      </c>
      <c r="J570" t="s">
        <v>20</v>
      </c>
      <c r="K570" t="s">
        <v>22</v>
      </c>
      <c r="L570" t="s">
        <v>133</v>
      </c>
      <c r="M570" t="s">
        <v>169</v>
      </c>
      <c r="N570">
        <v>40.296757999999997</v>
      </c>
      <c r="O570">
        <v>-109.988827</v>
      </c>
      <c r="P570">
        <v>5033.6084709999996</v>
      </c>
      <c r="Q570">
        <v>310</v>
      </c>
      <c r="R570">
        <v>0</v>
      </c>
    </row>
    <row r="571" spans="1:18" x14ac:dyDescent="0.25">
      <c r="A571">
        <v>570</v>
      </c>
      <c r="B571">
        <v>94</v>
      </c>
      <c r="C571">
        <v>31799528</v>
      </c>
      <c r="D571" t="s">
        <v>118</v>
      </c>
      <c r="E571">
        <v>114.298</v>
      </c>
      <c r="F571" t="s">
        <v>21</v>
      </c>
      <c r="G571" t="s">
        <v>26</v>
      </c>
      <c r="H571" t="s">
        <v>21</v>
      </c>
      <c r="I571" t="s">
        <v>20</v>
      </c>
      <c r="J571" t="s">
        <v>20</v>
      </c>
      <c r="K571" t="s">
        <v>22</v>
      </c>
      <c r="L571" t="s">
        <v>133</v>
      </c>
      <c r="M571" t="s">
        <v>169</v>
      </c>
      <c r="N571">
        <v>40.298118000000002</v>
      </c>
      <c r="O571">
        <v>-109.988831</v>
      </c>
      <c r="P571">
        <v>5036.8727470000003</v>
      </c>
      <c r="Q571">
        <v>310</v>
      </c>
      <c r="R571">
        <v>0</v>
      </c>
    </row>
    <row r="572" spans="1:18" x14ac:dyDescent="0.25">
      <c r="A572">
        <v>571</v>
      </c>
      <c r="B572">
        <v>94</v>
      </c>
      <c r="C572">
        <v>31564743</v>
      </c>
      <c r="D572" t="s">
        <v>213</v>
      </c>
      <c r="E572">
        <v>114.37</v>
      </c>
      <c r="F572" t="s">
        <v>21</v>
      </c>
      <c r="G572" t="s">
        <v>26</v>
      </c>
      <c r="H572" t="s">
        <v>21</v>
      </c>
      <c r="I572" t="s">
        <v>20</v>
      </c>
      <c r="J572" t="s">
        <v>20</v>
      </c>
      <c r="K572" t="s">
        <v>22</v>
      </c>
      <c r="L572" t="s">
        <v>193</v>
      </c>
      <c r="M572" t="s">
        <v>214</v>
      </c>
      <c r="N572">
        <v>39.644558000000004</v>
      </c>
      <c r="O572">
        <v>-112.302261</v>
      </c>
      <c r="P572">
        <v>4926.8414240000002</v>
      </c>
      <c r="Q572">
        <v>1332</v>
      </c>
      <c r="R572">
        <v>0</v>
      </c>
    </row>
    <row r="573" spans="1:18" x14ac:dyDescent="0.25">
      <c r="A573">
        <v>572</v>
      </c>
      <c r="B573">
        <v>94</v>
      </c>
      <c r="C573">
        <v>31799539</v>
      </c>
      <c r="D573" t="s">
        <v>118</v>
      </c>
      <c r="E573">
        <v>114.39100000000001</v>
      </c>
      <c r="F573" t="s">
        <v>19</v>
      </c>
      <c r="G573" t="s">
        <v>20</v>
      </c>
      <c r="H573" t="s">
        <v>21</v>
      </c>
      <c r="I573" t="s">
        <v>20</v>
      </c>
      <c r="J573" t="s">
        <v>20</v>
      </c>
      <c r="K573" t="s">
        <v>22</v>
      </c>
      <c r="L573" t="s">
        <v>133</v>
      </c>
      <c r="M573" t="s">
        <v>169</v>
      </c>
      <c r="N573">
        <v>40.299475999999999</v>
      </c>
      <c r="O573">
        <v>-109.98885300000001</v>
      </c>
      <c r="P573">
        <v>5041.039925</v>
      </c>
      <c r="Q573">
        <v>310</v>
      </c>
      <c r="R573">
        <v>0</v>
      </c>
    </row>
    <row r="574" spans="1:18" x14ac:dyDescent="0.25">
      <c r="A574">
        <v>573</v>
      </c>
      <c r="B574">
        <v>94</v>
      </c>
      <c r="C574">
        <v>31905268</v>
      </c>
      <c r="D574" t="s">
        <v>272</v>
      </c>
      <c r="E574">
        <v>114.468</v>
      </c>
      <c r="F574" t="s">
        <v>21</v>
      </c>
      <c r="G574" t="s">
        <v>26</v>
      </c>
      <c r="H574" t="s">
        <v>21</v>
      </c>
      <c r="I574" t="s">
        <v>20</v>
      </c>
      <c r="J574" t="s">
        <v>20</v>
      </c>
      <c r="K574" t="s">
        <v>27</v>
      </c>
      <c r="L574" t="s">
        <v>279</v>
      </c>
      <c r="M574" t="s">
        <v>214</v>
      </c>
      <c r="N574">
        <v>37.633107000000003</v>
      </c>
      <c r="O574">
        <v>-112.451375</v>
      </c>
      <c r="P574">
        <v>6957.3620499999997</v>
      </c>
      <c r="Q574">
        <v>1384</v>
      </c>
      <c r="R574">
        <v>0</v>
      </c>
    </row>
    <row r="575" spans="1:18" x14ac:dyDescent="0.25">
      <c r="A575">
        <v>574</v>
      </c>
      <c r="B575">
        <v>94</v>
      </c>
      <c r="C575">
        <v>31802672</v>
      </c>
      <c r="D575" t="s">
        <v>118</v>
      </c>
      <c r="E575">
        <v>114.48399999999999</v>
      </c>
      <c r="F575" t="s">
        <v>21</v>
      </c>
      <c r="G575" t="s">
        <v>26</v>
      </c>
      <c r="H575" t="s">
        <v>21</v>
      </c>
      <c r="I575" t="s">
        <v>20</v>
      </c>
      <c r="J575" t="s">
        <v>20</v>
      </c>
      <c r="K575" t="s">
        <v>22</v>
      </c>
      <c r="L575" t="s">
        <v>133</v>
      </c>
      <c r="M575" t="s">
        <v>169</v>
      </c>
      <c r="N575">
        <v>40.300823999999999</v>
      </c>
      <c r="O575">
        <v>-109.98885</v>
      </c>
      <c r="P575">
        <v>5041.127716</v>
      </c>
      <c r="Q575">
        <v>310</v>
      </c>
      <c r="R575">
        <v>0</v>
      </c>
    </row>
    <row r="576" spans="1:18" x14ac:dyDescent="0.25">
      <c r="A576">
        <v>575</v>
      </c>
      <c r="B576">
        <v>94</v>
      </c>
      <c r="C576">
        <v>31802683</v>
      </c>
      <c r="D576" t="s">
        <v>118</v>
      </c>
      <c r="E576">
        <v>114.568</v>
      </c>
      <c r="F576" t="s">
        <v>19</v>
      </c>
      <c r="G576" t="s">
        <v>20</v>
      </c>
      <c r="H576" t="s">
        <v>19</v>
      </c>
      <c r="I576">
        <v>121</v>
      </c>
      <c r="J576" t="s">
        <v>20</v>
      </c>
      <c r="K576" t="s">
        <v>22</v>
      </c>
      <c r="L576" t="s">
        <v>133</v>
      </c>
      <c r="M576" t="s">
        <v>169</v>
      </c>
      <c r="N576">
        <v>40.302138999999997</v>
      </c>
      <c r="O576">
        <v>-109.98888599999999</v>
      </c>
      <c r="P576">
        <v>5040.629371</v>
      </c>
      <c r="Q576">
        <v>310</v>
      </c>
      <c r="R576">
        <v>0</v>
      </c>
    </row>
    <row r="577" spans="1:18" x14ac:dyDescent="0.25">
      <c r="A577">
        <v>576</v>
      </c>
      <c r="B577">
        <v>94</v>
      </c>
      <c r="C577">
        <v>31504943</v>
      </c>
      <c r="D577" t="s">
        <v>224</v>
      </c>
      <c r="E577">
        <v>14.523</v>
      </c>
      <c r="F577" t="s">
        <v>21</v>
      </c>
      <c r="G577" t="s">
        <v>26</v>
      </c>
      <c r="H577" t="s">
        <v>21</v>
      </c>
      <c r="I577" t="s">
        <v>20</v>
      </c>
      <c r="J577" t="s">
        <v>20</v>
      </c>
      <c r="K577" t="s">
        <v>22</v>
      </c>
      <c r="L577" t="s">
        <v>140</v>
      </c>
      <c r="M577" t="s">
        <v>194</v>
      </c>
      <c r="N577">
        <v>40.096153999999999</v>
      </c>
      <c r="O577">
        <v>-111.616438</v>
      </c>
      <c r="P577">
        <v>4681.0451279999997</v>
      </c>
      <c r="Q577">
        <v>408</v>
      </c>
      <c r="R577">
        <v>0</v>
      </c>
    </row>
    <row r="578" spans="1:18" x14ac:dyDescent="0.25">
      <c r="A578">
        <v>577</v>
      </c>
      <c r="B578">
        <v>94</v>
      </c>
      <c r="C578">
        <v>31305809</v>
      </c>
      <c r="D578" t="s">
        <v>203</v>
      </c>
      <c r="E578">
        <v>18.843</v>
      </c>
      <c r="F578" t="s">
        <v>21</v>
      </c>
      <c r="G578" t="s">
        <v>26</v>
      </c>
      <c r="H578" t="s">
        <v>21</v>
      </c>
      <c r="I578" t="s">
        <v>20</v>
      </c>
      <c r="J578" t="s">
        <v>20</v>
      </c>
      <c r="K578" t="s">
        <v>41</v>
      </c>
      <c r="L578" t="s">
        <v>255</v>
      </c>
      <c r="M578" t="s">
        <v>204</v>
      </c>
      <c r="N578">
        <v>41.255367</v>
      </c>
      <c r="O578">
        <v>-111.761235</v>
      </c>
      <c r="P578">
        <v>4890.4650099999999</v>
      </c>
      <c r="Q578">
        <v>1349</v>
      </c>
      <c r="R578">
        <v>0</v>
      </c>
    </row>
    <row r="579" spans="1:18" x14ac:dyDescent="0.25">
      <c r="A579">
        <v>578</v>
      </c>
      <c r="B579">
        <v>94</v>
      </c>
      <c r="C579">
        <v>31390649</v>
      </c>
      <c r="D579" t="s">
        <v>184</v>
      </c>
      <c r="E579">
        <v>18.844999999999999</v>
      </c>
      <c r="F579" t="s">
        <v>21</v>
      </c>
      <c r="G579" t="s">
        <v>26</v>
      </c>
      <c r="H579" t="s">
        <v>21</v>
      </c>
      <c r="I579" t="s">
        <v>20</v>
      </c>
      <c r="J579" t="s">
        <v>20</v>
      </c>
      <c r="K579" t="s">
        <v>27</v>
      </c>
      <c r="L579" t="s">
        <v>54</v>
      </c>
      <c r="M579" t="s">
        <v>55</v>
      </c>
      <c r="N579">
        <v>37.903626000000003</v>
      </c>
      <c r="O579">
        <v>-113.031542</v>
      </c>
      <c r="P579">
        <v>5441.2927659999996</v>
      </c>
      <c r="Q579">
        <v>1410</v>
      </c>
      <c r="R579">
        <v>0</v>
      </c>
    </row>
    <row r="580" spans="1:18" x14ac:dyDescent="0.25">
      <c r="A580">
        <v>579</v>
      </c>
      <c r="B580">
        <v>94</v>
      </c>
      <c r="C580">
        <v>31303919</v>
      </c>
      <c r="D580" t="s">
        <v>116</v>
      </c>
      <c r="E580">
        <v>18.853000000000002</v>
      </c>
      <c r="F580" t="s">
        <v>21</v>
      </c>
      <c r="G580" t="s">
        <v>26</v>
      </c>
      <c r="H580" t="s">
        <v>21</v>
      </c>
      <c r="I580" t="s">
        <v>20</v>
      </c>
      <c r="J580" t="s">
        <v>20</v>
      </c>
      <c r="K580" t="s">
        <v>41</v>
      </c>
      <c r="L580" t="s">
        <v>42</v>
      </c>
      <c r="M580" t="s">
        <v>43</v>
      </c>
      <c r="N580">
        <v>41.640715999999998</v>
      </c>
      <c r="O580">
        <v>-111.916961</v>
      </c>
      <c r="P580">
        <v>4436.6574760000003</v>
      </c>
      <c r="Q580">
        <v>324</v>
      </c>
      <c r="R580">
        <v>0</v>
      </c>
    </row>
    <row r="581" spans="1:18" x14ac:dyDescent="0.25">
      <c r="A581">
        <v>580</v>
      </c>
      <c r="B581">
        <v>94</v>
      </c>
      <c r="C581">
        <v>31373225</v>
      </c>
      <c r="D581" t="s">
        <v>199</v>
      </c>
      <c r="E581">
        <v>18.853000000000002</v>
      </c>
      <c r="F581" t="s">
        <v>21</v>
      </c>
      <c r="G581" t="s">
        <v>20</v>
      </c>
      <c r="H581" t="s">
        <v>21</v>
      </c>
      <c r="I581" t="s">
        <v>20</v>
      </c>
      <c r="J581" t="s">
        <v>20</v>
      </c>
      <c r="K581" t="s">
        <v>27</v>
      </c>
      <c r="L581" t="s">
        <v>103</v>
      </c>
      <c r="M581" t="s">
        <v>200</v>
      </c>
      <c r="N581">
        <v>38.322135000000003</v>
      </c>
      <c r="O581">
        <v>-112.38456600000001</v>
      </c>
      <c r="P581">
        <v>9630.4613860000009</v>
      </c>
      <c r="Q581">
        <v>341</v>
      </c>
      <c r="R581">
        <v>0</v>
      </c>
    </row>
    <row r="582" spans="1:18" x14ac:dyDescent="0.25">
      <c r="A582">
        <v>581</v>
      </c>
      <c r="B582">
        <v>94</v>
      </c>
      <c r="C582">
        <v>31421341</v>
      </c>
      <c r="D582" t="s">
        <v>333</v>
      </c>
      <c r="E582">
        <v>18.864000000000001</v>
      </c>
      <c r="F582" t="s">
        <v>19</v>
      </c>
      <c r="G582" t="s">
        <v>20</v>
      </c>
      <c r="H582" t="s">
        <v>21</v>
      </c>
      <c r="I582" t="s">
        <v>20</v>
      </c>
      <c r="J582" t="s">
        <v>20</v>
      </c>
      <c r="K582" t="s">
        <v>31</v>
      </c>
      <c r="L582" t="s">
        <v>78</v>
      </c>
      <c r="M582" t="s">
        <v>49</v>
      </c>
      <c r="N582">
        <v>40.695453999999998</v>
      </c>
      <c r="O582">
        <v>-111.98124199999999</v>
      </c>
      <c r="P582">
        <v>4213.4875179999999</v>
      </c>
      <c r="Q582">
        <v>1426</v>
      </c>
      <c r="R582">
        <v>0</v>
      </c>
    </row>
    <row r="583" spans="1:18" x14ac:dyDescent="0.25">
      <c r="A583">
        <v>582</v>
      </c>
      <c r="B583">
        <v>94</v>
      </c>
      <c r="C583" t="e">
        <f>-Ip-MAwmF4uaqrZ8zgmoYk</f>
        <v>#NAME?</v>
      </c>
      <c r="D583" t="s">
        <v>323</v>
      </c>
      <c r="E583">
        <v>18.876999999999999</v>
      </c>
      <c r="F583" t="s">
        <v>21</v>
      </c>
      <c r="G583" t="s">
        <v>20</v>
      </c>
      <c r="H583" t="s">
        <v>21</v>
      </c>
      <c r="I583" t="s">
        <v>20</v>
      </c>
      <c r="J583" t="s">
        <v>20</v>
      </c>
      <c r="K583" t="s">
        <v>31</v>
      </c>
      <c r="L583" t="s">
        <v>130</v>
      </c>
      <c r="M583" t="s">
        <v>131</v>
      </c>
      <c r="N583">
        <v>40.723869000000001</v>
      </c>
      <c r="O583">
        <v>-111.303451</v>
      </c>
      <c r="P583">
        <v>6450.4530729999997</v>
      </c>
      <c r="Q583">
        <v>1345</v>
      </c>
      <c r="R583">
        <v>0</v>
      </c>
    </row>
    <row r="584" spans="1:18" x14ac:dyDescent="0.25">
      <c r="A584">
        <v>583</v>
      </c>
      <c r="B584">
        <v>94</v>
      </c>
      <c r="C584">
        <v>31908405</v>
      </c>
      <c r="D584" t="s">
        <v>272</v>
      </c>
      <c r="E584">
        <v>129.697</v>
      </c>
      <c r="F584" t="s">
        <v>21</v>
      </c>
      <c r="G584" t="s">
        <v>26</v>
      </c>
      <c r="H584" t="s">
        <v>21</v>
      </c>
      <c r="I584" t="s">
        <v>20</v>
      </c>
      <c r="J584" t="s">
        <v>20</v>
      </c>
      <c r="K584" t="s">
        <v>27</v>
      </c>
      <c r="L584" t="s">
        <v>247</v>
      </c>
      <c r="M584" t="s">
        <v>214</v>
      </c>
      <c r="N584">
        <v>37.822519</v>
      </c>
      <c r="O584">
        <v>-112.410161</v>
      </c>
      <c r="P584">
        <v>6543.6628739999996</v>
      </c>
      <c r="Q584">
        <v>1384</v>
      </c>
      <c r="R584">
        <v>0</v>
      </c>
    </row>
    <row r="585" spans="1:18" x14ac:dyDescent="0.25">
      <c r="A585">
        <v>584</v>
      </c>
      <c r="B585">
        <v>94</v>
      </c>
      <c r="C585">
        <v>31738170</v>
      </c>
      <c r="D585" t="s">
        <v>244</v>
      </c>
      <c r="E585">
        <v>129.744</v>
      </c>
      <c r="F585" t="s">
        <v>21</v>
      </c>
      <c r="G585" t="s">
        <v>26</v>
      </c>
      <c r="H585" t="s">
        <v>21</v>
      </c>
      <c r="I585" t="s">
        <v>20</v>
      </c>
      <c r="J585" t="s">
        <v>20</v>
      </c>
      <c r="K585" t="s">
        <v>27</v>
      </c>
      <c r="L585" t="s">
        <v>122</v>
      </c>
      <c r="M585" t="s">
        <v>270</v>
      </c>
      <c r="N585">
        <v>38.549111000000003</v>
      </c>
      <c r="O585">
        <v>-110.618208</v>
      </c>
      <c r="P585">
        <v>4863.9291629999998</v>
      </c>
      <c r="Q585">
        <v>1340</v>
      </c>
      <c r="R585">
        <v>0</v>
      </c>
    </row>
    <row r="586" spans="1:18" x14ac:dyDescent="0.25">
      <c r="A586">
        <v>585</v>
      </c>
      <c r="B586">
        <v>94</v>
      </c>
      <c r="C586">
        <v>31482068</v>
      </c>
      <c r="D586" t="s">
        <v>288</v>
      </c>
      <c r="E586">
        <v>129.79300000000001</v>
      </c>
      <c r="F586" t="s">
        <v>21</v>
      </c>
      <c r="G586" t="s">
        <v>26</v>
      </c>
      <c r="H586" t="s">
        <v>19</v>
      </c>
      <c r="I586">
        <v>279</v>
      </c>
      <c r="J586" t="s">
        <v>20</v>
      </c>
      <c r="K586" t="s">
        <v>27</v>
      </c>
      <c r="L586" t="s">
        <v>38</v>
      </c>
      <c r="M586" t="s">
        <v>152</v>
      </c>
      <c r="N586">
        <v>38.606140000000003</v>
      </c>
      <c r="O586">
        <v>-109.602079</v>
      </c>
      <c r="P586">
        <v>3945.8424909999999</v>
      </c>
      <c r="Q586">
        <v>350</v>
      </c>
      <c r="R586">
        <v>0</v>
      </c>
    </row>
    <row r="587" spans="1:18" x14ac:dyDescent="0.25">
      <c r="A587">
        <v>586</v>
      </c>
      <c r="B587">
        <v>94</v>
      </c>
      <c r="C587">
        <v>31491905</v>
      </c>
      <c r="D587" t="s">
        <v>320</v>
      </c>
      <c r="E587">
        <v>129.81800000000001</v>
      </c>
      <c r="F587" t="s">
        <v>21</v>
      </c>
      <c r="G587" t="s">
        <v>26</v>
      </c>
      <c r="H587" t="s">
        <v>21</v>
      </c>
      <c r="I587" t="s">
        <v>20</v>
      </c>
      <c r="J587" t="s">
        <v>20</v>
      </c>
      <c r="K587" t="s">
        <v>27</v>
      </c>
      <c r="L587" t="s">
        <v>202</v>
      </c>
      <c r="M587" t="s">
        <v>76</v>
      </c>
      <c r="N587">
        <v>39.253542000000003</v>
      </c>
      <c r="O587">
        <v>-112.115449</v>
      </c>
      <c r="P587">
        <v>5231.7856270000002</v>
      </c>
      <c r="Q587">
        <v>1356</v>
      </c>
      <c r="R587">
        <v>0</v>
      </c>
    </row>
    <row r="588" spans="1:18" x14ac:dyDescent="0.25">
      <c r="A588">
        <v>587</v>
      </c>
      <c r="B588">
        <v>94</v>
      </c>
      <c r="C588">
        <v>31491916</v>
      </c>
      <c r="D588" t="s">
        <v>320</v>
      </c>
      <c r="E588">
        <v>129.976</v>
      </c>
      <c r="F588" t="s">
        <v>21</v>
      </c>
      <c r="G588" t="s">
        <v>26</v>
      </c>
      <c r="H588" t="s">
        <v>21</v>
      </c>
      <c r="I588" t="s">
        <v>20</v>
      </c>
      <c r="J588" t="s">
        <v>20</v>
      </c>
      <c r="K588" t="s">
        <v>27</v>
      </c>
      <c r="L588" t="s">
        <v>202</v>
      </c>
      <c r="M588" t="s">
        <v>76</v>
      </c>
      <c r="N588">
        <v>39.252110999999999</v>
      </c>
      <c r="O588">
        <v>-112.11311499999999</v>
      </c>
      <c r="P588">
        <v>5234.6544670000003</v>
      </c>
      <c r="Q588">
        <v>1356</v>
      </c>
      <c r="R588">
        <v>0</v>
      </c>
    </row>
    <row r="589" spans="1:18" x14ac:dyDescent="0.25">
      <c r="A589">
        <v>588</v>
      </c>
      <c r="B589">
        <v>94</v>
      </c>
      <c r="C589">
        <v>1529266</v>
      </c>
      <c r="D589" t="s">
        <v>88</v>
      </c>
      <c r="E589">
        <v>13.004</v>
      </c>
      <c r="F589" t="s">
        <v>21</v>
      </c>
      <c r="G589" t="s">
        <v>26</v>
      </c>
      <c r="H589" t="s">
        <v>21</v>
      </c>
      <c r="I589" t="s">
        <v>20</v>
      </c>
      <c r="J589" t="s">
        <v>20</v>
      </c>
      <c r="K589" t="s">
        <v>31</v>
      </c>
      <c r="L589" t="s">
        <v>32</v>
      </c>
      <c r="M589" t="s">
        <v>90</v>
      </c>
      <c r="N589">
        <v>40.626685999999999</v>
      </c>
      <c r="O589">
        <v>-111.86597999999999</v>
      </c>
      <c r="P589">
        <v>4373.4211249999998</v>
      </c>
      <c r="Q589">
        <v>318</v>
      </c>
      <c r="R589">
        <v>0</v>
      </c>
    </row>
    <row r="590" spans="1:18" x14ac:dyDescent="0.25">
      <c r="A590">
        <v>589</v>
      </c>
      <c r="B590">
        <v>94</v>
      </c>
      <c r="C590">
        <v>31502964</v>
      </c>
      <c r="D590" t="s">
        <v>224</v>
      </c>
      <c r="E590">
        <v>13.005000000000001</v>
      </c>
      <c r="F590" t="s">
        <v>21</v>
      </c>
      <c r="G590" t="s">
        <v>26</v>
      </c>
      <c r="H590" t="s">
        <v>21</v>
      </c>
      <c r="I590" t="s">
        <v>20</v>
      </c>
      <c r="J590" t="s">
        <v>20</v>
      </c>
      <c r="K590" t="s">
        <v>22</v>
      </c>
      <c r="L590" t="s">
        <v>140</v>
      </c>
      <c r="M590" t="s">
        <v>194</v>
      </c>
      <c r="N590">
        <v>40.105283</v>
      </c>
      <c r="O590">
        <v>-111.64237900000001</v>
      </c>
      <c r="P590">
        <v>4633.8792320000002</v>
      </c>
      <c r="Q590">
        <v>408</v>
      </c>
      <c r="R590">
        <v>0</v>
      </c>
    </row>
    <row r="591" spans="1:18" x14ac:dyDescent="0.25">
      <c r="A591">
        <v>590</v>
      </c>
      <c r="B591">
        <v>94</v>
      </c>
      <c r="C591" t="e">
        <f>-JXVYPbNHrunr0dzrKCXpk</f>
        <v>#NAME?</v>
      </c>
      <c r="D591" t="s">
        <v>239</v>
      </c>
      <c r="E591">
        <v>13.010999999999999</v>
      </c>
      <c r="F591" t="s">
        <v>21</v>
      </c>
      <c r="G591" t="s">
        <v>20</v>
      </c>
      <c r="H591" t="s">
        <v>21</v>
      </c>
      <c r="I591" t="s">
        <v>20</v>
      </c>
      <c r="J591" t="s">
        <v>20</v>
      </c>
      <c r="K591" t="s">
        <v>41</v>
      </c>
      <c r="L591" t="s">
        <v>181</v>
      </c>
      <c r="M591" t="s">
        <v>178</v>
      </c>
      <c r="N591">
        <v>41.710304000000001</v>
      </c>
      <c r="O591">
        <v>-112.229038</v>
      </c>
      <c r="P591">
        <v>4260.401038</v>
      </c>
      <c r="Q591">
        <v>1392</v>
      </c>
      <c r="R591">
        <v>0</v>
      </c>
    </row>
    <row r="592" spans="1:18" x14ac:dyDescent="0.25">
      <c r="A592">
        <v>591</v>
      </c>
      <c r="B592">
        <v>94</v>
      </c>
      <c r="C592">
        <v>1529292</v>
      </c>
      <c r="D592" t="s">
        <v>88</v>
      </c>
      <c r="E592">
        <v>13.010999999999999</v>
      </c>
      <c r="F592" t="s">
        <v>21</v>
      </c>
      <c r="G592" t="s">
        <v>20</v>
      </c>
      <c r="H592" t="s">
        <v>21</v>
      </c>
      <c r="I592" t="s">
        <v>20</v>
      </c>
      <c r="J592" t="s">
        <v>20</v>
      </c>
      <c r="K592" t="s">
        <v>31</v>
      </c>
      <c r="L592" t="s">
        <v>32</v>
      </c>
      <c r="M592" t="s">
        <v>90</v>
      </c>
      <c r="N592">
        <v>40.626801</v>
      </c>
      <c r="O592">
        <v>-111.86597500000001</v>
      </c>
      <c r="P592">
        <v>4372.8810759999997</v>
      </c>
      <c r="Q592">
        <v>318</v>
      </c>
      <c r="R592">
        <v>0</v>
      </c>
    </row>
    <row r="593" spans="1:18" x14ac:dyDescent="0.25">
      <c r="A593">
        <v>592</v>
      </c>
      <c r="B593">
        <v>94</v>
      </c>
      <c r="C593">
        <v>31534121</v>
      </c>
      <c r="D593" t="s">
        <v>231</v>
      </c>
      <c r="E593">
        <v>13.042</v>
      </c>
      <c r="F593" t="s">
        <v>21</v>
      </c>
      <c r="G593" t="s">
        <v>26</v>
      </c>
      <c r="H593" t="s">
        <v>21</v>
      </c>
      <c r="I593" t="s">
        <v>20</v>
      </c>
      <c r="J593" t="s">
        <v>20</v>
      </c>
      <c r="K593" t="s">
        <v>41</v>
      </c>
      <c r="L593" t="s">
        <v>57</v>
      </c>
      <c r="M593" t="s">
        <v>93</v>
      </c>
      <c r="N593">
        <v>41.224316999999999</v>
      </c>
      <c r="O593">
        <v>-112.02563499999999</v>
      </c>
      <c r="P593">
        <v>4237.3969999999999</v>
      </c>
      <c r="Q593">
        <v>1409</v>
      </c>
      <c r="R593">
        <v>0</v>
      </c>
    </row>
    <row r="594" spans="1:18" x14ac:dyDescent="0.25">
      <c r="A594">
        <v>593</v>
      </c>
      <c r="B594">
        <v>94</v>
      </c>
      <c r="C594" t="s">
        <v>349</v>
      </c>
      <c r="D594" t="s">
        <v>336</v>
      </c>
      <c r="E594">
        <v>13.048</v>
      </c>
      <c r="F594" t="s">
        <v>21</v>
      </c>
      <c r="G594" t="s">
        <v>20</v>
      </c>
      <c r="H594" t="s">
        <v>21</v>
      </c>
      <c r="I594" t="s">
        <v>20</v>
      </c>
      <c r="J594" t="s">
        <v>20</v>
      </c>
      <c r="K594" t="s">
        <v>31</v>
      </c>
      <c r="L594" t="s">
        <v>32</v>
      </c>
      <c r="M594" t="s">
        <v>33</v>
      </c>
      <c r="N594">
        <v>40.633966999999998</v>
      </c>
      <c r="O594">
        <v>-111.612656</v>
      </c>
      <c r="P594">
        <v>7680.4491180000005</v>
      </c>
      <c r="Q594">
        <v>404</v>
      </c>
      <c r="R594">
        <v>0</v>
      </c>
    </row>
    <row r="595" spans="1:18" x14ac:dyDescent="0.25">
      <c r="A595">
        <v>594</v>
      </c>
      <c r="B595">
        <v>94</v>
      </c>
      <c r="C595">
        <v>31519121</v>
      </c>
      <c r="D595" t="s">
        <v>309</v>
      </c>
      <c r="E595">
        <v>13.05</v>
      </c>
      <c r="F595" t="s">
        <v>21</v>
      </c>
      <c r="G595" t="s">
        <v>26</v>
      </c>
      <c r="H595" t="s">
        <v>21</v>
      </c>
      <c r="I595" t="s">
        <v>20</v>
      </c>
      <c r="J595" t="s">
        <v>20</v>
      </c>
      <c r="K595" t="s">
        <v>22</v>
      </c>
      <c r="L595" t="s">
        <v>140</v>
      </c>
      <c r="M595" t="s">
        <v>125</v>
      </c>
      <c r="N595">
        <v>40.114960000000004</v>
      </c>
      <c r="O595">
        <v>-111.63728399999999</v>
      </c>
      <c r="P595">
        <v>4581.3642479999999</v>
      </c>
      <c r="Q595">
        <v>339</v>
      </c>
      <c r="R595">
        <v>0</v>
      </c>
    </row>
    <row r="596" spans="1:18" x14ac:dyDescent="0.25">
      <c r="A596">
        <v>595</v>
      </c>
      <c r="B596">
        <v>94</v>
      </c>
      <c r="C596">
        <v>31302437</v>
      </c>
      <c r="D596" t="s">
        <v>268</v>
      </c>
      <c r="E596">
        <v>13.057</v>
      </c>
      <c r="F596" t="s">
        <v>21</v>
      </c>
      <c r="G596" t="s">
        <v>26</v>
      </c>
      <c r="H596" t="s">
        <v>19</v>
      </c>
      <c r="I596">
        <v>102</v>
      </c>
      <c r="J596" t="s">
        <v>20</v>
      </c>
      <c r="K596" t="s">
        <v>41</v>
      </c>
      <c r="L596" t="s">
        <v>177</v>
      </c>
      <c r="M596" t="s">
        <v>43</v>
      </c>
      <c r="N596">
        <v>41.612793000000003</v>
      </c>
      <c r="O596">
        <v>-112.367223</v>
      </c>
      <c r="P596">
        <v>4198.9437369999996</v>
      </c>
      <c r="Q596">
        <v>1380</v>
      </c>
      <c r="R596">
        <v>0</v>
      </c>
    </row>
    <row r="597" spans="1:18" x14ac:dyDescent="0.25">
      <c r="A597">
        <v>596</v>
      </c>
      <c r="B597">
        <v>94</v>
      </c>
      <c r="C597">
        <v>1126079</v>
      </c>
      <c r="D597" t="s">
        <v>171</v>
      </c>
      <c r="E597">
        <v>14.84</v>
      </c>
      <c r="F597" t="s">
        <v>21</v>
      </c>
      <c r="G597" t="s">
        <v>26</v>
      </c>
      <c r="H597" t="s">
        <v>21</v>
      </c>
      <c r="I597" t="s">
        <v>20</v>
      </c>
      <c r="J597" t="s">
        <v>20</v>
      </c>
      <c r="K597" t="s">
        <v>31</v>
      </c>
      <c r="L597" t="s">
        <v>188</v>
      </c>
      <c r="M597" t="s">
        <v>79</v>
      </c>
      <c r="N597">
        <v>40.699852</v>
      </c>
      <c r="O597">
        <v>-111.810222</v>
      </c>
      <c r="P597">
        <v>4717.2972399999999</v>
      </c>
      <c r="Q597">
        <v>346</v>
      </c>
      <c r="R597">
        <v>0</v>
      </c>
    </row>
    <row r="598" spans="1:18" x14ac:dyDescent="0.25">
      <c r="A598">
        <v>597</v>
      </c>
      <c r="B598">
        <v>94</v>
      </c>
      <c r="C598">
        <v>28562843</v>
      </c>
      <c r="D598" t="s">
        <v>323</v>
      </c>
      <c r="E598">
        <v>14.852</v>
      </c>
      <c r="F598" t="s">
        <v>21</v>
      </c>
      <c r="G598" t="s">
        <v>26</v>
      </c>
      <c r="H598" t="s">
        <v>21</v>
      </c>
      <c r="I598" t="s">
        <v>20</v>
      </c>
      <c r="J598" t="s">
        <v>20</v>
      </c>
      <c r="K598" t="s">
        <v>31</v>
      </c>
      <c r="L598" t="s">
        <v>130</v>
      </c>
      <c r="M598" t="s">
        <v>131</v>
      </c>
      <c r="N598">
        <v>40.674993999999998</v>
      </c>
      <c r="O598">
        <v>-111.280873</v>
      </c>
      <c r="P598">
        <v>6372.7469119999996</v>
      </c>
      <c r="Q598">
        <v>1345</v>
      </c>
      <c r="R598">
        <v>0</v>
      </c>
    </row>
    <row r="599" spans="1:18" x14ac:dyDescent="0.25">
      <c r="A599">
        <v>598</v>
      </c>
      <c r="B599">
        <v>94</v>
      </c>
      <c r="C599">
        <v>1533464</v>
      </c>
      <c r="D599" t="s">
        <v>88</v>
      </c>
      <c r="E599">
        <v>14.86</v>
      </c>
      <c r="F599" t="s">
        <v>19</v>
      </c>
      <c r="G599" t="s">
        <v>20</v>
      </c>
      <c r="H599" t="s">
        <v>21</v>
      </c>
      <c r="I599" t="s">
        <v>20</v>
      </c>
      <c r="J599" t="s">
        <v>20</v>
      </c>
      <c r="K599" t="s">
        <v>31</v>
      </c>
      <c r="L599" t="s">
        <v>32</v>
      </c>
      <c r="M599" t="s">
        <v>90</v>
      </c>
      <c r="N599">
        <v>40.653587000000002</v>
      </c>
      <c r="O599">
        <v>-111.865926</v>
      </c>
      <c r="P599">
        <v>4272.9372709999998</v>
      </c>
      <c r="Q599">
        <v>318</v>
      </c>
      <c r="R599">
        <v>0</v>
      </c>
    </row>
    <row r="600" spans="1:18" x14ac:dyDescent="0.25">
      <c r="A600">
        <v>599</v>
      </c>
      <c r="B600">
        <v>94</v>
      </c>
      <c r="C600">
        <v>31420063</v>
      </c>
      <c r="D600" t="s">
        <v>345</v>
      </c>
      <c r="E600">
        <v>14.872</v>
      </c>
      <c r="F600" t="s">
        <v>21</v>
      </c>
      <c r="G600" t="s">
        <v>26</v>
      </c>
      <c r="H600" t="s">
        <v>21</v>
      </c>
      <c r="I600" t="s">
        <v>20</v>
      </c>
      <c r="J600" t="s">
        <v>20</v>
      </c>
      <c r="K600" t="s">
        <v>27</v>
      </c>
      <c r="L600" t="s">
        <v>75</v>
      </c>
      <c r="M600" t="s">
        <v>76</v>
      </c>
      <c r="N600">
        <v>38.772272999999998</v>
      </c>
      <c r="O600">
        <v>-112.08117300000001</v>
      </c>
      <c r="P600">
        <v>5284.2909380000001</v>
      </c>
      <c r="Q600">
        <v>1403</v>
      </c>
      <c r="R600">
        <v>0</v>
      </c>
    </row>
    <row r="601" spans="1:18" x14ac:dyDescent="0.25">
      <c r="A601">
        <v>600</v>
      </c>
      <c r="B601">
        <v>94</v>
      </c>
      <c r="C601">
        <v>1126086</v>
      </c>
      <c r="D601" t="s">
        <v>171</v>
      </c>
      <c r="E601">
        <v>14.887</v>
      </c>
      <c r="F601" t="s">
        <v>21</v>
      </c>
      <c r="G601" t="s">
        <v>26</v>
      </c>
      <c r="H601" t="s">
        <v>21</v>
      </c>
      <c r="I601" t="s">
        <v>20</v>
      </c>
      <c r="J601" t="s">
        <v>20</v>
      </c>
      <c r="K601" t="s">
        <v>31</v>
      </c>
      <c r="L601" t="s">
        <v>188</v>
      </c>
      <c r="M601" t="s">
        <v>79</v>
      </c>
      <c r="N601">
        <v>40.699848000000003</v>
      </c>
      <c r="O601">
        <v>-111.809326</v>
      </c>
      <c r="P601">
        <v>4726.9063470000001</v>
      </c>
      <c r="Q601">
        <v>346</v>
      </c>
      <c r="R601">
        <v>0</v>
      </c>
    </row>
    <row r="602" spans="1:18" x14ac:dyDescent="0.25">
      <c r="A602">
        <v>601</v>
      </c>
      <c r="B602">
        <v>94</v>
      </c>
      <c r="C602">
        <v>31764686</v>
      </c>
      <c r="D602" t="s">
        <v>312</v>
      </c>
      <c r="E602">
        <v>14.89</v>
      </c>
      <c r="F602" t="s">
        <v>21</v>
      </c>
      <c r="G602" t="s">
        <v>20</v>
      </c>
      <c r="H602" t="s">
        <v>21</v>
      </c>
      <c r="I602" t="s">
        <v>20</v>
      </c>
      <c r="J602" t="s">
        <v>20</v>
      </c>
      <c r="K602" t="s">
        <v>27</v>
      </c>
      <c r="L602" t="s">
        <v>143</v>
      </c>
      <c r="M602" t="s">
        <v>313</v>
      </c>
      <c r="N602">
        <v>38.609706000000003</v>
      </c>
      <c r="O602">
        <v>-112.986107</v>
      </c>
      <c r="P602">
        <v>4809.185176</v>
      </c>
      <c r="Q602">
        <v>255</v>
      </c>
      <c r="R602">
        <v>0</v>
      </c>
    </row>
    <row r="603" spans="1:18" x14ac:dyDescent="0.25">
      <c r="A603">
        <v>602</v>
      </c>
      <c r="B603">
        <v>94</v>
      </c>
      <c r="C603">
        <v>31345547</v>
      </c>
      <c r="D603" t="s">
        <v>333</v>
      </c>
      <c r="E603">
        <v>14.89</v>
      </c>
      <c r="F603" t="s">
        <v>19</v>
      </c>
      <c r="G603" t="s">
        <v>20</v>
      </c>
      <c r="H603" t="s">
        <v>21</v>
      </c>
      <c r="I603" t="s">
        <v>20</v>
      </c>
      <c r="J603" t="s">
        <v>20</v>
      </c>
      <c r="K603" t="s">
        <v>31</v>
      </c>
      <c r="L603" t="s">
        <v>48</v>
      </c>
      <c r="M603" t="s">
        <v>49</v>
      </c>
      <c r="N603">
        <v>40.638572000000003</v>
      </c>
      <c r="O603">
        <v>-111.976557</v>
      </c>
      <c r="P603">
        <v>4491.6677739999996</v>
      </c>
      <c r="Q603">
        <v>1426</v>
      </c>
      <c r="R603">
        <v>0</v>
      </c>
    </row>
    <row r="604" spans="1:18" x14ac:dyDescent="0.25">
      <c r="A604">
        <v>603</v>
      </c>
      <c r="B604">
        <v>94</v>
      </c>
      <c r="C604">
        <v>1533574</v>
      </c>
      <c r="D604" t="s">
        <v>88</v>
      </c>
      <c r="E604">
        <v>14.907</v>
      </c>
      <c r="F604" t="s">
        <v>21</v>
      </c>
      <c r="G604" t="s">
        <v>26</v>
      </c>
      <c r="H604" t="s">
        <v>21</v>
      </c>
      <c r="I604" t="s">
        <v>20</v>
      </c>
      <c r="J604" t="s">
        <v>20</v>
      </c>
      <c r="K604" t="s">
        <v>31</v>
      </c>
      <c r="L604" t="s">
        <v>32</v>
      </c>
      <c r="M604" t="s">
        <v>90</v>
      </c>
      <c r="N604">
        <v>40.654262000000003</v>
      </c>
      <c r="O604">
        <v>-111.86593499999999</v>
      </c>
      <c r="P604">
        <v>4272.0706200000004</v>
      </c>
      <c r="Q604">
        <v>318</v>
      </c>
      <c r="R604">
        <v>0</v>
      </c>
    </row>
    <row r="605" spans="1:18" x14ac:dyDescent="0.25">
      <c r="A605">
        <v>604</v>
      </c>
      <c r="B605">
        <v>94</v>
      </c>
      <c r="C605">
        <v>31530721</v>
      </c>
      <c r="D605" t="s">
        <v>326</v>
      </c>
      <c r="E605">
        <v>19.12</v>
      </c>
      <c r="F605" t="s">
        <v>21</v>
      </c>
      <c r="G605" t="s">
        <v>20</v>
      </c>
      <c r="H605" t="s">
        <v>21</v>
      </c>
      <c r="I605" t="s">
        <v>20</v>
      </c>
      <c r="J605" t="s">
        <v>20</v>
      </c>
      <c r="K605" t="s">
        <v>27</v>
      </c>
      <c r="L605" t="s">
        <v>327</v>
      </c>
      <c r="M605" t="s">
        <v>318</v>
      </c>
      <c r="N605">
        <v>37.396473</v>
      </c>
      <c r="O605">
        <v>-109.94394</v>
      </c>
      <c r="P605">
        <v>6454.5405479999999</v>
      </c>
      <c r="Q605">
        <v>256</v>
      </c>
      <c r="R605">
        <v>0</v>
      </c>
    </row>
    <row r="606" spans="1:18" x14ac:dyDescent="0.25">
      <c r="A606">
        <v>605</v>
      </c>
      <c r="B606">
        <v>94</v>
      </c>
      <c r="C606">
        <v>31408016</v>
      </c>
      <c r="D606" t="s">
        <v>63</v>
      </c>
      <c r="E606">
        <v>19.126999999999999</v>
      </c>
      <c r="F606" t="s">
        <v>21</v>
      </c>
      <c r="G606" t="s">
        <v>26</v>
      </c>
      <c r="H606" t="s">
        <v>21</v>
      </c>
      <c r="I606" t="s">
        <v>20</v>
      </c>
      <c r="J606" t="s">
        <v>20</v>
      </c>
      <c r="K606" t="s">
        <v>27</v>
      </c>
      <c r="L606" t="s">
        <v>64</v>
      </c>
      <c r="M606" t="s">
        <v>29</v>
      </c>
      <c r="N606">
        <v>38.256881</v>
      </c>
      <c r="O606">
        <v>-111.98621</v>
      </c>
      <c r="P606">
        <v>6422.8732049999999</v>
      </c>
      <c r="Q606">
        <v>1365</v>
      </c>
      <c r="R606">
        <v>0</v>
      </c>
    </row>
    <row r="607" spans="1:18" x14ac:dyDescent="0.25">
      <c r="A607">
        <v>606</v>
      </c>
      <c r="B607">
        <v>94</v>
      </c>
      <c r="C607">
        <v>31590562</v>
      </c>
      <c r="D607" t="s">
        <v>271</v>
      </c>
      <c r="E607">
        <v>19.135000000000002</v>
      </c>
      <c r="F607" t="s">
        <v>21</v>
      </c>
      <c r="G607" t="s">
        <v>20</v>
      </c>
      <c r="H607" t="s">
        <v>21</v>
      </c>
      <c r="I607" t="s">
        <v>20</v>
      </c>
      <c r="J607" t="s">
        <v>20</v>
      </c>
      <c r="K607" t="s">
        <v>22</v>
      </c>
      <c r="L607" t="s">
        <v>263</v>
      </c>
      <c r="M607" t="s">
        <v>24</v>
      </c>
      <c r="N607">
        <v>40.250529</v>
      </c>
      <c r="O607">
        <v>-112.120649</v>
      </c>
      <c r="P607">
        <v>4952.7592020000002</v>
      </c>
      <c r="Q607">
        <v>1372</v>
      </c>
      <c r="R607">
        <v>0</v>
      </c>
    </row>
    <row r="608" spans="1:18" x14ac:dyDescent="0.25">
      <c r="A608">
        <v>607</v>
      </c>
      <c r="B608">
        <v>94</v>
      </c>
      <c r="C608" t="e">
        <f>-Iov59JHG4uM49X3rajL9F</f>
        <v>#NAME?</v>
      </c>
      <c r="D608" t="s">
        <v>176</v>
      </c>
      <c r="E608">
        <v>13.257</v>
      </c>
      <c r="F608" t="s">
        <v>21</v>
      </c>
      <c r="G608" t="s">
        <v>26</v>
      </c>
      <c r="H608" t="s">
        <v>21</v>
      </c>
      <c r="I608" t="s">
        <v>20</v>
      </c>
      <c r="J608" t="s">
        <v>20</v>
      </c>
      <c r="K608" t="s">
        <v>41</v>
      </c>
      <c r="L608" t="s">
        <v>181</v>
      </c>
      <c r="M608" t="s">
        <v>178</v>
      </c>
      <c r="N608">
        <v>41.614466999999998</v>
      </c>
      <c r="O608">
        <v>-112.127033</v>
      </c>
      <c r="P608">
        <v>4207.8932779999996</v>
      </c>
      <c r="Q608">
        <v>1329</v>
      </c>
      <c r="R608">
        <v>0</v>
      </c>
    </row>
    <row r="609" spans="1:18" x14ac:dyDescent="0.25">
      <c r="A609">
        <v>608</v>
      </c>
      <c r="B609">
        <v>94</v>
      </c>
      <c r="C609">
        <v>31282526</v>
      </c>
      <c r="D609" t="s">
        <v>347</v>
      </c>
      <c r="E609">
        <v>13.262</v>
      </c>
      <c r="F609" t="s">
        <v>21</v>
      </c>
      <c r="G609" t="s">
        <v>20</v>
      </c>
      <c r="H609" t="s">
        <v>21</v>
      </c>
      <c r="I609" t="s">
        <v>20</v>
      </c>
      <c r="J609" t="s">
        <v>20</v>
      </c>
      <c r="K609" t="s">
        <v>41</v>
      </c>
      <c r="L609" t="s">
        <v>325</v>
      </c>
      <c r="M609" t="s">
        <v>204</v>
      </c>
      <c r="N609">
        <v>41.562077000000002</v>
      </c>
      <c r="O609">
        <v>-111.157652</v>
      </c>
      <c r="P609">
        <v>6258.2380549999998</v>
      </c>
      <c r="Q609">
        <v>1334</v>
      </c>
      <c r="R609">
        <v>0</v>
      </c>
    </row>
    <row r="610" spans="1:18" x14ac:dyDescent="0.25">
      <c r="A610">
        <v>609</v>
      </c>
      <c r="B610">
        <v>94</v>
      </c>
      <c r="C610">
        <v>31817589</v>
      </c>
      <c r="D610" t="s">
        <v>61</v>
      </c>
      <c r="E610">
        <v>13.272</v>
      </c>
      <c r="F610" t="s">
        <v>21</v>
      </c>
      <c r="G610" t="s">
        <v>26</v>
      </c>
      <c r="H610" t="s">
        <v>21</v>
      </c>
      <c r="I610" t="s">
        <v>20</v>
      </c>
      <c r="J610" t="s">
        <v>20</v>
      </c>
      <c r="K610" t="s">
        <v>22</v>
      </c>
      <c r="L610" t="s">
        <v>60</v>
      </c>
      <c r="M610" t="s">
        <v>62</v>
      </c>
      <c r="N610">
        <v>40.356934000000003</v>
      </c>
      <c r="O610">
        <v>-111.57164299999999</v>
      </c>
      <c r="P610">
        <v>5152.1092470000003</v>
      </c>
      <c r="Q610">
        <v>403</v>
      </c>
      <c r="R610">
        <v>0</v>
      </c>
    </row>
    <row r="611" spans="1:18" x14ac:dyDescent="0.25">
      <c r="A611">
        <v>610</v>
      </c>
      <c r="B611">
        <v>94</v>
      </c>
      <c r="C611">
        <v>31417206</v>
      </c>
      <c r="D611" t="s">
        <v>221</v>
      </c>
      <c r="E611">
        <v>13.294</v>
      </c>
      <c r="F611" t="s">
        <v>21</v>
      </c>
      <c r="G611" t="s">
        <v>20</v>
      </c>
      <c r="H611" t="s">
        <v>21</v>
      </c>
      <c r="I611" t="s">
        <v>20</v>
      </c>
      <c r="J611" t="s">
        <v>20</v>
      </c>
      <c r="K611" t="s">
        <v>27</v>
      </c>
      <c r="L611" t="s">
        <v>350</v>
      </c>
      <c r="M611" t="s">
        <v>174</v>
      </c>
      <c r="N611">
        <v>39.330460000000002</v>
      </c>
      <c r="O611">
        <v>-111.914359</v>
      </c>
      <c r="P611">
        <v>5060.9048329999996</v>
      </c>
      <c r="Q611">
        <v>1342</v>
      </c>
      <c r="R611">
        <v>0</v>
      </c>
    </row>
    <row r="612" spans="1:18" x14ac:dyDescent="0.25">
      <c r="A612">
        <v>611</v>
      </c>
      <c r="B612">
        <v>94</v>
      </c>
      <c r="C612">
        <v>31415617</v>
      </c>
      <c r="D612" t="s">
        <v>345</v>
      </c>
      <c r="E612">
        <v>13.303000000000001</v>
      </c>
      <c r="F612" t="s">
        <v>21</v>
      </c>
      <c r="G612" t="s">
        <v>26</v>
      </c>
      <c r="H612" t="s">
        <v>21</v>
      </c>
      <c r="I612" t="s">
        <v>20</v>
      </c>
      <c r="J612" t="s">
        <v>20</v>
      </c>
      <c r="K612" t="s">
        <v>27</v>
      </c>
      <c r="L612" t="s">
        <v>75</v>
      </c>
      <c r="M612" t="s">
        <v>76</v>
      </c>
      <c r="N612">
        <v>38.730958999999999</v>
      </c>
      <c r="O612">
        <v>-112.096842</v>
      </c>
      <c r="P612">
        <v>5220.9986209999997</v>
      </c>
      <c r="Q612">
        <v>1403</v>
      </c>
      <c r="R612">
        <v>0</v>
      </c>
    </row>
    <row r="613" spans="1:18" x14ac:dyDescent="0.25">
      <c r="A613">
        <v>612</v>
      </c>
      <c r="B613">
        <v>94</v>
      </c>
      <c r="C613">
        <v>31740533</v>
      </c>
      <c r="D613" t="s">
        <v>336</v>
      </c>
      <c r="E613">
        <v>13.31</v>
      </c>
      <c r="F613" t="s">
        <v>21</v>
      </c>
      <c r="G613" t="s">
        <v>20</v>
      </c>
      <c r="H613" t="s">
        <v>21</v>
      </c>
      <c r="I613" t="s">
        <v>20</v>
      </c>
      <c r="J613" t="s">
        <v>20</v>
      </c>
      <c r="K613" t="s">
        <v>31</v>
      </c>
      <c r="L613" t="s">
        <v>32</v>
      </c>
      <c r="M613" t="s">
        <v>33</v>
      </c>
      <c r="N613">
        <v>40.631968999999998</v>
      </c>
      <c r="O613">
        <v>-111.608465</v>
      </c>
      <c r="P613">
        <v>7771.949165</v>
      </c>
      <c r="Q613">
        <v>404</v>
      </c>
      <c r="R613">
        <v>0</v>
      </c>
    </row>
    <row r="614" spans="1:18" x14ac:dyDescent="0.25">
      <c r="A614">
        <v>613</v>
      </c>
      <c r="B614">
        <v>94</v>
      </c>
      <c r="C614">
        <v>28319114</v>
      </c>
      <c r="D614" t="s">
        <v>220</v>
      </c>
      <c r="E614">
        <v>118.18</v>
      </c>
      <c r="F614" t="s">
        <v>21</v>
      </c>
      <c r="G614" t="s">
        <v>26</v>
      </c>
      <c r="H614" t="s">
        <v>21</v>
      </c>
      <c r="I614" t="s">
        <v>20</v>
      </c>
      <c r="J614" t="s">
        <v>20</v>
      </c>
      <c r="K614" t="s">
        <v>27</v>
      </c>
      <c r="L614" t="s">
        <v>266</v>
      </c>
      <c r="M614" t="s">
        <v>267</v>
      </c>
      <c r="N614">
        <v>38.241281000000001</v>
      </c>
      <c r="O614">
        <v>-111.377092</v>
      </c>
      <c r="P614">
        <v>7024.96929</v>
      </c>
      <c r="Q614">
        <v>1328</v>
      </c>
      <c r="R614">
        <v>0</v>
      </c>
    </row>
    <row r="615" spans="1:18" x14ac:dyDescent="0.25">
      <c r="A615">
        <v>614</v>
      </c>
      <c r="B615">
        <v>94</v>
      </c>
      <c r="C615" t="e">
        <f>-IowRnqXGZ1VdN6iCyg-ik</f>
        <v>#NAME?</v>
      </c>
      <c r="D615" t="s">
        <v>220</v>
      </c>
      <c r="E615">
        <v>118.374</v>
      </c>
      <c r="F615" t="s">
        <v>21</v>
      </c>
      <c r="G615" t="s">
        <v>20</v>
      </c>
      <c r="H615" t="s">
        <v>21</v>
      </c>
      <c r="I615" t="s">
        <v>20</v>
      </c>
      <c r="J615" t="s">
        <v>20</v>
      </c>
      <c r="K615" t="s">
        <v>27</v>
      </c>
      <c r="L615" t="s">
        <v>266</v>
      </c>
      <c r="M615" t="s">
        <v>267</v>
      </c>
      <c r="N615">
        <v>38.244090999999997</v>
      </c>
      <c r="O615">
        <v>-111.377149</v>
      </c>
      <c r="P615">
        <v>6966.3874429999996</v>
      </c>
      <c r="Q615">
        <v>1328</v>
      </c>
      <c r="R615">
        <v>0</v>
      </c>
    </row>
    <row r="616" spans="1:18" x14ac:dyDescent="0.25">
      <c r="A616">
        <v>615</v>
      </c>
      <c r="B616">
        <v>94</v>
      </c>
      <c r="C616">
        <v>31440951</v>
      </c>
      <c r="D616" t="s">
        <v>288</v>
      </c>
      <c r="E616">
        <v>118.38200000000001</v>
      </c>
      <c r="F616" t="s">
        <v>21</v>
      </c>
      <c r="G616" t="s">
        <v>20</v>
      </c>
      <c r="H616" t="s">
        <v>21</v>
      </c>
      <c r="I616" t="s">
        <v>20</v>
      </c>
      <c r="J616" t="s">
        <v>20</v>
      </c>
      <c r="K616" t="s">
        <v>27</v>
      </c>
      <c r="L616" t="s">
        <v>38</v>
      </c>
      <c r="M616" t="s">
        <v>152</v>
      </c>
      <c r="N616">
        <v>38.492829</v>
      </c>
      <c r="O616">
        <v>-109.468293</v>
      </c>
      <c r="P616">
        <v>4717.123544</v>
      </c>
      <c r="Q616">
        <v>350</v>
      </c>
      <c r="R616">
        <v>0</v>
      </c>
    </row>
    <row r="617" spans="1:18" x14ac:dyDescent="0.25">
      <c r="A617">
        <v>616</v>
      </c>
      <c r="B617">
        <v>94</v>
      </c>
      <c r="C617">
        <v>31906278</v>
      </c>
      <c r="D617" t="s">
        <v>272</v>
      </c>
      <c r="E617">
        <v>118.408</v>
      </c>
      <c r="F617" t="s">
        <v>21</v>
      </c>
      <c r="G617" t="s">
        <v>20</v>
      </c>
      <c r="H617" t="s">
        <v>21</v>
      </c>
      <c r="I617" t="s">
        <v>20</v>
      </c>
      <c r="J617" t="s">
        <v>20</v>
      </c>
      <c r="K617" t="s">
        <v>27</v>
      </c>
      <c r="L617" t="s">
        <v>247</v>
      </c>
      <c r="M617" t="s">
        <v>214</v>
      </c>
      <c r="N617">
        <v>37.672756999999997</v>
      </c>
      <c r="O617">
        <v>-112.40708100000001</v>
      </c>
      <c r="P617">
        <v>6788.4631849999996</v>
      </c>
      <c r="Q617">
        <v>1384</v>
      </c>
      <c r="R617">
        <v>0</v>
      </c>
    </row>
    <row r="618" spans="1:18" x14ac:dyDescent="0.25">
      <c r="A618">
        <v>617</v>
      </c>
      <c r="B618">
        <v>94</v>
      </c>
      <c r="C618">
        <v>31820464</v>
      </c>
      <c r="D618" t="s">
        <v>118</v>
      </c>
      <c r="E618">
        <v>118.539</v>
      </c>
      <c r="F618" t="s">
        <v>21</v>
      </c>
      <c r="G618" t="s">
        <v>20</v>
      </c>
      <c r="H618" t="s">
        <v>21</v>
      </c>
      <c r="I618" t="s">
        <v>20</v>
      </c>
      <c r="J618" t="s">
        <v>20</v>
      </c>
      <c r="K618" t="s">
        <v>22</v>
      </c>
      <c r="L618" t="s">
        <v>133</v>
      </c>
      <c r="M618" t="s">
        <v>169</v>
      </c>
      <c r="N618">
        <v>40.302027000000002</v>
      </c>
      <c r="O618">
        <v>-109.91363</v>
      </c>
      <c r="P618">
        <v>5073.6881069999999</v>
      </c>
      <c r="Q618">
        <v>310</v>
      </c>
      <c r="R618">
        <v>0</v>
      </c>
    </row>
    <row r="619" spans="1:18" x14ac:dyDescent="0.25">
      <c r="A619">
        <v>618</v>
      </c>
      <c r="B619">
        <v>94</v>
      </c>
      <c r="C619">
        <v>31794885</v>
      </c>
      <c r="D619" t="s">
        <v>118</v>
      </c>
      <c r="E619">
        <v>111.342</v>
      </c>
      <c r="F619" t="s">
        <v>21</v>
      </c>
      <c r="G619" t="s">
        <v>26</v>
      </c>
      <c r="H619" t="s">
        <v>21</v>
      </c>
      <c r="I619" t="s">
        <v>20</v>
      </c>
      <c r="J619" t="s">
        <v>20</v>
      </c>
      <c r="K619" t="s">
        <v>22</v>
      </c>
      <c r="L619" t="s">
        <v>133</v>
      </c>
      <c r="M619" t="s">
        <v>169</v>
      </c>
      <c r="N619">
        <v>40.272844999999997</v>
      </c>
      <c r="O619">
        <v>-110.031271</v>
      </c>
      <c r="P619">
        <v>5039.2353579999999</v>
      </c>
      <c r="Q619">
        <v>310</v>
      </c>
      <c r="R619">
        <v>0</v>
      </c>
    </row>
    <row r="620" spans="1:18" x14ac:dyDescent="0.25">
      <c r="A620">
        <v>619</v>
      </c>
      <c r="B620">
        <v>94</v>
      </c>
      <c r="C620">
        <v>31794896</v>
      </c>
      <c r="D620" t="s">
        <v>118</v>
      </c>
      <c r="E620">
        <v>111.489</v>
      </c>
      <c r="F620" t="s">
        <v>21</v>
      </c>
      <c r="G620" t="s">
        <v>26</v>
      </c>
      <c r="H620" t="s">
        <v>21</v>
      </c>
      <c r="I620" t="s">
        <v>20</v>
      </c>
      <c r="J620" t="s">
        <v>20</v>
      </c>
      <c r="K620" t="s">
        <v>22</v>
      </c>
      <c r="L620" t="s">
        <v>133</v>
      </c>
      <c r="M620" t="s">
        <v>169</v>
      </c>
      <c r="N620">
        <v>40.274022000000002</v>
      </c>
      <c r="O620">
        <v>-110.02898399999999</v>
      </c>
      <c r="P620">
        <v>5032.7231629999997</v>
      </c>
      <c r="Q620">
        <v>310</v>
      </c>
      <c r="R620">
        <v>0</v>
      </c>
    </row>
    <row r="621" spans="1:18" x14ac:dyDescent="0.25">
      <c r="A621">
        <v>620</v>
      </c>
      <c r="B621">
        <v>94</v>
      </c>
      <c r="C621">
        <v>31486512</v>
      </c>
      <c r="D621" t="s">
        <v>320</v>
      </c>
      <c r="E621">
        <v>111.639</v>
      </c>
      <c r="F621" t="s">
        <v>21</v>
      </c>
      <c r="G621" t="s">
        <v>26</v>
      </c>
      <c r="H621" t="s">
        <v>21</v>
      </c>
      <c r="I621" t="s">
        <v>20</v>
      </c>
      <c r="J621" t="s">
        <v>20</v>
      </c>
      <c r="K621" t="s">
        <v>27</v>
      </c>
      <c r="L621" t="s">
        <v>202</v>
      </c>
      <c r="M621" t="s">
        <v>166</v>
      </c>
      <c r="N621">
        <v>39.119312000000001</v>
      </c>
      <c r="O621">
        <v>-112.35539199999999</v>
      </c>
      <c r="P621">
        <v>4710.5534930000003</v>
      </c>
      <c r="Q621">
        <v>1356</v>
      </c>
      <c r="R621">
        <v>0</v>
      </c>
    </row>
    <row r="622" spans="1:18" x14ac:dyDescent="0.25">
      <c r="A622">
        <v>621</v>
      </c>
      <c r="B622">
        <v>94</v>
      </c>
      <c r="C622">
        <v>28298097</v>
      </c>
      <c r="D622" t="s">
        <v>220</v>
      </c>
      <c r="E622">
        <v>111.861</v>
      </c>
      <c r="F622" t="s">
        <v>21</v>
      </c>
      <c r="G622" t="s">
        <v>26</v>
      </c>
      <c r="H622" t="s">
        <v>21</v>
      </c>
      <c r="I622" t="s">
        <v>20</v>
      </c>
      <c r="J622" t="s">
        <v>20</v>
      </c>
      <c r="K622" t="s">
        <v>27</v>
      </c>
      <c r="L622" t="s">
        <v>266</v>
      </c>
      <c r="M622" t="s">
        <v>267</v>
      </c>
      <c r="N622">
        <v>38.169843999999998</v>
      </c>
      <c r="O622">
        <v>-111.34277299999999</v>
      </c>
      <c r="P622">
        <v>8231.6501840000001</v>
      </c>
      <c r="Q622">
        <v>1328</v>
      </c>
      <c r="R622">
        <v>0</v>
      </c>
    </row>
    <row r="623" spans="1:18" x14ac:dyDescent="0.25">
      <c r="A623">
        <v>622</v>
      </c>
      <c r="B623">
        <v>94</v>
      </c>
      <c r="C623">
        <v>31549994</v>
      </c>
      <c r="D623" t="s">
        <v>348</v>
      </c>
      <c r="E623">
        <v>111.899</v>
      </c>
      <c r="F623" t="s">
        <v>21</v>
      </c>
      <c r="G623" t="s">
        <v>26</v>
      </c>
      <c r="H623" t="s">
        <v>21</v>
      </c>
      <c r="I623" t="s">
        <v>20</v>
      </c>
      <c r="J623" t="s">
        <v>20</v>
      </c>
      <c r="K623" t="s">
        <v>27</v>
      </c>
      <c r="L623" t="s">
        <v>327</v>
      </c>
      <c r="M623" t="s">
        <v>123</v>
      </c>
      <c r="N623">
        <v>37.534627</v>
      </c>
      <c r="O623">
        <v>-109.620741</v>
      </c>
      <c r="P623">
        <v>5245.043772</v>
      </c>
      <c r="Q623">
        <v>1388</v>
      </c>
      <c r="R623">
        <v>0</v>
      </c>
    </row>
    <row r="624" spans="1:18" x14ac:dyDescent="0.25">
      <c r="A624">
        <v>623</v>
      </c>
      <c r="B624">
        <v>94</v>
      </c>
      <c r="C624">
        <v>31812928</v>
      </c>
      <c r="D624" t="s">
        <v>290</v>
      </c>
      <c r="E624">
        <v>111.95399999999999</v>
      </c>
      <c r="F624" t="s">
        <v>21</v>
      </c>
      <c r="G624" t="s">
        <v>26</v>
      </c>
      <c r="H624" t="s">
        <v>21</v>
      </c>
      <c r="I624" t="s">
        <v>20</v>
      </c>
      <c r="J624" t="s">
        <v>20</v>
      </c>
      <c r="K624" t="s">
        <v>41</v>
      </c>
      <c r="L624" t="s">
        <v>325</v>
      </c>
      <c r="M624" t="s">
        <v>280</v>
      </c>
      <c r="N624">
        <v>41.918503999999999</v>
      </c>
      <c r="O624">
        <v>-111.393024</v>
      </c>
      <c r="P624">
        <v>5901.1794019999998</v>
      </c>
      <c r="Q624">
        <v>1343</v>
      </c>
      <c r="R624">
        <v>0</v>
      </c>
    </row>
    <row r="625" spans="1:18" x14ac:dyDescent="0.25">
      <c r="A625">
        <v>624</v>
      </c>
      <c r="B625">
        <v>94</v>
      </c>
      <c r="C625">
        <v>31904946</v>
      </c>
      <c r="D625" t="s">
        <v>272</v>
      </c>
      <c r="E625">
        <v>112.01900000000001</v>
      </c>
      <c r="F625" t="s">
        <v>21</v>
      </c>
      <c r="G625" t="s">
        <v>26</v>
      </c>
      <c r="H625" t="s">
        <v>21</v>
      </c>
      <c r="I625" t="s">
        <v>20</v>
      </c>
      <c r="J625" t="s">
        <v>20</v>
      </c>
      <c r="K625" t="s">
        <v>27</v>
      </c>
      <c r="L625" t="s">
        <v>279</v>
      </c>
      <c r="M625" t="s">
        <v>214</v>
      </c>
      <c r="N625">
        <v>37.601486999999999</v>
      </c>
      <c r="O625">
        <v>-112.470269</v>
      </c>
      <c r="P625">
        <v>6958.0599700000002</v>
      </c>
      <c r="Q625">
        <v>1384</v>
      </c>
      <c r="R625">
        <v>0</v>
      </c>
    </row>
    <row r="626" spans="1:18" x14ac:dyDescent="0.25">
      <c r="A626">
        <v>625</v>
      </c>
      <c r="B626">
        <v>94</v>
      </c>
      <c r="C626">
        <v>31812939</v>
      </c>
      <c r="D626" t="s">
        <v>290</v>
      </c>
      <c r="E626">
        <v>112.292</v>
      </c>
      <c r="F626" t="s">
        <v>21</v>
      </c>
      <c r="G626" t="s">
        <v>26</v>
      </c>
      <c r="H626" t="s">
        <v>21</v>
      </c>
      <c r="I626" t="s">
        <v>20</v>
      </c>
      <c r="J626" t="s">
        <v>20</v>
      </c>
      <c r="K626" t="s">
        <v>41</v>
      </c>
      <c r="L626" t="s">
        <v>325</v>
      </c>
      <c r="M626" t="s">
        <v>280</v>
      </c>
      <c r="N626">
        <v>41.913719</v>
      </c>
      <c r="O626">
        <v>-111.39158</v>
      </c>
      <c r="P626">
        <v>5898.682417</v>
      </c>
      <c r="Q626">
        <v>1343</v>
      </c>
      <c r="R626">
        <v>0</v>
      </c>
    </row>
    <row r="627" spans="1:18" x14ac:dyDescent="0.25">
      <c r="A627">
        <v>626</v>
      </c>
      <c r="B627">
        <v>94</v>
      </c>
      <c r="C627">
        <v>31439435</v>
      </c>
      <c r="D627" t="s">
        <v>288</v>
      </c>
      <c r="E627">
        <v>112.307</v>
      </c>
      <c r="F627" t="s">
        <v>21</v>
      </c>
      <c r="G627" t="s">
        <v>20</v>
      </c>
      <c r="H627" t="s">
        <v>21</v>
      </c>
      <c r="I627" t="s">
        <v>20</v>
      </c>
      <c r="J627" t="s">
        <v>20</v>
      </c>
      <c r="K627" t="s">
        <v>27</v>
      </c>
      <c r="L627" t="s">
        <v>38</v>
      </c>
      <c r="M627" t="s">
        <v>152</v>
      </c>
      <c r="N627">
        <v>38.416991000000003</v>
      </c>
      <c r="O627">
        <v>-109.438399</v>
      </c>
      <c r="P627">
        <v>5388.5731029999997</v>
      </c>
      <c r="Q627">
        <v>350</v>
      </c>
      <c r="R627">
        <v>0</v>
      </c>
    </row>
    <row r="628" spans="1:18" x14ac:dyDescent="0.25">
      <c r="A628">
        <v>627</v>
      </c>
      <c r="B628">
        <v>94</v>
      </c>
      <c r="C628">
        <v>31812950</v>
      </c>
      <c r="D628" t="s">
        <v>290</v>
      </c>
      <c r="E628">
        <v>112.545</v>
      </c>
      <c r="F628" t="s">
        <v>21</v>
      </c>
      <c r="G628" t="s">
        <v>26</v>
      </c>
      <c r="H628" t="s">
        <v>21</v>
      </c>
      <c r="I628" t="s">
        <v>20</v>
      </c>
      <c r="J628" t="s">
        <v>20</v>
      </c>
      <c r="K628" t="s">
        <v>41</v>
      </c>
      <c r="L628" t="s">
        <v>325</v>
      </c>
      <c r="M628" t="s">
        <v>280</v>
      </c>
      <c r="N628">
        <v>41.910201999999998</v>
      </c>
      <c r="O628">
        <v>-111.39019</v>
      </c>
      <c r="P628">
        <v>5903.3051219999998</v>
      </c>
      <c r="Q628">
        <v>1343</v>
      </c>
      <c r="R628">
        <v>0</v>
      </c>
    </row>
    <row r="629" spans="1:18" x14ac:dyDescent="0.25">
      <c r="A629">
        <v>628</v>
      </c>
      <c r="B629">
        <v>94</v>
      </c>
      <c r="C629">
        <v>31797507</v>
      </c>
      <c r="D629" t="s">
        <v>118</v>
      </c>
      <c r="E629">
        <v>112.67400000000001</v>
      </c>
      <c r="F629" t="s">
        <v>21</v>
      </c>
      <c r="G629" t="s">
        <v>26</v>
      </c>
      <c r="H629" t="s">
        <v>21</v>
      </c>
      <c r="I629" t="s">
        <v>20</v>
      </c>
      <c r="J629" t="s">
        <v>20</v>
      </c>
      <c r="K629" t="s">
        <v>22</v>
      </c>
      <c r="L629" t="s">
        <v>133</v>
      </c>
      <c r="M629" t="s">
        <v>169</v>
      </c>
      <c r="N629">
        <v>40.283664000000002</v>
      </c>
      <c r="O629">
        <v>-110.010435</v>
      </c>
      <c r="P629">
        <v>4994.9806449999996</v>
      </c>
      <c r="Q629">
        <v>310</v>
      </c>
      <c r="R629">
        <v>0</v>
      </c>
    </row>
    <row r="630" spans="1:18" x14ac:dyDescent="0.25">
      <c r="A630">
        <v>629</v>
      </c>
      <c r="B630">
        <v>94</v>
      </c>
      <c r="C630">
        <v>31439446</v>
      </c>
      <c r="D630" t="s">
        <v>288</v>
      </c>
      <c r="E630">
        <v>112.729</v>
      </c>
      <c r="F630" t="s">
        <v>21</v>
      </c>
      <c r="G630" t="s">
        <v>26</v>
      </c>
      <c r="H630" t="s">
        <v>21</v>
      </c>
      <c r="I630" t="s">
        <v>20</v>
      </c>
      <c r="J630" t="s">
        <v>20</v>
      </c>
      <c r="K630" t="s">
        <v>27</v>
      </c>
      <c r="L630" t="s">
        <v>38</v>
      </c>
      <c r="M630" t="s">
        <v>152</v>
      </c>
      <c r="N630">
        <v>38.421185000000001</v>
      </c>
      <c r="O630">
        <v>-109.432742</v>
      </c>
      <c r="P630">
        <v>5442.6532479999996</v>
      </c>
      <c r="Q630">
        <v>350</v>
      </c>
      <c r="R630">
        <v>0</v>
      </c>
    </row>
    <row r="631" spans="1:18" x14ac:dyDescent="0.25">
      <c r="A631">
        <v>630</v>
      </c>
      <c r="B631">
        <v>94</v>
      </c>
      <c r="C631">
        <v>31814211</v>
      </c>
      <c r="D631" t="s">
        <v>290</v>
      </c>
      <c r="E631">
        <v>112.744</v>
      </c>
      <c r="F631" t="s">
        <v>21</v>
      </c>
      <c r="G631" t="s">
        <v>26</v>
      </c>
      <c r="H631" t="s">
        <v>21</v>
      </c>
      <c r="I631" t="s">
        <v>20</v>
      </c>
      <c r="J631" t="s">
        <v>20</v>
      </c>
      <c r="K631" t="s">
        <v>41</v>
      </c>
      <c r="L631" t="s">
        <v>325</v>
      </c>
      <c r="M631" t="s">
        <v>280</v>
      </c>
      <c r="N631">
        <v>41.908450999999999</v>
      </c>
      <c r="O631">
        <v>-111.38717200000001</v>
      </c>
      <c r="P631">
        <v>5906.7268809999996</v>
      </c>
      <c r="Q631">
        <v>1343</v>
      </c>
      <c r="R631">
        <v>0</v>
      </c>
    </row>
    <row r="632" spans="1:18" x14ac:dyDescent="0.25">
      <c r="A632">
        <v>631</v>
      </c>
      <c r="B632">
        <v>94</v>
      </c>
      <c r="C632">
        <v>31734916</v>
      </c>
      <c r="D632" t="s">
        <v>244</v>
      </c>
      <c r="E632">
        <v>112.752</v>
      </c>
      <c r="F632" t="s">
        <v>21</v>
      </c>
      <c r="G632" t="s">
        <v>26</v>
      </c>
      <c r="H632" t="s">
        <v>21</v>
      </c>
      <c r="I632" t="s">
        <v>20</v>
      </c>
      <c r="J632" t="s">
        <v>20</v>
      </c>
      <c r="K632" t="s">
        <v>27</v>
      </c>
      <c r="L632" t="s">
        <v>122</v>
      </c>
      <c r="M632" t="s">
        <v>270</v>
      </c>
      <c r="N632">
        <v>38.37191</v>
      </c>
      <c r="O632">
        <v>-110.768804</v>
      </c>
      <c r="P632">
        <v>4333.8038740000002</v>
      </c>
      <c r="Q632">
        <v>1340</v>
      </c>
      <c r="R632">
        <v>0</v>
      </c>
    </row>
    <row r="633" spans="1:18" x14ac:dyDescent="0.25">
      <c r="A633">
        <v>632</v>
      </c>
      <c r="B633">
        <v>94</v>
      </c>
      <c r="C633">
        <v>31486545</v>
      </c>
      <c r="D633" t="s">
        <v>320</v>
      </c>
      <c r="E633">
        <v>112.779</v>
      </c>
      <c r="F633" t="s">
        <v>21</v>
      </c>
      <c r="G633" t="s">
        <v>26</v>
      </c>
      <c r="H633" t="s">
        <v>21</v>
      </c>
      <c r="I633" t="s">
        <v>20</v>
      </c>
      <c r="J633" t="s">
        <v>20</v>
      </c>
      <c r="K633" t="s">
        <v>27</v>
      </c>
      <c r="L633" t="s">
        <v>202</v>
      </c>
      <c r="M633" t="s">
        <v>166</v>
      </c>
      <c r="N633">
        <v>39.118096999999999</v>
      </c>
      <c r="O633">
        <v>-112.334621</v>
      </c>
      <c r="P633">
        <v>4757.7818049999996</v>
      </c>
      <c r="Q633">
        <v>1356</v>
      </c>
      <c r="R633">
        <v>0</v>
      </c>
    </row>
    <row r="634" spans="1:18" x14ac:dyDescent="0.25">
      <c r="A634">
        <v>633</v>
      </c>
      <c r="B634">
        <v>94</v>
      </c>
      <c r="C634">
        <v>28298180</v>
      </c>
      <c r="D634" t="s">
        <v>220</v>
      </c>
      <c r="E634">
        <v>112.854</v>
      </c>
      <c r="F634" t="s">
        <v>21</v>
      </c>
      <c r="G634" t="s">
        <v>20</v>
      </c>
      <c r="H634" t="s">
        <v>21</v>
      </c>
      <c r="I634" t="s">
        <v>20</v>
      </c>
      <c r="J634" t="s">
        <v>20</v>
      </c>
      <c r="K634" t="s">
        <v>27</v>
      </c>
      <c r="L634" t="s">
        <v>266</v>
      </c>
      <c r="M634" t="s">
        <v>267</v>
      </c>
      <c r="N634">
        <v>38.182580000000002</v>
      </c>
      <c r="O634">
        <v>-111.349554</v>
      </c>
      <c r="P634">
        <v>7821.8638250000004</v>
      </c>
      <c r="Q634">
        <v>1328</v>
      </c>
      <c r="R634">
        <v>0</v>
      </c>
    </row>
    <row r="635" spans="1:18" x14ac:dyDescent="0.25">
      <c r="A635">
        <v>634</v>
      </c>
      <c r="B635">
        <v>94</v>
      </c>
      <c r="C635">
        <v>31814222</v>
      </c>
      <c r="D635" t="s">
        <v>290</v>
      </c>
      <c r="E635">
        <v>112.873</v>
      </c>
      <c r="F635" t="s">
        <v>21</v>
      </c>
      <c r="G635" t="s">
        <v>26</v>
      </c>
      <c r="H635" t="s">
        <v>21</v>
      </c>
      <c r="I635" t="s">
        <v>20</v>
      </c>
      <c r="J635" t="s">
        <v>20</v>
      </c>
      <c r="K635" t="s">
        <v>41</v>
      </c>
      <c r="L635" t="s">
        <v>325</v>
      </c>
      <c r="M635" t="s">
        <v>280</v>
      </c>
      <c r="N635">
        <v>41.907756999999997</v>
      </c>
      <c r="O635">
        <v>-111.38484200000001</v>
      </c>
      <c r="P635">
        <v>5905.7323640000004</v>
      </c>
      <c r="Q635">
        <v>1343</v>
      </c>
      <c r="R635">
        <v>0</v>
      </c>
    </row>
    <row r="636" spans="1:18" x14ac:dyDescent="0.25">
      <c r="A636">
        <v>635</v>
      </c>
      <c r="B636">
        <v>94</v>
      </c>
      <c r="C636">
        <v>31912675</v>
      </c>
      <c r="D636" t="s">
        <v>272</v>
      </c>
      <c r="E636">
        <v>133.88999999999999</v>
      </c>
      <c r="F636" t="s">
        <v>21</v>
      </c>
      <c r="G636" t="s">
        <v>20</v>
      </c>
      <c r="H636" t="s">
        <v>21</v>
      </c>
      <c r="I636" t="s">
        <v>20</v>
      </c>
      <c r="J636" t="s">
        <v>20</v>
      </c>
      <c r="K636" t="s">
        <v>27</v>
      </c>
      <c r="L636" t="s">
        <v>247</v>
      </c>
      <c r="M636" t="s">
        <v>214</v>
      </c>
      <c r="N636">
        <v>37.862985999999999</v>
      </c>
      <c r="O636">
        <v>-112.438044</v>
      </c>
      <c r="P636">
        <v>6473.651578</v>
      </c>
      <c r="Q636">
        <v>1384</v>
      </c>
      <c r="R636">
        <v>0</v>
      </c>
    </row>
    <row r="637" spans="1:18" x14ac:dyDescent="0.25">
      <c r="A637">
        <v>636</v>
      </c>
      <c r="B637">
        <v>94</v>
      </c>
      <c r="C637">
        <v>31907361</v>
      </c>
      <c r="D637" t="s">
        <v>272</v>
      </c>
      <c r="E637">
        <v>122.087</v>
      </c>
      <c r="F637" t="s">
        <v>21</v>
      </c>
      <c r="G637" t="s">
        <v>20</v>
      </c>
      <c r="H637" t="s">
        <v>21</v>
      </c>
      <c r="I637" t="s">
        <v>20</v>
      </c>
      <c r="J637" t="s">
        <v>20</v>
      </c>
      <c r="K637" t="s">
        <v>27</v>
      </c>
      <c r="L637" t="s">
        <v>247</v>
      </c>
      <c r="M637" t="s">
        <v>214</v>
      </c>
      <c r="N637">
        <v>37.719763</v>
      </c>
      <c r="O637">
        <v>-112.385555</v>
      </c>
      <c r="P637">
        <v>6716.1276049999997</v>
      </c>
      <c r="Q637">
        <v>1384</v>
      </c>
      <c r="R637">
        <v>0</v>
      </c>
    </row>
    <row r="638" spans="1:18" x14ac:dyDescent="0.25">
      <c r="A638">
        <v>637</v>
      </c>
      <c r="B638">
        <v>94</v>
      </c>
      <c r="C638">
        <v>31906300</v>
      </c>
      <c r="D638" t="s">
        <v>272</v>
      </c>
      <c r="E638">
        <v>122.131</v>
      </c>
      <c r="F638" t="s">
        <v>21</v>
      </c>
      <c r="G638" t="s">
        <v>26</v>
      </c>
      <c r="H638" t="s">
        <v>21</v>
      </c>
      <c r="I638" t="s">
        <v>20</v>
      </c>
      <c r="J638" t="s">
        <v>20</v>
      </c>
      <c r="K638" t="s">
        <v>27</v>
      </c>
      <c r="L638" t="s">
        <v>247</v>
      </c>
      <c r="M638" t="s">
        <v>214</v>
      </c>
      <c r="N638">
        <v>37.720356000000002</v>
      </c>
      <c r="O638">
        <v>-112.385274</v>
      </c>
      <c r="P638">
        <v>6714.5701959999997</v>
      </c>
      <c r="Q638">
        <v>1384</v>
      </c>
      <c r="R638">
        <v>0</v>
      </c>
    </row>
    <row r="639" spans="1:18" x14ac:dyDescent="0.25">
      <c r="A639">
        <v>638</v>
      </c>
      <c r="B639">
        <v>94</v>
      </c>
      <c r="C639">
        <v>28315970</v>
      </c>
      <c r="D639" t="s">
        <v>220</v>
      </c>
      <c r="E639">
        <v>122.173</v>
      </c>
      <c r="F639" t="s">
        <v>21</v>
      </c>
      <c r="G639" t="s">
        <v>20</v>
      </c>
      <c r="H639" t="s">
        <v>21</v>
      </c>
      <c r="I639" t="s">
        <v>20</v>
      </c>
      <c r="J639" t="s">
        <v>20</v>
      </c>
      <c r="K639" t="s">
        <v>27</v>
      </c>
      <c r="L639" t="s">
        <v>266</v>
      </c>
      <c r="M639" t="s">
        <v>267</v>
      </c>
      <c r="N639">
        <v>38.290571</v>
      </c>
      <c r="O639">
        <v>-111.395391</v>
      </c>
      <c r="P639">
        <v>6732.5608119999997</v>
      </c>
      <c r="Q639">
        <v>1328</v>
      </c>
      <c r="R639">
        <v>0</v>
      </c>
    </row>
    <row r="640" spans="1:18" x14ac:dyDescent="0.25">
      <c r="A640">
        <v>639</v>
      </c>
      <c r="B640">
        <v>94</v>
      </c>
      <c r="C640">
        <v>31446271</v>
      </c>
      <c r="D640" t="s">
        <v>288</v>
      </c>
      <c r="E640">
        <v>122.21899999999999</v>
      </c>
      <c r="F640" t="s">
        <v>21</v>
      </c>
      <c r="G640" t="s">
        <v>26</v>
      </c>
      <c r="H640" t="s">
        <v>21</v>
      </c>
      <c r="I640" t="s">
        <v>20</v>
      </c>
      <c r="J640" t="s">
        <v>20</v>
      </c>
      <c r="K640" t="s">
        <v>27</v>
      </c>
      <c r="L640" t="s">
        <v>38</v>
      </c>
      <c r="M640" t="s">
        <v>152</v>
      </c>
      <c r="N640">
        <v>38.536785000000002</v>
      </c>
      <c r="O640">
        <v>-109.511786</v>
      </c>
      <c r="P640">
        <v>4424.0039640000005</v>
      </c>
      <c r="Q640">
        <v>350</v>
      </c>
      <c r="R640">
        <v>0</v>
      </c>
    </row>
    <row r="641" spans="1:18" x14ac:dyDescent="0.25">
      <c r="A641">
        <v>640</v>
      </c>
      <c r="B641">
        <v>94</v>
      </c>
      <c r="C641">
        <v>31823789</v>
      </c>
      <c r="D641" t="s">
        <v>118</v>
      </c>
      <c r="E641">
        <v>122.4</v>
      </c>
      <c r="F641" t="s">
        <v>21</v>
      </c>
      <c r="G641" t="s">
        <v>26</v>
      </c>
      <c r="H641" t="s">
        <v>21</v>
      </c>
      <c r="I641" t="s">
        <v>20</v>
      </c>
      <c r="J641" t="s">
        <v>20</v>
      </c>
      <c r="K641" t="s">
        <v>22</v>
      </c>
      <c r="L641" t="s">
        <v>133</v>
      </c>
      <c r="M641" t="s">
        <v>169</v>
      </c>
      <c r="N641">
        <v>40.301985000000002</v>
      </c>
      <c r="O641">
        <v>-109.84031899999999</v>
      </c>
      <c r="P641">
        <v>4972.9646769999999</v>
      </c>
      <c r="Q641">
        <v>310</v>
      </c>
      <c r="R641">
        <v>0</v>
      </c>
    </row>
    <row r="642" spans="1:18" x14ac:dyDescent="0.25">
      <c r="A642">
        <v>641</v>
      </c>
      <c r="B642">
        <v>94</v>
      </c>
      <c r="C642">
        <v>31446282</v>
      </c>
      <c r="D642" t="s">
        <v>288</v>
      </c>
      <c r="E642">
        <v>122.48</v>
      </c>
      <c r="F642" t="s">
        <v>21</v>
      </c>
      <c r="G642" t="s">
        <v>26</v>
      </c>
      <c r="H642" t="s">
        <v>21</v>
      </c>
      <c r="I642" t="s">
        <v>20</v>
      </c>
      <c r="J642" t="s">
        <v>20</v>
      </c>
      <c r="K642" t="s">
        <v>27</v>
      </c>
      <c r="L642" t="s">
        <v>38</v>
      </c>
      <c r="M642" t="s">
        <v>152</v>
      </c>
      <c r="N642">
        <v>38.539785999999999</v>
      </c>
      <c r="O642">
        <v>-109.51475600000001</v>
      </c>
      <c r="P642">
        <v>4386.0969910000003</v>
      </c>
      <c r="Q642">
        <v>350</v>
      </c>
      <c r="R642">
        <v>0</v>
      </c>
    </row>
    <row r="643" spans="1:18" x14ac:dyDescent="0.25">
      <c r="A643">
        <v>642</v>
      </c>
      <c r="B643">
        <v>94</v>
      </c>
      <c r="C643">
        <v>31823800</v>
      </c>
      <c r="D643" t="s">
        <v>118</v>
      </c>
      <c r="E643">
        <v>122.571</v>
      </c>
      <c r="F643" t="s">
        <v>21</v>
      </c>
      <c r="G643" t="s">
        <v>26</v>
      </c>
      <c r="H643" t="s">
        <v>21</v>
      </c>
      <c r="I643" t="s">
        <v>20</v>
      </c>
      <c r="J643" t="s">
        <v>20</v>
      </c>
      <c r="K643" t="s">
        <v>22</v>
      </c>
      <c r="L643" t="s">
        <v>133</v>
      </c>
      <c r="M643" t="s">
        <v>169</v>
      </c>
      <c r="N643">
        <v>40.301996000000003</v>
      </c>
      <c r="O643">
        <v>-109.837069</v>
      </c>
      <c r="P643">
        <v>4988.0506359999999</v>
      </c>
      <c r="Q643">
        <v>310</v>
      </c>
      <c r="R643">
        <v>0</v>
      </c>
    </row>
    <row r="644" spans="1:18" x14ac:dyDescent="0.25">
      <c r="A644">
        <v>643</v>
      </c>
      <c r="B644">
        <v>94</v>
      </c>
      <c r="C644">
        <v>1468994</v>
      </c>
      <c r="D644" t="s">
        <v>304</v>
      </c>
      <c r="E644">
        <v>14.366</v>
      </c>
      <c r="F644" t="s">
        <v>21</v>
      </c>
      <c r="G644" t="s">
        <v>26</v>
      </c>
      <c r="H644" t="s">
        <v>21</v>
      </c>
      <c r="I644" t="s">
        <v>20</v>
      </c>
      <c r="J644" t="s">
        <v>20</v>
      </c>
      <c r="K644" t="s">
        <v>41</v>
      </c>
      <c r="L644" t="s">
        <v>223</v>
      </c>
      <c r="M644" t="s">
        <v>43</v>
      </c>
      <c r="N644">
        <v>41.720393999999999</v>
      </c>
      <c r="O644">
        <v>-112.093631</v>
      </c>
      <c r="P644">
        <v>4353.2352879999999</v>
      </c>
      <c r="Q644">
        <v>1348</v>
      </c>
      <c r="R644">
        <v>0</v>
      </c>
    </row>
    <row r="645" spans="1:18" x14ac:dyDescent="0.25">
      <c r="A645">
        <v>644</v>
      </c>
      <c r="B645">
        <v>94</v>
      </c>
      <c r="C645">
        <v>31614214</v>
      </c>
      <c r="D645" t="s">
        <v>232</v>
      </c>
      <c r="E645">
        <v>14.366</v>
      </c>
      <c r="F645" t="s">
        <v>21</v>
      </c>
      <c r="G645" t="s">
        <v>26</v>
      </c>
      <c r="H645" t="s">
        <v>21</v>
      </c>
      <c r="I645" t="s">
        <v>20</v>
      </c>
      <c r="J645" t="s">
        <v>20</v>
      </c>
      <c r="K645" t="s">
        <v>31</v>
      </c>
      <c r="L645" t="s">
        <v>130</v>
      </c>
      <c r="M645" t="s">
        <v>131</v>
      </c>
      <c r="N645">
        <v>40.639885999999997</v>
      </c>
      <c r="O645">
        <v>-111.282956</v>
      </c>
      <c r="P645">
        <v>6426.0391509999999</v>
      </c>
      <c r="Q645">
        <v>1279</v>
      </c>
      <c r="R645">
        <v>0</v>
      </c>
    </row>
    <row r="646" spans="1:18" x14ac:dyDescent="0.25">
      <c r="A646">
        <v>645</v>
      </c>
      <c r="B646">
        <v>94</v>
      </c>
      <c r="C646">
        <v>31521273</v>
      </c>
      <c r="D646" t="s">
        <v>309</v>
      </c>
      <c r="E646">
        <v>14.387</v>
      </c>
      <c r="F646" t="s">
        <v>21</v>
      </c>
      <c r="G646" t="s">
        <v>26</v>
      </c>
      <c r="H646" t="s">
        <v>21</v>
      </c>
      <c r="I646" t="s">
        <v>20</v>
      </c>
      <c r="J646" t="s">
        <v>20</v>
      </c>
      <c r="K646" t="s">
        <v>22</v>
      </c>
      <c r="L646" t="s">
        <v>140</v>
      </c>
      <c r="M646" t="s">
        <v>125</v>
      </c>
      <c r="N646">
        <v>40.115485999999997</v>
      </c>
      <c r="O646">
        <v>-111.612075</v>
      </c>
      <c r="P646">
        <v>4664.4798250000003</v>
      </c>
      <c r="Q646">
        <v>339</v>
      </c>
      <c r="R646">
        <v>0</v>
      </c>
    </row>
    <row r="647" spans="1:18" x14ac:dyDescent="0.25">
      <c r="A647">
        <v>646</v>
      </c>
      <c r="B647">
        <v>94</v>
      </c>
      <c r="C647">
        <v>31604896</v>
      </c>
      <c r="D647" t="s">
        <v>50</v>
      </c>
      <c r="E647">
        <v>14.395</v>
      </c>
      <c r="F647" t="s">
        <v>21</v>
      </c>
      <c r="G647" t="s">
        <v>26</v>
      </c>
      <c r="H647" t="s">
        <v>21</v>
      </c>
      <c r="I647" t="s">
        <v>20</v>
      </c>
      <c r="J647" t="s">
        <v>20</v>
      </c>
      <c r="K647" t="s">
        <v>27</v>
      </c>
      <c r="L647" t="s">
        <v>51</v>
      </c>
      <c r="M647" t="s">
        <v>52</v>
      </c>
      <c r="N647">
        <v>37.705967999999999</v>
      </c>
      <c r="O647">
        <v>-112.849763</v>
      </c>
      <c r="P647">
        <v>9532.4925170000006</v>
      </c>
      <c r="Q647">
        <v>1418</v>
      </c>
      <c r="R647">
        <v>0</v>
      </c>
    </row>
    <row r="648" spans="1:18" x14ac:dyDescent="0.25">
      <c r="A648">
        <v>647</v>
      </c>
      <c r="B648">
        <v>94</v>
      </c>
      <c r="C648">
        <v>31504932</v>
      </c>
      <c r="D648" t="s">
        <v>224</v>
      </c>
      <c r="E648">
        <v>14.452999999999999</v>
      </c>
      <c r="F648" t="s">
        <v>21</v>
      </c>
      <c r="G648" t="s">
        <v>26</v>
      </c>
      <c r="H648" t="s">
        <v>21</v>
      </c>
      <c r="I648" t="s">
        <v>20</v>
      </c>
      <c r="J648" t="s">
        <v>20</v>
      </c>
      <c r="K648" t="s">
        <v>22</v>
      </c>
      <c r="L648" t="s">
        <v>140</v>
      </c>
      <c r="M648" t="s">
        <v>194</v>
      </c>
      <c r="N648">
        <v>40.096504000000003</v>
      </c>
      <c r="O648">
        <v>-111.617689</v>
      </c>
      <c r="P648">
        <v>4679.5968560000001</v>
      </c>
      <c r="Q648">
        <v>408</v>
      </c>
      <c r="R648">
        <v>0</v>
      </c>
    </row>
    <row r="649" spans="1:18" x14ac:dyDescent="0.25">
      <c r="A649">
        <v>648</v>
      </c>
      <c r="B649">
        <v>94</v>
      </c>
      <c r="C649">
        <v>1532235</v>
      </c>
      <c r="D649" t="s">
        <v>88</v>
      </c>
      <c r="E649">
        <v>14.456</v>
      </c>
      <c r="F649" t="s">
        <v>21</v>
      </c>
      <c r="G649" t="s">
        <v>26</v>
      </c>
      <c r="H649" t="s">
        <v>21</v>
      </c>
      <c r="I649" t="s">
        <v>20</v>
      </c>
      <c r="J649" t="s">
        <v>20</v>
      </c>
      <c r="K649" t="s">
        <v>31</v>
      </c>
      <c r="L649" t="s">
        <v>32</v>
      </c>
      <c r="M649" t="s">
        <v>90</v>
      </c>
      <c r="N649">
        <v>40.647730000000003</v>
      </c>
      <c r="O649">
        <v>-111.86594700000001</v>
      </c>
      <c r="P649">
        <v>4283.6414590000004</v>
      </c>
      <c r="Q649">
        <v>318</v>
      </c>
      <c r="R649">
        <v>0</v>
      </c>
    </row>
    <row r="650" spans="1:18" x14ac:dyDescent="0.25">
      <c r="A650">
        <v>649</v>
      </c>
      <c r="B650">
        <v>94</v>
      </c>
      <c r="C650">
        <v>31752433</v>
      </c>
      <c r="D650" t="s">
        <v>231</v>
      </c>
      <c r="E650">
        <v>14.459</v>
      </c>
      <c r="F650" t="s">
        <v>19</v>
      </c>
      <c r="G650" t="s">
        <v>20</v>
      </c>
      <c r="H650" t="s">
        <v>19</v>
      </c>
      <c r="I650">
        <v>39</v>
      </c>
      <c r="J650" t="s">
        <v>20</v>
      </c>
      <c r="K650" t="s">
        <v>41</v>
      </c>
      <c r="L650" t="s">
        <v>57</v>
      </c>
      <c r="M650" t="s">
        <v>93</v>
      </c>
      <c r="N650">
        <v>41.244937</v>
      </c>
      <c r="O650">
        <v>-112.02534199999999</v>
      </c>
      <c r="P650">
        <v>4228.3590350000004</v>
      </c>
      <c r="Q650">
        <v>1409</v>
      </c>
      <c r="R650">
        <v>0</v>
      </c>
    </row>
    <row r="651" spans="1:18" x14ac:dyDescent="0.25">
      <c r="A651">
        <v>650</v>
      </c>
      <c r="B651">
        <v>94</v>
      </c>
      <c r="C651" t="e">
        <f>-JOnuLjHHxL8eJ90bLaT7V</f>
        <v>#NAME?</v>
      </c>
      <c r="D651" t="s">
        <v>348</v>
      </c>
      <c r="E651">
        <v>94.68</v>
      </c>
      <c r="F651" t="s">
        <v>21</v>
      </c>
      <c r="G651" t="s">
        <v>20</v>
      </c>
      <c r="H651" t="s">
        <v>21</v>
      </c>
      <c r="I651" t="s">
        <v>20</v>
      </c>
      <c r="J651" t="s">
        <v>20</v>
      </c>
      <c r="K651" t="s">
        <v>27</v>
      </c>
      <c r="L651" t="s">
        <v>327</v>
      </c>
      <c r="M651" t="s">
        <v>123</v>
      </c>
      <c r="N651">
        <v>37.565747000000002</v>
      </c>
      <c r="O651">
        <v>-109.860516</v>
      </c>
      <c r="P651">
        <v>6800.3702380000004</v>
      </c>
      <c r="Q651">
        <v>1388</v>
      </c>
      <c r="R651">
        <v>0</v>
      </c>
    </row>
    <row r="652" spans="1:18" x14ac:dyDescent="0.25">
      <c r="A652">
        <v>651</v>
      </c>
      <c r="B652">
        <v>94</v>
      </c>
      <c r="C652">
        <v>31725829</v>
      </c>
      <c r="D652" t="s">
        <v>244</v>
      </c>
      <c r="E652">
        <v>94.774000000000001</v>
      </c>
      <c r="F652" t="s">
        <v>21</v>
      </c>
      <c r="G652" t="s">
        <v>26</v>
      </c>
      <c r="H652" t="s">
        <v>21</v>
      </c>
      <c r="I652" t="s">
        <v>20</v>
      </c>
      <c r="J652" t="s">
        <v>20</v>
      </c>
      <c r="K652" t="s">
        <v>27</v>
      </c>
      <c r="L652" t="s">
        <v>122</v>
      </c>
      <c r="M652" t="s">
        <v>270</v>
      </c>
      <c r="N652">
        <v>38.295375</v>
      </c>
      <c r="O652">
        <v>-111.042637</v>
      </c>
      <c r="P652">
        <v>4614.6067290000001</v>
      </c>
      <c r="Q652">
        <v>1340</v>
      </c>
      <c r="R652">
        <v>0</v>
      </c>
    </row>
    <row r="653" spans="1:18" x14ac:dyDescent="0.25">
      <c r="A653">
        <v>652</v>
      </c>
      <c r="B653">
        <v>94</v>
      </c>
      <c r="C653">
        <v>31775998</v>
      </c>
      <c r="D653" t="s">
        <v>290</v>
      </c>
      <c r="E653">
        <v>97.745000000000005</v>
      </c>
      <c r="F653" t="s">
        <v>21</v>
      </c>
      <c r="G653" t="s">
        <v>26</v>
      </c>
      <c r="H653" t="s">
        <v>21</v>
      </c>
      <c r="I653" t="s">
        <v>20</v>
      </c>
      <c r="J653" t="s">
        <v>20</v>
      </c>
      <c r="K653" t="s">
        <v>41</v>
      </c>
      <c r="L653" t="s">
        <v>223</v>
      </c>
      <c r="M653" t="s">
        <v>152</v>
      </c>
      <c r="N653">
        <v>41.795034999999999</v>
      </c>
      <c r="O653">
        <v>-112.039913</v>
      </c>
      <c r="P653">
        <v>4705.7409669999997</v>
      </c>
      <c r="Q653">
        <v>1343</v>
      </c>
      <c r="R653">
        <v>0</v>
      </c>
    </row>
    <row r="654" spans="1:18" x14ac:dyDescent="0.25">
      <c r="A654">
        <v>653</v>
      </c>
      <c r="B654">
        <v>94</v>
      </c>
      <c r="C654">
        <v>31477747</v>
      </c>
      <c r="D654" t="s">
        <v>320</v>
      </c>
      <c r="E654">
        <v>97.76</v>
      </c>
      <c r="F654" t="s">
        <v>21</v>
      </c>
      <c r="G654" t="s">
        <v>26</v>
      </c>
      <c r="H654" t="s">
        <v>21</v>
      </c>
      <c r="I654" t="s">
        <v>20</v>
      </c>
      <c r="J654" t="s">
        <v>20</v>
      </c>
      <c r="K654" t="s">
        <v>27</v>
      </c>
      <c r="L654" t="s">
        <v>173</v>
      </c>
      <c r="M654" t="s">
        <v>166</v>
      </c>
      <c r="N654">
        <v>39.288705</v>
      </c>
      <c r="O654">
        <v>-112.464915</v>
      </c>
      <c r="P654">
        <v>4592.0520809999998</v>
      </c>
      <c r="Q654">
        <v>1356</v>
      </c>
      <c r="R654">
        <v>0</v>
      </c>
    </row>
    <row r="655" spans="1:18" x14ac:dyDescent="0.25">
      <c r="A655">
        <v>654</v>
      </c>
      <c r="B655">
        <v>94</v>
      </c>
      <c r="C655">
        <v>31725840</v>
      </c>
      <c r="D655" t="s">
        <v>244</v>
      </c>
      <c r="E655">
        <v>97.796000000000006</v>
      </c>
      <c r="F655" t="s">
        <v>21</v>
      </c>
      <c r="G655" t="s">
        <v>26</v>
      </c>
      <c r="H655" t="s">
        <v>21</v>
      </c>
      <c r="I655" t="s">
        <v>20</v>
      </c>
      <c r="J655" t="s">
        <v>20</v>
      </c>
      <c r="K655" t="s">
        <v>27</v>
      </c>
      <c r="L655" t="s">
        <v>122</v>
      </c>
      <c r="M655" t="s">
        <v>270</v>
      </c>
      <c r="N655">
        <v>38.334020000000002</v>
      </c>
      <c r="O655">
        <v>-111.024019</v>
      </c>
      <c r="P655">
        <v>4564.7419099999997</v>
      </c>
      <c r="Q655">
        <v>1340</v>
      </c>
      <c r="R655">
        <v>0</v>
      </c>
    </row>
    <row r="656" spans="1:18" x14ac:dyDescent="0.25">
      <c r="A656">
        <v>655</v>
      </c>
      <c r="B656">
        <v>94</v>
      </c>
      <c r="C656" t="e">
        <f>-JOj4EUHIE1kqLo6Lb8OMF</f>
        <v>#NAME?</v>
      </c>
      <c r="D656" t="s">
        <v>244</v>
      </c>
      <c r="E656">
        <v>97.861999999999995</v>
      </c>
      <c r="F656" t="s">
        <v>21</v>
      </c>
      <c r="G656" t="s">
        <v>26</v>
      </c>
      <c r="H656" t="s">
        <v>21</v>
      </c>
      <c r="I656" t="s">
        <v>20</v>
      </c>
      <c r="J656" t="s">
        <v>20</v>
      </c>
      <c r="K656" t="s">
        <v>27</v>
      </c>
      <c r="L656" t="s">
        <v>122</v>
      </c>
      <c r="M656" t="s">
        <v>270</v>
      </c>
      <c r="N656">
        <v>38.334184</v>
      </c>
      <c r="O656">
        <v>-111.022809</v>
      </c>
      <c r="P656">
        <v>4564.5604329999996</v>
      </c>
      <c r="Q656">
        <v>1340</v>
      </c>
      <c r="R656">
        <v>0</v>
      </c>
    </row>
    <row r="657" spans="1:18" x14ac:dyDescent="0.25">
      <c r="A657">
        <v>656</v>
      </c>
      <c r="B657">
        <v>94</v>
      </c>
      <c r="C657">
        <v>31343527</v>
      </c>
      <c r="D657" t="s">
        <v>333</v>
      </c>
      <c r="E657">
        <v>13.75</v>
      </c>
      <c r="F657" t="s">
        <v>19</v>
      </c>
      <c r="G657" t="s">
        <v>20</v>
      </c>
      <c r="H657" t="s">
        <v>21</v>
      </c>
      <c r="I657" t="s">
        <v>20</v>
      </c>
      <c r="J657" t="s">
        <v>20</v>
      </c>
      <c r="K657" t="s">
        <v>31</v>
      </c>
      <c r="L657" t="s">
        <v>48</v>
      </c>
      <c r="M657" t="s">
        <v>49</v>
      </c>
      <c r="N657">
        <v>40.622050000000002</v>
      </c>
      <c r="O657">
        <v>-111.976467</v>
      </c>
      <c r="P657">
        <v>4457.6433809999999</v>
      </c>
      <c r="Q657">
        <v>1426</v>
      </c>
      <c r="R657">
        <v>0</v>
      </c>
    </row>
    <row r="658" spans="1:18" x14ac:dyDescent="0.25">
      <c r="A658">
        <v>657</v>
      </c>
      <c r="B658">
        <v>94</v>
      </c>
      <c r="C658">
        <v>31279651</v>
      </c>
      <c r="D658" t="s">
        <v>288</v>
      </c>
      <c r="E658">
        <v>13.754</v>
      </c>
      <c r="F658" t="s">
        <v>21</v>
      </c>
      <c r="G658" t="s">
        <v>26</v>
      </c>
      <c r="H658" t="s">
        <v>21</v>
      </c>
      <c r="I658" t="s">
        <v>20</v>
      </c>
      <c r="J658" t="s">
        <v>20</v>
      </c>
      <c r="K658" t="s">
        <v>27</v>
      </c>
      <c r="L658" t="s">
        <v>211</v>
      </c>
      <c r="M658" t="s">
        <v>318</v>
      </c>
      <c r="N658">
        <v>37.171526</v>
      </c>
      <c r="O658">
        <v>-109.580849</v>
      </c>
      <c r="P658">
        <v>4548.1766680000001</v>
      </c>
      <c r="Q658">
        <v>350</v>
      </c>
      <c r="R658">
        <v>0</v>
      </c>
    </row>
    <row r="659" spans="1:18" x14ac:dyDescent="0.25">
      <c r="A659">
        <v>658</v>
      </c>
      <c r="B659">
        <v>94</v>
      </c>
      <c r="C659" t="e">
        <f>-IpTyIV6IYXGkO91JLxk_k</f>
        <v>#NAME?</v>
      </c>
      <c r="D659" t="s">
        <v>171</v>
      </c>
      <c r="E659">
        <v>13.765000000000001</v>
      </c>
      <c r="F659" t="s">
        <v>21</v>
      </c>
      <c r="G659" t="s">
        <v>20</v>
      </c>
      <c r="H659" t="s">
        <v>21</v>
      </c>
      <c r="I659" t="s">
        <v>20</v>
      </c>
      <c r="J659" t="s">
        <v>20</v>
      </c>
      <c r="K659" t="s">
        <v>31</v>
      </c>
      <c r="L659" t="s">
        <v>188</v>
      </c>
      <c r="M659" t="s">
        <v>79</v>
      </c>
      <c r="N659">
        <v>40.699863000000001</v>
      </c>
      <c r="O659">
        <v>-111.830624</v>
      </c>
      <c r="P659">
        <v>4498.217138</v>
      </c>
      <c r="Q659">
        <v>346</v>
      </c>
      <c r="R659">
        <v>0</v>
      </c>
    </row>
    <row r="660" spans="1:18" x14ac:dyDescent="0.25">
      <c r="A660">
        <v>659</v>
      </c>
      <c r="B660">
        <v>94</v>
      </c>
      <c r="C660">
        <v>31303688</v>
      </c>
      <c r="D660" t="s">
        <v>203</v>
      </c>
      <c r="E660">
        <v>13.791</v>
      </c>
      <c r="F660" t="s">
        <v>21</v>
      </c>
      <c r="G660" t="s">
        <v>26</v>
      </c>
      <c r="H660" t="s">
        <v>19</v>
      </c>
      <c r="I660">
        <v>158</v>
      </c>
      <c r="J660" t="s">
        <v>20</v>
      </c>
      <c r="K660" t="s">
        <v>41</v>
      </c>
      <c r="L660" t="s">
        <v>255</v>
      </c>
      <c r="M660" t="s">
        <v>204</v>
      </c>
      <c r="N660">
        <v>41.253763999999997</v>
      </c>
      <c r="O660">
        <v>-111.841718</v>
      </c>
      <c r="P660">
        <v>4860.3633049999999</v>
      </c>
      <c r="Q660">
        <v>1349</v>
      </c>
      <c r="R660">
        <v>0</v>
      </c>
    </row>
    <row r="661" spans="1:18" x14ac:dyDescent="0.25">
      <c r="A661">
        <v>660</v>
      </c>
      <c r="B661">
        <v>94</v>
      </c>
      <c r="C661">
        <v>1530902</v>
      </c>
      <c r="D661" t="s">
        <v>88</v>
      </c>
      <c r="E661">
        <v>13.816000000000001</v>
      </c>
      <c r="F661" t="s">
        <v>21</v>
      </c>
      <c r="G661" t="s">
        <v>26</v>
      </c>
      <c r="H661" t="s">
        <v>21</v>
      </c>
      <c r="I661" t="s">
        <v>20</v>
      </c>
      <c r="J661" t="s">
        <v>20</v>
      </c>
      <c r="K661" t="s">
        <v>31</v>
      </c>
      <c r="L661" t="s">
        <v>32</v>
      </c>
      <c r="M661" t="s">
        <v>90</v>
      </c>
      <c r="N661">
        <v>40.638497000000001</v>
      </c>
      <c r="O661">
        <v>-111.865955</v>
      </c>
      <c r="P661">
        <v>4324.2992899999999</v>
      </c>
      <c r="Q661">
        <v>318</v>
      </c>
      <c r="R661">
        <v>0</v>
      </c>
    </row>
    <row r="662" spans="1:18" x14ac:dyDescent="0.25">
      <c r="A662">
        <v>661</v>
      </c>
      <c r="B662">
        <v>94</v>
      </c>
      <c r="C662">
        <v>27964987</v>
      </c>
      <c r="D662" t="s">
        <v>346</v>
      </c>
      <c r="E662">
        <v>13.817</v>
      </c>
      <c r="F662" t="s">
        <v>21</v>
      </c>
      <c r="G662" t="s">
        <v>26</v>
      </c>
      <c r="H662" t="s">
        <v>21</v>
      </c>
      <c r="I662" t="s">
        <v>20</v>
      </c>
      <c r="J662" t="s">
        <v>20</v>
      </c>
      <c r="K662" t="s">
        <v>27</v>
      </c>
      <c r="L662" t="s">
        <v>307</v>
      </c>
      <c r="M662" t="s">
        <v>159</v>
      </c>
      <c r="N662">
        <v>39.815655999999997</v>
      </c>
      <c r="O662">
        <v>-111.135347</v>
      </c>
      <c r="P662">
        <v>7615.1461840000002</v>
      </c>
      <c r="Q662">
        <v>1389</v>
      </c>
      <c r="R662">
        <v>0</v>
      </c>
    </row>
    <row r="663" spans="1:18" x14ac:dyDescent="0.25">
      <c r="A663">
        <v>662</v>
      </c>
      <c r="B663">
        <v>94</v>
      </c>
      <c r="C663">
        <v>1119627</v>
      </c>
      <c r="D663" t="s">
        <v>171</v>
      </c>
      <c r="E663">
        <v>13.83</v>
      </c>
      <c r="F663" t="s">
        <v>21</v>
      </c>
      <c r="G663" t="s">
        <v>26</v>
      </c>
      <c r="H663" t="s">
        <v>21</v>
      </c>
      <c r="I663" t="s">
        <v>20</v>
      </c>
      <c r="J663" t="s">
        <v>20</v>
      </c>
      <c r="K663" t="s">
        <v>31</v>
      </c>
      <c r="L663" t="s">
        <v>188</v>
      </c>
      <c r="M663" t="s">
        <v>79</v>
      </c>
      <c r="N663">
        <v>40.699868000000002</v>
      </c>
      <c r="O663">
        <v>-111.829387</v>
      </c>
      <c r="P663">
        <v>4504.4437129999997</v>
      </c>
      <c r="Q663">
        <v>346</v>
      </c>
      <c r="R663">
        <v>0</v>
      </c>
    </row>
    <row r="664" spans="1:18" x14ac:dyDescent="0.25">
      <c r="A664">
        <v>663</v>
      </c>
      <c r="B664">
        <v>94</v>
      </c>
      <c r="C664">
        <v>2587507</v>
      </c>
      <c r="D664" t="s">
        <v>176</v>
      </c>
      <c r="E664">
        <v>13.831</v>
      </c>
      <c r="F664" t="s">
        <v>21</v>
      </c>
      <c r="G664" t="s">
        <v>26</v>
      </c>
      <c r="H664" t="s">
        <v>21</v>
      </c>
      <c r="I664" t="s">
        <v>20</v>
      </c>
      <c r="J664" t="s">
        <v>20</v>
      </c>
      <c r="K664" t="s">
        <v>41</v>
      </c>
      <c r="L664" t="s">
        <v>181</v>
      </c>
      <c r="M664" t="s">
        <v>178</v>
      </c>
      <c r="N664">
        <v>41.622798000000003</v>
      </c>
      <c r="O664">
        <v>-112.12683</v>
      </c>
      <c r="P664">
        <v>4210.139741</v>
      </c>
      <c r="Q664">
        <v>1329</v>
      </c>
      <c r="R664">
        <v>0</v>
      </c>
    </row>
    <row r="665" spans="1:18" x14ac:dyDescent="0.25">
      <c r="A665">
        <v>664</v>
      </c>
      <c r="B665">
        <v>94</v>
      </c>
      <c r="C665">
        <v>31313704</v>
      </c>
      <c r="D665" t="s">
        <v>40</v>
      </c>
      <c r="E665">
        <v>13.864000000000001</v>
      </c>
      <c r="F665" t="s">
        <v>21</v>
      </c>
      <c r="G665" t="s">
        <v>26</v>
      </c>
      <c r="H665" t="s">
        <v>21</v>
      </c>
      <c r="I665" t="s">
        <v>20</v>
      </c>
      <c r="J665" t="s">
        <v>20</v>
      </c>
      <c r="K665" t="s">
        <v>41</v>
      </c>
      <c r="L665" t="s">
        <v>42</v>
      </c>
      <c r="M665" t="s">
        <v>43</v>
      </c>
      <c r="N665">
        <v>41.628990000000002</v>
      </c>
      <c r="O665">
        <v>-111.692995</v>
      </c>
      <c r="P665">
        <v>5088.4714320000003</v>
      </c>
      <c r="Q665">
        <v>1391</v>
      </c>
      <c r="R665">
        <v>0</v>
      </c>
    </row>
    <row r="666" spans="1:18" x14ac:dyDescent="0.25">
      <c r="A666">
        <v>665</v>
      </c>
      <c r="B666">
        <v>94</v>
      </c>
      <c r="C666">
        <v>31490202</v>
      </c>
      <c r="D666" t="s">
        <v>244</v>
      </c>
      <c r="E666">
        <v>13.864000000000001</v>
      </c>
      <c r="F666" t="s">
        <v>21</v>
      </c>
      <c r="G666" t="s">
        <v>26</v>
      </c>
      <c r="H666" t="s">
        <v>21</v>
      </c>
      <c r="I666" t="s">
        <v>20</v>
      </c>
      <c r="J666" t="s">
        <v>20</v>
      </c>
      <c r="K666" t="s">
        <v>27</v>
      </c>
      <c r="L666" t="s">
        <v>75</v>
      </c>
      <c r="M666" t="s">
        <v>58</v>
      </c>
      <c r="N666">
        <v>38.800207999999998</v>
      </c>
      <c r="O666">
        <v>-111.93456500000001</v>
      </c>
      <c r="P666">
        <v>5729.7036429999998</v>
      </c>
      <c r="Q666">
        <v>1340</v>
      </c>
      <c r="R666">
        <v>0</v>
      </c>
    </row>
    <row r="667" spans="1:18" x14ac:dyDescent="0.25">
      <c r="A667">
        <v>666</v>
      </c>
      <c r="B667">
        <v>94</v>
      </c>
      <c r="C667">
        <v>1534602</v>
      </c>
      <c r="D667" t="s">
        <v>88</v>
      </c>
      <c r="E667">
        <v>15.305999999999999</v>
      </c>
      <c r="F667" t="s">
        <v>21</v>
      </c>
      <c r="G667" t="s">
        <v>26</v>
      </c>
      <c r="H667" t="s">
        <v>21</v>
      </c>
      <c r="I667" t="s">
        <v>20</v>
      </c>
      <c r="J667" t="s">
        <v>20</v>
      </c>
      <c r="K667" t="s">
        <v>31</v>
      </c>
      <c r="L667" t="s">
        <v>32</v>
      </c>
      <c r="M667" t="s">
        <v>90</v>
      </c>
      <c r="N667">
        <v>40.660023000000002</v>
      </c>
      <c r="O667">
        <v>-111.86571499999999</v>
      </c>
      <c r="P667">
        <v>4281.9059239999997</v>
      </c>
      <c r="Q667">
        <v>318</v>
      </c>
      <c r="R667">
        <v>0</v>
      </c>
    </row>
    <row r="668" spans="1:18" x14ac:dyDescent="0.25">
      <c r="A668">
        <v>667</v>
      </c>
      <c r="B668">
        <v>94</v>
      </c>
      <c r="C668">
        <v>31665734</v>
      </c>
      <c r="D668" t="s">
        <v>217</v>
      </c>
      <c r="E668">
        <v>15.314</v>
      </c>
      <c r="F668" t="s">
        <v>21</v>
      </c>
      <c r="G668" t="s">
        <v>20</v>
      </c>
      <c r="H668" t="s">
        <v>21</v>
      </c>
      <c r="I668" t="s">
        <v>20</v>
      </c>
      <c r="J668" t="s">
        <v>20</v>
      </c>
      <c r="K668" t="s">
        <v>27</v>
      </c>
      <c r="L668" t="s">
        <v>162</v>
      </c>
      <c r="M668" t="s">
        <v>163</v>
      </c>
      <c r="N668">
        <v>37.279957000000003</v>
      </c>
      <c r="O668">
        <v>-113.652337</v>
      </c>
      <c r="P668">
        <v>4613.3467039999996</v>
      </c>
      <c r="Q668">
        <v>304</v>
      </c>
      <c r="R668">
        <v>0</v>
      </c>
    </row>
    <row r="669" spans="1:18" x14ac:dyDescent="0.25">
      <c r="A669">
        <v>668</v>
      </c>
      <c r="B669">
        <v>94</v>
      </c>
      <c r="C669">
        <v>1137815</v>
      </c>
      <c r="D669" t="s">
        <v>56</v>
      </c>
      <c r="E669">
        <v>2.1850000000000001</v>
      </c>
      <c r="F669" t="s">
        <v>21</v>
      </c>
      <c r="G669" t="s">
        <v>26</v>
      </c>
      <c r="H669" t="s">
        <v>21</v>
      </c>
      <c r="I669" t="s">
        <v>20</v>
      </c>
      <c r="J669" t="s">
        <v>20</v>
      </c>
      <c r="K669" t="s">
        <v>41</v>
      </c>
      <c r="L669" t="s">
        <v>57</v>
      </c>
      <c r="M669" t="s">
        <v>58</v>
      </c>
      <c r="N669">
        <v>41.163758999999999</v>
      </c>
      <c r="O669">
        <v>-112.0809</v>
      </c>
      <c r="P669">
        <v>4193.6278240000001</v>
      </c>
      <c r="Q669">
        <v>1459</v>
      </c>
      <c r="R669">
        <v>0</v>
      </c>
    </row>
    <row r="670" spans="1:18" x14ac:dyDescent="0.25">
      <c r="A670">
        <v>669</v>
      </c>
      <c r="B670">
        <v>94</v>
      </c>
      <c r="C670">
        <v>31486979</v>
      </c>
      <c r="D670" t="s">
        <v>164</v>
      </c>
      <c r="E670">
        <v>2.1859999999999999</v>
      </c>
      <c r="F670" t="s">
        <v>21</v>
      </c>
      <c r="G670" t="s">
        <v>26</v>
      </c>
      <c r="H670" t="s">
        <v>21</v>
      </c>
      <c r="I670" t="s">
        <v>20</v>
      </c>
      <c r="J670" t="s">
        <v>20</v>
      </c>
      <c r="K670" t="s">
        <v>27</v>
      </c>
      <c r="L670" t="s">
        <v>165</v>
      </c>
      <c r="M670" t="s">
        <v>166</v>
      </c>
      <c r="N670">
        <v>38.964542000000002</v>
      </c>
      <c r="O670">
        <v>-112.323643</v>
      </c>
      <c r="P670">
        <v>5080.5590920000004</v>
      </c>
      <c r="Q670">
        <v>1390</v>
      </c>
      <c r="R670">
        <v>0</v>
      </c>
    </row>
    <row r="671" spans="1:18" x14ac:dyDescent="0.25">
      <c r="A671">
        <v>670</v>
      </c>
      <c r="B671">
        <v>94</v>
      </c>
      <c r="C671">
        <v>1104041</v>
      </c>
      <c r="D671" t="s">
        <v>101</v>
      </c>
      <c r="E671">
        <v>2.1859999999999999</v>
      </c>
      <c r="F671" t="s">
        <v>21</v>
      </c>
      <c r="G671" t="s">
        <v>26</v>
      </c>
      <c r="H671" t="s">
        <v>21</v>
      </c>
      <c r="I671" t="s">
        <v>20</v>
      </c>
      <c r="J671" t="s">
        <v>20</v>
      </c>
      <c r="K671" t="s">
        <v>41</v>
      </c>
      <c r="L671" t="s">
        <v>57</v>
      </c>
      <c r="M671" t="s">
        <v>58</v>
      </c>
      <c r="N671">
        <v>41.118101000000003</v>
      </c>
      <c r="O671">
        <v>-112.070702</v>
      </c>
      <c r="P671">
        <v>4281.8068750000002</v>
      </c>
      <c r="Q671">
        <v>328</v>
      </c>
      <c r="R671">
        <v>0</v>
      </c>
    </row>
    <row r="672" spans="1:18" x14ac:dyDescent="0.25">
      <c r="A672">
        <v>671</v>
      </c>
      <c r="B672">
        <v>94</v>
      </c>
      <c r="C672">
        <v>31301558</v>
      </c>
      <c r="D672" t="s">
        <v>116</v>
      </c>
      <c r="E672">
        <v>2.1869999999999998</v>
      </c>
      <c r="F672" t="s">
        <v>21</v>
      </c>
      <c r="G672" t="s">
        <v>26</v>
      </c>
      <c r="H672" t="s">
        <v>21</v>
      </c>
      <c r="I672" t="s">
        <v>20</v>
      </c>
      <c r="J672" t="s">
        <v>20</v>
      </c>
      <c r="K672" t="s">
        <v>41</v>
      </c>
      <c r="L672" t="s">
        <v>177</v>
      </c>
      <c r="M672" t="s">
        <v>43</v>
      </c>
      <c r="N672">
        <v>41.486521000000003</v>
      </c>
      <c r="O672">
        <v>-112.012041</v>
      </c>
      <c r="P672">
        <v>4345.2872779999998</v>
      </c>
      <c r="Q672">
        <v>324</v>
      </c>
      <c r="R672">
        <v>0</v>
      </c>
    </row>
    <row r="673" spans="1:18" x14ac:dyDescent="0.25">
      <c r="A673">
        <v>672</v>
      </c>
      <c r="B673">
        <v>94</v>
      </c>
      <c r="C673">
        <v>31790744</v>
      </c>
      <c r="D673" t="s">
        <v>61</v>
      </c>
      <c r="E673">
        <v>2.1890000000000001</v>
      </c>
      <c r="F673" t="s">
        <v>21</v>
      </c>
      <c r="G673" t="s">
        <v>26</v>
      </c>
      <c r="H673" t="s">
        <v>21</v>
      </c>
      <c r="I673" t="s">
        <v>20</v>
      </c>
      <c r="J673" t="s">
        <v>20</v>
      </c>
      <c r="K673" t="s">
        <v>22</v>
      </c>
      <c r="L673" t="s">
        <v>23</v>
      </c>
      <c r="M673" t="s">
        <v>62</v>
      </c>
      <c r="N673">
        <v>40.237757000000002</v>
      </c>
      <c r="O673">
        <v>-111.658682</v>
      </c>
      <c r="P673">
        <v>4502.3583360000002</v>
      </c>
      <c r="Q673">
        <v>403</v>
      </c>
      <c r="R673">
        <v>0</v>
      </c>
    </row>
    <row r="674" spans="1:18" x14ac:dyDescent="0.25">
      <c r="A674">
        <v>673</v>
      </c>
      <c r="B674">
        <v>94</v>
      </c>
      <c r="C674">
        <v>534202</v>
      </c>
      <c r="D674" t="s">
        <v>47</v>
      </c>
      <c r="E674">
        <v>2.1909999999999998</v>
      </c>
      <c r="F674" t="s">
        <v>21</v>
      </c>
      <c r="G674" t="s">
        <v>26</v>
      </c>
      <c r="H674" t="s">
        <v>21</v>
      </c>
      <c r="I674" t="s">
        <v>20</v>
      </c>
      <c r="J674" t="s">
        <v>20</v>
      </c>
      <c r="K674" t="s">
        <v>31</v>
      </c>
      <c r="L674" t="s">
        <v>48</v>
      </c>
      <c r="M674" t="s">
        <v>49</v>
      </c>
      <c r="N674">
        <v>40.544136000000002</v>
      </c>
      <c r="O674">
        <v>-111.9421</v>
      </c>
      <c r="P674">
        <v>4399.2867699999997</v>
      </c>
      <c r="Q674">
        <v>6715</v>
      </c>
      <c r="R674">
        <v>0</v>
      </c>
    </row>
    <row r="675" spans="1:18" x14ac:dyDescent="0.25">
      <c r="A675">
        <v>674</v>
      </c>
      <c r="B675">
        <v>94</v>
      </c>
      <c r="C675">
        <v>27132136</v>
      </c>
      <c r="D675" t="s">
        <v>351</v>
      </c>
      <c r="E675">
        <v>2.194</v>
      </c>
      <c r="F675" t="s">
        <v>21</v>
      </c>
      <c r="G675" t="s">
        <v>26</v>
      </c>
      <c r="H675" t="s">
        <v>21</v>
      </c>
      <c r="I675" t="s">
        <v>20</v>
      </c>
      <c r="J675" t="s">
        <v>20</v>
      </c>
      <c r="K675" t="s">
        <v>22</v>
      </c>
      <c r="L675" t="s">
        <v>140</v>
      </c>
      <c r="M675" t="s">
        <v>125</v>
      </c>
      <c r="N675">
        <v>40.141928999999998</v>
      </c>
      <c r="O675">
        <v>-111.612301</v>
      </c>
      <c r="P675">
        <v>4549.9280399999998</v>
      </c>
      <c r="Q675">
        <v>1357</v>
      </c>
      <c r="R675">
        <v>0</v>
      </c>
    </row>
    <row r="676" spans="1:18" x14ac:dyDescent="0.25">
      <c r="A676">
        <v>675</v>
      </c>
      <c r="B676">
        <v>94</v>
      </c>
      <c r="C676">
        <v>1106220</v>
      </c>
      <c r="D676" t="s">
        <v>195</v>
      </c>
      <c r="E676">
        <v>2.194</v>
      </c>
      <c r="F676" t="s">
        <v>21</v>
      </c>
      <c r="G676" t="s">
        <v>26</v>
      </c>
      <c r="H676" t="s">
        <v>21</v>
      </c>
      <c r="I676" t="s">
        <v>20</v>
      </c>
      <c r="J676" t="s">
        <v>20</v>
      </c>
      <c r="K676" t="s">
        <v>41</v>
      </c>
      <c r="L676" t="s">
        <v>57</v>
      </c>
      <c r="M676" t="s">
        <v>190</v>
      </c>
      <c r="N676">
        <v>41.089190000000002</v>
      </c>
      <c r="O676">
        <v>-112.07060300000001</v>
      </c>
      <c r="P676">
        <v>4217.8191180000003</v>
      </c>
      <c r="Q676">
        <v>334</v>
      </c>
      <c r="R676">
        <v>0</v>
      </c>
    </row>
    <row r="677" spans="1:18" x14ac:dyDescent="0.25">
      <c r="A677">
        <v>676</v>
      </c>
      <c r="B677">
        <v>94</v>
      </c>
      <c r="C677">
        <v>31554858</v>
      </c>
      <c r="D677" t="s">
        <v>102</v>
      </c>
      <c r="E677">
        <v>2.194</v>
      </c>
      <c r="F677" t="s">
        <v>21</v>
      </c>
      <c r="G677" t="s">
        <v>26</v>
      </c>
      <c r="H677" t="s">
        <v>19</v>
      </c>
      <c r="I677">
        <v>153</v>
      </c>
      <c r="J677" t="s">
        <v>20</v>
      </c>
      <c r="K677" t="s">
        <v>27</v>
      </c>
      <c r="L677" t="s">
        <v>103</v>
      </c>
      <c r="M677" t="s">
        <v>104</v>
      </c>
      <c r="N677">
        <v>38.276902</v>
      </c>
      <c r="O677">
        <v>-112.641278</v>
      </c>
      <c r="P677">
        <v>5832.301528</v>
      </c>
      <c r="Q677">
        <v>1430</v>
      </c>
      <c r="R677">
        <v>0</v>
      </c>
    </row>
    <row r="678" spans="1:18" x14ac:dyDescent="0.25">
      <c r="A678">
        <v>677</v>
      </c>
      <c r="B678">
        <v>94</v>
      </c>
      <c r="C678">
        <v>31367771</v>
      </c>
      <c r="D678" t="s">
        <v>229</v>
      </c>
      <c r="E678">
        <v>12.16</v>
      </c>
      <c r="F678" t="s">
        <v>21</v>
      </c>
      <c r="G678" t="s">
        <v>26</v>
      </c>
      <c r="H678" t="s">
        <v>21</v>
      </c>
      <c r="I678" t="s">
        <v>20</v>
      </c>
      <c r="J678" t="s">
        <v>20</v>
      </c>
      <c r="K678" t="s">
        <v>27</v>
      </c>
      <c r="L678" t="s">
        <v>230</v>
      </c>
      <c r="M678" t="s">
        <v>82</v>
      </c>
      <c r="N678">
        <v>39.528827999999997</v>
      </c>
      <c r="O678">
        <v>-111.46717099999999</v>
      </c>
      <c r="P678">
        <v>5820.8059279999998</v>
      </c>
      <c r="Q678">
        <v>331</v>
      </c>
      <c r="R678">
        <v>0</v>
      </c>
    </row>
    <row r="679" spans="1:18" x14ac:dyDescent="0.25">
      <c r="A679">
        <v>678</v>
      </c>
      <c r="B679">
        <v>94</v>
      </c>
      <c r="C679">
        <v>27877674</v>
      </c>
      <c r="D679" t="s">
        <v>136</v>
      </c>
      <c r="E679">
        <v>12.17</v>
      </c>
      <c r="F679" t="s">
        <v>21</v>
      </c>
      <c r="G679" t="s">
        <v>20</v>
      </c>
      <c r="H679" t="s">
        <v>21</v>
      </c>
      <c r="I679" t="s">
        <v>20</v>
      </c>
      <c r="J679" t="s">
        <v>20</v>
      </c>
      <c r="K679" t="s">
        <v>41</v>
      </c>
      <c r="L679" t="s">
        <v>137</v>
      </c>
      <c r="M679" t="s">
        <v>138</v>
      </c>
      <c r="N679">
        <v>41.028267999999997</v>
      </c>
      <c r="O679">
        <v>-111.674813</v>
      </c>
      <c r="P679">
        <v>5050.8546980000001</v>
      </c>
      <c r="Q679">
        <v>317</v>
      </c>
      <c r="R679">
        <v>0</v>
      </c>
    </row>
    <row r="680" spans="1:18" x14ac:dyDescent="0.25">
      <c r="A680">
        <v>679</v>
      </c>
      <c r="B680">
        <v>94</v>
      </c>
      <c r="C680">
        <v>31765717</v>
      </c>
      <c r="D680" t="s">
        <v>346</v>
      </c>
      <c r="E680">
        <v>12.173999999999999</v>
      </c>
      <c r="F680" t="s">
        <v>21</v>
      </c>
      <c r="G680" t="s">
        <v>20</v>
      </c>
      <c r="H680" t="s">
        <v>21</v>
      </c>
      <c r="I680" t="s">
        <v>20</v>
      </c>
      <c r="J680" t="s">
        <v>20</v>
      </c>
      <c r="K680" t="s">
        <v>27</v>
      </c>
      <c r="L680" t="s">
        <v>307</v>
      </c>
      <c r="M680" t="s">
        <v>159</v>
      </c>
      <c r="N680">
        <v>39.792186999999998</v>
      </c>
      <c r="O680">
        <v>-111.13234799999999</v>
      </c>
      <c r="P680">
        <v>7619.234633</v>
      </c>
      <c r="Q680">
        <v>1389</v>
      </c>
      <c r="R680">
        <v>0</v>
      </c>
    </row>
    <row r="681" spans="1:18" x14ac:dyDescent="0.25">
      <c r="A681">
        <v>680</v>
      </c>
      <c r="B681">
        <v>94</v>
      </c>
      <c r="C681">
        <v>27958305</v>
      </c>
      <c r="D681" t="s">
        <v>346</v>
      </c>
      <c r="E681">
        <v>12.193</v>
      </c>
      <c r="F681" t="s">
        <v>21</v>
      </c>
      <c r="G681" t="s">
        <v>26</v>
      </c>
      <c r="H681" t="s">
        <v>21</v>
      </c>
      <c r="I681" t="s">
        <v>20</v>
      </c>
      <c r="J681" t="s">
        <v>20</v>
      </c>
      <c r="K681" t="s">
        <v>27</v>
      </c>
      <c r="L681" t="s">
        <v>307</v>
      </c>
      <c r="M681" t="s">
        <v>159</v>
      </c>
      <c r="N681">
        <v>39.792445000000001</v>
      </c>
      <c r="O681">
        <v>-111.132458</v>
      </c>
      <c r="P681">
        <v>7615.9179219999996</v>
      </c>
      <c r="Q681">
        <v>1389</v>
      </c>
      <c r="R681">
        <v>0</v>
      </c>
    </row>
    <row r="682" spans="1:18" x14ac:dyDescent="0.25">
      <c r="A682">
        <v>681</v>
      </c>
      <c r="B682">
        <v>94</v>
      </c>
      <c r="C682">
        <v>31279031</v>
      </c>
      <c r="D682" t="s">
        <v>303</v>
      </c>
      <c r="E682">
        <v>12.196999999999999</v>
      </c>
      <c r="F682" t="s">
        <v>21</v>
      </c>
      <c r="G682" t="s">
        <v>26</v>
      </c>
      <c r="H682" t="s">
        <v>21</v>
      </c>
      <c r="I682" t="s">
        <v>20</v>
      </c>
      <c r="J682" t="s">
        <v>20</v>
      </c>
      <c r="K682" t="s">
        <v>27</v>
      </c>
      <c r="L682" t="s">
        <v>72</v>
      </c>
      <c r="M682" t="s">
        <v>73</v>
      </c>
      <c r="N682">
        <v>37.207082999999997</v>
      </c>
      <c r="O682">
        <v>-113.27216300000001</v>
      </c>
      <c r="P682">
        <v>3131.2575299999999</v>
      </c>
      <c r="Q682">
        <v>1326</v>
      </c>
      <c r="R682">
        <v>0</v>
      </c>
    </row>
    <row r="683" spans="1:18" x14ac:dyDescent="0.25">
      <c r="A683">
        <v>682</v>
      </c>
      <c r="B683">
        <v>94</v>
      </c>
      <c r="C683">
        <v>28356946</v>
      </c>
      <c r="D683" t="s">
        <v>323</v>
      </c>
      <c r="E683">
        <v>12.206</v>
      </c>
      <c r="F683" t="s">
        <v>21</v>
      </c>
      <c r="G683" t="s">
        <v>26</v>
      </c>
      <c r="H683" t="s">
        <v>21</v>
      </c>
      <c r="I683" t="s">
        <v>20</v>
      </c>
      <c r="J683" t="s">
        <v>20</v>
      </c>
      <c r="K683" t="s">
        <v>31</v>
      </c>
      <c r="L683" t="s">
        <v>130</v>
      </c>
      <c r="M683" t="s">
        <v>131</v>
      </c>
      <c r="N683">
        <v>40.636651999999998</v>
      </c>
      <c r="O683">
        <v>-111.28075699999999</v>
      </c>
      <c r="P683">
        <v>6438.9317000000001</v>
      </c>
      <c r="Q683">
        <v>1345</v>
      </c>
      <c r="R683">
        <v>0</v>
      </c>
    </row>
    <row r="684" spans="1:18" x14ac:dyDescent="0.25">
      <c r="A684">
        <v>683</v>
      </c>
      <c r="B684">
        <v>94</v>
      </c>
      <c r="C684">
        <v>31905812</v>
      </c>
      <c r="D684" t="s">
        <v>272</v>
      </c>
      <c r="E684">
        <v>115.952</v>
      </c>
      <c r="F684" t="s">
        <v>21</v>
      </c>
      <c r="G684" t="s">
        <v>26</v>
      </c>
      <c r="H684" t="s">
        <v>21</v>
      </c>
      <c r="I684" t="s">
        <v>20</v>
      </c>
      <c r="J684" t="s">
        <v>20</v>
      </c>
      <c r="K684" t="s">
        <v>27</v>
      </c>
      <c r="L684" t="s">
        <v>247</v>
      </c>
      <c r="M684" t="s">
        <v>214</v>
      </c>
      <c r="N684">
        <v>37.648091000000001</v>
      </c>
      <c r="O684">
        <v>-112.434439</v>
      </c>
      <c r="P684">
        <v>6847.7070450000001</v>
      </c>
      <c r="Q684">
        <v>1384</v>
      </c>
      <c r="R684">
        <v>0</v>
      </c>
    </row>
    <row r="685" spans="1:18" x14ac:dyDescent="0.25">
      <c r="A685">
        <v>684</v>
      </c>
      <c r="B685">
        <v>94</v>
      </c>
      <c r="C685">
        <v>31736671</v>
      </c>
      <c r="D685" t="s">
        <v>244</v>
      </c>
      <c r="E685">
        <v>116.005</v>
      </c>
      <c r="F685" t="s">
        <v>21</v>
      </c>
      <c r="G685" t="s">
        <v>26</v>
      </c>
      <c r="H685" t="s">
        <v>21</v>
      </c>
      <c r="I685" t="s">
        <v>20</v>
      </c>
      <c r="J685" t="s">
        <v>20</v>
      </c>
      <c r="K685" t="s">
        <v>27</v>
      </c>
      <c r="L685" t="s">
        <v>122</v>
      </c>
      <c r="M685" t="s">
        <v>270</v>
      </c>
      <c r="N685">
        <v>38.374417000000001</v>
      </c>
      <c r="O685">
        <v>-110.714553</v>
      </c>
      <c r="P685">
        <v>4232.6391149999999</v>
      </c>
      <c r="Q685">
        <v>1340</v>
      </c>
      <c r="R685">
        <v>0</v>
      </c>
    </row>
    <row r="686" spans="1:18" x14ac:dyDescent="0.25">
      <c r="A686">
        <v>685</v>
      </c>
      <c r="B686">
        <v>94</v>
      </c>
      <c r="C686" t="e">
        <f>-JRv54KxIdiURTMYiPuO8k</f>
        <v>#NAME?</v>
      </c>
      <c r="D686" t="s">
        <v>288</v>
      </c>
      <c r="E686">
        <v>116.04</v>
      </c>
      <c r="F686" t="s">
        <v>21</v>
      </c>
      <c r="G686" t="s">
        <v>20</v>
      </c>
      <c r="H686" t="s">
        <v>21</v>
      </c>
      <c r="I686" t="s">
        <v>20</v>
      </c>
      <c r="J686" t="s">
        <v>20</v>
      </c>
      <c r="K686" t="s">
        <v>27</v>
      </c>
      <c r="L686" t="s">
        <v>38</v>
      </c>
      <c r="M686" t="s">
        <v>152</v>
      </c>
      <c r="N686">
        <v>38.463790000000003</v>
      </c>
      <c r="O686">
        <v>-109.446952</v>
      </c>
      <c r="P686">
        <v>4978.0510299999996</v>
      </c>
      <c r="Q686">
        <v>350</v>
      </c>
      <c r="R686">
        <v>0</v>
      </c>
    </row>
    <row r="687" spans="1:18" x14ac:dyDescent="0.25">
      <c r="A687">
        <v>686</v>
      </c>
      <c r="B687">
        <v>94</v>
      </c>
      <c r="C687">
        <v>31905823</v>
      </c>
      <c r="D687" t="s">
        <v>272</v>
      </c>
      <c r="E687">
        <v>116.06699999999999</v>
      </c>
      <c r="F687" t="s">
        <v>21</v>
      </c>
      <c r="G687" t="s">
        <v>26</v>
      </c>
      <c r="H687" t="s">
        <v>21</v>
      </c>
      <c r="I687" t="s">
        <v>20</v>
      </c>
      <c r="J687" t="s">
        <v>20</v>
      </c>
      <c r="K687" t="s">
        <v>27</v>
      </c>
      <c r="L687" t="s">
        <v>247</v>
      </c>
      <c r="M687" t="s">
        <v>214</v>
      </c>
      <c r="N687">
        <v>37.64978</v>
      </c>
      <c r="O687">
        <v>-112.43442899999999</v>
      </c>
      <c r="P687">
        <v>6851.5370149999999</v>
      </c>
      <c r="Q687">
        <v>1384</v>
      </c>
      <c r="R687">
        <v>0</v>
      </c>
    </row>
    <row r="688" spans="1:18" x14ac:dyDescent="0.25">
      <c r="A688">
        <v>687</v>
      </c>
      <c r="B688">
        <v>94</v>
      </c>
      <c r="C688">
        <v>31736682</v>
      </c>
      <c r="D688" t="s">
        <v>244</v>
      </c>
      <c r="E688">
        <v>116.139</v>
      </c>
      <c r="F688" t="s">
        <v>21</v>
      </c>
      <c r="G688" t="s">
        <v>26</v>
      </c>
      <c r="H688" t="s">
        <v>21</v>
      </c>
      <c r="I688" t="s">
        <v>20</v>
      </c>
      <c r="J688" t="s">
        <v>20</v>
      </c>
      <c r="K688" t="s">
        <v>27</v>
      </c>
      <c r="L688" t="s">
        <v>122</v>
      </c>
      <c r="M688" t="s">
        <v>270</v>
      </c>
      <c r="N688">
        <v>38.374414000000002</v>
      </c>
      <c r="O688">
        <v>-110.712067</v>
      </c>
      <c r="P688">
        <v>4230.4796459999998</v>
      </c>
      <c r="Q688">
        <v>1340</v>
      </c>
      <c r="R688">
        <v>0</v>
      </c>
    </row>
    <row r="689" spans="1:18" x14ac:dyDescent="0.25">
      <c r="A689">
        <v>688</v>
      </c>
      <c r="B689">
        <v>94</v>
      </c>
      <c r="C689">
        <v>31905834</v>
      </c>
      <c r="D689" t="s">
        <v>272</v>
      </c>
      <c r="E689">
        <v>116.18300000000001</v>
      </c>
      <c r="F689" t="s">
        <v>21</v>
      </c>
      <c r="G689" t="s">
        <v>26</v>
      </c>
      <c r="H689" t="s">
        <v>21</v>
      </c>
      <c r="I689" t="s">
        <v>20</v>
      </c>
      <c r="J689" t="s">
        <v>20</v>
      </c>
      <c r="K689" t="s">
        <v>27</v>
      </c>
      <c r="L689" t="s">
        <v>247</v>
      </c>
      <c r="M689" t="s">
        <v>214</v>
      </c>
      <c r="N689">
        <v>37.65146</v>
      </c>
      <c r="O689">
        <v>-112.43441900000001</v>
      </c>
      <c r="P689">
        <v>6851.2533430000003</v>
      </c>
      <c r="Q689">
        <v>1384</v>
      </c>
      <c r="R689">
        <v>0</v>
      </c>
    </row>
    <row r="690" spans="1:18" x14ac:dyDescent="0.25">
      <c r="A690">
        <v>689</v>
      </c>
      <c r="B690">
        <v>94</v>
      </c>
      <c r="C690">
        <v>31489317</v>
      </c>
      <c r="D690" t="s">
        <v>320</v>
      </c>
      <c r="E690">
        <v>116.22499999999999</v>
      </c>
      <c r="F690" t="s">
        <v>21</v>
      </c>
      <c r="G690" t="s">
        <v>26</v>
      </c>
      <c r="H690" t="s">
        <v>21</v>
      </c>
      <c r="I690" t="s">
        <v>20</v>
      </c>
      <c r="J690" t="s">
        <v>20</v>
      </c>
      <c r="K690" t="s">
        <v>27</v>
      </c>
      <c r="L690" t="s">
        <v>202</v>
      </c>
      <c r="M690" t="s">
        <v>166</v>
      </c>
      <c r="N690">
        <v>39.110702000000003</v>
      </c>
      <c r="O690">
        <v>-112.273106</v>
      </c>
      <c r="P690">
        <v>5038.2797280000004</v>
      </c>
      <c r="Q690">
        <v>1356</v>
      </c>
      <c r="R690">
        <v>0</v>
      </c>
    </row>
    <row r="691" spans="1:18" x14ac:dyDescent="0.25">
      <c r="A691">
        <v>690</v>
      </c>
      <c r="B691">
        <v>94</v>
      </c>
      <c r="C691">
        <v>31905845</v>
      </c>
      <c r="D691" t="s">
        <v>272</v>
      </c>
      <c r="E691">
        <v>116.29900000000001</v>
      </c>
      <c r="F691" t="s">
        <v>21</v>
      </c>
      <c r="G691" t="s">
        <v>26</v>
      </c>
      <c r="H691" t="s">
        <v>21</v>
      </c>
      <c r="I691" t="s">
        <v>20</v>
      </c>
      <c r="J691" t="s">
        <v>20</v>
      </c>
      <c r="K691" t="s">
        <v>27</v>
      </c>
      <c r="L691" t="s">
        <v>247</v>
      </c>
      <c r="M691" t="s">
        <v>214</v>
      </c>
      <c r="N691">
        <v>37.653148999999999</v>
      </c>
      <c r="O691">
        <v>-112.43442</v>
      </c>
      <c r="P691">
        <v>6863.6088030000001</v>
      </c>
      <c r="Q691">
        <v>1384</v>
      </c>
      <c r="R691">
        <v>0</v>
      </c>
    </row>
    <row r="692" spans="1:18" x14ac:dyDescent="0.25">
      <c r="A692">
        <v>691</v>
      </c>
      <c r="B692">
        <v>94</v>
      </c>
      <c r="C692">
        <v>28299280</v>
      </c>
      <c r="D692" t="s">
        <v>220</v>
      </c>
      <c r="E692">
        <v>116.355</v>
      </c>
      <c r="F692" t="s">
        <v>21</v>
      </c>
      <c r="G692" t="s">
        <v>26</v>
      </c>
      <c r="H692" t="s">
        <v>21</v>
      </c>
      <c r="I692" t="s">
        <v>20</v>
      </c>
      <c r="J692" t="s">
        <v>20</v>
      </c>
      <c r="K692" t="s">
        <v>27</v>
      </c>
      <c r="L692" t="s">
        <v>266</v>
      </c>
      <c r="M692" t="s">
        <v>267</v>
      </c>
      <c r="N692">
        <v>38.228121000000002</v>
      </c>
      <c r="O692">
        <v>-111.34966</v>
      </c>
      <c r="P692">
        <v>7062.5841630000004</v>
      </c>
      <c r="Q692">
        <v>1328</v>
      </c>
      <c r="R692">
        <v>0</v>
      </c>
    </row>
    <row r="693" spans="1:18" x14ac:dyDescent="0.25">
      <c r="A693">
        <v>692</v>
      </c>
      <c r="B693">
        <v>94</v>
      </c>
      <c r="C693">
        <v>31746680</v>
      </c>
      <c r="D693" t="s">
        <v>244</v>
      </c>
      <c r="E693">
        <v>116.384</v>
      </c>
      <c r="F693" t="s">
        <v>21</v>
      </c>
      <c r="G693" t="s">
        <v>26</v>
      </c>
      <c r="H693" t="s">
        <v>21</v>
      </c>
      <c r="I693" t="s">
        <v>20</v>
      </c>
      <c r="J693" t="s">
        <v>20</v>
      </c>
      <c r="K693" t="s">
        <v>27</v>
      </c>
      <c r="L693" t="s">
        <v>122</v>
      </c>
      <c r="M693" t="s">
        <v>270</v>
      </c>
      <c r="N693">
        <v>38.374352999999999</v>
      </c>
      <c r="O693">
        <v>-110.70754700000001</v>
      </c>
      <c r="P693">
        <v>4231.696997</v>
      </c>
      <c r="Q693">
        <v>1340</v>
      </c>
      <c r="R693">
        <v>0</v>
      </c>
    </row>
    <row r="694" spans="1:18" x14ac:dyDescent="0.25">
      <c r="A694">
        <v>693</v>
      </c>
      <c r="B694">
        <v>94</v>
      </c>
      <c r="C694">
        <v>31817781</v>
      </c>
      <c r="D694" t="s">
        <v>118</v>
      </c>
      <c r="E694">
        <v>116.413</v>
      </c>
      <c r="F694" t="s">
        <v>21</v>
      </c>
      <c r="G694" t="s">
        <v>26</v>
      </c>
      <c r="H694" t="s">
        <v>21</v>
      </c>
      <c r="I694" t="s">
        <v>20</v>
      </c>
      <c r="J694" t="s">
        <v>20</v>
      </c>
      <c r="K694" t="s">
        <v>22</v>
      </c>
      <c r="L694" t="s">
        <v>133</v>
      </c>
      <c r="M694" t="s">
        <v>169</v>
      </c>
      <c r="N694">
        <v>40.302321999999997</v>
      </c>
      <c r="O694">
        <v>-109.95398900000001</v>
      </c>
      <c r="P694">
        <v>4996.3355860000001</v>
      </c>
      <c r="Q694">
        <v>310</v>
      </c>
      <c r="R694">
        <v>0</v>
      </c>
    </row>
    <row r="695" spans="1:18" x14ac:dyDescent="0.25">
      <c r="A695">
        <v>694</v>
      </c>
      <c r="B695">
        <v>94</v>
      </c>
      <c r="C695">
        <v>31906256</v>
      </c>
      <c r="D695" t="s">
        <v>272</v>
      </c>
      <c r="E695">
        <v>116.414</v>
      </c>
      <c r="F695" t="s">
        <v>21</v>
      </c>
      <c r="G695" t="s">
        <v>26</v>
      </c>
      <c r="H695" t="s">
        <v>21</v>
      </c>
      <c r="I695" t="s">
        <v>20</v>
      </c>
      <c r="J695" t="s">
        <v>20</v>
      </c>
      <c r="K695" t="s">
        <v>27</v>
      </c>
      <c r="L695" t="s">
        <v>247</v>
      </c>
      <c r="M695" t="s">
        <v>214</v>
      </c>
      <c r="N695">
        <v>37.654820000000001</v>
      </c>
      <c r="O695">
        <v>-112.43440699999999</v>
      </c>
      <c r="P695">
        <v>6870.5688600000003</v>
      </c>
      <c r="Q695">
        <v>1384</v>
      </c>
      <c r="R695">
        <v>0</v>
      </c>
    </row>
    <row r="696" spans="1:18" x14ac:dyDescent="0.25">
      <c r="A696">
        <v>695</v>
      </c>
      <c r="B696">
        <v>94</v>
      </c>
      <c r="C696">
        <v>31736693</v>
      </c>
      <c r="D696" t="s">
        <v>244</v>
      </c>
      <c r="E696">
        <v>116.485</v>
      </c>
      <c r="F696" t="s">
        <v>21</v>
      </c>
      <c r="G696" t="s">
        <v>26</v>
      </c>
      <c r="H696" t="s">
        <v>19</v>
      </c>
      <c r="I696">
        <v>95</v>
      </c>
      <c r="J696" t="s">
        <v>20</v>
      </c>
      <c r="K696" t="s">
        <v>27</v>
      </c>
      <c r="L696" t="s">
        <v>122</v>
      </c>
      <c r="M696" t="s">
        <v>270</v>
      </c>
      <c r="N696">
        <v>38.373843000000001</v>
      </c>
      <c r="O696">
        <v>-110.705754</v>
      </c>
      <c r="P696">
        <v>4232.4271520000002</v>
      </c>
      <c r="Q696">
        <v>1340</v>
      </c>
      <c r="R696">
        <v>0</v>
      </c>
    </row>
    <row r="697" spans="1:18" x14ac:dyDescent="0.25">
      <c r="A697">
        <v>696</v>
      </c>
      <c r="B697">
        <v>94</v>
      </c>
      <c r="C697">
        <v>31489328</v>
      </c>
      <c r="D697" t="s">
        <v>320</v>
      </c>
      <c r="E697">
        <v>116.49299999999999</v>
      </c>
      <c r="F697" t="s">
        <v>21</v>
      </c>
      <c r="G697" t="s">
        <v>26</v>
      </c>
      <c r="H697" t="s">
        <v>19</v>
      </c>
      <c r="I697">
        <v>64</v>
      </c>
      <c r="J697" t="s">
        <v>20</v>
      </c>
      <c r="K697" t="s">
        <v>27</v>
      </c>
      <c r="L697" t="s">
        <v>202</v>
      </c>
      <c r="M697" t="s">
        <v>166</v>
      </c>
      <c r="N697">
        <v>39.108015000000002</v>
      </c>
      <c r="O697">
        <v>-112.269458</v>
      </c>
      <c r="P697">
        <v>5068.6997629999996</v>
      </c>
      <c r="Q697">
        <v>1356</v>
      </c>
      <c r="R697">
        <v>0</v>
      </c>
    </row>
    <row r="698" spans="1:18" x14ac:dyDescent="0.25">
      <c r="A698">
        <v>697</v>
      </c>
      <c r="B698">
        <v>94</v>
      </c>
      <c r="C698">
        <v>31489339</v>
      </c>
      <c r="D698" t="s">
        <v>320</v>
      </c>
      <c r="E698">
        <v>116.52200000000001</v>
      </c>
      <c r="F698" t="s">
        <v>21</v>
      </c>
      <c r="G698" t="s">
        <v>26</v>
      </c>
      <c r="H698" t="s">
        <v>21</v>
      </c>
      <c r="I698" t="s">
        <v>20</v>
      </c>
      <c r="J698" t="s">
        <v>20</v>
      </c>
      <c r="K698" t="s">
        <v>27</v>
      </c>
      <c r="L698" t="s">
        <v>202</v>
      </c>
      <c r="M698" t="s">
        <v>166</v>
      </c>
      <c r="N698">
        <v>39.108305999999999</v>
      </c>
      <c r="O698">
        <v>-112.26913999999999</v>
      </c>
      <c r="P698">
        <v>5073.2443240000002</v>
      </c>
      <c r="Q698">
        <v>1356</v>
      </c>
      <c r="R698">
        <v>0</v>
      </c>
    </row>
    <row r="699" spans="1:18" x14ac:dyDescent="0.25">
      <c r="A699">
        <v>698</v>
      </c>
      <c r="B699">
        <v>94</v>
      </c>
      <c r="C699">
        <v>31489350</v>
      </c>
      <c r="D699" t="s">
        <v>320</v>
      </c>
      <c r="E699">
        <v>116.55200000000001</v>
      </c>
      <c r="F699" t="s">
        <v>21</v>
      </c>
      <c r="G699" t="s">
        <v>26</v>
      </c>
      <c r="H699" t="s">
        <v>21</v>
      </c>
      <c r="I699" t="s">
        <v>20</v>
      </c>
      <c r="J699" t="s">
        <v>20</v>
      </c>
      <c r="K699" t="s">
        <v>27</v>
      </c>
      <c r="L699" t="s">
        <v>202</v>
      </c>
      <c r="M699" t="s">
        <v>166</v>
      </c>
      <c r="N699">
        <v>39.108682000000002</v>
      </c>
      <c r="O699">
        <v>-112.26882000000001</v>
      </c>
      <c r="P699">
        <v>5076.6822439999996</v>
      </c>
      <c r="Q699">
        <v>1356</v>
      </c>
      <c r="R699">
        <v>0</v>
      </c>
    </row>
    <row r="700" spans="1:18" x14ac:dyDescent="0.25">
      <c r="A700">
        <v>699</v>
      </c>
      <c r="B700">
        <v>94</v>
      </c>
      <c r="C700">
        <v>31418194</v>
      </c>
      <c r="D700" t="s">
        <v>221</v>
      </c>
      <c r="E700">
        <v>18.838999999999999</v>
      </c>
      <c r="F700" t="s">
        <v>21</v>
      </c>
      <c r="G700" t="s">
        <v>20</v>
      </c>
      <c r="H700" t="s">
        <v>21</v>
      </c>
      <c r="I700" t="s">
        <v>20</v>
      </c>
      <c r="J700" t="s">
        <v>20</v>
      </c>
      <c r="K700" t="s">
        <v>22</v>
      </c>
      <c r="L700" t="s">
        <v>155</v>
      </c>
      <c r="M700" t="s">
        <v>174</v>
      </c>
      <c r="N700">
        <v>39.407719</v>
      </c>
      <c r="O700">
        <v>-111.92653</v>
      </c>
      <c r="P700">
        <v>5286.4510479999999</v>
      </c>
      <c r="Q700">
        <v>1342</v>
      </c>
      <c r="R700">
        <v>0</v>
      </c>
    </row>
    <row r="701" spans="1:18" x14ac:dyDescent="0.25">
      <c r="A701">
        <v>700</v>
      </c>
      <c r="B701">
        <v>94</v>
      </c>
      <c r="C701">
        <v>31304763</v>
      </c>
      <c r="D701" t="s">
        <v>116</v>
      </c>
      <c r="E701">
        <v>19.361000000000001</v>
      </c>
      <c r="F701" t="s">
        <v>21</v>
      </c>
      <c r="G701" t="s">
        <v>26</v>
      </c>
      <c r="H701" t="s">
        <v>21</v>
      </c>
      <c r="I701" t="s">
        <v>20</v>
      </c>
      <c r="J701" t="s">
        <v>20</v>
      </c>
      <c r="K701" t="s">
        <v>41</v>
      </c>
      <c r="L701" t="s">
        <v>42</v>
      </c>
      <c r="M701" t="s">
        <v>43</v>
      </c>
      <c r="N701">
        <v>41.647061000000001</v>
      </c>
      <c r="O701">
        <v>-111.912054</v>
      </c>
      <c r="P701">
        <v>4456.1050859999996</v>
      </c>
      <c r="Q701">
        <v>324</v>
      </c>
      <c r="R701">
        <v>0</v>
      </c>
    </row>
    <row r="702" spans="1:18" x14ac:dyDescent="0.25">
      <c r="A702">
        <v>701</v>
      </c>
      <c r="B702">
        <v>94</v>
      </c>
      <c r="C702">
        <v>31395406</v>
      </c>
      <c r="D702" t="s">
        <v>352</v>
      </c>
      <c r="E702">
        <v>19.379000000000001</v>
      </c>
      <c r="F702" t="s">
        <v>21</v>
      </c>
      <c r="G702" t="s">
        <v>26</v>
      </c>
      <c r="H702" t="s">
        <v>21</v>
      </c>
      <c r="I702" t="s">
        <v>20</v>
      </c>
      <c r="J702" t="s">
        <v>20</v>
      </c>
      <c r="K702" t="s">
        <v>31</v>
      </c>
      <c r="L702" t="s">
        <v>282</v>
      </c>
      <c r="M702" t="s">
        <v>206</v>
      </c>
      <c r="N702">
        <v>40.336606000000003</v>
      </c>
      <c r="O702">
        <v>-112.45835599999999</v>
      </c>
      <c r="P702">
        <v>5099.78388</v>
      </c>
      <c r="Q702">
        <v>409</v>
      </c>
      <c r="R702">
        <v>0</v>
      </c>
    </row>
    <row r="703" spans="1:18" x14ac:dyDescent="0.25">
      <c r="A703">
        <v>702</v>
      </c>
      <c r="B703">
        <v>94</v>
      </c>
      <c r="C703">
        <v>1556689</v>
      </c>
      <c r="D703" t="s">
        <v>88</v>
      </c>
      <c r="E703">
        <v>19.398</v>
      </c>
      <c r="F703" t="s">
        <v>21</v>
      </c>
      <c r="G703" t="s">
        <v>26</v>
      </c>
      <c r="H703" t="s">
        <v>21</v>
      </c>
      <c r="I703" t="s">
        <v>20</v>
      </c>
      <c r="J703" t="s">
        <v>20</v>
      </c>
      <c r="K703" t="s">
        <v>31</v>
      </c>
      <c r="L703" t="s">
        <v>66</v>
      </c>
      <c r="M703" t="s">
        <v>90</v>
      </c>
      <c r="N703">
        <v>40.716118999999999</v>
      </c>
      <c r="O703">
        <v>-111.871246</v>
      </c>
      <c r="P703">
        <v>4238.868845</v>
      </c>
      <c r="Q703">
        <v>318</v>
      </c>
      <c r="R703">
        <v>0</v>
      </c>
    </row>
    <row r="704" spans="1:18" x14ac:dyDescent="0.25">
      <c r="A704">
        <v>703</v>
      </c>
      <c r="B704">
        <v>94</v>
      </c>
      <c r="C704">
        <v>31766847</v>
      </c>
      <c r="D704" t="s">
        <v>268</v>
      </c>
      <c r="E704">
        <v>19.402999999999999</v>
      </c>
      <c r="F704" t="s">
        <v>21</v>
      </c>
      <c r="G704" t="s">
        <v>20</v>
      </c>
      <c r="H704" t="s">
        <v>21</v>
      </c>
      <c r="I704" t="s">
        <v>20</v>
      </c>
      <c r="J704" t="s">
        <v>20</v>
      </c>
      <c r="K704" t="s">
        <v>41</v>
      </c>
      <c r="L704" t="s">
        <v>181</v>
      </c>
      <c r="M704" t="s">
        <v>43</v>
      </c>
      <c r="N704">
        <v>41.673538999999998</v>
      </c>
      <c r="O704">
        <v>-112.44664899999999</v>
      </c>
      <c r="P704">
        <v>4330.2936040000004</v>
      </c>
      <c r="Q704">
        <v>1380</v>
      </c>
      <c r="R704">
        <v>0</v>
      </c>
    </row>
    <row r="705" spans="1:18" x14ac:dyDescent="0.25">
      <c r="A705">
        <v>704</v>
      </c>
      <c r="B705">
        <v>94</v>
      </c>
      <c r="C705">
        <v>31391410</v>
      </c>
      <c r="D705" t="s">
        <v>184</v>
      </c>
      <c r="E705">
        <v>19.405000000000001</v>
      </c>
      <c r="F705" t="s">
        <v>21</v>
      </c>
      <c r="G705" t="s">
        <v>26</v>
      </c>
      <c r="H705" t="s">
        <v>21</v>
      </c>
      <c r="I705" t="s">
        <v>20</v>
      </c>
      <c r="J705" t="s">
        <v>20</v>
      </c>
      <c r="K705" t="s">
        <v>27</v>
      </c>
      <c r="L705" t="s">
        <v>54</v>
      </c>
      <c r="M705" t="s">
        <v>55</v>
      </c>
      <c r="N705">
        <v>37.911662999999997</v>
      </c>
      <c r="O705">
        <v>-113.031531</v>
      </c>
      <c r="P705">
        <v>5478.8492450000003</v>
      </c>
      <c r="Q705">
        <v>1410</v>
      </c>
      <c r="R705">
        <v>0</v>
      </c>
    </row>
    <row r="706" spans="1:18" x14ac:dyDescent="0.25">
      <c r="A706">
        <v>705</v>
      </c>
      <c r="B706">
        <v>94</v>
      </c>
      <c r="C706">
        <v>31293233</v>
      </c>
      <c r="D706" t="s">
        <v>315</v>
      </c>
      <c r="E706">
        <v>19.414999999999999</v>
      </c>
      <c r="F706" t="s">
        <v>21</v>
      </c>
      <c r="G706" t="s">
        <v>26</v>
      </c>
      <c r="H706" t="s">
        <v>21</v>
      </c>
      <c r="I706" t="s">
        <v>20</v>
      </c>
      <c r="J706" t="s">
        <v>20</v>
      </c>
      <c r="K706" t="s">
        <v>27</v>
      </c>
      <c r="L706" t="s">
        <v>111</v>
      </c>
      <c r="M706" t="s">
        <v>243</v>
      </c>
      <c r="N706">
        <v>39.228008000000003</v>
      </c>
      <c r="O706">
        <v>-111.02472400000001</v>
      </c>
      <c r="P706">
        <v>5793.9673320000002</v>
      </c>
      <c r="Q706">
        <v>307</v>
      </c>
      <c r="R706">
        <v>0</v>
      </c>
    </row>
    <row r="707" spans="1:18" x14ac:dyDescent="0.25">
      <c r="A707">
        <v>706</v>
      </c>
      <c r="B707">
        <v>94</v>
      </c>
      <c r="C707">
        <v>31494314</v>
      </c>
      <c r="D707" t="s">
        <v>353</v>
      </c>
      <c r="E707">
        <v>19.416</v>
      </c>
      <c r="F707" t="s">
        <v>21</v>
      </c>
      <c r="G707" t="s">
        <v>20</v>
      </c>
      <c r="H707" t="s">
        <v>19</v>
      </c>
      <c r="I707">
        <v>66</v>
      </c>
      <c r="J707" t="s">
        <v>20</v>
      </c>
      <c r="K707" t="s">
        <v>41</v>
      </c>
      <c r="L707" t="s">
        <v>137</v>
      </c>
      <c r="M707" t="s">
        <v>138</v>
      </c>
      <c r="N707">
        <v>40.926651999999997</v>
      </c>
      <c r="O707">
        <v>-111.572699</v>
      </c>
      <c r="P707">
        <v>5715.7659729999996</v>
      </c>
      <c r="Q707">
        <v>1367</v>
      </c>
      <c r="R707">
        <v>0</v>
      </c>
    </row>
    <row r="708" spans="1:18" x14ac:dyDescent="0.25">
      <c r="A708">
        <v>707</v>
      </c>
      <c r="B708">
        <v>94</v>
      </c>
      <c r="C708">
        <v>31825905</v>
      </c>
      <c r="D708" t="s">
        <v>61</v>
      </c>
      <c r="E708">
        <v>19.422000000000001</v>
      </c>
      <c r="F708" t="s">
        <v>21</v>
      </c>
      <c r="G708" t="s">
        <v>26</v>
      </c>
      <c r="H708" t="s">
        <v>19</v>
      </c>
      <c r="I708">
        <v>314</v>
      </c>
      <c r="J708" t="s">
        <v>20</v>
      </c>
      <c r="K708" t="s">
        <v>22</v>
      </c>
      <c r="L708" t="s">
        <v>60</v>
      </c>
      <c r="M708" t="s">
        <v>328</v>
      </c>
      <c r="N708">
        <v>40.408541999999997</v>
      </c>
      <c r="O708">
        <v>-111.50053699999999</v>
      </c>
      <c r="P708">
        <v>5502.3648290000001</v>
      </c>
      <c r="Q708">
        <v>403</v>
      </c>
      <c r="R708">
        <v>0</v>
      </c>
    </row>
    <row r="709" spans="1:18" x14ac:dyDescent="0.25">
      <c r="A709">
        <v>708</v>
      </c>
      <c r="B709">
        <v>94</v>
      </c>
      <c r="C709" t="e">
        <f>-JNLMNwTGjacLsiNQsDWpF</f>
        <v>#NAME?</v>
      </c>
      <c r="D709" t="s">
        <v>124</v>
      </c>
      <c r="E709">
        <v>19.425000000000001</v>
      </c>
      <c r="F709" t="s">
        <v>21</v>
      </c>
      <c r="G709" t="s">
        <v>20</v>
      </c>
      <c r="H709" t="s">
        <v>21</v>
      </c>
      <c r="I709" t="s">
        <v>20</v>
      </c>
      <c r="J709" t="s">
        <v>20</v>
      </c>
      <c r="K709" t="s">
        <v>22</v>
      </c>
      <c r="L709" t="s">
        <v>193</v>
      </c>
      <c r="M709" t="s">
        <v>194</v>
      </c>
      <c r="N709">
        <v>40.211936000000001</v>
      </c>
      <c r="O709">
        <v>-111.889718</v>
      </c>
      <c r="P709">
        <v>4663.6314320000001</v>
      </c>
      <c r="Q709">
        <v>1368</v>
      </c>
      <c r="R709">
        <v>0</v>
      </c>
    </row>
    <row r="710" spans="1:18" x14ac:dyDescent="0.25">
      <c r="A710">
        <v>709</v>
      </c>
      <c r="B710">
        <v>94</v>
      </c>
      <c r="C710">
        <v>31756440</v>
      </c>
      <c r="D710" t="s">
        <v>88</v>
      </c>
      <c r="E710">
        <v>19.434000000000001</v>
      </c>
      <c r="F710" t="s">
        <v>21</v>
      </c>
      <c r="G710" t="s">
        <v>26</v>
      </c>
      <c r="H710" t="s">
        <v>21</v>
      </c>
      <c r="I710" t="s">
        <v>20</v>
      </c>
      <c r="J710" t="s">
        <v>20</v>
      </c>
      <c r="K710" t="s">
        <v>31</v>
      </c>
      <c r="L710" t="s">
        <v>66</v>
      </c>
      <c r="M710" t="s">
        <v>49</v>
      </c>
      <c r="N710">
        <v>40.716625000000001</v>
      </c>
      <c r="O710">
        <v>-111.871379</v>
      </c>
      <c r="P710">
        <v>4238.703297</v>
      </c>
      <c r="Q710">
        <v>318</v>
      </c>
      <c r="R710">
        <v>0</v>
      </c>
    </row>
    <row r="711" spans="1:18" x14ac:dyDescent="0.25">
      <c r="A711">
        <v>710</v>
      </c>
      <c r="B711">
        <v>94</v>
      </c>
      <c r="C711">
        <v>31651123</v>
      </c>
      <c r="D711" t="s">
        <v>239</v>
      </c>
      <c r="E711">
        <v>19.439</v>
      </c>
      <c r="F711" t="s">
        <v>21</v>
      </c>
      <c r="G711" t="s">
        <v>20</v>
      </c>
      <c r="H711" t="s">
        <v>21</v>
      </c>
      <c r="I711" t="s">
        <v>20</v>
      </c>
      <c r="J711" t="s">
        <v>20</v>
      </c>
      <c r="K711" t="s">
        <v>41</v>
      </c>
      <c r="L711" t="s">
        <v>223</v>
      </c>
      <c r="M711" t="s">
        <v>178</v>
      </c>
      <c r="N711">
        <v>41.715099000000002</v>
      </c>
      <c r="O711">
        <v>-112.105051</v>
      </c>
      <c r="P711">
        <v>4275.9665150000001</v>
      </c>
      <c r="Q711">
        <v>1392</v>
      </c>
      <c r="R711">
        <v>0</v>
      </c>
    </row>
    <row r="712" spans="1:18" x14ac:dyDescent="0.25">
      <c r="A712">
        <v>711</v>
      </c>
      <c r="B712">
        <v>94</v>
      </c>
      <c r="C712">
        <v>31432255</v>
      </c>
      <c r="D712" t="s">
        <v>345</v>
      </c>
      <c r="E712">
        <v>19.452000000000002</v>
      </c>
      <c r="F712" t="s">
        <v>21</v>
      </c>
      <c r="G712" t="s">
        <v>26</v>
      </c>
      <c r="H712" t="s">
        <v>21</v>
      </c>
      <c r="I712" t="s">
        <v>20</v>
      </c>
      <c r="J712" t="s">
        <v>20</v>
      </c>
      <c r="K712" t="s">
        <v>27</v>
      </c>
      <c r="L712" t="s">
        <v>75</v>
      </c>
      <c r="M712" t="s">
        <v>76</v>
      </c>
      <c r="N712">
        <v>38.811176000000003</v>
      </c>
      <c r="O712">
        <v>-112.015872</v>
      </c>
      <c r="P712">
        <v>5191.6017439999996</v>
      </c>
      <c r="Q712">
        <v>1403</v>
      </c>
      <c r="R712">
        <v>0</v>
      </c>
    </row>
    <row r="713" spans="1:18" x14ac:dyDescent="0.25">
      <c r="A713">
        <v>712</v>
      </c>
      <c r="B713">
        <v>94</v>
      </c>
      <c r="C713">
        <v>31426261</v>
      </c>
      <c r="D713" t="s">
        <v>333</v>
      </c>
      <c r="E713">
        <v>19.456</v>
      </c>
      <c r="F713" t="s">
        <v>19</v>
      </c>
      <c r="G713" t="s">
        <v>20</v>
      </c>
      <c r="H713" t="s">
        <v>21</v>
      </c>
      <c r="I713" t="s">
        <v>20</v>
      </c>
      <c r="J713" t="s">
        <v>20</v>
      </c>
      <c r="K713" t="s">
        <v>31</v>
      </c>
      <c r="L713" t="s">
        <v>78</v>
      </c>
      <c r="M713" t="s">
        <v>49</v>
      </c>
      <c r="N713">
        <v>40.703935999999999</v>
      </c>
      <c r="O713">
        <v>-111.98008400000001</v>
      </c>
      <c r="P713">
        <v>4197.5597200000002</v>
      </c>
      <c r="Q713">
        <v>1426</v>
      </c>
      <c r="R713">
        <v>0</v>
      </c>
    </row>
    <row r="714" spans="1:18" x14ac:dyDescent="0.25">
      <c r="A714">
        <v>713</v>
      </c>
      <c r="B714">
        <v>94</v>
      </c>
      <c r="C714">
        <v>31825916</v>
      </c>
      <c r="D714" t="s">
        <v>61</v>
      </c>
      <c r="E714">
        <v>19.471</v>
      </c>
      <c r="F714" t="s">
        <v>21</v>
      </c>
      <c r="G714" t="s">
        <v>26</v>
      </c>
      <c r="H714" t="s">
        <v>21</v>
      </c>
      <c r="I714" t="s">
        <v>20</v>
      </c>
      <c r="J714" t="s">
        <v>20</v>
      </c>
      <c r="K714" t="s">
        <v>22</v>
      </c>
      <c r="L714" t="s">
        <v>60</v>
      </c>
      <c r="M714" t="s">
        <v>328</v>
      </c>
      <c r="N714">
        <v>40.408279</v>
      </c>
      <c r="O714">
        <v>-111.49967700000001</v>
      </c>
      <c r="P714">
        <v>5497.6350339999999</v>
      </c>
      <c r="Q714">
        <v>403</v>
      </c>
      <c r="R714">
        <v>0</v>
      </c>
    </row>
    <row r="715" spans="1:18" x14ac:dyDescent="0.25">
      <c r="A715">
        <v>714</v>
      </c>
      <c r="B715">
        <v>94</v>
      </c>
      <c r="C715">
        <v>31756429</v>
      </c>
      <c r="D715" t="s">
        <v>88</v>
      </c>
      <c r="E715">
        <v>19.477</v>
      </c>
      <c r="F715" t="s">
        <v>21</v>
      </c>
      <c r="G715" t="s">
        <v>26</v>
      </c>
      <c r="H715" t="s">
        <v>21</v>
      </c>
      <c r="I715" t="s">
        <v>20</v>
      </c>
      <c r="J715" t="s">
        <v>20</v>
      </c>
      <c r="K715" t="s">
        <v>31</v>
      </c>
      <c r="L715" t="s">
        <v>66</v>
      </c>
      <c r="M715" t="s">
        <v>49</v>
      </c>
      <c r="N715">
        <v>40.717256999999996</v>
      </c>
      <c r="O715">
        <v>-111.871402</v>
      </c>
      <c r="P715">
        <v>4239.817164</v>
      </c>
      <c r="Q715">
        <v>318</v>
      </c>
      <c r="R715">
        <v>0</v>
      </c>
    </row>
    <row r="716" spans="1:18" x14ac:dyDescent="0.25">
      <c r="A716">
        <v>715</v>
      </c>
      <c r="B716">
        <v>94</v>
      </c>
      <c r="C716">
        <v>31719445</v>
      </c>
      <c r="D716" t="s">
        <v>118</v>
      </c>
      <c r="E716">
        <v>19.483000000000001</v>
      </c>
      <c r="F716" t="s">
        <v>21</v>
      </c>
      <c r="G716" t="s">
        <v>26</v>
      </c>
      <c r="H716" t="s">
        <v>21</v>
      </c>
      <c r="I716" t="s">
        <v>20</v>
      </c>
      <c r="J716" t="s">
        <v>20</v>
      </c>
      <c r="K716" t="s">
        <v>22</v>
      </c>
      <c r="L716" t="s">
        <v>119</v>
      </c>
      <c r="M716" t="s">
        <v>120</v>
      </c>
      <c r="N716">
        <v>40.475164999999997</v>
      </c>
      <c r="O716">
        <v>-111.395203</v>
      </c>
      <c r="P716">
        <v>5732.931439</v>
      </c>
      <c r="Q716">
        <v>310</v>
      </c>
      <c r="R716">
        <v>0</v>
      </c>
    </row>
    <row r="717" spans="1:18" x14ac:dyDescent="0.25">
      <c r="A717">
        <v>716</v>
      </c>
      <c r="B717">
        <v>94</v>
      </c>
      <c r="C717">
        <v>28605895</v>
      </c>
      <c r="D717" t="s">
        <v>142</v>
      </c>
      <c r="E717">
        <v>19.52</v>
      </c>
      <c r="F717" t="s">
        <v>21</v>
      </c>
      <c r="G717" t="s">
        <v>20</v>
      </c>
      <c r="H717" t="s">
        <v>21</v>
      </c>
      <c r="I717" t="s">
        <v>20</v>
      </c>
      <c r="J717" t="s">
        <v>20</v>
      </c>
      <c r="K717" t="s">
        <v>27</v>
      </c>
      <c r="L717" t="s">
        <v>143</v>
      </c>
      <c r="M717" t="s">
        <v>106</v>
      </c>
      <c r="N717">
        <v>38.697713999999998</v>
      </c>
      <c r="O717">
        <v>-113.905514</v>
      </c>
      <c r="P717">
        <v>5848.5005300000003</v>
      </c>
      <c r="Q717">
        <v>305</v>
      </c>
      <c r="R717">
        <v>0</v>
      </c>
    </row>
    <row r="718" spans="1:18" x14ac:dyDescent="0.25">
      <c r="A718">
        <v>717</v>
      </c>
      <c r="B718">
        <v>94</v>
      </c>
      <c r="C718">
        <v>1557741</v>
      </c>
      <c r="D718" t="s">
        <v>88</v>
      </c>
      <c r="E718">
        <v>19.544</v>
      </c>
      <c r="F718" t="s">
        <v>19</v>
      </c>
      <c r="G718" t="s">
        <v>20</v>
      </c>
      <c r="H718" t="s">
        <v>21</v>
      </c>
      <c r="I718" t="s">
        <v>20</v>
      </c>
      <c r="J718" t="s">
        <v>20</v>
      </c>
      <c r="K718" t="s">
        <v>31</v>
      </c>
      <c r="L718" t="s">
        <v>66</v>
      </c>
      <c r="M718" t="s">
        <v>90</v>
      </c>
      <c r="N718">
        <v>40.718237000000002</v>
      </c>
      <c r="O718">
        <v>-111.871273</v>
      </c>
      <c r="P718">
        <v>4243.7742699999999</v>
      </c>
      <c r="Q718">
        <v>318</v>
      </c>
      <c r="R718">
        <v>0</v>
      </c>
    </row>
    <row r="719" spans="1:18" x14ac:dyDescent="0.25">
      <c r="A719">
        <v>718</v>
      </c>
      <c r="B719">
        <v>94</v>
      </c>
      <c r="C719">
        <v>27708954</v>
      </c>
      <c r="D719" t="s">
        <v>217</v>
      </c>
      <c r="E719">
        <v>19.547999999999998</v>
      </c>
      <c r="F719" t="s">
        <v>21</v>
      </c>
      <c r="G719" t="s">
        <v>26</v>
      </c>
      <c r="H719" t="s">
        <v>21</v>
      </c>
      <c r="I719" t="s">
        <v>20</v>
      </c>
      <c r="J719" t="s">
        <v>20</v>
      </c>
      <c r="K719" t="s">
        <v>27</v>
      </c>
      <c r="L719" t="s">
        <v>162</v>
      </c>
      <c r="M719" t="s">
        <v>163</v>
      </c>
      <c r="N719">
        <v>37.329228999999998</v>
      </c>
      <c r="O719">
        <v>-113.69320399999999</v>
      </c>
      <c r="P719">
        <v>4352.3466150000004</v>
      </c>
      <c r="Q719">
        <v>304</v>
      </c>
      <c r="R719">
        <v>0</v>
      </c>
    </row>
    <row r="720" spans="1:18" x14ac:dyDescent="0.25">
      <c r="A720">
        <v>719</v>
      </c>
      <c r="B720">
        <v>94</v>
      </c>
      <c r="C720">
        <v>31304774</v>
      </c>
      <c r="D720" t="s">
        <v>116</v>
      </c>
      <c r="E720">
        <v>19.553000000000001</v>
      </c>
      <c r="F720" t="s">
        <v>21</v>
      </c>
      <c r="G720" t="s">
        <v>26</v>
      </c>
      <c r="H720" t="s">
        <v>21</v>
      </c>
      <c r="I720" t="s">
        <v>20</v>
      </c>
      <c r="J720" t="s">
        <v>20</v>
      </c>
      <c r="K720" t="s">
        <v>41</v>
      </c>
      <c r="L720" t="s">
        <v>42</v>
      </c>
      <c r="M720" t="s">
        <v>43</v>
      </c>
      <c r="N720">
        <v>41.649248999999998</v>
      </c>
      <c r="O720">
        <v>-111.90977100000001</v>
      </c>
      <c r="P720">
        <v>4458.8350330000003</v>
      </c>
      <c r="Q720">
        <v>324</v>
      </c>
      <c r="R720">
        <v>0</v>
      </c>
    </row>
    <row r="721" spans="1:18" x14ac:dyDescent="0.25">
      <c r="A721">
        <v>720</v>
      </c>
      <c r="B721">
        <v>94</v>
      </c>
      <c r="C721">
        <v>31395417</v>
      </c>
      <c r="D721" t="s">
        <v>352</v>
      </c>
      <c r="E721">
        <v>19.556999999999999</v>
      </c>
      <c r="F721" t="s">
        <v>21</v>
      </c>
      <c r="G721" t="s">
        <v>20</v>
      </c>
      <c r="H721" t="s">
        <v>21</v>
      </c>
      <c r="I721" t="s">
        <v>20</v>
      </c>
      <c r="J721" t="s">
        <v>20</v>
      </c>
      <c r="K721" t="s">
        <v>31</v>
      </c>
      <c r="L721" t="s">
        <v>282</v>
      </c>
      <c r="M721" t="s">
        <v>206</v>
      </c>
      <c r="N721">
        <v>40.336575000000003</v>
      </c>
      <c r="O721">
        <v>-112.455004</v>
      </c>
      <c r="P721">
        <v>5079.692642</v>
      </c>
      <c r="Q721">
        <v>409</v>
      </c>
      <c r="R721">
        <v>0</v>
      </c>
    </row>
    <row r="722" spans="1:18" x14ac:dyDescent="0.25">
      <c r="A722">
        <v>721</v>
      </c>
      <c r="B722">
        <v>94</v>
      </c>
      <c r="C722">
        <v>31347876</v>
      </c>
      <c r="D722" t="s">
        <v>34</v>
      </c>
      <c r="E722">
        <v>2.1459999999999999</v>
      </c>
      <c r="F722" t="s">
        <v>21</v>
      </c>
      <c r="G722" t="s">
        <v>26</v>
      </c>
      <c r="H722" t="s">
        <v>21</v>
      </c>
      <c r="I722" t="s">
        <v>20</v>
      </c>
      <c r="J722" t="s">
        <v>20</v>
      </c>
      <c r="K722" t="s">
        <v>22</v>
      </c>
      <c r="L722" t="s">
        <v>35</v>
      </c>
      <c r="M722" t="s">
        <v>36</v>
      </c>
      <c r="N722">
        <v>40.486665000000002</v>
      </c>
      <c r="O722">
        <v>-111.47195600000001</v>
      </c>
      <c r="P722">
        <v>5386.0367649999998</v>
      </c>
      <c r="Q722">
        <v>1400</v>
      </c>
      <c r="R722">
        <v>0</v>
      </c>
    </row>
    <row r="723" spans="1:18" x14ac:dyDescent="0.25">
      <c r="A723">
        <v>722</v>
      </c>
      <c r="B723">
        <v>94</v>
      </c>
      <c r="C723">
        <v>27636919</v>
      </c>
      <c r="D723" t="s">
        <v>354</v>
      </c>
      <c r="E723">
        <v>2.1480000000000001</v>
      </c>
      <c r="F723" t="s">
        <v>21</v>
      </c>
      <c r="G723" t="s">
        <v>26</v>
      </c>
      <c r="H723" t="s">
        <v>21</v>
      </c>
      <c r="I723" t="s">
        <v>20</v>
      </c>
      <c r="J723" t="s">
        <v>20</v>
      </c>
      <c r="K723" t="s">
        <v>27</v>
      </c>
      <c r="L723" t="s">
        <v>64</v>
      </c>
      <c r="M723" t="s">
        <v>58</v>
      </c>
      <c r="N723">
        <v>38.115265999999998</v>
      </c>
      <c r="O723">
        <v>-111.99602</v>
      </c>
      <c r="P723">
        <v>6381.9666360000001</v>
      </c>
      <c r="Q723">
        <v>1338</v>
      </c>
      <c r="R723">
        <v>0</v>
      </c>
    </row>
    <row r="724" spans="1:18" x14ac:dyDescent="0.25">
      <c r="A724">
        <v>723</v>
      </c>
      <c r="B724">
        <v>94</v>
      </c>
      <c r="C724">
        <v>31508636</v>
      </c>
      <c r="D724" t="s">
        <v>132</v>
      </c>
      <c r="E724">
        <v>2.149</v>
      </c>
      <c r="F724" t="s">
        <v>21</v>
      </c>
      <c r="G724" t="s">
        <v>20</v>
      </c>
      <c r="H724" t="s">
        <v>21</v>
      </c>
      <c r="I724" t="s">
        <v>20</v>
      </c>
      <c r="J724" t="s">
        <v>20</v>
      </c>
      <c r="K724" t="s">
        <v>22</v>
      </c>
      <c r="L724" t="s">
        <v>133</v>
      </c>
      <c r="M724" t="s">
        <v>134</v>
      </c>
      <c r="N724">
        <v>40.321263000000002</v>
      </c>
      <c r="O724">
        <v>-110.015649</v>
      </c>
      <c r="P724">
        <v>5143.2270410000001</v>
      </c>
      <c r="Q724">
        <v>1405</v>
      </c>
      <c r="R724">
        <v>0</v>
      </c>
    </row>
    <row r="725" spans="1:18" x14ac:dyDescent="0.25">
      <c r="A725">
        <v>724</v>
      </c>
      <c r="B725">
        <v>94</v>
      </c>
      <c r="C725">
        <v>31440621</v>
      </c>
      <c r="D725" t="s">
        <v>254</v>
      </c>
      <c r="E725">
        <v>2.1520000000000001</v>
      </c>
      <c r="F725" t="s">
        <v>21</v>
      </c>
      <c r="G725" t="s">
        <v>26</v>
      </c>
      <c r="H725" t="s">
        <v>21</v>
      </c>
      <c r="I725" t="s">
        <v>20</v>
      </c>
      <c r="J725" t="s">
        <v>20</v>
      </c>
      <c r="K725" t="s">
        <v>41</v>
      </c>
      <c r="L725" t="s">
        <v>255</v>
      </c>
      <c r="M725" t="s">
        <v>204</v>
      </c>
      <c r="N725">
        <v>41.275888000000002</v>
      </c>
      <c r="O725">
        <v>-111.820538</v>
      </c>
      <c r="P725">
        <v>4897.5579360000002</v>
      </c>
      <c r="Q725">
        <v>1429</v>
      </c>
      <c r="R725">
        <v>0</v>
      </c>
    </row>
    <row r="726" spans="1:18" x14ac:dyDescent="0.25">
      <c r="A726">
        <v>725</v>
      </c>
      <c r="B726">
        <v>94</v>
      </c>
      <c r="C726">
        <v>1006044</v>
      </c>
      <c r="D726" t="s">
        <v>171</v>
      </c>
      <c r="E726">
        <v>2.1579999999999999</v>
      </c>
      <c r="F726" t="s">
        <v>21</v>
      </c>
      <c r="G726" t="s">
        <v>26</v>
      </c>
      <c r="H726" t="s">
        <v>21</v>
      </c>
      <c r="I726" t="s">
        <v>20</v>
      </c>
      <c r="J726" t="s">
        <v>20</v>
      </c>
      <c r="K726" t="s">
        <v>31</v>
      </c>
      <c r="L726" t="s">
        <v>78</v>
      </c>
      <c r="M726" t="s">
        <v>79</v>
      </c>
      <c r="N726">
        <v>40.696522999999999</v>
      </c>
      <c r="O726">
        <v>-112.050597</v>
      </c>
      <c r="P726">
        <v>4261.052522</v>
      </c>
      <c r="Q726">
        <v>346</v>
      </c>
      <c r="R726">
        <v>0</v>
      </c>
    </row>
    <row r="727" spans="1:18" x14ac:dyDescent="0.25">
      <c r="A727">
        <v>726</v>
      </c>
      <c r="B727">
        <v>94</v>
      </c>
      <c r="C727">
        <v>31576147</v>
      </c>
      <c r="D727" t="s">
        <v>213</v>
      </c>
      <c r="E727">
        <v>135.57</v>
      </c>
      <c r="F727" t="s">
        <v>21</v>
      </c>
      <c r="G727" t="s">
        <v>20</v>
      </c>
      <c r="H727" t="s">
        <v>21</v>
      </c>
      <c r="I727" t="s">
        <v>20</v>
      </c>
      <c r="J727" t="s">
        <v>20</v>
      </c>
      <c r="K727" t="s">
        <v>22</v>
      </c>
      <c r="L727" t="s">
        <v>193</v>
      </c>
      <c r="M727" t="s">
        <v>214</v>
      </c>
      <c r="N727">
        <v>39.903813999999997</v>
      </c>
      <c r="O727">
        <v>-112.13857899999999</v>
      </c>
      <c r="P727">
        <v>5926.4226479999998</v>
      </c>
      <c r="Q727">
        <v>1332</v>
      </c>
      <c r="R727">
        <v>0</v>
      </c>
    </row>
    <row r="728" spans="1:18" x14ac:dyDescent="0.25">
      <c r="A728">
        <v>727</v>
      </c>
      <c r="B728">
        <v>94</v>
      </c>
      <c r="C728">
        <v>31743903</v>
      </c>
      <c r="D728" t="s">
        <v>244</v>
      </c>
      <c r="E728">
        <v>136.02199999999999</v>
      </c>
      <c r="F728" t="s">
        <v>21</v>
      </c>
      <c r="G728" t="s">
        <v>26</v>
      </c>
      <c r="H728" t="s">
        <v>21</v>
      </c>
      <c r="I728" t="s">
        <v>20</v>
      </c>
      <c r="J728" t="s">
        <v>20</v>
      </c>
      <c r="K728" t="s">
        <v>27</v>
      </c>
      <c r="L728" t="s">
        <v>151</v>
      </c>
      <c r="M728" t="s">
        <v>270</v>
      </c>
      <c r="N728">
        <v>38.630642999999999</v>
      </c>
      <c r="O728">
        <v>-110.56661200000001</v>
      </c>
      <c r="P728">
        <v>4904.1574810000002</v>
      </c>
      <c r="Q728">
        <v>1340</v>
      </c>
      <c r="R728">
        <v>0</v>
      </c>
    </row>
    <row r="729" spans="1:18" x14ac:dyDescent="0.25">
      <c r="A729">
        <v>728</v>
      </c>
      <c r="B729">
        <v>94</v>
      </c>
      <c r="C729">
        <v>31578658</v>
      </c>
      <c r="D729" t="s">
        <v>213</v>
      </c>
      <c r="E729">
        <v>136.49100000000001</v>
      </c>
      <c r="F729" t="s">
        <v>21</v>
      </c>
      <c r="G729" t="s">
        <v>26</v>
      </c>
      <c r="H729" t="s">
        <v>21</v>
      </c>
      <c r="I729" t="s">
        <v>20</v>
      </c>
      <c r="J729" t="s">
        <v>20</v>
      </c>
      <c r="K729" t="s">
        <v>22</v>
      </c>
      <c r="L729" t="s">
        <v>193</v>
      </c>
      <c r="M729" t="s">
        <v>214</v>
      </c>
      <c r="N729">
        <v>39.916606000000002</v>
      </c>
      <c r="O729">
        <v>-112.14336</v>
      </c>
      <c r="P729">
        <v>5934.4427420000002</v>
      </c>
      <c r="Q729">
        <v>1332</v>
      </c>
      <c r="R729">
        <v>0</v>
      </c>
    </row>
    <row r="730" spans="1:18" x14ac:dyDescent="0.25">
      <c r="A730">
        <v>729</v>
      </c>
      <c r="B730">
        <v>94</v>
      </c>
      <c r="C730">
        <v>31578669</v>
      </c>
      <c r="D730" t="s">
        <v>213</v>
      </c>
      <c r="E730">
        <v>136.64599999999999</v>
      </c>
      <c r="F730" t="s">
        <v>21</v>
      </c>
      <c r="G730" t="s">
        <v>26</v>
      </c>
      <c r="H730" t="s">
        <v>19</v>
      </c>
      <c r="I730">
        <v>36</v>
      </c>
      <c r="J730" t="s">
        <v>20</v>
      </c>
      <c r="K730" t="s">
        <v>22</v>
      </c>
      <c r="L730" t="s">
        <v>193</v>
      </c>
      <c r="M730" t="s">
        <v>214</v>
      </c>
      <c r="N730">
        <v>39.919645000000003</v>
      </c>
      <c r="O730">
        <v>-112.144492</v>
      </c>
      <c r="P730">
        <v>5954.5122289999999</v>
      </c>
      <c r="Q730">
        <v>1332</v>
      </c>
      <c r="R730">
        <v>0</v>
      </c>
    </row>
    <row r="731" spans="1:18" x14ac:dyDescent="0.25">
      <c r="A731">
        <v>730</v>
      </c>
      <c r="B731">
        <v>94</v>
      </c>
      <c r="C731">
        <v>31486575</v>
      </c>
      <c r="D731" t="s">
        <v>288</v>
      </c>
      <c r="E731">
        <v>136.73400000000001</v>
      </c>
      <c r="F731" t="s">
        <v>21</v>
      </c>
      <c r="G731" t="s">
        <v>26</v>
      </c>
      <c r="H731" t="s">
        <v>19</v>
      </c>
      <c r="I731">
        <v>313</v>
      </c>
      <c r="J731" t="s">
        <v>20</v>
      </c>
      <c r="K731" t="s">
        <v>27</v>
      </c>
      <c r="L731" t="s">
        <v>38</v>
      </c>
      <c r="M731" t="s">
        <v>152</v>
      </c>
      <c r="N731">
        <v>38.672493000000003</v>
      </c>
      <c r="O731">
        <v>-109.686379</v>
      </c>
      <c r="P731">
        <v>4429.1726920000001</v>
      </c>
      <c r="Q731">
        <v>350</v>
      </c>
      <c r="R731">
        <v>0</v>
      </c>
    </row>
    <row r="732" spans="1:18" x14ac:dyDescent="0.25">
      <c r="A732">
        <v>731</v>
      </c>
      <c r="B732">
        <v>94</v>
      </c>
      <c r="C732">
        <v>31486586</v>
      </c>
      <c r="D732" t="s">
        <v>288</v>
      </c>
      <c r="E732">
        <v>137.01300000000001</v>
      </c>
      <c r="F732" t="s">
        <v>21</v>
      </c>
      <c r="G732" t="s">
        <v>26</v>
      </c>
      <c r="H732" t="s">
        <v>21</v>
      </c>
      <c r="I732" t="s">
        <v>20</v>
      </c>
      <c r="J732" t="s">
        <v>20</v>
      </c>
      <c r="K732" t="s">
        <v>27</v>
      </c>
      <c r="L732" t="s">
        <v>38</v>
      </c>
      <c r="M732" t="s">
        <v>152</v>
      </c>
      <c r="N732">
        <v>38.675998999999997</v>
      </c>
      <c r="O732">
        <v>-109.688906</v>
      </c>
      <c r="P732">
        <v>4453.5191960000002</v>
      </c>
      <c r="Q732">
        <v>350</v>
      </c>
      <c r="R732">
        <v>0</v>
      </c>
    </row>
    <row r="733" spans="1:18" x14ac:dyDescent="0.25">
      <c r="A733">
        <v>732</v>
      </c>
      <c r="B733">
        <v>94</v>
      </c>
      <c r="C733">
        <v>31578680</v>
      </c>
      <c r="D733" t="s">
        <v>213</v>
      </c>
      <c r="E733">
        <v>137.34200000000001</v>
      </c>
      <c r="F733" t="s">
        <v>21</v>
      </c>
      <c r="G733" t="s">
        <v>26</v>
      </c>
      <c r="H733" t="s">
        <v>21</v>
      </c>
      <c r="I733" t="s">
        <v>20</v>
      </c>
      <c r="J733" t="s">
        <v>20</v>
      </c>
      <c r="K733" t="s">
        <v>22</v>
      </c>
      <c r="L733" t="s">
        <v>193</v>
      </c>
      <c r="M733" t="s">
        <v>214</v>
      </c>
      <c r="N733">
        <v>39.928510000000003</v>
      </c>
      <c r="O733">
        <v>-112.14782</v>
      </c>
      <c r="P733">
        <v>5947.28413</v>
      </c>
      <c r="Q733">
        <v>1332</v>
      </c>
      <c r="R733">
        <v>0</v>
      </c>
    </row>
    <row r="734" spans="1:18" x14ac:dyDescent="0.25">
      <c r="A734">
        <v>733</v>
      </c>
      <c r="B734">
        <v>94</v>
      </c>
      <c r="C734" t="e">
        <f>-IpVD6Y8FlaAeY_0O1coeV</f>
        <v>#NAME?</v>
      </c>
      <c r="D734" t="s">
        <v>288</v>
      </c>
      <c r="E734">
        <v>137.42699999999999</v>
      </c>
      <c r="F734" t="s">
        <v>21</v>
      </c>
      <c r="G734" t="s">
        <v>20</v>
      </c>
      <c r="H734" t="s">
        <v>21</v>
      </c>
      <c r="I734" t="s">
        <v>20</v>
      </c>
      <c r="J734" t="s">
        <v>20</v>
      </c>
      <c r="K734" t="s">
        <v>27</v>
      </c>
      <c r="L734" t="s">
        <v>38</v>
      </c>
      <c r="M734" t="s">
        <v>152</v>
      </c>
      <c r="N734">
        <v>38.681165999999997</v>
      </c>
      <c r="O734">
        <v>-109.692713</v>
      </c>
      <c r="P734">
        <v>4485.8760629999997</v>
      </c>
      <c r="Q734">
        <v>350</v>
      </c>
      <c r="R734">
        <v>0</v>
      </c>
    </row>
    <row r="735" spans="1:18" x14ac:dyDescent="0.25">
      <c r="A735">
        <v>734</v>
      </c>
      <c r="B735">
        <v>94</v>
      </c>
      <c r="C735">
        <v>31488658</v>
      </c>
      <c r="D735" t="s">
        <v>288</v>
      </c>
      <c r="E735">
        <v>137.88300000000001</v>
      </c>
      <c r="F735" t="s">
        <v>21</v>
      </c>
      <c r="G735" t="s">
        <v>20</v>
      </c>
      <c r="H735" t="s">
        <v>21</v>
      </c>
      <c r="I735" t="s">
        <v>20</v>
      </c>
      <c r="J735" t="s">
        <v>20</v>
      </c>
      <c r="K735" t="s">
        <v>27</v>
      </c>
      <c r="L735" t="s">
        <v>38</v>
      </c>
      <c r="M735" t="s">
        <v>152</v>
      </c>
      <c r="N735">
        <v>38.687274000000002</v>
      </c>
      <c r="O735">
        <v>-109.69577200000001</v>
      </c>
      <c r="P735">
        <v>4422.0621849999998</v>
      </c>
      <c r="Q735">
        <v>350</v>
      </c>
      <c r="R735">
        <v>0</v>
      </c>
    </row>
    <row r="736" spans="1:18" x14ac:dyDescent="0.25">
      <c r="A736">
        <v>735</v>
      </c>
      <c r="B736">
        <v>94</v>
      </c>
      <c r="C736" t="e">
        <f>-IoHZpzYF5Pp4LP9J5Bgrk</f>
        <v>#NAME?</v>
      </c>
      <c r="D736" t="s">
        <v>272</v>
      </c>
      <c r="E736">
        <v>138.102</v>
      </c>
      <c r="F736" t="s">
        <v>21</v>
      </c>
      <c r="G736" t="s">
        <v>20</v>
      </c>
      <c r="H736" t="s">
        <v>21</v>
      </c>
      <c r="I736" t="s">
        <v>20</v>
      </c>
      <c r="J736" t="s">
        <v>20</v>
      </c>
      <c r="K736" t="s">
        <v>27</v>
      </c>
      <c r="L736" t="s">
        <v>247</v>
      </c>
      <c r="M736" t="s">
        <v>214</v>
      </c>
      <c r="N736">
        <v>37.923414999999999</v>
      </c>
      <c r="O736">
        <v>-112.427217</v>
      </c>
      <c r="P736">
        <v>6426.921069</v>
      </c>
      <c r="Q736">
        <v>1384</v>
      </c>
      <c r="R736">
        <v>0</v>
      </c>
    </row>
    <row r="737" spans="1:18" x14ac:dyDescent="0.25">
      <c r="A737">
        <v>736</v>
      </c>
      <c r="B737">
        <v>94</v>
      </c>
      <c r="C737">
        <v>31826898</v>
      </c>
      <c r="D737" t="s">
        <v>118</v>
      </c>
      <c r="E737">
        <v>138.11199999999999</v>
      </c>
      <c r="F737" t="s">
        <v>21</v>
      </c>
      <c r="G737" t="s">
        <v>26</v>
      </c>
      <c r="H737" t="s">
        <v>21</v>
      </c>
      <c r="I737" t="s">
        <v>20</v>
      </c>
      <c r="J737" t="s">
        <v>20</v>
      </c>
      <c r="K737" t="s">
        <v>22</v>
      </c>
      <c r="L737" t="s">
        <v>234</v>
      </c>
      <c r="M737" t="s">
        <v>169</v>
      </c>
      <c r="N737">
        <v>40.390439999999998</v>
      </c>
      <c r="O737">
        <v>-109.59603300000001</v>
      </c>
      <c r="P737">
        <v>5376.6572759999999</v>
      </c>
      <c r="Q737">
        <v>310</v>
      </c>
      <c r="R737">
        <v>0</v>
      </c>
    </row>
    <row r="738" spans="1:18" x14ac:dyDescent="0.25">
      <c r="A738">
        <v>737</v>
      </c>
      <c r="B738">
        <v>94</v>
      </c>
      <c r="C738">
        <v>31578691</v>
      </c>
      <c r="D738" t="s">
        <v>213</v>
      </c>
      <c r="E738">
        <v>138.501</v>
      </c>
      <c r="F738" t="s">
        <v>21</v>
      </c>
      <c r="G738" t="s">
        <v>26</v>
      </c>
      <c r="H738" t="s">
        <v>21</v>
      </c>
      <c r="I738" t="s">
        <v>20</v>
      </c>
      <c r="J738" t="s">
        <v>20</v>
      </c>
      <c r="K738" t="s">
        <v>22</v>
      </c>
      <c r="L738" t="s">
        <v>193</v>
      </c>
      <c r="M738" t="s">
        <v>214</v>
      </c>
      <c r="N738">
        <v>39.943520999999997</v>
      </c>
      <c r="O738">
        <v>-112.14297000000001</v>
      </c>
      <c r="P738">
        <v>6112.6146049999998</v>
      </c>
      <c r="Q738">
        <v>1332</v>
      </c>
      <c r="R738">
        <v>0</v>
      </c>
    </row>
    <row r="739" spans="1:18" x14ac:dyDescent="0.25">
      <c r="A739">
        <v>738</v>
      </c>
      <c r="B739">
        <v>94</v>
      </c>
      <c r="C739">
        <v>31488669</v>
      </c>
      <c r="D739" t="s">
        <v>288</v>
      </c>
      <c r="E739">
        <v>138.55199999999999</v>
      </c>
      <c r="F739" t="s">
        <v>21</v>
      </c>
      <c r="G739" t="s">
        <v>26</v>
      </c>
      <c r="H739" t="s">
        <v>21</v>
      </c>
      <c r="I739" t="s">
        <v>20</v>
      </c>
      <c r="J739" t="s">
        <v>20</v>
      </c>
      <c r="K739" t="s">
        <v>27</v>
      </c>
      <c r="L739" t="s">
        <v>38</v>
      </c>
      <c r="M739" t="s">
        <v>152</v>
      </c>
      <c r="N739">
        <v>38.696643999999999</v>
      </c>
      <c r="O739">
        <v>-109.698785</v>
      </c>
      <c r="P739">
        <v>4360.0118839999996</v>
      </c>
      <c r="Q739">
        <v>350</v>
      </c>
      <c r="R739">
        <v>0</v>
      </c>
    </row>
    <row r="740" spans="1:18" x14ac:dyDescent="0.25">
      <c r="A740">
        <v>739</v>
      </c>
      <c r="B740">
        <v>94</v>
      </c>
      <c r="C740">
        <v>31828609</v>
      </c>
      <c r="D740" t="s">
        <v>118</v>
      </c>
      <c r="E740">
        <v>138.89599999999999</v>
      </c>
      <c r="F740" t="s">
        <v>21</v>
      </c>
      <c r="G740" t="s">
        <v>20</v>
      </c>
      <c r="H740" t="s">
        <v>21</v>
      </c>
      <c r="I740" t="s">
        <v>20</v>
      </c>
      <c r="J740" t="s">
        <v>20</v>
      </c>
      <c r="K740" t="s">
        <v>22</v>
      </c>
      <c r="L740" t="s">
        <v>234</v>
      </c>
      <c r="M740" t="s">
        <v>169</v>
      </c>
      <c r="N740">
        <v>40.401133000000002</v>
      </c>
      <c r="O740">
        <v>-109.591523</v>
      </c>
      <c r="P740">
        <v>5496.5100060000004</v>
      </c>
      <c r="Q740">
        <v>310</v>
      </c>
      <c r="R740">
        <v>0</v>
      </c>
    </row>
    <row r="741" spans="1:18" x14ac:dyDescent="0.25">
      <c r="A741">
        <v>740</v>
      </c>
      <c r="B741">
        <v>94</v>
      </c>
      <c r="C741">
        <v>31824655</v>
      </c>
      <c r="D741" t="s">
        <v>118</v>
      </c>
      <c r="E741">
        <v>123.85899999999999</v>
      </c>
      <c r="F741" t="s">
        <v>21</v>
      </c>
      <c r="G741" t="s">
        <v>26</v>
      </c>
      <c r="H741" t="s">
        <v>21</v>
      </c>
      <c r="I741" t="s">
        <v>20</v>
      </c>
      <c r="J741" t="s">
        <v>20</v>
      </c>
      <c r="K741" t="s">
        <v>22</v>
      </c>
      <c r="L741" t="s">
        <v>133</v>
      </c>
      <c r="M741" t="s">
        <v>169</v>
      </c>
      <c r="N741">
        <v>40.301926000000002</v>
      </c>
      <c r="O741">
        <v>-109.812619</v>
      </c>
      <c r="P741">
        <v>5010.5359189999999</v>
      </c>
      <c r="Q741">
        <v>310</v>
      </c>
      <c r="R741">
        <v>0</v>
      </c>
    </row>
    <row r="742" spans="1:18" x14ac:dyDescent="0.25">
      <c r="A742">
        <v>741</v>
      </c>
      <c r="B742">
        <v>94</v>
      </c>
      <c r="C742">
        <v>31452723</v>
      </c>
      <c r="D742" t="s">
        <v>288</v>
      </c>
      <c r="E742">
        <v>123.874</v>
      </c>
      <c r="F742" t="s">
        <v>21</v>
      </c>
      <c r="G742" t="s">
        <v>26</v>
      </c>
      <c r="H742" t="s">
        <v>21</v>
      </c>
      <c r="I742" t="s">
        <v>20</v>
      </c>
      <c r="J742" t="s">
        <v>20</v>
      </c>
      <c r="K742" t="s">
        <v>27</v>
      </c>
      <c r="L742" t="s">
        <v>38</v>
      </c>
      <c r="M742" t="s">
        <v>152</v>
      </c>
      <c r="N742">
        <v>38.553829</v>
      </c>
      <c r="O742">
        <v>-109.532766</v>
      </c>
      <c r="P742">
        <v>4149.2727800000002</v>
      </c>
      <c r="Q742">
        <v>350</v>
      </c>
      <c r="R742">
        <v>0</v>
      </c>
    </row>
    <row r="743" spans="1:18" x14ac:dyDescent="0.25">
      <c r="A743">
        <v>742</v>
      </c>
      <c r="B743">
        <v>94</v>
      </c>
      <c r="C743">
        <v>31568626</v>
      </c>
      <c r="D743" t="s">
        <v>213</v>
      </c>
      <c r="E743">
        <v>123.94799999999999</v>
      </c>
      <c r="F743" t="s">
        <v>21</v>
      </c>
      <c r="G743" t="s">
        <v>26</v>
      </c>
      <c r="H743" t="s">
        <v>21</v>
      </c>
      <c r="I743" t="s">
        <v>20</v>
      </c>
      <c r="J743" t="s">
        <v>20</v>
      </c>
      <c r="K743" t="s">
        <v>22</v>
      </c>
      <c r="L743" t="s">
        <v>193</v>
      </c>
      <c r="M743" t="s">
        <v>214</v>
      </c>
      <c r="N743">
        <v>39.746454</v>
      </c>
      <c r="O743">
        <v>-112.18575800000001</v>
      </c>
      <c r="P743">
        <v>5347.845284</v>
      </c>
      <c r="Q743">
        <v>1332</v>
      </c>
      <c r="R743">
        <v>0</v>
      </c>
    </row>
    <row r="744" spans="1:18" x14ac:dyDescent="0.25">
      <c r="A744">
        <v>743</v>
      </c>
      <c r="B744">
        <v>94</v>
      </c>
      <c r="C744">
        <v>31579696</v>
      </c>
      <c r="D744" t="s">
        <v>213</v>
      </c>
      <c r="E744">
        <v>139.87799999999999</v>
      </c>
      <c r="F744" t="s">
        <v>21</v>
      </c>
      <c r="G744" t="s">
        <v>26</v>
      </c>
      <c r="H744" t="s">
        <v>21</v>
      </c>
      <c r="I744" t="s">
        <v>20</v>
      </c>
      <c r="J744" t="s">
        <v>20</v>
      </c>
      <c r="K744" t="s">
        <v>22</v>
      </c>
      <c r="L744" t="s">
        <v>193</v>
      </c>
      <c r="M744" t="s">
        <v>214</v>
      </c>
      <c r="N744">
        <v>39.953606999999998</v>
      </c>
      <c r="O744">
        <v>-112.122412</v>
      </c>
      <c r="P744">
        <v>6337.4138130000001</v>
      </c>
      <c r="Q744">
        <v>1332</v>
      </c>
      <c r="R744">
        <v>0</v>
      </c>
    </row>
    <row r="745" spans="1:18" x14ac:dyDescent="0.25">
      <c r="A745">
        <v>744</v>
      </c>
      <c r="B745">
        <v>94</v>
      </c>
      <c r="C745">
        <v>31580307</v>
      </c>
      <c r="D745" t="s">
        <v>213</v>
      </c>
      <c r="E745">
        <v>139.904</v>
      </c>
      <c r="F745" t="s">
        <v>21</v>
      </c>
      <c r="G745" t="s">
        <v>26</v>
      </c>
      <c r="H745" t="s">
        <v>21</v>
      </c>
      <c r="I745" t="s">
        <v>20</v>
      </c>
      <c r="J745" t="s">
        <v>20</v>
      </c>
      <c r="K745" t="s">
        <v>22</v>
      </c>
      <c r="L745" t="s">
        <v>193</v>
      </c>
      <c r="M745" t="s">
        <v>214</v>
      </c>
      <c r="N745">
        <v>39.953800000000001</v>
      </c>
      <c r="O745">
        <v>-112.121998</v>
      </c>
      <c r="P745">
        <v>6342.69679</v>
      </c>
      <c r="Q745">
        <v>1332</v>
      </c>
      <c r="R745">
        <v>0</v>
      </c>
    </row>
    <row r="746" spans="1:18" x14ac:dyDescent="0.25">
      <c r="A746">
        <v>745</v>
      </c>
      <c r="B746">
        <v>94</v>
      </c>
      <c r="C746">
        <v>31580318</v>
      </c>
      <c r="D746" t="s">
        <v>213</v>
      </c>
      <c r="E746">
        <v>139.93299999999999</v>
      </c>
      <c r="F746" t="s">
        <v>21</v>
      </c>
      <c r="G746" t="s">
        <v>20</v>
      </c>
      <c r="H746" t="s">
        <v>21</v>
      </c>
      <c r="I746" t="s">
        <v>20</v>
      </c>
      <c r="J746" t="s">
        <v>20</v>
      </c>
      <c r="K746" t="s">
        <v>22</v>
      </c>
      <c r="L746" t="s">
        <v>193</v>
      </c>
      <c r="M746" t="s">
        <v>214</v>
      </c>
      <c r="N746">
        <v>39.954002000000003</v>
      </c>
      <c r="O746">
        <v>-112.121521</v>
      </c>
      <c r="P746">
        <v>6350.3328090000005</v>
      </c>
      <c r="Q746">
        <v>1332</v>
      </c>
      <c r="R746">
        <v>0</v>
      </c>
    </row>
    <row r="747" spans="1:18" x14ac:dyDescent="0.25">
      <c r="A747">
        <v>746</v>
      </c>
      <c r="B747">
        <v>94</v>
      </c>
      <c r="C747">
        <v>31514895</v>
      </c>
      <c r="D747" t="s">
        <v>132</v>
      </c>
      <c r="E747">
        <v>14</v>
      </c>
      <c r="F747" t="s">
        <v>21</v>
      </c>
      <c r="G747" t="s">
        <v>26</v>
      </c>
      <c r="H747" t="s">
        <v>21</v>
      </c>
      <c r="I747" t="s">
        <v>20</v>
      </c>
      <c r="J747" t="s">
        <v>20</v>
      </c>
      <c r="K747" t="s">
        <v>22</v>
      </c>
      <c r="L747" t="s">
        <v>133</v>
      </c>
      <c r="M747" t="s">
        <v>134</v>
      </c>
      <c r="N747">
        <v>40.432907</v>
      </c>
      <c r="O747">
        <v>-109.954266</v>
      </c>
      <c r="P747">
        <v>5779.7136010000004</v>
      </c>
      <c r="Q747">
        <v>1405</v>
      </c>
      <c r="R747">
        <v>0</v>
      </c>
    </row>
    <row r="748" spans="1:18" x14ac:dyDescent="0.25">
      <c r="A748">
        <v>747</v>
      </c>
      <c r="B748">
        <v>94</v>
      </c>
      <c r="C748">
        <v>31392935</v>
      </c>
      <c r="D748" t="s">
        <v>352</v>
      </c>
      <c r="E748">
        <v>14.005000000000001</v>
      </c>
      <c r="F748" t="s">
        <v>21</v>
      </c>
      <c r="G748" t="s">
        <v>26</v>
      </c>
      <c r="H748" t="s">
        <v>21</v>
      </c>
      <c r="I748" t="s">
        <v>20</v>
      </c>
      <c r="J748" t="s">
        <v>20</v>
      </c>
      <c r="K748" t="s">
        <v>31</v>
      </c>
      <c r="L748" t="s">
        <v>282</v>
      </c>
      <c r="M748" t="s">
        <v>206</v>
      </c>
      <c r="N748">
        <v>40.347197999999999</v>
      </c>
      <c r="O748">
        <v>-112.55014799999999</v>
      </c>
      <c r="P748">
        <v>5936.0849719999997</v>
      </c>
      <c r="Q748">
        <v>409</v>
      </c>
      <c r="R748">
        <v>0</v>
      </c>
    </row>
    <row r="749" spans="1:18" x14ac:dyDescent="0.25">
      <c r="A749">
        <v>748</v>
      </c>
      <c r="B749">
        <v>94</v>
      </c>
      <c r="C749">
        <v>1467662</v>
      </c>
      <c r="D749" t="s">
        <v>304</v>
      </c>
      <c r="E749">
        <v>14.012</v>
      </c>
      <c r="F749" t="s">
        <v>21</v>
      </c>
      <c r="G749" t="s">
        <v>26</v>
      </c>
      <c r="H749" t="s">
        <v>19</v>
      </c>
      <c r="I749">
        <v>102</v>
      </c>
      <c r="J749" t="s">
        <v>20</v>
      </c>
      <c r="K749" t="s">
        <v>41</v>
      </c>
      <c r="L749" t="s">
        <v>223</v>
      </c>
      <c r="M749" t="s">
        <v>43</v>
      </c>
      <c r="N749">
        <v>41.715380000000003</v>
      </c>
      <c r="O749">
        <v>-112.092794</v>
      </c>
      <c r="P749">
        <v>4289.8982779999997</v>
      </c>
      <c r="Q749">
        <v>1348</v>
      </c>
      <c r="R749">
        <v>0</v>
      </c>
    </row>
    <row r="750" spans="1:18" x14ac:dyDescent="0.25">
      <c r="A750">
        <v>749</v>
      </c>
      <c r="B750">
        <v>94</v>
      </c>
      <c r="C750">
        <v>31345139</v>
      </c>
      <c r="D750" t="s">
        <v>333</v>
      </c>
      <c r="E750">
        <v>14.016999999999999</v>
      </c>
      <c r="F750" t="s">
        <v>19</v>
      </c>
      <c r="G750" t="s">
        <v>20</v>
      </c>
      <c r="H750" t="s">
        <v>21</v>
      </c>
      <c r="I750" t="s">
        <v>20</v>
      </c>
      <c r="J750" t="s">
        <v>20</v>
      </c>
      <c r="K750" t="s">
        <v>31</v>
      </c>
      <c r="L750" t="s">
        <v>48</v>
      </c>
      <c r="M750" t="s">
        <v>49</v>
      </c>
      <c r="N750">
        <v>40.625917999999999</v>
      </c>
      <c r="O750">
        <v>-111.976378</v>
      </c>
      <c r="P750">
        <v>4452.424215</v>
      </c>
      <c r="Q750">
        <v>1426</v>
      </c>
      <c r="R750">
        <v>0</v>
      </c>
    </row>
    <row r="751" spans="1:18" x14ac:dyDescent="0.25">
      <c r="A751">
        <v>750</v>
      </c>
      <c r="B751">
        <v>94</v>
      </c>
      <c r="C751" t="s">
        <v>355</v>
      </c>
      <c r="D751" t="s">
        <v>217</v>
      </c>
      <c r="E751">
        <v>14.032</v>
      </c>
      <c r="F751" t="s">
        <v>21</v>
      </c>
      <c r="G751" t="s">
        <v>20</v>
      </c>
      <c r="H751" t="s">
        <v>21</v>
      </c>
      <c r="I751" t="s">
        <v>20</v>
      </c>
      <c r="J751" t="s">
        <v>20</v>
      </c>
      <c r="K751" t="s">
        <v>27</v>
      </c>
      <c r="L751" t="s">
        <v>162</v>
      </c>
      <c r="M751" t="s">
        <v>163</v>
      </c>
      <c r="N751">
        <v>37.265867</v>
      </c>
      <c r="O751">
        <v>-113.637541</v>
      </c>
      <c r="P751">
        <v>4510.0240789999998</v>
      </c>
      <c r="Q751">
        <v>304</v>
      </c>
      <c r="R751">
        <v>0</v>
      </c>
    </row>
    <row r="752" spans="1:18" x14ac:dyDescent="0.25">
      <c r="A752">
        <v>751</v>
      </c>
      <c r="B752">
        <v>94</v>
      </c>
      <c r="C752" t="s">
        <v>356</v>
      </c>
      <c r="D752" t="s">
        <v>304</v>
      </c>
      <c r="E752">
        <v>14.036</v>
      </c>
      <c r="F752" t="s">
        <v>21</v>
      </c>
      <c r="G752" t="s">
        <v>26</v>
      </c>
      <c r="H752" t="s">
        <v>21</v>
      </c>
      <c r="I752" t="s">
        <v>20</v>
      </c>
      <c r="J752" t="s">
        <v>20</v>
      </c>
      <c r="K752" t="s">
        <v>41</v>
      </c>
      <c r="L752" t="s">
        <v>223</v>
      </c>
      <c r="M752" t="s">
        <v>43</v>
      </c>
      <c r="N752">
        <v>41.715739999999997</v>
      </c>
      <c r="O752">
        <v>-112.092804</v>
      </c>
      <c r="P752">
        <v>4294.1246039999996</v>
      </c>
      <c r="Q752">
        <v>1348</v>
      </c>
      <c r="R752">
        <v>0</v>
      </c>
    </row>
    <row r="753" spans="1:18" x14ac:dyDescent="0.25">
      <c r="A753">
        <v>752</v>
      </c>
      <c r="B753">
        <v>94</v>
      </c>
      <c r="C753">
        <v>31290924</v>
      </c>
      <c r="D753" t="s">
        <v>308</v>
      </c>
      <c r="E753">
        <v>14.037000000000001</v>
      </c>
      <c r="F753" t="s">
        <v>21</v>
      </c>
      <c r="G753" t="s">
        <v>20</v>
      </c>
      <c r="H753" t="s">
        <v>21</v>
      </c>
      <c r="I753" t="s">
        <v>20</v>
      </c>
      <c r="J753" t="s">
        <v>20</v>
      </c>
      <c r="K753" t="s">
        <v>27</v>
      </c>
      <c r="L753" t="s">
        <v>230</v>
      </c>
      <c r="M753" t="s">
        <v>82</v>
      </c>
      <c r="N753">
        <v>39.615586999999998</v>
      </c>
      <c r="O753">
        <v>-111.302809</v>
      </c>
      <c r="P753">
        <v>9639.8881899999997</v>
      </c>
      <c r="Q753">
        <v>1344</v>
      </c>
      <c r="R753">
        <v>0</v>
      </c>
    </row>
    <row r="754" spans="1:18" x14ac:dyDescent="0.25">
      <c r="A754">
        <v>753</v>
      </c>
      <c r="B754">
        <v>94</v>
      </c>
      <c r="C754">
        <v>1531744</v>
      </c>
      <c r="D754" t="s">
        <v>88</v>
      </c>
      <c r="E754">
        <v>14.061999999999999</v>
      </c>
      <c r="F754" t="s">
        <v>19</v>
      </c>
      <c r="G754" t="s">
        <v>20</v>
      </c>
      <c r="H754" t="s">
        <v>21</v>
      </c>
      <c r="I754" t="s">
        <v>20</v>
      </c>
      <c r="J754" t="s">
        <v>20</v>
      </c>
      <c r="K754" t="s">
        <v>31</v>
      </c>
      <c r="L754" t="s">
        <v>32</v>
      </c>
      <c r="M754" t="s">
        <v>90</v>
      </c>
      <c r="N754">
        <v>40.642076000000003</v>
      </c>
      <c r="O754">
        <v>-111.86596400000001</v>
      </c>
      <c r="P754">
        <v>4300.6154839999999</v>
      </c>
      <c r="Q754">
        <v>318</v>
      </c>
      <c r="R754">
        <v>0</v>
      </c>
    </row>
    <row r="755" spans="1:18" x14ac:dyDescent="0.25">
      <c r="A755">
        <v>754</v>
      </c>
      <c r="B755">
        <v>94</v>
      </c>
      <c r="C755">
        <v>31752411</v>
      </c>
      <c r="D755" t="s">
        <v>231</v>
      </c>
      <c r="E755">
        <v>14.071999999999999</v>
      </c>
      <c r="F755" t="s">
        <v>21</v>
      </c>
      <c r="G755" t="s">
        <v>26</v>
      </c>
      <c r="H755" t="s">
        <v>21</v>
      </c>
      <c r="I755" t="s">
        <v>20</v>
      </c>
      <c r="J755" t="s">
        <v>20</v>
      </c>
      <c r="K755" t="s">
        <v>41</v>
      </c>
      <c r="L755" t="s">
        <v>57</v>
      </c>
      <c r="M755" t="s">
        <v>93</v>
      </c>
      <c r="N755">
        <v>41.239322999999999</v>
      </c>
      <c r="O755">
        <v>-112.02546100000001</v>
      </c>
      <c r="P755">
        <v>4203.6238480000002</v>
      </c>
      <c r="Q755">
        <v>1409</v>
      </c>
      <c r="R755">
        <v>0</v>
      </c>
    </row>
    <row r="756" spans="1:18" x14ac:dyDescent="0.25">
      <c r="A756">
        <v>755</v>
      </c>
      <c r="B756">
        <v>94</v>
      </c>
      <c r="C756">
        <v>28138066</v>
      </c>
      <c r="D756" t="s">
        <v>239</v>
      </c>
      <c r="E756">
        <v>14.082000000000001</v>
      </c>
      <c r="F756" t="s">
        <v>21</v>
      </c>
      <c r="G756" t="s">
        <v>26</v>
      </c>
      <c r="H756" t="s">
        <v>21</v>
      </c>
      <c r="I756" t="s">
        <v>20</v>
      </c>
      <c r="J756" t="s">
        <v>20</v>
      </c>
      <c r="K756" t="s">
        <v>41</v>
      </c>
      <c r="L756" t="s">
        <v>181</v>
      </c>
      <c r="M756" t="s">
        <v>178</v>
      </c>
      <c r="N756">
        <v>41.710746999999998</v>
      </c>
      <c r="O756">
        <v>-112.20830100000001</v>
      </c>
      <c r="P756">
        <v>4283.6079360000003</v>
      </c>
      <c r="Q756">
        <v>1392</v>
      </c>
      <c r="R756">
        <v>0</v>
      </c>
    </row>
    <row r="757" spans="1:18" x14ac:dyDescent="0.25">
      <c r="A757">
        <v>756</v>
      </c>
      <c r="B757">
        <v>94</v>
      </c>
      <c r="C757">
        <v>31466529</v>
      </c>
      <c r="D757" t="s">
        <v>288</v>
      </c>
      <c r="E757">
        <v>125.711</v>
      </c>
      <c r="F757" t="s">
        <v>19</v>
      </c>
      <c r="G757" t="s">
        <v>20</v>
      </c>
      <c r="H757" t="s">
        <v>21</v>
      </c>
      <c r="I757" t="s">
        <v>20</v>
      </c>
      <c r="J757" t="s">
        <v>20</v>
      </c>
      <c r="K757" t="s">
        <v>27</v>
      </c>
      <c r="L757" t="s">
        <v>38</v>
      </c>
      <c r="M757" t="s">
        <v>152</v>
      </c>
      <c r="N757">
        <v>38.573301999999998</v>
      </c>
      <c r="O757">
        <v>-109.55078399999999</v>
      </c>
      <c r="P757">
        <v>3957.6568600000001</v>
      </c>
      <c r="Q757">
        <v>350</v>
      </c>
      <c r="R757">
        <v>0</v>
      </c>
    </row>
    <row r="758" spans="1:18" x14ac:dyDescent="0.25">
      <c r="A758">
        <v>757</v>
      </c>
      <c r="B758">
        <v>94</v>
      </c>
      <c r="C758" t="e">
        <f>-JScKEPgIVDTVQDL11FVyk</f>
        <v>#NAME?</v>
      </c>
      <c r="D758" t="s">
        <v>272</v>
      </c>
      <c r="E758">
        <v>125.761</v>
      </c>
      <c r="F758" t="s">
        <v>21</v>
      </c>
      <c r="G758" t="s">
        <v>20</v>
      </c>
      <c r="H758" t="s">
        <v>21</v>
      </c>
      <c r="I758" t="s">
        <v>20</v>
      </c>
      <c r="J758" t="s">
        <v>20</v>
      </c>
      <c r="K758" t="s">
        <v>27</v>
      </c>
      <c r="L758" t="s">
        <v>247</v>
      </c>
      <c r="M758" t="s">
        <v>214</v>
      </c>
      <c r="N758">
        <v>37.769075999999998</v>
      </c>
      <c r="O758">
        <v>-112.39021200000001</v>
      </c>
      <c r="P758">
        <v>6658.7729730000001</v>
      </c>
      <c r="Q758">
        <v>1384</v>
      </c>
      <c r="R758">
        <v>0</v>
      </c>
    </row>
    <row r="759" spans="1:18" x14ac:dyDescent="0.25">
      <c r="A759">
        <v>758</v>
      </c>
      <c r="B759">
        <v>94</v>
      </c>
      <c r="C759" t="s">
        <v>357</v>
      </c>
      <c r="D759" t="s">
        <v>272</v>
      </c>
      <c r="E759">
        <v>125.8</v>
      </c>
      <c r="F759" t="s">
        <v>21</v>
      </c>
      <c r="G759" t="s">
        <v>20</v>
      </c>
      <c r="H759" t="s">
        <v>21</v>
      </c>
      <c r="I759" t="s">
        <v>20</v>
      </c>
      <c r="J759" t="s">
        <v>20</v>
      </c>
      <c r="K759" t="s">
        <v>27</v>
      </c>
      <c r="L759" t="s">
        <v>247</v>
      </c>
      <c r="M759" t="s">
        <v>214</v>
      </c>
      <c r="N759">
        <v>37.769564000000003</v>
      </c>
      <c r="O759">
        <v>-112.390576</v>
      </c>
      <c r="P759">
        <v>6657.7317489999996</v>
      </c>
      <c r="Q759">
        <v>1384</v>
      </c>
      <c r="R759">
        <v>0</v>
      </c>
    </row>
    <row r="760" spans="1:18" x14ac:dyDescent="0.25">
      <c r="A760">
        <v>759</v>
      </c>
      <c r="B760">
        <v>94</v>
      </c>
      <c r="C760">
        <v>31467730</v>
      </c>
      <c r="D760" t="s">
        <v>288</v>
      </c>
      <c r="E760">
        <v>125.816</v>
      </c>
      <c r="F760" t="s">
        <v>19</v>
      </c>
      <c r="G760" t="s">
        <v>20</v>
      </c>
      <c r="H760" t="s">
        <v>21</v>
      </c>
      <c r="I760" t="s">
        <v>20</v>
      </c>
      <c r="J760" t="s">
        <v>20</v>
      </c>
      <c r="K760" t="s">
        <v>27</v>
      </c>
      <c r="L760" t="s">
        <v>38</v>
      </c>
      <c r="M760" t="s">
        <v>152</v>
      </c>
      <c r="N760">
        <v>38.574829999999999</v>
      </c>
      <c r="O760">
        <v>-109.550783</v>
      </c>
      <c r="P760">
        <v>3953.4218729999998</v>
      </c>
      <c r="Q760">
        <v>350</v>
      </c>
      <c r="R760">
        <v>0</v>
      </c>
    </row>
    <row r="761" spans="1:18" x14ac:dyDescent="0.25">
      <c r="A761">
        <v>760</v>
      </c>
      <c r="B761">
        <v>94</v>
      </c>
      <c r="C761">
        <v>31469484</v>
      </c>
      <c r="D761" t="s">
        <v>288</v>
      </c>
      <c r="E761">
        <v>125.922</v>
      </c>
      <c r="F761" t="s">
        <v>21</v>
      </c>
      <c r="G761" t="s">
        <v>26</v>
      </c>
      <c r="H761" t="s">
        <v>21</v>
      </c>
      <c r="I761" t="s">
        <v>20</v>
      </c>
      <c r="J761" t="s">
        <v>20</v>
      </c>
      <c r="K761" t="s">
        <v>27</v>
      </c>
      <c r="L761" t="s">
        <v>38</v>
      </c>
      <c r="M761" t="s">
        <v>152</v>
      </c>
      <c r="N761">
        <v>38.576362000000003</v>
      </c>
      <c r="O761">
        <v>-109.55076800000001</v>
      </c>
      <c r="P761">
        <v>3950.9300290000001</v>
      </c>
      <c r="Q761">
        <v>350</v>
      </c>
      <c r="R761">
        <v>0</v>
      </c>
    </row>
    <row r="762" spans="1:18" x14ac:dyDescent="0.25">
      <c r="A762">
        <v>761</v>
      </c>
      <c r="B762">
        <v>94</v>
      </c>
      <c r="C762">
        <v>31505365</v>
      </c>
      <c r="D762" t="s">
        <v>224</v>
      </c>
      <c r="E762">
        <v>14.771000000000001</v>
      </c>
      <c r="F762" t="s">
        <v>21</v>
      </c>
      <c r="G762" t="s">
        <v>26</v>
      </c>
      <c r="H762" t="s">
        <v>21</v>
      </c>
      <c r="I762" t="s">
        <v>20</v>
      </c>
      <c r="J762" t="s">
        <v>20</v>
      </c>
      <c r="K762" t="s">
        <v>22</v>
      </c>
      <c r="L762" t="s">
        <v>140</v>
      </c>
      <c r="M762" t="s">
        <v>194</v>
      </c>
      <c r="N762">
        <v>40.094935999999997</v>
      </c>
      <c r="O762">
        <v>-111.61201800000001</v>
      </c>
      <c r="P762">
        <v>4693.623012</v>
      </c>
      <c r="Q762">
        <v>408</v>
      </c>
      <c r="R762">
        <v>0</v>
      </c>
    </row>
    <row r="763" spans="1:18" x14ac:dyDescent="0.25">
      <c r="A763">
        <v>762</v>
      </c>
      <c r="B763">
        <v>94</v>
      </c>
      <c r="C763">
        <v>28165621</v>
      </c>
      <c r="D763" t="s">
        <v>233</v>
      </c>
      <c r="E763">
        <v>14.773</v>
      </c>
      <c r="F763" t="s">
        <v>21</v>
      </c>
      <c r="G763" t="s">
        <v>26</v>
      </c>
      <c r="H763" t="s">
        <v>21</v>
      </c>
      <c r="I763" t="s">
        <v>20</v>
      </c>
      <c r="J763" t="s">
        <v>20</v>
      </c>
      <c r="K763" t="s">
        <v>22</v>
      </c>
      <c r="L763" t="s">
        <v>234</v>
      </c>
      <c r="M763" t="s">
        <v>235</v>
      </c>
      <c r="N763">
        <v>40.135247</v>
      </c>
      <c r="O763">
        <v>-109.26779399999999</v>
      </c>
      <c r="P763">
        <v>5122.2848649999996</v>
      </c>
      <c r="Q763">
        <v>1354</v>
      </c>
      <c r="R763">
        <v>0</v>
      </c>
    </row>
    <row r="764" spans="1:18" x14ac:dyDescent="0.25">
      <c r="A764">
        <v>763</v>
      </c>
      <c r="B764">
        <v>94</v>
      </c>
      <c r="C764">
        <v>31420052</v>
      </c>
      <c r="D764" t="s">
        <v>345</v>
      </c>
      <c r="E764">
        <v>14.776</v>
      </c>
      <c r="F764" t="s">
        <v>21</v>
      </c>
      <c r="G764" t="s">
        <v>26</v>
      </c>
      <c r="H764" t="s">
        <v>21</v>
      </c>
      <c r="I764" t="s">
        <v>20</v>
      </c>
      <c r="J764" t="s">
        <v>20</v>
      </c>
      <c r="K764" t="s">
        <v>27</v>
      </c>
      <c r="L764" t="s">
        <v>75</v>
      </c>
      <c r="M764" t="s">
        <v>76</v>
      </c>
      <c r="N764">
        <v>38.772272000000001</v>
      </c>
      <c r="O764">
        <v>-112.082978</v>
      </c>
      <c r="P764">
        <v>5288.4464019999996</v>
      </c>
      <c r="Q764">
        <v>1403</v>
      </c>
      <c r="R764">
        <v>0</v>
      </c>
    </row>
    <row r="765" spans="1:18" x14ac:dyDescent="0.25">
      <c r="A765">
        <v>764</v>
      </c>
      <c r="B765">
        <v>94</v>
      </c>
      <c r="C765">
        <v>31494059</v>
      </c>
      <c r="D765" t="s">
        <v>353</v>
      </c>
      <c r="E765">
        <v>14.779</v>
      </c>
      <c r="F765" t="s">
        <v>21</v>
      </c>
      <c r="G765" t="s">
        <v>26</v>
      </c>
      <c r="H765" t="s">
        <v>21</v>
      </c>
      <c r="I765" t="s">
        <v>20</v>
      </c>
      <c r="J765" t="s">
        <v>20</v>
      </c>
      <c r="K765" t="s">
        <v>41</v>
      </c>
      <c r="L765" t="s">
        <v>137</v>
      </c>
      <c r="M765" t="s">
        <v>138</v>
      </c>
      <c r="N765">
        <v>40.869039000000001</v>
      </c>
      <c r="O765">
        <v>-111.58447</v>
      </c>
      <c r="P765">
        <v>5713.4815070000004</v>
      </c>
      <c r="Q765">
        <v>1367</v>
      </c>
      <c r="R765">
        <v>0</v>
      </c>
    </row>
    <row r="766" spans="1:18" x14ac:dyDescent="0.25">
      <c r="A766">
        <v>765</v>
      </c>
      <c r="B766">
        <v>94</v>
      </c>
      <c r="C766">
        <v>28299291</v>
      </c>
      <c r="D766" t="s">
        <v>220</v>
      </c>
      <c r="E766">
        <v>116.56100000000001</v>
      </c>
      <c r="F766" t="s">
        <v>21</v>
      </c>
      <c r="G766" t="s">
        <v>26</v>
      </c>
      <c r="H766" t="s">
        <v>21</v>
      </c>
      <c r="I766" t="s">
        <v>20</v>
      </c>
      <c r="J766" t="s">
        <v>20</v>
      </c>
      <c r="K766" t="s">
        <v>27</v>
      </c>
      <c r="L766" t="s">
        <v>266</v>
      </c>
      <c r="M766" t="s">
        <v>267</v>
      </c>
      <c r="N766">
        <v>38.228000999999999</v>
      </c>
      <c r="O766">
        <v>-111.353459</v>
      </c>
      <c r="P766">
        <v>7102.1731060000002</v>
      </c>
      <c r="Q766">
        <v>1328</v>
      </c>
      <c r="R766">
        <v>0</v>
      </c>
    </row>
    <row r="767" spans="1:18" x14ac:dyDescent="0.25">
      <c r="A767">
        <v>766</v>
      </c>
      <c r="B767">
        <v>94</v>
      </c>
      <c r="C767">
        <v>31490161</v>
      </c>
      <c r="D767" t="s">
        <v>320</v>
      </c>
      <c r="E767">
        <v>116.708</v>
      </c>
      <c r="F767" t="s">
        <v>21</v>
      </c>
      <c r="G767" t="s">
        <v>26</v>
      </c>
      <c r="H767" t="s">
        <v>21</v>
      </c>
      <c r="I767" t="s">
        <v>20</v>
      </c>
      <c r="J767" t="s">
        <v>20</v>
      </c>
      <c r="K767" t="s">
        <v>27</v>
      </c>
      <c r="L767" t="s">
        <v>202</v>
      </c>
      <c r="M767" t="s">
        <v>166</v>
      </c>
      <c r="N767">
        <v>39.110567000000003</v>
      </c>
      <c r="O767">
        <v>-112.267231</v>
      </c>
      <c r="P767">
        <v>5091.3708370000004</v>
      </c>
      <c r="Q767">
        <v>1356</v>
      </c>
      <c r="R767">
        <v>0</v>
      </c>
    </row>
    <row r="768" spans="1:18" x14ac:dyDescent="0.25">
      <c r="A768">
        <v>767</v>
      </c>
      <c r="B768">
        <v>94</v>
      </c>
      <c r="C768" t="s">
        <v>358</v>
      </c>
      <c r="D768" t="s">
        <v>272</v>
      </c>
      <c r="E768">
        <v>116.714</v>
      </c>
      <c r="F768" t="s">
        <v>21</v>
      </c>
      <c r="G768" t="s">
        <v>26</v>
      </c>
      <c r="H768" t="s">
        <v>21</v>
      </c>
      <c r="I768" t="s">
        <v>20</v>
      </c>
      <c r="J768" t="s">
        <v>20</v>
      </c>
      <c r="K768" t="s">
        <v>27</v>
      </c>
      <c r="L768" t="s">
        <v>247</v>
      </c>
      <c r="M768" t="s">
        <v>214</v>
      </c>
      <c r="N768">
        <v>37.658707</v>
      </c>
      <c r="O768">
        <v>-112.432256</v>
      </c>
      <c r="P768">
        <v>6860.2811149999998</v>
      </c>
      <c r="Q768">
        <v>1384</v>
      </c>
      <c r="R768">
        <v>0</v>
      </c>
    </row>
    <row r="769" spans="1:18" x14ac:dyDescent="0.25">
      <c r="A769">
        <v>768</v>
      </c>
      <c r="B769">
        <v>94</v>
      </c>
      <c r="C769">
        <v>31814699</v>
      </c>
      <c r="D769" t="s">
        <v>290</v>
      </c>
      <c r="E769">
        <v>116.741</v>
      </c>
      <c r="F769" t="s">
        <v>21</v>
      </c>
      <c r="G769" t="s">
        <v>26</v>
      </c>
      <c r="H769" t="s">
        <v>21</v>
      </c>
      <c r="I769" t="s">
        <v>20</v>
      </c>
      <c r="J769" t="s">
        <v>20</v>
      </c>
      <c r="K769" t="s">
        <v>41</v>
      </c>
      <c r="L769" t="s">
        <v>325</v>
      </c>
      <c r="M769" t="s">
        <v>280</v>
      </c>
      <c r="N769">
        <v>41.859070000000003</v>
      </c>
      <c r="O769">
        <v>-111.365134</v>
      </c>
      <c r="P769">
        <v>5886.3284659999999</v>
      </c>
      <c r="Q769">
        <v>1343</v>
      </c>
      <c r="R769">
        <v>0</v>
      </c>
    </row>
    <row r="770" spans="1:18" x14ac:dyDescent="0.25">
      <c r="A770">
        <v>769</v>
      </c>
      <c r="B770">
        <v>94</v>
      </c>
      <c r="C770">
        <v>31815610</v>
      </c>
      <c r="D770" t="s">
        <v>290</v>
      </c>
      <c r="E770">
        <v>116.86799999999999</v>
      </c>
      <c r="F770" t="s">
        <v>21</v>
      </c>
      <c r="G770" t="s">
        <v>26</v>
      </c>
      <c r="H770" t="s">
        <v>21</v>
      </c>
      <c r="I770" t="s">
        <v>20</v>
      </c>
      <c r="J770" t="s">
        <v>20</v>
      </c>
      <c r="K770" t="s">
        <v>41</v>
      </c>
      <c r="L770" t="s">
        <v>325</v>
      </c>
      <c r="M770" t="s">
        <v>280</v>
      </c>
      <c r="N770">
        <v>41.857273999999997</v>
      </c>
      <c r="O770">
        <v>-111.36453</v>
      </c>
      <c r="P770">
        <v>5885.8477270000003</v>
      </c>
      <c r="Q770">
        <v>1343</v>
      </c>
      <c r="R770">
        <v>0</v>
      </c>
    </row>
    <row r="771" spans="1:18" x14ac:dyDescent="0.25">
      <c r="A771">
        <v>770</v>
      </c>
      <c r="B771">
        <v>94</v>
      </c>
      <c r="C771" t="e">
        <f>-JSc927NI59v8PT9KqUDUF</f>
        <v>#NAME?</v>
      </c>
      <c r="D771" t="s">
        <v>272</v>
      </c>
      <c r="E771">
        <v>116.94</v>
      </c>
      <c r="F771" t="s">
        <v>21</v>
      </c>
      <c r="G771" t="s">
        <v>26</v>
      </c>
      <c r="H771" t="s">
        <v>21</v>
      </c>
      <c r="I771" t="s">
        <v>20</v>
      </c>
      <c r="J771" t="s">
        <v>20</v>
      </c>
      <c r="K771" t="s">
        <v>27</v>
      </c>
      <c r="L771" t="s">
        <v>247</v>
      </c>
      <c r="M771" t="s">
        <v>214</v>
      </c>
      <c r="N771">
        <v>37.661006999999998</v>
      </c>
      <c r="O771">
        <v>-112.429323</v>
      </c>
      <c r="P771">
        <v>6844.7441200000003</v>
      </c>
      <c r="Q771">
        <v>1384</v>
      </c>
      <c r="R771">
        <v>0</v>
      </c>
    </row>
    <row r="772" spans="1:18" x14ac:dyDescent="0.25">
      <c r="A772">
        <v>771</v>
      </c>
      <c r="B772">
        <v>94</v>
      </c>
      <c r="C772">
        <v>28302210</v>
      </c>
      <c r="D772" t="s">
        <v>220</v>
      </c>
      <c r="E772">
        <v>117.089</v>
      </c>
      <c r="F772" t="s">
        <v>21</v>
      </c>
      <c r="G772" t="s">
        <v>26</v>
      </c>
      <c r="H772" t="s">
        <v>21</v>
      </c>
      <c r="I772" t="s">
        <v>20</v>
      </c>
      <c r="J772" t="s">
        <v>20</v>
      </c>
      <c r="K772" t="s">
        <v>27</v>
      </c>
      <c r="L772" t="s">
        <v>266</v>
      </c>
      <c r="M772" t="s">
        <v>267</v>
      </c>
      <c r="N772">
        <v>38.231667999999999</v>
      </c>
      <c r="O772">
        <v>-111.361367</v>
      </c>
      <c r="P772">
        <v>7154.9046490000001</v>
      </c>
      <c r="Q772">
        <v>1328</v>
      </c>
      <c r="R772">
        <v>0</v>
      </c>
    </row>
    <row r="773" spans="1:18" x14ac:dyDescent="0.25">
      <c r="A773">
        <v>772</v>
      </c>
      <c r="B773">
        <v>94</v>
      </c>
      <c r="C773">
        <v>31912686</v>
      </c>
      <c r="D773" t="s">
        <v>272</v>
      </c>
      <c r="E773">
        <v>117.187</v>
      </c>
      <c r="F773" t="s">
        <v>21</v>
      </c>
      <c r="G773" t="s">
        <v>26</v>
      </c>
      <c r="H773" t="s">
        <v>21</v>
      </c>
      <c r="I773" t="s">
        <v>20</v>
      </c>
      <c r="J773" t="s">
        <v>20</v>
      </c>
      <c r="K773" t="s">
        <v>27</v>
      </c>
      <c r="L773" t="s">
        <v>247</v>
      </c>
      <c r="M773" t="s">
        <v>214</v>
      </c>
      <c r="N773">
        <v>37.663531999999996</v>
      </c>
      <c r="O773">
        <v>-112.426079</v>
      </c>
      <c r="P773">
        <v>6833.9985129999995</v>
      </c>
      <c r="Q773">
        <v>1384</v>
      </c>
      <c r="R773">
        <v>0</v>
      </c>
    </row>
    <row r="774" spans="1:18" x14ac:dyDescent="0.25">
      <c r="A774">
        <v>773</v>
      </c>
      <c r="B774">
        <v>94</v>
      </c>
      <c r="C774">
        <v>31568604</v>
      </c>
      <c r="D774" t="s">
        <v>213</v>
      </c>
      <c r="E774">
        <v>117.279</v>
      </c>
      <c r="F774" t="s">
        <v>21</v>
      </c>
      <c r="G774" t="s">
        <v>20</v>
      </c>
      <c r="H774" t="s">
        <v>21</v>
      </c>
      <c r="I774" t="s">
        <v>20</v>
      </c>
      <c r="J774" t="s">
        <v>20</v>
      </c>
      <c r="K774" t="s">
        <v>22</v>
      </c>
      <c r="L774" t="s">
        <v>193</v>
      </c>
      <c r="M774" t="s">
        <v>214</v>
      </c>
      <c r="N774">
        <v>39.673439999999999</v>
      </c>
      <c r="O774">
        <v>-112.26252700000001</v>
      </c>
      <c r="P774">
        <v>5033.526218</v>
      </c>
      <c r="Q774">
        <v>1332</v>
      </c>
      <c r="R774">
        <v>0</v>
      </c>
    </row>
    <row r="775" spans="1:18" x14ac:dyDescent="0.25">
      <c r="A775">
        <v>774</v>
      </c>
      <c r="B775">
        <v>94</v>
      </c>
      <c r="C775">
        <v>28302221</v>
      </c>
      <c r="D775" t="s">
        <v>220</v>
      </c>
      <c r="E775">
        <v>117.297</v>
      </c>
      <c r="F775" t="s">
        <v>21</v>
      </c>
      <c r="G775" t="s">
        <v>26</v>
      </c>
      <c r="H775" t="s">
        <v>21</v>
      </c>
      <c r="I775" t="s">
        <v>20</v>
      </c>
      <c r="J775" t="s">
        <v>20</v>
      </c>
      <c r="K775" t="s">
        <v>27</v>
      </c>
      <c r="L775" t="s">
        <v>266</v>
      </c>
      <c r="M775" t="s">
        <v>267</v>
      </c>
      <c r="N775">
        <v>38.233395999999999</v>
      </c>
      <c r="O775">
        <v>-111.364553</v>
      </c>
      <c r="P775">
        <v>7147.0589170000003</v>
      </c>
      <c r="Q775">
        <v>1328</v>
      </c>
      <c r="R775">
        <v>0</v>
      </c>
    </row>
    <row r="776" spans="1:18" x14ac:dyDescent="0.25">
      <c r="A776">
        <v>775</v>
      </c>
      <c r="B776">
        <v>94</v>
      </c>
      <c r="C776">
        <v>31737554</v>
      </c>
      <c r="D776" t="s">
        <v>244</v>
      </c>
      <c r="E776">
        <v>117.401</v>
      </c>
      <c r="F776" t="s">
        <v>21</v>
      </c>
      <c r="G776" t="s">
        <v>26</v>
      </c>
      <c r="H776" t="s">
        <v>21</v>
      </c>
      <c r="I776" t="s">
        <v>20</v>
      </c>
      <c r="J776" t="s">
        <v>20</v>
      </c>
      <c r="K776" t="s">
        <v>27</v>
      </c>
      <c r="L776" t="s">
        <v>122</v>
      </c>
      <c r="M776" t="s">
        <v>270</v>
      </c>
      <c r="N776">
        <v>38.384433999999999</v>
      </c>
      <c r="O776">
        <v>-110.69706100000001</v>
      </c>
      <c r="P776">
        <v>4215.473884</v>
      </c>
      <c r="Q776">
        <v>1340</v>
      </c>
      <c r="R776">
        <v>0</v>
      </c>
    </row>
    <row r="777" spans="1:18" x14ac:dyDescent="0.25">
      <c r="A777">
        <v>776</v>
      </c>
      <c r="B777">
        <v>94</v>
      </c>
      <c r="C777">
        <v>31817792</v>
      </c>
      <c r="D777" t="s">
        <v>118</v>
      </c>
      <c r="E777">
        <v>117.405</v>
      </c>
      <c r="F777" t="s">
        <v>21</v>
      </c>
      <c r="G777" t="s">
        <v>26</v>
      </c>
      <c r="H777" t="s">
        <v>21</v>
      </c>
      <c r="I777" t="s">
        <v>20</v>
      </c>
      <c r="J777" t="s">
        <v>20</v>
      </c>
      <c r="K777" t="s">
        <v>22</v>
      </c>
      <c r="L777" t="s">
        <v>133</v>
      </c>
      <c r="M777" t="s">
        <v>169</v>
      </c>
      <c r="N777">
        <v>40.302294000000003</v>
      </c>
      <c r="O777">
        <v>-109.93515499999999</v>
      </c>
      <c r="P777">
        <v>5016.3023880000001</v>
      </c>
      <c r="Q777">
        <v>310</v>
      </c>
      <c r="R777">
        <v>0</v>
      </c>
    </row>
    <row r="778" spans="1:18" x14ac:dyDescent="0.25">
      <c r="A778">
        <v>777</v>
      </c>
      <c r="B778">
        <v>94</v>
      </c>
      <c r="C778">
        <v>31737565</v>
      </c>
      <c r="D778" t="s">
        <v>244</v>
      </c>
      <c r="E778">
        <v>117.52800000000001</v>
      </c>
      <c r="F778" t="s">
        <v>21</v>
      </c>
      <c r="G778" t="s">
        <v>26</v>
      </c>
      <c r="H778" t="s">
        <v>21</v>
      </c>
      <c r="I778" t="s">
        <v>20</v>
      </c>
      <c r="J778" t="s">
        <v>20</v>
      </c>
      <c r="K778" t="s">
        <v>27</v>
      </c>
      <c r="L778" t="s">
        <v>122</v>
      </c>
      <c r="M778" t="s">
        <v>270</v>
      </c>
      <c r="N778">
        <v>38.386204999999997</v>
      </c>
      <c r="O778">
        <v>-110.69638399999999</v>
      </c>
      <c r="P778">
        <v>4211.2962969999999</v>
      </c>
      <c r="Q778">
        <v>1340</v>
      </c>
      <c r="R778">
        <v>0</v>
      </c>
    </row>
    <row r="779" spans="1:18" x14ac:dyDescent="0.25">
      <c r="A779">
        <v>778</v>
      </c>
      <c r="B779">
        <v>94</v>
      </c>
      <c r="C779">
        <v>31906267</v>
      </c>
      <c r="D779" t="s">
        <v>272</v>
      </c>
      <c r="E779">
        <v>117.669</v>
      </c>
      <c r="F779" t="s">
        <v>21</v>
      </c>
      <c r="G779" t="s">
        <v>26</v>
      </c>
      <c r="H779" t="s">
        <v>21</v>
      </c>
      <c r="I779" t="s">
        <v>20</v>
      </c>
      <c r="J779" t="s">
        <v>20</v>
      </c>
      <c r="K779" t="s">
        <v>27</v>
      </c>
      <c r="L779" t="s">
        <v>247</v>
      </c>
      <c r="M779" t="s">
        <v>214</v>
      </c>
      <c r="N779">
        <v>37.667760000000001</v>
      </c>
      <c r="O779">
        <v>-112.41906899999999</v>
      </c>
      <c r="P779">
        <v>6807.9533369999999</v>
      </c>
      <c r="Q779">
        <v>1384</v>
      </c>
      <c r="R779">
        <v>0</v>
      </c>
    </row>
    <row r="780" spans="1:18" x14ac:dyDescent="0.25">
      <c r="A780">
        <v>779</v>
      </c>
      <c r="B780">
        <v>94</v>
      </c>
      <c r="C780">
        <v>31737576</v>
      </c>
      <c r="D780" t="s">
        <v>244</v>
      </c>
      <c r="E780">
        <v>117.774</v>
      </c>
      <c r="F780" t="s">
        <v>21</v>
      </c>
      <c r="G780" t="s">
        <v>26</v>
      </c>
      <c r="H780" t="s">
        <v>21</v>
      </c>
      <c r="I780" t="s">
        <v>20</v>
      </c>
      <c r="J780" t="s">
        <v>20</v>
      </c>
      <c r="K780" t="s">
        <v>27</v>
      </c>
      <c r="L780" t="s">
        <v>122</v>
      </c>
      <c r="M780" t="s">
        <v>270</v>
      </c>
      <c r="N780">
        <v>38.389623999999998</v>
      </c>
      <c r="O780">
        <v>-110.695069</v>
      </c>
      <c r="P780">
        <v>4207.5098559999997</v>
      </c>
      <c r="Q780">
        <v>1340</v>
      </c>
      <c r="R780">
        <v>0</v>
      </c>
    </row>
    <row r="781" spans="1:18" x14ac:dyDescent="0.25">
      <c r="A781">
        <v>780</v>
      </c>
      <c r="B781">
        <v>94</v>
      </c>
      <c r="C781">
        <v>31440940</v>
      </c>
      <c r="D781" t="s">
        <v>288</v>
      </c>
      <c r="E781">
        <v>117.892</v>
      </c>
      <c r="F781" t="s">
        <v>21</v>
      </c>
      <c r="G781" t="s">
        <v>26</v>
      </c>
      <c r="H781" t="s">
        <v>21</v>
      </c>
      <c r="I781" t="s">
        <v>20</v>
      </c>
      <c r="J781" t="s">
        <v>20</v>
      </c>
      <c r="K781" t="s">
        <v>27</v>
      </c>
      <c r="L781" t="s">
        <v>38</v>
      </c>
      <c r="M781" t="s">
        <v>152</v>
      </c>
      <c r="N781">
        <v>38.487212</v>
      </c>
      <c r="O781">
        <v>-109.462768</v>
      </c>
      <c r="P781">
        <v>4761.9612289999995</v>
      </c>
      <c r="Q781">
        <v>350</v>
      </c>
      <c r="R781">
        <v>0</v>
      </c>
    </row>
    <row r="782" spans="1:18" x14ac:dyDescent="0.25">
      <c r="A782">
        <v>781</v>
      </c>
      <c r="B782">
        <v>94</v>
      </c>
      <c r="C782">
        <v>31490172</v>
      </c>
      <c r="D782" t="s">
        <v>320</v>
      </c>
      <c r="E782">
        <v>117.905</v>
      </c>
      <c r="F782" t="s">
        <v>21</v>
      </c>
      <c r="G782" t="s">
        <v>26</v>
      </c>
      <c r="H782" t="s">
        <v>21</v>
      </c>
      <c r="I782" t="s">
        <v>20</v>
      </c>
      <c r="J782" t="s">
        <v>20</v>
      </c>
      <c r="K782" t="s">
        <v>27</v>
      </c>
      <c r="L782" t="s">
        <v>202</v>
      </c>
      <c r="M782" t="s">
        <v>166</v>
      </c>
      <c r="N782">
        <v>39.125070000000001</v>
      </c>
      <c r="O782">
        <v>-112.25495600000001</v>
      </c>
      <c r="P782">
        <v>5124.7791880000004</v>
      </c>
      <c r="Q782">
        <v>1356</v>
      </c>
      <c r="R782">
        <v>0</v>
      </c>
    </row>
    <row r="783" spans="1:18" x14ac:dyDescent="0.25">
      <c r="A783">
        <v>782</v>
      </c>
      <c r="B783">
        <v>94</v>
      </c>
      <c r="C783" t="s">
        <v>359</v>
      </c>
      <c r="D783" t="s">
        <v>290</v>
      </c>
      <c r="E783">
        <v>117.953</v>
      </c>
      <c r="F783" t="s">
        <v>21</v>
      </c>
      <c r="G783" t="s">
        <v>26</v>
      </c>
      <c r="H783" t="s">
        <v>21</v>
      </c>
      <c r="I783" t="s">
        <v>20</v>
      </c>
      <c r="J783" t="s">
        <v>20</v>
      </c>
      <c r="K783" t="s">
        <v>41</v>
      </c>
      <c r="L783" t="s">
        <v>325</v>
      </c>
      <c r="M783" t="s">
        <v>280</v>
      </c>
      <c r="N783">
        <v>41.845931999999998</v>
      </c>
      <c r="O783">
        <v>-111.351052</v>
      </c>
      <c r="P783">
        <v>5897.1564539999999</v>
      </c>
      <c r="Q783">
        <v>1343</v>
      </c>
      <c r="R783">
        <v>0</v>
      </c>
    </row>
    <row r="784" spans="1:18" x14ac:dyDescent="0.25">
      <c r="A784">
        <v>783</v>
      </c>
      <c r="B784">
        <v>94</v>
      </c>
      <c r="C784">
        <v>28308147</v>
      </c>
      <c r="D784" t="s">
        <v>220</v>
      </c>
      <c r="E784">
        <v>117.982</v>
      </c>
      <c r="F784" t="s">
        <v>21</v>
      </c>
      <c r="G784" t="s">
        <v>26</v>
      </c>
      <c r="H784" t="s">
        <v>21</v>
      </c>
      <c r="I784" t="s">
        <v>20</v>
      </c>
      <c r="J784" t="s">
        <v>20</v>
      </c>
      <c r="K784" t="s">
        <v>27</v>
      </c>
      <c r="L784" t="s">
        <v>266</v>
      </c>
      <c r="M784" t="s">
        <v>267</v>
      </c>
      <c r="N784">
        <v>38.238985</v>
      </c>
      <c r="O784">
        <v>-111.375018</v>
      </c>
      <c r="P784">
        <v>7076.9473969999999</v>
      </c>
      <c r="Q784">
        <v>1328</v>
      </c>
      <c r="R784">
        <v>0</v>
      </c>
    </row>
    <row r="785" spans="1:18" x14ac:dyDescent="0.25">
      <c r="A785">
        <v>784</v>
      </c>
      <c r="B785">
        <v>94</v>
      </c>
      <c r="C785" t="e">
        <f>-IowR5vmGMDMOU_sKE1ImF</f>
        <v>#NAME?</v>
      </c>
      <c r="D785" t="s">
        <v>220</v>
      </c>
      <c r="E785">
        <v>117.98699999999999</v>
      </c>
      <c r="F785" t="s">
        <v>21</v>
      </c>
      <c r="G785" t="s">
        <v>26</v>
      </c>
      <c r="H785" t="s">
        <v>21</v>
      </c>
      <c r="I785" t="s">
        <v>20</v>
      </c>
      <c r="J785" t="s">
        <v>20</v>
      </c>
      <c r="K785" t="s">
        <v>27</v>
      </c>
      <c r="L785" t="s">
        <v>266</v>
      </c>
      <c r="M785" t="s">
        <v>267</v>
      </c>
      <c r="N785">
        <v>38.239035000000001</v>
      </c>
      <c r="O785">
        <v>-111.37509300000001</v>
      </c>
      <c r="P785">
        <v>7076.6441940000004</v>
      </c>
      <c r="Q785">
        <v>1328</v>
      </c>
      <c r="R785">
        <v>0</v>
      </c>
    </row>
    <row r="786" spans="1:18" x14ac:dyDescent="0.25">
      <c r="A786">
        <v>785</v>
      </c>
      <c r="B786">
        <v>94</v>
      </c>
      <c r="C786">
        <v>28308502</v>
      </c>
      <c r="D786" t="s">
        <v>220</v>
      </c>
      <c r="E786">
        <v>118.126</v>
      </c>
      <c r="F786" t="s">
        <v>21</v>
      </c>
      <c r="G786" t="s">
        <v>20</v>
      </c>
      <c r="H786" t="s">
        <v>21</v>
      </c>
      <c r="I786" t="s">
        <v>20</v>
      </c>
      <c r="J786" t="s">
        <v>20</v>
      </c>
      <c r="K786" t="s">
        <v>27</v>
      </c>
      <c r="L786" t="s">
        <v>266</v>
      </c>
      <c r="M786" t="s">
        <v>267</v>
      </c>
      <c r="N786">
        <v>38.240527999999998</v>
      </c>
      <c r="O786">
        <v>-111.376786</v>
      </c>
      <c r="P786">
        <v>7044.2955570000004</v>
      </c>
      <c r="Q786">
        <v>1328</v>
      </c>
      <c r="R786">
        <v>0</v>
      </c>
    </row>
    <row r="787" spans="1:18" x14ac:dyDescent="0.25">
      <c r="A787">
        <v>786</v>
      </c>
      <c r="B787">
        <v>94</v>
      </c>
      <c r="C787">
        <v>31323383</v>
      </c>
      <c r="D787" t="s">
        <v>303</v>
      </c>
      <c r="E787">
        <v>19.57</v>
      </c>
      <c r="F787" t="s">
        <v>21</v>
      </c>
      <c r="G787" t="s">
        <v>26</v>
      </c>
      <c r="H787" t="s">
        <v>21</v>
      </c>
      <c r="I787" t="s">
        <v>20</v>
      </c>
      <c r="J787" t="s">
        <v>20</v>
      </c>
      <c r="K787" t="s">
        <v>27</v>
      </c>
      <c r="L787" t="s">
        <v>72</v>
      </c>
      <c r="M787" t="s">
        <v>73</v>
      </c>
      <c r="N787">
        <v>37.200906000000003</v>
      </c>
      <c r="O787">
        <v>-113.171802</v>
      </c>
      <c r="P787">
        <v>3464.3729130000002</v>
      </c>
      <c r="Q787">
        <v>1326</v>
      </c>
      <c r="R787">
        <v>0</v>
      </c>
    </row>
    <row r="788" spans="1:18" x14ac:dyDescent="0.25">
      <c r="A788">
        <v>787</v>
      </c>
      <c r="B788">
        <v>94</v>
      </c>
      <c r="C788">
        <v>31679612</v>
      </c>
      <c r="D788" t="s">
        <v>258</v>
      </c>
      <c r="E788">
        <v>2.1070000000000002</v>
      </c>
      <c r="F788" t="s">
        <v>21</v>
      </c>
      <c r="G788" t="s">
        <v>26</v>
      </c>
      <c r="H788" t="s">
        <v>21</v>
      </c>
      <c r="I788" t="s">
        <v>20</v>
      </c>
      <c r="J788" t="s">
        <v>20</v>
      </c>
      <c r="K788" t="s">
        <v>27</v>
      </c>
      <c r="L788" t="s">
        <v>259</v>
      </c>
      <c r="M788" t="s">
        <v>29</v>
      </c>
      <c r="N788">
        <v>37.030765000000002</v>
      </c>
      <c r="O788">
        <v>-112.524835</v>
      </c>
      <c r="P788">
        <v>4833.0603190000002</v>
      </c>
      <c r="Q788">
        <v>301</v>
      </c>
      <c r="R788">
        <v>0</v>
      </c>
    </row>
    <row r="789" spans="1:18" x14ac:dyDescent="0.25">
      <c r="A789">
        <v>788</v>
      </c>
      <c r="B789">
        <v>94</v>
      </c>
      <c r="C789">
        <v>31406860</v>
      </c>
      <c r="D789" t="s">
        <v>74</v>
      </c>
      <c r="E789">
        <v>2.117</v>
      </c>
      <c r="F789" t="s">
        <v>21</v>
      </c>
      <c r="G789" t="s">
        <v>26</v>
      </c>
      <c r="H789" t="s">
        <v>21</v>
      </c>
      <c r="I789" t="s">
        <v>20</v>
      </c>
      <c r="J789" t="s">
        <v>20</v>
      </c>
      <c r="K789" t="s">
        <v>27</v>
      </c>
      <c r="L789" t="s">
        <v>75</v>
      </c>
      <c r="M789" t="s">
        <v>76</v>
      </c>
      <c r="N789">
        <v>38.765298000000001</v>
      </c>
      <c r="O789">
        <v>-112.084771</v>
      </c>
      <c r="P789">
        <v>5259.8335109999998</v>
      </c>
      <c r="Q789">
        <v>332</v>
      </c>
      <c r="R789">
        <v>0</v>
      </c>
    </row>
    <row r="790" spans="1:18" x14ac:dyDescent="0.25">
      <c r="A790">
        <v>789</v>
      </c>
      <c r="B790">
        <v>94</v>
      </c>
      <c r="C790">
        <v>1406586</v>
      </c>
      <c r="D790" t="s">
        <v>88</v>
      </c>
      <c r="E790">
        <v>2.1179999999999999</v>
      </c>
      <c r="F790" t="s">
        <v>21</v>
      </c>
      <c r="G790" t="s">
        <v>26</v>
      </c>
      <c r="H790" t="s">
        <v>21</v>
      </c>
      <c r="I790" t="s">
        <v>20</v>
      </c>
      <c r="J790" t="s">
        <v>20</v>
      </c>
      <c r="K790" t="s">
        <v>31</v>
      </c>
      <c r="L790" t="s">
        <v>89</v>
      </c>
      <c r="M790" t="s">
        <v>90</v>
      </c>
      <c r="N790">
        <v>40.522316000000004</v>
      </c>
      <c r="O790">
        <v>-111.943682</v>
      </c>
      <c r="P790">
        <v>4395.0895129999999</v>
      </c>
      <c r="Q790">
        <v>318</v>
      </c>
      <c r="R790">
        <v>0</v>
      </c>
    </row>
    <row r="791" spans="1:18" x14ac:dyDescent="0.25">
      <c r="A791">
        <v>790</v>
      </c>
      <c r="B791">
        <v>94</v>
      </c>
      <c r="C791">
        <v>31762128</v>
      </c>
      <c r="D791" t="s">
        <v>86</v>
      </c>
      <c r="E791">
        <v>2.1240000000000001</v>
      </c>
      <c r="F791" t="s">
        <v>21</v>
      </c>
      <c r="G791" t="s">
        <v>26</v>
      </c>
      <c r="H791" t="s">
        <v>21</v>
      </c>
      <c r="I791" t="s">
        <v>20</v>
      </c>
      <c r="J791" t="s">
        <v>20</v>
      </c>
      <c r="K791" t="s">
        <v>41</v>
      </c>
      <c r="L791" t="s">
        <v>87</v>
      </c>
      <c r="M791" t="s">
        <v>58</v>
      </c>
      <c r="N791">
        <v>41.033566999999998</v>
      </c>
      <c r="O791">
        <v>-111.938607</v>
      </c>
      <c r="P791">
        <v>4289.7954330000002</v>
      </c>
      <c r="Q791">
        <v>258</v>
      </c>
      <c r="R791">
        <v>0</v>
      </c>
    </row>
    <row r="792" spans="1:18" x14ac:dyDescent="0.25">
      <c r="A792">
        <v>791</v>
      </c>
      <c r="B792">
        <v>94</v>
      </c>
      <c r="C792">
        <v>7588456</v>
      </c>
      <c r="D792" t="s">
        <v>322</v>
      </c>
      <c r="E792">
        <v>2.125</v>
      </c>
      <c r="F792" t="s">
        <v>21</v>
      </c>
      <c r="G792" t="s">
        <v>26</v>
      </c>
      <c r="H792" t="s">
        <v>21</v>
      </c>
      <c r="I792" t="s">
        <v>20</v>
      </c>
      <c r="J792" t="s">
        <v>20</v>
      </c>
      <c r="K792" t="s">
        <v>22</v>
      </c>
      <c r="L792" t="s">
        <v>84</v>
      </c>
      <c r="M792" t="s">
        <v>24</v>
      </c>
      <c r="N792">
        <v>40.413196999999997</v>
      </c>
      <c r="O792">
        <v>-111.90688299999999</v>
      </c>
      <c r="P792">
        <v>4476.5663690000001</v>
      </c>
      <c r="Q792">
        <v>6660</v>
      </c>
      <c r="R792">
        <v>0</v>
      </c>
    </row>
    <row r="793" spans="1:18" x14ac:dyDescent="0.25">
      <c r="A793">
        <v>792</v>
      </c>
      <c r="B793">
        <v>94</v>
      </c>
      <c r="C793">
        <v>31773286</v>
      </c>
      <c r="D793" t="s">
        <v>59</v>
      </c>
      <c r="E793">
        <v>2.1269999999999998</v>
      </c>
      <c r="F793" t="s">
        <v>21</v>
      </c>
      <c r="G793" t="s">
        <v>26</v>
      </c>
      <c r="H793" t="s">
        <v>21</v>
      </c>
      <c r="I793" t="s">
        <v>20</v>
      </c>
      <c r="J793" t="s">
        <v>20</v>
      </c>
      <c r="K793" t="s">
        <v>22</v>
      </c>
      <c r="L793" t="s">
        <v>60</v>
      </c>
      <c r="M793" t="s">
        <v>24</v>
      </c>
      <c r="N793">
        <v>40.312040000000003</v>
      </c>
      <c r="O793">
        <v>-111.69448300000001</v>
      </c>
      <c r="P793">
        <v>4731.6310350000003</v>
      </c>
      <c r="Q793">
        <v>313</v>
      </c>
      <c r="R793">
        <v>0</v>
      </c>
    </row>
    <row r="794" spans="1:18" x14ac:dyDescent="0.25">
      <c r="A794">
        <v>793</v>
      </c>
      <c r="B794">
        <v>94</v>
      </c>
      <c r="C794">
        <v>31370655</v>
      </c>
      <c r="D794" t="s">
        <v>199</v>
      </c>
      <c r="E794">
        <v>2.1269999999999998</v>
      </c>
      <c r="F794" t="s">
        <v>21</v>
      </c>
      <c r="G794" t="s">
        <v>26</v>
      </c>
      <c r="H794" t="s">
        <v>21</v>
      </c>
      <c r="I794" t="s">
        <v>20</v>
      </c>
      <c r="J794" t="s">
        <v>20</v>
      </c>
      <c r="K794" t="s">
        <v>27</v>
      </c>
      <c r="L794" t="s">
        <v>103</v>
      </c>
      <c r="M794" t="s">
        <v>200</v>
      </c>
      <c r="N794">
        <v>38.277720000000002</v>
      </c>
      <c r="O794">
        <v>-112.602688</v>
      </c>
      <c r="P794">
        <v>5977.1925920000003</v>
      </c>
      <c r="Q794">
        <v>341</v>
      </c>
      <c r="R794">
        <v>0</v>
      </c>
    </row>
    <row r="795" spans="1:18" x14ac:dyDescent="0.25">
      <c r="A795">
        <v>794</v>
      </c>
      <c r="B795">
        <v>94</v>
      </c>
      <c r="C795">
        <v>520216</v>
      </c>
      <c r="D795" t="s">
        <v>44</v>
      </c>
      <c r="E795">
        <v>2.13</v>
      </c>
      <c r="F795" t="s">
        <v>21</v>
      </c>
      <c r="G795" t="s">
        <v>26</v>
      </c>
      <c r="H795" t="s">
        <v>21</v>
      </c>
      <c r="I795" t="s">
        <v>20</v>
      </c>
      <c r="J795" t="s">
        <v>20</v>
      </c>
      <c r="K795" t="s">
        <v>41</v>
      </c>
      <c r="L795" t="s">
        <v>45</v>
      </c>
      <c r="M795" t="s">
        <v>46</v>
      </c>
      <c r="N795">
        <v>40.908273000000001</v>
      </c>
      <c r="O795">
        <v>-111.87899</v>
      </c>
      <c r="P795">
        <v>4237.9576580000003</v>
      </c>
      <c r="Q795">
        <v>1395</v>
      </c>
      <c r="R795">
        <v>0</v>
      </c>
    </row>
    <row r="796" spans="1:18" x14ac:dyDescent="0.25">
      <c r="A796">
        <v>795</v>
      </c>
      <c r="B796">
        <v>94</v>
      </c>
      <c r="C796">
        <v>31912220</v>
      </c>
      <c r="D796" t="s">
        <v>272</v>
      </c>
      <c r="E796">
        <v>131.61699999999999</v>
      </c>
      <c r="F796" t="s">
        <v>21</v>
      </c>
      <c r="G796" t="s">
        <v>26</v>
      </c>
      <c r="H796" t="s">
        <v>21</v>
      </c>
      <c r="I796" t="s">
        <v>20</v>
      </c>
      <c r="J796" t="s">
        <v>20</v>
      </c>
      <c r="K796" t="s">
        <v>27</v>
      </c>
      <c r="L796" t="s">
        <v>247</v>
      </c>
      <c r="M796" t="s">
        <v>214</v>
      </c>
      <c r="N796">
        <v>37.830430999999997</v>
      </c>
      <c r="O796">
        <v>-112.435743</v>
      </c>
      <c r="P796">
        <v>6529.3222379999997</v>
      </c>
      <c r="Q796">
        <v>1384</v>
      </c>
      <c r="R796">
        <v>0</v>
      </c>
    </row>
    <row r="797" spans="1:18" x14ac:dyDescent="0.25">
      <c r="A797">
        <v>796</v>
      </c>
      <c r="B797">
        <v>94</v>
      </c>
      <c r="C797" t="e">
        <f>-Iow0IdlI3To_XLPnd4QgV</f>
        <v>#NAME?</v>
      </c>
      <c r="D797" t="s">
        <v>290</v>
      </c>
      <c r="E797">
        <v>131.679</v>
      </c>
      <c r="F797" t="s">
        <v>21</v>
      </c>
      <c r="G797" t="s">
        <v>26</v>
      </c>
      <c r="H797" t="s">
        <v>19</v>
      </c>
      <c r="I797">
        <v>16</v>
      </c>
      <c r="J797" t="s">
        <v>20</v>
      </c>
      <c r="K797" t="s">
        <v>41</v>
      </c>
      <c r="L797" t="s">
        <v>325</v>
      </c>
      <c r="M797" t="s">
        <v>280</v>
      </c>
      <c r="N797">
        <v>41.772542000000001</v>
      </c>
      <c r="O797">
        <v>-111.122105</v>
      </c>
      <c r="P797">
        <v>6206.1449940000002</v>
      </c>
      <c r="Q797">
        <v>1343</v>
      </c>
      <c r="R797">
        <v>0</v>
      </c>
    </row>
    <row r="798" spans="1:18" x14ac:dyDescent="0.25">
      <c r="A798">
        <v>797</v>
      </c>
      <c r="B798">
        <v>94</v>
      </c>
      <c r="C798">
        <v>31912231</v>
      </c>
      <c r="D798" t="s">
        <v>272</v>
      </c>
      <c r="E798">
        <v>132.04900000000001</v>
      </c>
      <c r="F798" t="s">
        <v>21</v>
      </c>
      <c r="G798" t="s">
        <v>26</v>
      </c>
      <c r="H798" t="s">
        <v>21</v>
      </c>
      <c r="I798" t="s">
        <v>20</v>
      </c>
      <c r="J798" t="s">
        <v>20</v>
      </c>
      <c r="K798" t="s">
        <v>27</v>
      </c>
      <c r="L798" t="s">
        <v>247</v>
      </c>
      <c r="M798" t="s">
        <v>214</v>
      </c>
      <c r="N798">
        <v>37.836314999999999</v>
      </c>
      <c r="O798">
        <v>-112.437901</v>
      </c>
      <c r="P798">
        <v>6510.1620910000001</v>
      </c>
      <c r="Q798">
        <v>1384</v>
      </c>
      <c r="R798">
        <v>0</v>
      </c>
    </row>
    <row r="799" spans="1:18" x14ac:dyDescent="0.25">
      <c r="A799">
        <v>798</v>
      </c>
      <c r="B799">
        <v>94</v>
      </c>
      <c r="C799">
        <v>31815621</v>
      </c>
      <c r="D799" t="s">
        <v>290</v>
      </c>
      <c r="E799">
        <v>116.95099999999999</v>
      </c>
      <c r="F799" t="s">
        <v>21</v>
      </c>
      <c r="G799" t="s">
        <v>26</v>
      </c>
      <c r="H799" t="s">
        <v>21</v>
      </c>
      <c r="I799" t="s">
        <v>20</v>
      </c>
      <c r="J799" t="s">
        <v>20</v>
      </c>
      <c r="K799" t="s">
        <v>41</v>
      </c>
      <c r="L799" t="s">
        <v>325</v>
      </c>
      <c r="M799" t="s">
        <v>280</v>
      </c>
      <c r="N799">
        <v>41.856124000000001</v>
      </c>
      <c r="O799">
        <v>-111.36413</v>
      </c>
      <c r="P799">
        <v>5884.2090939999998</v>
      </c>
      <c r="Q799">
        <v>1343</v>
      </c>
      <c r="R799">
        <v>0</v>
      </c>
    </row>
    <row r="800" spans="1:18" x14ac:dyDescent="0.25">
      <c r="A800">
        <v>799</v>
      </c>
      <c r="B800">
        <v>94</v>
      </c>
      <c r="C800">
        <v>31825843</v>
      </c>
      <c r="D800" t="s">
        <v>118</v>
      </c>
      <c r="E800">
        <v>132.14099999999999</v>
      </c>
      <c r="F800" t="s">
        <v>21</v>
      </c>
      <c r="G800" t="s">
        <v>20</v>
      </c>
      <c r="H800" t="s">
        <v>21</v>
      </c>
      <c r="I800" t="s">
        <v>20</v>
      </c>
      <c r="J800" t="s">
        <v>20</v>
      </c>
      <c r="K800" t="s">
        <v>22</v>
      </c>
      <c r="L800" t="s">
        <v>234</v>
      </c>
      <c r="M800" t="s">
        <v>169</v>
      </c>
      <c r="N800">
        <v>40.329284000000001</v>
      </c>
      <c r="O800">
        <v>-109.66462799999999</v>
      </c>
      <c r="P800">
        <v>5017.7713430000003</v>
      </c>
      <c r="Q800">
        <v>310</v>
      </c>
      <c r="R800">
        <v>0</v>
      </c>
    </row>
    <row r="801" spans="1:18" x14ac:dyDescent="0.25">
      <c r="A801">
        <v>800</v>
      </c>
      <c r="B801">
        <v>94</v>
      </c>
      <c r="C801">
        <v>31576114</v>
      </c>
      <c r="D801" t="s">
        <v>213</v>
      </c>
      <c r="E801">
        <v>132.18299999999999</v>
      </c>
      <c r="F801" t="s">
        <v>21</v>
      </c>
      <c r="G801" t="s">
        <v>20</v>
      </c>
      <c r="H801" t="s">
        <v>21</v>
      </c>
      <c r="I801" t="s">
        <v>20</v>
      </c>
      <c r="J801" t="s">
        <v>20</v>
      </c>
      <c r="K801" t="s">
        <v>22</v>
      </c>
      <c r="L801" t="s">
        <v>193</v>
      </c>
      <c r="M801" t="s">
        <v>214</v>
      </c>
      <c r="N801">
        <v>39.854787999999999</v>
      </c>
      <c r="O801">
        <v>-112.13809500000001</v>
      </c>
      <c r="P801">
        <v>5701.3050380000004</v>
      </c>
      <c r="Q801">
        <v>1332</v>
      </c>
      <c r="R801">
        <v>0</v>
      </c>
    </row>
    <row r="802" spans="1:18" x14ac:dyDescent="0.25">
      <c r="A802">
        <v>801</v>
      </c>
      <c r="B802">
        <v>94</v>
      </c>
      <c r="C802">
        <v>31912242</v>
      </c>
      <c r="D802" t="s">
        <v>272</v>
      </c>
      <c r="E802">
        <v>132.286</v>
      </c>
      <c r="F802" t="s">
        <v>21</v>
      </c>
      <c r="G802" t="s">
        <v>20</v>
      </c>
      <c r="H802" t="s">
        <v>21</v>
      </c>
      <c r="I802" t="s">
        <v>20</v>
      </c>
      <c r="J802" t="s">
        <v>20</v>
      </c>
      <c r="K802" t="s">
        <v>27</v>
      </c>
      <c r="L802" t="s">
        <v>247</v>
      </c>
      <c r="M802" t="s">
        <v>214</v>
      </c>
      <c r="N802">
        <v>37.839737</v>
      </c>
      <c r="O802">
        <v>-112.438378</v>
      </c>
      <c r="P802">
        <v>6502.6294479999997</v>
      </c>
      <c r="Q802">
        <v>1384</v>
      </c>
      <c r="R802">
        <v>0</v>
      </c>
    </row>
    <row r="803" spans="1:18" x14ac:dyDescent="0.25">
      <c r="A803">
        <v>802</v>
      </c>
      <c r="B803">
        <v>94</v>
      </c>
      <c r="C803">
        <v>31826854</v>
      </c>
      <c r="D803" t="s">
        <v>118</v>
      </c>
      <c r="E803">
        <v>132.54400000000001</v>
      </c>
      <c r="F803" t="s">
        <v>21</v>
      </c>
      <c r="G803" t="s">
        <v>20</v>
      </c>
      <c r="H803" t="s">
        <v>21</v>
      </c>
      <c r="I803" t="s">
        <v>20</v>
      </c>
      <c r="J803" t="s">
        <v>20</v>
      </c>
      <c r="K803" t="s">
        <v>22</v>
      </c>
      <c r="L803" t="s">
        <v>234</v>
      </c>
      <c r="M803" t="s">
        <v>169</v>
      </c>
      <c r="N803">
        <v>40.331133000000001</v>
      </c>
      <c r="O803">
        <v>-109.657382</v>
      </c>
      <c r="P803">
        <v>5000.0546569999997</v>
      </c>
      <c r="Q803">
        <v>310</v>
      </c>
      <c r="R803">
        <v>0</v>
      </c>
    </row>
    <row r="804" spans="1:18" x14ac:dyDescent="0.25">
      <c r="A804">
        <v>803</v>
      </c>
      <c r="B804">
        <v>94</v>
      </c>
      <c r="C804" t="s">
        <v>360</v>
      </c>
      <c r="D804" t="s">
        <v>272</v>
      </c>
      <c r="E804">
        <v>132.69800000000001</v>
      </c>
      <c r="F804" t="s">
        <v>21</v>
      </c>
      <c r="G804" t="s">
        <v>20</v>
      </c>
      <c r="H804" t="s">
        <v>21</v>
      </c>
      <c r="I804" t="s">
        <v>20</v>
      </c>
      <c r="J804" t="s">
        <v>20</v>
      </c>
      <c r="K804" t="s">
        <v>27</v>
      </c>
      <c r="L804" t="s">
        <v>247</v>
      </c>
      <c r="M804" t="s">
        <v>214</v>
      </c>
      <c r="N804">
        <v>37.845697999999999</v>
      </c>
      <c r="O804">
        <v>-112.439221</v>
      </c>
      <c r="P804">
        <v>6495.1050279999999</v>
      </c>
      <c r="Q804">
        <v>1384</v>
      </c>
      <c r="R804">
        <v>0</v>
      </c>
    </row>
    <row r="805" spans="1:18" x14ac:dyDescent="0.25">
      <c r="A805">
        <v>804</v>
      </c>
      <c r="B805">
        <v>94</v>
      </c>
      <c r="C805" t="e">
        <f>-JOjIyKCFLiuO_1aSG88cF</f>
        <v>#NAME?</v>
      </c>
      <c r="D805" t="s">
        <v>244</v>
      </c>
      <c r="E805">
        <v>132.715</v>
      </c>
      <c r="F805" t="s">
        <v>21</v>
      </c>
      <c r="G805" t="s">
        <v>26</v>
      </c>
      <c r="H805" t="s">
        <v>21</v>
      </c>
      <c r="I805" t="s">
        <v>20</v>
      </c>
      <c r="J805" t="s">
        <v>20</v>
      </c>
      <c r="K805" t="s">
        <v>27</v>
      </c>
      <c r="L805" t="s">
        <v>122</v>
      </c>
      <c r="M805" t="s">
        <v>270</v>
      </c>
      <c r="N805">
        <v>38.587198999999998</v>
      </c>
      <c r="O805">
        <v>-110.592635</v>
      </c>
      <c r="P805">
        <v>5039.3885680000003</v>
      </c>
      <c r="Q805">
        <v>1340</v>
      </c>
      <c r="R805">
        <v>0</v>
      </c>
    </row>
    <row r="806" spans="1:18" x14ac:dyDescent="0.25">
      <c r="A806">
        <v>805</v>
      </c>
      <c r="B806">
        <v>94</v>
      </c>
      <c r="C806">
        <v>31912653</v>
      </c>
      <c r="D806" t="s">
        <v>272</v>
      </c>
      <c r="E806">
        <v>132.96600000000001</v>
      </c>
      <c r="F806" t="s">
        <v>21</v>
      </c>
      <c r="G806" t="s">
        <v>26</v>
      </c>
      <c r="H806" t="s">
        <v>21</v>
      </c>
      <c r="I806" t="s">
        <v>20</v>
      </c>
      <c r="J806" t="s">
        <v>20</v>
      </c>
      <c r="K806" t="s">
        <v>27</v>
      </c>
      <c r="L806" t="s">
        <v>247</v>
      </c>
      <c r="M806" t="s">
        <v>214</v>
      </c>
      <c r="N806">
        <v>37.849558999999999</v>
      </c>
      <c r="O806">
        <v>-112.43923100000001</v>
      </c>
      <c r="P806">
        <v>6486.9474149999996</v>
      </c>
      <c r="Q806">
        <v>1384</v>
      </c>
      <c r="R806">
        <v>0</v>
      </c>
    </row>
    <row r="807" spans="1:18" x14ac:dyDescent="0.25">
      <c r="A807">
        <v>806</v>
      </c>
      <c r="B807">
        <v>94</v>
      </c>
      <c r="C807">
        <v>31912664</v>
      </c>
      <c r="D807" t="s">
        <v>272</v>
      </c>
      <c r="E807">
        <v>133.09399999999999</v>
      </c>
      <c r="F807" t="s">
        <v>21</v>
      </c>
      <c r="G807" t="s">
        <v>26</v>
      </c>
      <c r="H807" t="s">
        <v>21</v>
      </c>
      <c r="I807" t="s">
        <v>20</v>
      </c>
      <c r="J807" t="s">
        <v>20</v>
      </c>
      <c r="K807" t="s">
        <v>27</v>
      </c>
      <c r="L807" t="s">
        <v>247</v>
      </c>
      <c r="M807" t="s">
        <v>214</v>
      </c>
      <c r="N807">
        <v>37.851429000000003</v>
      </c>
      <c r="O807">
        <v>-112.439064</v>
      </c>
      <c r="P807">
        <v>6483.210317</v>
      </c>
      <c r="Q807">
        <v>1384</v>
      </c>
      <c r="R807">
        <v>0</v>
      </c>
    </row>
    <row r="808" spans="1:18" x14ac:dyDescent="0.25">
      <c r="A808">
        <v>807</v>
      </c>
      <c r="B808">
        <v>94</v>
      </c>
      <c r="C808">
        <v>31826865</v>
      </c>
      <c r="D808" t="s">
        <v>118</v>
      </c>
      <c r="E808">
        <v>133.23599999999999</v>
      </c>
      <c r="F808" t="s">
        <v>21</v>
      </c>
      <c r="G808" t="s">
        <v>26</v>
      </c>
      <c r="H808" t="s">
        <v>21</v>
      </c>
      <c r="I808" t="s">
        <v>20</v>
      </c>
      <c r="J808" t="s">
        <v>20</v>
      </c>
      <c r="K808" t="s">
        <v>22</v>
      </c>
      <c r="L808" t="s">
        <v>234</v>
      </c>
      <c r="M808" t="s">
        <v>169</v>
      </c>
      <c r="N808">
        <v>40.334307000000003</v>
      </c>
      <c r="O808">
        <v>-109.644949</v>
      </c>
      <c r="P808">
        <v>4975.5265079999999</v>
      </c>
      <c r="Q808">
        <v>310</v>
      </c>
      <c r="R808">
        <v>0</v>
      </c>
    </row>
    <row r="809" spans="1:18" x14ac:dyDescent="0.25">
      <c r="A809">
        <v>808</v>
      </c>
      <c r="B809">
        <v>94</v>
      </c>
      <c r="C809">
        <v>31536800</v>
      </c>
      <c r="D809" t="s">
        <v>320</v>
      </c>
      <c r="E809">
        <v>133.74600000000001</v>
      </c>
      <c r="F809" t="s">
        <v>21</v>
      </c>
      <c r="G809" t="s">
        <v>26</v>
      </c>
      <c r="H809" t="s">
        <v>21</v>
      </c>
      <c r="I809" t="s">
        <v>20</v>
      </c>
      <c r="J809" t="s">
        <v>20</v>
      </c>
      <c r="K809" t="s">
        <v>27</v>
      </c>
      <c r="L809" t="s">
        <v>202</v>
      </c>
      <c r="M809" t="s">
        <v>76</v>
      </c>
      <c r="N809">
        <v>39.207496999999996</v>
      </c>
      <c r="O809">
        <v>-112.089088</v>
      </c>
      <c r="P809">
        <v>5374.8379869999999</v>
      </c>
      <c r="Q809">
        <v>1356</v>
      </c>
      <c r="R809">
        <v>0</v>
      </c>
    </row>
    <row r="810" spans="1:18" x14ac:dyDescent="0.25">
      <c r="A810">
        <v>809</v>
      </c>
      <c r="B810">
        <v>94</v>
      </c>
      <c r="C810">
        <v>31453217</v>
      </c>
      <c r="D810" t="s">
        <v>288</v>
      </c>
      <c r="E810">
        <v>124.08799999999999</v>
      </c>
      <c r="F810" t="s">
        <v>21</v>
      </c>
      <c r="G810" t="s">
        <v>26</v>
      </c>
      <c r="H810" t="s">
        <v>21</v>
      </c>
      <c r="I810" t="s">
        <v>20</v>
      </c>
      <c r="J810" t="s">
        <v>20</v>
      </c>
      <c r="K810" t="s">
        <v>27</v>
      </c>
      <c r="L810" t="s">
        <v>38</v>
      </c>
      <c r="M810" t="s">
        <v>152</v>
      </c>
      <c r="N810">
        <v>38.555100000000003</v>
      </c>
      <c r="O810">
        <v>-109.536372</v>
      </c>
      <c r="P810">
        <v>4114.3218139999999</v>
      </c>
      <c r="Q810">
        <v>350</v>
      </c>
      <c r="R810">
        <v>0</v>
      </c>
    </row>
    <row r="811" spans="1:18" x14ac:dyDescent="0.25">
      <c r="A811">
        <v>810</v>
      </c>
      <c r="B811">
        <v>94</v>
      </c>
      <c r="C811" t="e">
        <f>-Iovz5qTGnqbsjZbYptHkV</f>
        <v>#NAME?</v>
      </c>
      <c r="D811" t="s">
        <v>290</v>
      </c>
      <c r="E811">
        <v>124.129</v>
      </c>
      <c r="F811" t="s">
        <v>21</v>
      </c>
      <c r="G811" t="s">
        <v>26</v>
      </c>
      <c r="H811" t="s">
        <v>21</v>
      </c>
      <c r="I811" t="s">
        <v>20</v>
      </c>
      <c r="J811" t="s">
        <v>20</v>
      </c>
      <c r="K811" t="s">
        <v>41</v>
      </c>
      <c r="L811" t="s">
        <v>325</v>
      </c>
      <c r="M811" t="s">
        <v>280</v>
      </c>
      <c r="N811">
        <v>41.807198999999997</v>
      </c>
      <c r="O811">
        <v>-111.24979999999999</v>
      </c>
      <c r="P811">
        <v>7084.2977520000004</v>
      </c>
      <c r="Q811">
        <v>1343</v>
      </c>
      <c r="R811">
        <v>0</v>
      </c>
    </row>
    <row r="812" spans="1:18" x14ac:dyDescent="0.25">
      <c r="A812">
        <v>811</v>
      </c>
      <c r="B812">
        <v>94</v>
      </c>
      <c r="C812">
        <v>31453239</v>
      </c>
      <c r="D812" t="s">
        <v>288</v>
      </c>
      <c r="E812">
        <v>124.211</v>
      </c>
      <c r="F812" t="s">
        <v>21</v>
      </c>
      <c r="G812" t="s">
        <v>26</v>
      </c>
      <c r="H812" t="s">
        <v>21</v>
      </c>
      <c r="I812" t="s">
        <v>20</v>
      </c>
      <c r="J812" t="s">
        <v>20</v>
      </c>
      <c r="K812" t="s">
        <v>27</v>
      </c>
      <c r="L812" t="s">
        <v>38</v>
      </c>
      <c r="M812" t="s">
        <v>152</v>
      </c>
      <c r="N812">
        <v>38.555841000000001</v>
      </c>
      <c r="O812">
        <v>-109.53845800000001</v>
      </c>
      <c r="P812">
        <v>4095.7606569999998</v>
      </c>
      <c r="Q812">
        <v>350</v>
      </c>
      <c r="R812">
        <v>0</v>
      </c>
    </row>
    <row r="813" spans="1:18" x14ac:dyDescent="0.25">
      <c r="A813">
        <v>812</v>
      </c>
      <c r="B813">
        <v>94</v>
      </c>
      <c r="C813">
        <v>31907372</v>
      </c>
      <c r="D813" t="s">
        <v>272</v>
      </c>
      <c r="E813">
        <v>124.227</v>
      </c>
      <c r="F813" t="s">
        <v>21</v>
      </c>
      <c r="G813" t="s">
        <v>26</v>
      </c>
      <c r="H813" t="s">
        <v>19</v>
      </c>
      <c r="I813">
        <v>12</v>
      </c>
      <c r="J813" t="s">
        <v>20</v>
      </c>
      <c r="K813" t="s">
        <v>27</v>
      </c>
      <c r="L813" t="s">
        <v>247</v>
      </c>
      <c r="M813" t="s">
        <v>214</v>
      </c>
      <c r="N813">
        <v>37.749654</v>
      </c>
      <c r="O813">
        <v>-112.376909</v>
      </c>
      <c r="P813">
        <v>6676.5301360000003</v>
      </c>
      <c r="Q813">
        <v>1384</v>
      </c>
      <c r="R813">
        <v>0</v>
      </c>
    </row>
    <row r="814" spans="1:18" x14ac:dyDescent="0.25">
      <c r="A814">
        <v>813</v>
      </c>
      <c r="B814">
        <v>94</v>
      </c>
      <c r="C814">
        <v>1124249</v>
      </c>
      <c r="D814" t="s">
        <v>171</v>
      </c>
      <c r="E814">
        <v>14.587999999999999</v>
      </c>
      <c r="F814" t="s">
        <v>19</v>
      </c>
      <c r="G814" t="s">
        <v>20</v>
      </c>
      <c r="H814" t="s">
        <v>21</v>
      </c>
      <c r="I814" t="s">
        <v>20</v>
      </c>
      <c r="J814" t="s">
        <v>20</v>
      </c>
      <c r="K814" t="s">
        <v>31</v>
      </c>
      <c r="L814" t="s">
        <v>188</v>
      </c>
      <c r="M814" t="s">
        <v>79</v>
      </c>
      <c r="N814">
        <v>40.699857000000002</v>
      </c>
      <c r="O814">
        <v>-111.814993</v>
      </c>
      <c r="P814">
        <v>4640.0578720000003</v>
      </c>
      <c r="Q814">
        <v>346</v>
      </c>
      <c r="R814">
        <v>0</v>
      </c>
    </row>
    <row r="815" spans="1:18" x14ac:dyDescent="0.25">
      <c r="A815">
        <v>814</v>
      </c>
      <c r="B815">
        <v>94</v>
      </c>
      <c r="C815" t="e">
        <f>-IovRJQ1FyyYMO7Alg8AZF</f>
        <v>#NAME?</v>
      </c>
      <c r="D815" t="s">
        <v>118</v>
      </c>
      <c r="E815">
        <v>14.590999999999999</v>
      </c>
      <c r="F815" t="s">
        <v>21</v>
      </c>
      <c r="G815" t="s">
        <v>26</v>
      </c>
      <c r="H815" t="s">
        <v>21</v>
      </c>
      <c r="I815" t="s">
        <v>20</v>
      </c>
      <c r="J815" t="s">
        <v>20</v>
      </c>
      <c r="K815" t="s">
        <v>22</v>
      </c>
      <c r="L815" t="s">
        <v>35</v>
      </c>
      <c r="M815" t="s">
        <v>120</v>
      </c>
      <c r="N815">
        <v>40.540284</v>
      </c>
      <c r="O815">
        <v>-111.41403099999999</v>
      </c>
      <c r="P815">
        <v>5595.5975799999997</v>
      </c>
      <c r="Q815">
        <v>310</v>
      </c>
      <c r="R815">
        <v>0</v>
      </c>
    </row>
    <row r="816" spans="1:18" x14ac:dyDescent="0.25">
      <c r="A816">
        <v>815</v>
      </c>
      <c r="B816">
        <v>94</v>
      </c>
      <c r="C816">
        <v>31496117</v>
      </c>
      <c r="D816" t="s">
        <v>129</v>
      </c>
      <c r="E816">
        <v>14.595000000000001</v>
      </c>
      <c r="F816" t="s">
        <v>21</v>
      </c>
      <c r="G816" t="s">
        <v>26</v>
      </c>
      <c r="H816" t="s">
        <v>21</v>
      </c>
      <c r="I816" t="s">
        <v>20</v>
      </c>
      <c r="J816" t="s">
        <v>20</v>
      </c>
      <c r="K816" t="s">
        <v>31</v>
      </c>
      <c r="L816" t="s">
        <v>130</v>
      </c>
      <c r="M816" t="s">
        <v>131</v>
      </c>
      <c r="N816">
        <v>40.581491999999997</v>
      </c>
      <c r="O816">
        <v>-111.048438</v>
      </c>
      <c r="P816">
        <v>7734.2137519999997</v>
      </c>
      <c r="Q816">
        <v>340</v>
      </c>
      <c r="R816">
        <v>0</v>
      </c>
    </row>
    <row r="817" spans="1:18" x14ac:dyDescent="0.25">
      <c r="A817">
        <v>816</v>
      </c>
      <c r="B817">
        <v>94</v>
      </c>
      <c r="C817">
        <v>31398817</v>
      </c>
      <c r="D817" t="s">
        <v>210</v>
      </c>
      <c r="E817">
        <v>14.599</v>
      </c>
      <c r="F817" t="s">
        <v>21</v>
      </c>
      <c r="G817" t="s">
        <v>26</v>
      </c>
      <c r="H817" t="s">
        <v>19</v>
      </c>
      <c r="I817">
        <v>262</v>
      </c>
      <c r="J817" t="s">
        <v>20</v>
      </c>
      <c r="K817" t="s">
        <v>27</v>
      </c>
      <c r="L817" t="s">
        <v>211</v>
      </c>
      <c r="M817" t="s">
        <v>212</v>
      </c>
      <c r="N817">
        <v>37.261588000000003</v>
      </c>
      <c r="O817">
        <v>-109.306296</v>
      </c>
      <c r="P817">
        <v>4382.171918</v>
      </c>
      <c r="Q817">
        <v>344</v>
      </c>
      <c r="R817">
        <v>0</v>
      </c>
    </row>
    <row r="818" spans="1:18" x14ac:dyDescent="0.25">
      <c r="A818">
        <v>817</v>
      </c>
      <c r="B818">
        <v>94</v>
      </c>
      <c r="C818">
        <v>31390627</v>
      </c>
      <c r="D818" t="s">
        <v>184</v>
      </c>
      <c r="E818">
        <v>14.612</v>
      </c>
      <c r="F818" t="s">
        <v>21</v>
      </c>
      <c r="G818" t="s">
        <v>20</v>
      </c>
      <c r="H818" t="s">
        <v>21</v>
      </c>
      <c r="I818" t="s">
        <v>20</v>
      </c>
      <c r="J818" t="s">
        <v>20</v>
      </c>
      <c r="K818" t="s">
        <v>27</v>
      </c>
      <c r="L818" t="s">
        <v>54</v>
      </c>
      <c r="M818" t="s">
        <v>55</v>
      </c>
      <c r="N818">
        <v>37.845174999999998</v>
      </c>
      <c r="O818">
        <v>-113.040814</v>
      </c>
      <c r="P818">
        <v>5332.8411459999998</v>
      </c>
      <c r="Q818">
        <v>1410</v>
      </c>
      <c r="R818">
        <v>0</v>
      </c>
    </row>
    <row r="819" spans="1:18" x14ac:dyDescent="0.25">
      <c r="A819">
        <v>818</v>
      </c>
      <c r="B819">
        <v>94</v>
      </c>
      <c r="C819">
        <v>31491098</v>
      </c>
      <c r="D819" t="s">
        <v>353</v>
      </c>
      <c r="E819">
        <v>14.63</v>
      </c>
      <c r="F819" t="s">
        <v>21</v>
      </c>
      <c r="G819" t="s">
        <v>26</v>
      </c>
      <c r="H819" t="s">
        <v>21</v>
      </c>
      <c r="I819" t="s">
        <v>20</v>
      </c>
      <c r="J819" t="s">
        <v>20</v>
      </c>
      <c r="K819" t="s">
        <v>41</v>
      </c>
      <c r="L819" t="s">
        <v>137</v>
      </c>
      <c r="M819" t="s">
        <v>138</v>
      </c>
      <c r="N819">
        <v>40.866954999999997</v>
      </c>
      <c r="O819">
        <v>-111.585139</v>
      </c>
      <c r="P819">
        <v>5716.4649289999998</v>
      </c>
      <c r="Q819">
        <v>1367</v>
      </c>
      <c r="R819">
        <v>0</v>
      </c>
    </row>
    <row r="820" spans="1:18" x14ac:dyDescent="0.25">
      <c r="A820">
        <v>819</v>
      </c>
      <c r="B820">
        <v>94</v>
      </c>
      <c r="C820">
        <v>31277021</v>
      </c>
      <c r="D820" t="s">
        <v>241</v>
      </c>
      <c r="E820">
        <v>14.634</v>
      </c>
      <c r="F820" t="s">
        <v>21</v>
      </c>
      <c r="G820" t="s">
        <v>26</v>
      </c>
      <c r="H820" t="s">
        <v>21</v>
      </c>
      <c r="I820" t="s">
        <v>20</v>
      </c>
      <c r="J820" t="s">
        <v>20</v>
      </c>
      <c r="K820" t="s">
        <v>27</v>
      </c>
      <c r="L820" t="s">
        <v>242</v>
      </c>
      <c r="M820" t="s">
        <v>243</v>
      </c>
      <c r="N820">
        <v>38.941177000000003</v>
      </c>
      <c r="O820">
        <v>-111.22104899999999</v>
      </c>
      <c r="P820">
        <v>6158.3970689999996</v>
      </c>
      <c r="Q820">
        <v>1327</v>
      </c>
      <c r="R820">
        <v>0</v>
      </c>
    </row>
    <row r="821" spans="1:18" x14ac:dyDescent="0.25">
      <c r="A821">
        <v>820</v>
      </c>
      <c r="B821">
        <v>94</v>
      </c>
      <c r="C821">
        <v>31461373</v>
      </c>
      <c r="D821" t="s">
        <v>91</v>
      </c>
      <c r="E821">
        <v>14.638999999999999</v>
      </c>
      <c r="F821" t="s">
        <v>21</v>
      </c>
      <c r="G821" t="s">
        <v>26</v>
      </c>
      <c r="H821" t="s">
        <v>21</v>
      </c>
      <c r="I821" t="s">
        <v>20</v>
      </c>
      <c r="J821" t="s">
        <v>20</v>
      </c>
      <c r="K821" t="s">
        <v>41</v>
      </c>
      <c r="L821" t="s">
        <v>42</v>
      </c>
      <c r="M821" t="s">
        <v>73</v>
      </c>
      <c r="N821">
        <v>41.815358000000003</v>
      </c>
      <c r="O821">
        <v>-111.99662499999999</v>
      </c>
      <c r="P821">
        <v>4401.9406710000003</v>
      </c>
      <c r="Q821">
        <v>1339</v>
      </c>
      <c r="R821">
        <v>0</v>
      </c>
    </row>
    <row r="822" spans="1:18" x14ac:dyDescent="0.25">
      <c r="A822">
        <v>821</v>
      </c>
      <c r="B822">
        <v>94</v>
      </c>
      <c r="C822">
        <v>31505354</v>
      </c>
      <c r="D822" t="s">
        <v>224</v>
      </c>
      <c r="E822">
        <v>14.645</v>
      </c>
      <c r="F822" t="s">
        <v>21</v>
      </c>
      <c r="G822" t="s">
        <v>26</v>
      </c>
      <c r="H822" t="s">
        <v>21</v>
      </c>
      <c r="I822" t="s">
        <v>20</v>
      </c>
      <c r="J822" t="s">
        <v>20</v>
      </c>
      <c r="K822" t="s">
        <v>22</v>
      </c>
      <c r="L822" t="s">
        <v>140</v>
      </c>
      <c r="M822" t="s">
        <v>194</v>
      </c>
      <c r="N822">
        <v>40.095562999999999</v>
      </c>
      <c r="O822">
        <v>-111.614278</v>
      </c>
      <c r="P822">
        <v>4686.6082539999998</v>
      </c>
      <c r="Q822">
        <v>408</v>
      </c>
      <c r="R822">
        <v>0</v>
      </c>
    </row>
    <row r="823" spans="1:18" x14ac:dyDescent="0.25">
      <c r="A823">
        <v>822</v>
      </c>
      <c r="B823">
        <v>94</v>
      </c>
      <c r="C823">
        <v>31417228</v>
      </c>
      <c r="D823" t="s">
        <v>221</v>
      </c>
      <c r="E823">
        <v>14.683999999999999</v>
      </c>
      <c r="F823" t="s">
        <v>21</v>
      </c>
      <c r="G823" t="s">
        <v>20</v>
      </c>
      <c r="H823" t="s">
        <v>21</v>
      </c>
      <c r="I823" t="s">
        <v>20</v>
      </c>
      <c r="J823" t="s">
        <v>20</v>
      </c>
      <c r="K823" t="s">
        <v>27</v>
      </c>
      <c r="L823" t="s">
        <v>350</v>
      </c>
      <c r="M823" t="s">
        <v>174</v>
      </c>
      <c r="N823">
        <v>39.348073999999997</v>
      </c>
      <c r="O823">
        <v>-111.926967</v>
      </c>
      <c r="P823">
        <v>5010.8125899999995</v>
      </c>
      <c r="Q823">
        <v>1342</v>
      </c>
      <c r="R823">
        <v>0</v>
      </c>
    </row>
    <row r="824" spans="1:18" x14ac:dyDescent="0.25">
      <c r="A824">
        <v>823</v>
      </c>
      <c r="B824">
        <v>94</v>
      </c>
      <c r="C824">
        <v>31416161</v>
      </c>
      <c r="D824" t="s">
        <v>345</v>
      </c>
      <c r="E824">
        <v>14.685</v>
      </c>
      <c r="F824" t="s">
        <v>19</v>
      </c>
      <c r="G824" t="s">
        <v>20</v>
      </c>
      <c r="H824" t="s">
        <v>19</v>
      </c>
      <c r="I824">
        <v>120</v>
      </c>
      <c r="J824" t="s">
        <v>20</v>
      </c>
      <c r="K824" t="s">
        <v>27</v>
      </c>
      <c r="L824" t="s">
        <v>75</v>
      </c>
      <c r="M824" t="s">
        <v>76</v>
      </c>
      <c r="N824">
        <v>38.749597999999999</v>
      </c>
      <c r="O824">
        <v>-112.087942</v>
      </c>
      <c r="P824">
        <v>5220.6796489999997</v>
      </c>
      <c r="Q824">
        <v>1403</v>
      </c>
      <c r="R824">
        <v>0</v>
      </c>
    </row>
    <row r="825" spans="1:18" x14ac:dyDescent="0.25">
      <c r="A825">
        <v>824</v>
      </c>
      <c r="B825">
        <v>94</v>
      </c>
      <c r="C825">
        <v>31717910</v>
      </c>
      <c r="D825" t="s">
        <v>245</v>
      </c>
      <c r="E825">
        <v>14.686</v>
      </c>
      <c r="F825" t="s">
        <v>21</v>
      </c>
      <c r="G825" t="s">
        <v>26</v>
      </c>
      <c r="H825" t="s">
        <v>21</v>
      </c>
      <c r="I825" t="s">
        <v>20</v>
      </c>
      <c r="J825" t="s">
        <v>20</v>
      </c>
      <c r="K825" t="s">
        <v>22</v>
      </c>
      <c r="L825" t="s">
        <v>97</v>
      </c>
      <c r="M825" t="s">
        <v>98</v>
      </c>
      <c r="N825">
        <v>40.888319000000003</v>
      </c>
      <c r="O825">
        <v>-109.705653</v>
      </c>
      <c r="P825">
        <v>7641.905581</v>
      </c>
      <c r="Q825">
        <v>1353</v>
      </c>
      <c r="R825">
        <v>0</v>
      </c>
    </row>
    <row r="826" spans="1:18" x14ac:dyDescent="0.25">
      <c r="A826">
        <v>825</v>
      </c>
      <c r="B826">
        <v>94</v>
      </c>
      <c r="C826">
        <v>31509104</v>
      </c>
      <c r="D826" t="s">
        <v>292</v>
      </c>
      <c r="E826">
        <v>14.688000000000001</v>
      </c>
      <c r="F826" t="s">
        <v>21</v>
      </c>
      <c r="G826" t="s">
        <v>26</v>
      </c>
      <c r="H826" t="s">
        <v>21</v>
      </c>
      <c r="I826" t="s">
        <v>20</v>
      </c>
      <c r="J826" t="s">
        <v>20</v>
      </c>
      <c r="K826" t="s">
        <v>22</v>
      </c>
      <c r="L826" t="s">
        <v>253</v>
      </c>
      <c r="M826" t="s">
        <v>134</v>
      </c>
      <c r="N826">
        <v>40.354205</v>
      </c>
      <c r="O826">
        <v>-110.39469099999999</v>
      </c>
      <c r="P826">
        <v>6638.9400269999996</v>
      </c>
      <c r="Q826">
        <v>323</v>
      </c>
      <c r="R826">
        <v>0</v>
      </c>
    </row>
    <row r="827" spans="1:18" x14ac:dyDescent="0.25">
      <c r="A827">
        <v>826</v>
      </c>
      <c r="B827">
        <v>94</v>
      </c>
      <c r="C827" t="e">
        <f>-Iov68DxGCi1-yH-YUIvXk</f>
        <v>#NAME?</v>
      </c>
      <c r="D827" t="s">
        <v>176</v>
      </c>
      <c r="E827">
        <v>14.707000000000001</v>
      </c>
      <c r="F827" t="s">
        <v>21</v>
      </c>
      <c r="G827" t="s">
        <v>361</v>
      </c>
      <c r="H827" t="s">
        <v>21</v>
      </c>
      <c r="I827" t="s">
        <v>20</v>
      </c>
      <c r="J827" t="s">
        <v>20</v>
      </c>
      <c r="K827" t="s">
        <v>41</v>
      </c>
      <c r="L827" t="s">
        <v>181</v>
      </c>
      <c r="M827" t="s">
        <v>178</v>
      </c>
      <c r="N827">
        <v>41.635444</v>
      </c>
      <c r="O827">
        <v>-112.128376</v>
      </c>
      <c r="P827">
        <v>4218.8950779999996</v>
      </c>
      <c r="Q827">
        <v>1329</v>
      </c>
      <c r="R827">
        <v>0</v>
      </c>
    </row>
    <row r="828" spans="1:18" x14ac:dyDescent="0.25">
      <c r="A828">
        <v>827</v>
      </c>
      <c r="B828">
        <v>94</v>
      </c>
      <c r="C828">
        <v>28562798</v>
      </c>
      <c r="D828" t="s">
        <v>323</v>
      </c>
      <c r="E828">
        <v>14.712999999999999</v>
      </c>
      <c r="F828" t="s">
        <v>21</v>
      </c>
      <c r="G828" t="s">
        <v>26</v>
      </c>
      <c r="H828" t="s">
        <v>21</v>
      </c>
      <c r="I828" t="s">
        <v>20</v>
      </c>
      <c r="J828" t="s">
        <v>20</v>
      </c>
      <c r="K828" t="s">
        <v>31</v>
      </c>
      <c r="L828" t="s">
        <v>130</v>
      </c>
      <c r="M828" t="s">
        <v>131</v>
      </c>
      <c r="N828">
        <v>40.672967999999997</v>
      </c>
      <c r="O828">
        <v>-111.28084699999999</v>
      </c>
      <c r="P828">
        <v>6359.867303</v>
      </c>
      <c r="Q828">
        <v>1345</v>
      </c>
      <c r="R828">
        <v>0</v>
      </c>
    </row>
    <row r="829" spans="1:18" x14ac:dyDescent="0.25">
      <c r="A829">
        <v>828</v>
      </c>
      <c r="B829">
        <v>94</v>
      </c>
      <c r="C829">
        <v>31622245</v>
      </c>
      <c r="D829" t="s">
        <v>213</v>
      </c>
      <c r="E829">
        <v>184.31399999999999</v>
      </c>
      <c r="F829" t="s">
        <v>21</v>
      </c>
      <c r="G829" t="s">
        <v>26</v>
      </c>
      <c r="H829" t="s">
        <v>21</v>
      </c>
      <c r="I829" t="s">
        <v>20</v>
      </c>
      <c r="J829" t="s">
        <v>20</v>
      </c>
      <c r="K829" t="s">
        <v>22</v>
      </c>
      <c r="L829" t="s">
        <v>140</v>
      </c>
      <c r="M829" t="s">
        <v>159</v>
      </c>
      <c r="N829">
        <v>40.027507999999997</v>
      </c>
      <c r="O829">
        <v>-111.501938</v>
      </c>
      <c r="P829">
        <v>5006.2837879999997</v>
      </c>
      <c r="Q829">
        <v>1332</v>
      </c>
      <c r="R829">
        <v>0</v>
      </c>
    </row>
    <row r="830" spans="1:18" x14ac:dyDescent="0.25">
      <c r="A830">
        <v>829</v>
      </c>
      <c r="B830">
        <v>94</v>
      </c>
      <c r="C830" t="e">
        <f>-IoIYM9XHfm-MCP8vAat8V</f>
        <v>#NAME?</v>
      </c>
      <c r="D830" t="s">
        <v>272</v>
      </c>
      <c r="E830">
        <v>184.40700000000001</v>
      </c>
      <c r="F830" t="s">
        <v>21</v>
      </c>
      <c r="G830" t="s">
        <v>26</v>
      </c>
      <c r="H830" t="s">
        <v>21</v>
      </c>
      <c r="I830" t="s">
        <v>20</v>
      </c>
      <c r="J830" t="s">
        <v>20</v>
      </c>
      <c r="K830" t="s">
        <v>27</v>
      </c>
      <c r="L830" t="s">
        <v>337</v>
      </c>
      <c r="M830" t="s">
        <v>214</v>
      </c>
      <c r="N830">
        <v>38.516424000000001</v>
      </c>
      <c r="O830">
        <v>-112.266386</v>
      </c>
      <c r="P830">
        <v>5759.5761659999998</v>
      </c>
      <c r="Q830">
        <v>1384</v>
      </c>
      <c r="R830">
        <v>0</v>
      </c>
    </row>
    <row r="831" spans="1:18" x14ac:dyDescent="0.25">
      <c r="A831">
        <v>830</v>
      </c>
      <c r="B831">
        <v>94</v>
      </c>
      <c r="C831" t="e">
        <f>-IoIYs2IH_5bhgvLWICncV</f>
        <v>#NAME?</v>
      </c>
      <c r="D831" t="s">
        <v>272</v>
      </c>
      <c r="E831">
        <v>184.66399999999999</v>
      </c>
      <c r="F831" t="s">
        <v>21</v>
      </c>
      <c r="G831" t="s">
        <v>26</v>
      </c>
      <c r="H831" t="s">
        <v>21</v>
      </c>
      <c r="I831" t="s">
        <v>20</v>
      </c>
      <c r="J831" t="s">
        <v>20</v>
      </c>
      <c r="K831" t="s">
        <v>27</v>
      </c>
      <c r="L831" t="s">
        <v>337</v>
      </c>
      <c r="M831" t="s">
        <v>214</v>
      </c>
      <c r="N831">
        <v>38.520107000000003</v>
      </c>
      <c r="O831">
        <v>-112.266025</v>
      </c>
      <c r="P831">
        <v>5740.8904519999996</v>
      </c>
      <c r="Q831">
        <v>1384</v>
      </c>
      <c r="R831">
        <v>0</v>
      </c>
    </row>
    <row r="832" spans="1:18" x14ac:dyDescent="0.25">
      <c r="A832">
        <v>831</v>
      </c>
      <c r="B832">
        <v>94</v>
      </c>
      <c r="C832" t="e">
        <f>-Iov6GkkHUu-Z2JJsSvKoF</f>
        <v>#NAME?</v>
      </c>
      <c r="D832" t="s">
        <v>176</v>
      </c>
      <c r="E832">
        <v>14.803000000000001</v>
      </c>
      <c r="F832" t="s">
        <v>21</v>
      </c>
      <c r="G832" t="s">
        <v>361</v>
      </c>
      <c r="H832" t="s">
        <v>21</v>
      </c>
      <c r="I832" t="s">
        <v>20</v>
      </c>
      <c r="J832" t="s">
        <v>20</v>
      </c>
      <c r="K832" t="s">
        <v>41</v>
      </c>
      <c r="L832" t="s">
        <v>181</v>
      </c>
      <c r="M832" t="s">
        <v>178</v>
      </c>
      <c r="N832">
        <v>41.636794000000002</v>
      </c>
      <c r="O832">
        <v>-112.128736</v>
      </c>
      <c r="P832">
        <v>4218.1537420000004</v>
      </c>
      <c r="Q832">
        <v>1329</v>
      </c>
      <c r="R832">
        <v>0</v>
      </c>
    </row>
    <row r="833" spans="1:18" x14ac:dyDescent="0.25">
      <c r="A833">
        <v>832</v>
      </c>
      <c r="B833">
        <v>94</v>
      </c>
      <c r="C833">
        <v>31505376</v>
      </c>
      <c r="D833" t="s">
        <v>224</v>
      </c>
      <c r="E833">
        <v>14.808</v>
      </c>
      <c r="F833" t="s">
        <v>21</v>
      </c>
      <c r="G833" t="s">
        <v>26</v>
      </c>
      <c r="H833" t="s">
        <v>21</v>
      </c>
      <c r="I833" t="s">
        <v>20</v>
      </c>
      <c r="J833" t="s">
        <v>20</v>
      </c>
      <c r="K833" t="s">
        <v>22</v>
      </c>
      <c r="L833" t="s">
        <v>140</v>
      </c>
      <c r="M833" t="s">
        <v>194</v>
      </c>
      <c r="N833">
        <v>40.094746000000001</v>
      </c>
      <c r="O833">
        <v>-111.61135299999999</v>
      </c>
      <c r="P833">
        <v>4694.7041330000002</v>
      </c>
      <c r="Q833">
        <v>408</v>
      </c>
      <c r="R833">
        <v>0</v>
      </c>
    </row>
    <row r="834" spans="1:18" x14ac:dyDescent="0.25">
      <c r="A834">
        <v>833</v>
      </c>
      <c r="B834">
        <v>94</v>
      </c>
      <c r="C834">
        <v>31291562</v>
      </c>
      <c r="D834" t="s">
        <v>315</v>
      </c>
      <c r="E834">
        <v>14.811999999999999</v>
      </c>
      <c r="F834" t="s">
        <v>21</v>
      </c>
      <c r="G834" t="s">
        <v>20</v>
      </c>
      <c r="H834" t="s">
        <v>21</v>
      </c>
      <c r="I834" t="s">
        <v>20</v>
      </c>
      <c r="J834" t="s">
        <v>20</v>
      </c>
      <c r="K834" t="s">
        <v>27</v>
      </c>
      <c r="L834" t="s">
        <v>111</v>
      </c>
      <c r="M834" t="s">
        <v>243</v>
      </c>
      <c r="N834">
        <v>39.254384999999999</v>
      </c>
      <c r="O834">
        <v>-111.097325</v>
      </c>
      <c r="P834">
        <v>5939.325135</v>
      </c>
      <c r="Q834">
        <v>307</v>
      </c>
      <c r="R834">
        <v>0</v>
      </c>
    </row>
    <row r="835" spans="1:18" x14ac:dyDescent="0.25">
      <c r="A835">
        <v>834</v>
      </c>
      <c r="B835">
        <v>94</v>
      </c>
      <c r="C835">
        <v>31521470</v>
      </c>
      <c r="D835" t="s">
        <v>309</v>
      </c>
      <c r="E835">
        <v>14.826000000000001</v>
      </c>
      <c r="F835" t="s">
        <v>21</v>
      </c>
      <c r="G835" t="s">
        <v>26</v>
      </c>
      <c r="H835" t="s">
        <v>21</v>
      </c>
      <c r="I835" t="s">
        <v>20</v>
      </c>
      <c r="J835" t="s">
        <v>20</v>
      </c>
      <c r="K835" t="s">
        <v>22</v>
      </c>
      <c r="L835" t="s">
        <v>140</v>
      </c>
      <c r="M835" t="s">
        <v>125</v>
      </c>
      <c r="N835">
        <v>40.115560000000002</v>
      </c>
      <c r="O835">
        <v>-111.603807</v>
      </c>
      <c r="P835">
        <v>4663.3805229999998</v>
      </c>
      <c r="Q835">
        <v>339</v>
      </c>
      <c r="R835">
        <v>0</v>
      </c>
    </row>
    <row r="836" spans="1:18" x14ac:dyDescent="0.25">
      <c r="A836">
        <v>835</v>
      </c>
      <c r="B836">
        <v>94</v>
      </c>
      <c r="C836">
        <v>31290501</v>
      </c>
      <c r="D836" t="s">
        <v>315</v>
      </c>
      <c r="E836">
        <v>14.83</v>
      </c>
      <c r="F836" t="s">
        <v>21</v>
      </c>
      <c r="G836" t="s">
        <v>26</v>
      </c>
      <c r="H836" t="s">
        <v>21</v>
      </c>
      <c r="I836" t="s">
        <v>20</v>
      </c>
      <c r="J836" t="s">
        <v>20</v>
      </c>
      <c r="K836" t="s">
        <v>27</v>
      </c>
      <c r="L836" t="s">
        <v>111</v>
      </c>
      <c r="M836" t="s">
        <v>243</v>
      </c>
      <c r="N836">
        <v>39.254223000000003</v>
      </c>
      <c r="O836">
        <v>-111.097059</v>
      </c>
      <c r="P836">
        <v>5936.1795480000001</v>
      </c>
      <c r="Q836">
        <v>307</v>
      </c>
      <c r="R836">
        <v>0</v>
      </c>
    </row>
    <row r="837" spans="1:18" x14ac:dyDescent="0.25">
      <c r="A837">
        <v>836</v>
      </c>
      <c r="B837">
        <v>94</v>
      </c>
      <c r="C837">
        <v>31768844</v>
      </c>
      <c r="D837" t="s">
        <v>118</v>
      </c>
      <c r="E837">
        <v>70.951999999999998</v>
      </c>
      <c r="F837" t="s">
        <v>21</v>
      </c>
      <c r="G837" t="s">
        <v>20</v>
      </c>
      <c r="H837" t="s">
        <v>21</v>
      </c>
      <c r="I837" t="s">
        <v>20</v>
      </c>
      <c r="J837" t="s">
        <v>20</v>
      </c>
      <c r="K837" t="s">
        <v>22</v>
      </c>
      <c r="L837" t="s">
        <v>253</v>
      </c>
      <c r="M837" t="s">
        <v>120</v>
      </c>
      <c r="N837">
        <v>40.193055000000001</v>
      </c>
      <c r="O837">
        <v>-110.68343400000001</v>
      </c>
      <c r="P837">
        <v>6730.0461519999999</v>
      </c>
      <c r="Q837">
        <v>310</v>
      </c>
      <c r="R837">
        <v>0</v>
      </c>
    </row>
    <row r="838" spans="1:18" x14ac:dyDescent="0.25">
      <c r="A838">
        <v>837</v>
      </c>
      <c r="B838">
        <v>94</v>
      </c>
      <c r="C838">
        <v>31358240</v>
      </c>
      <c r="D838" t="s">
        <v>288</v>
      </c>
      <c r="E838">
        <v>70.963999999999999</v>
      </c>
      <c r="F838" t="s">
        <v>21</v>
      </c>
      <c r="G838" t="s">
        <v>20</v>
      </c>
      <c r="H838" t="s">
        <v>21</v>
      </c>
      <c r="I838" t="s">
        <v>20</v>
      </c>
      <c r="J838" t="s">
        <v>20</v>
      </c>
      <c r="K838" t="s">
        <v>27</v>
      </c>
      <c r="L838" t="s">
        <v>146</v>
      </c>
      <c r="M838" t="s">
        <v>147</v>
      </c>
      <c r="N838">
        <v>37.860855999999998</v>
      </c>
      <c r="O838">
        <v>-109.338757</v>
      </c>
      <c r="P838">
        <v>6886.6301460000004</v>
      </c>
      <c r="Q838">
        <v>350</v>
      </c>
      <c r="R838">
        <v>0</v>
      </c>
    </row>
    <row r="839" spans="1:18" x14ac:dyDescent="0.25">
      <c r="A839">
        <v>838</v>
      </c>
      <c r="B839">
        <v>94</v>
      </c>
      <c r="C839">
        <v>31845312</v>
      </c>
      <c r="D839" t="s">
        <v>272</v>
      </c>
      <c r="E839">
        <v>64.516999999999996</v>
      </c>
      <c r="F839" t="s">
        <v>21</v>
      </c>
      <c r="G839" t="s">
        <v>26</v>
      </c>
      <c r="H839" t="s">
        <v>21</v>
      </c>
      <c r="I839" t="s">
        <v>20</v>
      </c>
      <c r="J839" t="s">
        <v>20</v>
      </c>
      <c r="K839" t="s">
        <v>27</v>
      </c>
      <c r="L839" t="s">
        <v>259</v>
      </c>
      <c r="M839" t="s">
        <v>214</v>
      </c>
      <c r="N839">
        <v>37.04813</v>
      </c>
      <c r="O839">
        <v>-112.532848</v>
      </c>
      <c r="P839">
        <v>4877.0099</v>
      </c>
      <c r="Q839">
        <v>1384</v>
      </c>
      <c r="R839">
        <v>0</v>
      </c>
    </row>
    <row r="840" spans="1:18" x14ac:dyDescent="0.25">
      <c r="A840">
        <v>839</v>
      </c>
      <c r="B840">
        <v>94</v>
      </c>
      <c r="C840">
        <v>1040255</v>
      </c>
      <c r="D840" t="s">
        <v>171</v>
      </c>
      <c r="E840">
        <v>7.7789999999999999</v>
      </c>
      <c r="F840" t="s">
        <v>19</v>
      </c>
      <c r="G840" t="s">
        <v>20</v>
      </c>
      <c r="H840" t="s">
        <v>21</v>
      </c>
      <c r="I840" t="s">
        <v>20</v>
      </c>
      <c r="J840" t="s">
        <v>20</v>
      </c>
      <c r="K840" t="s">
        <v>31</v>
      </c>
      <c r="L840" t="s">
        <v>362</v>
      </c>
      <c r="M840" t="s">
        <v>79</v>
      </c>
      <c r="N840">
        <v>40.696612999999999</v>
      </c>
      <c r="O840">
        <v>-111.943517</v>
      </c>
      <c r="P840">
        <v>4193.7019410000003</v>
      </c>
      <c r="Q840">
        <v>346</v>
      </c>
      <c r="R840">
        <v>0</v>
      </c>
    </row>
    <row r="841" spans="1:18" x14ac:dyDescent="0.25">
      <c r="A841">
        <v>840</v>
      </c>
      <c r="B841">
        <v>94</v>
      </c>
      <c r="C841">
        <v>31313618</v>
      </c>
      <c r="D841" t="s">
        <v>215</v>
      </c>
      <c r="E841">
        <v>7.7789999999999999</v>
      </c>
      <c r="F841" t="s">
        <v>21</v>
      </c>
      <c r="G841" t="s">
        <v>26</v>
      </c>
      <c r="H841" t="s">
        <v>21</v>
      </c>
      <c r="I841" t="s">
        <v>20</v>
      </c>
      <c r="J841" t="s">
        <v>20</v>
      </c>
      <c r="K841" t="s">
        <v>22</v>
      </c>
      <c r="L841" t="s">
        <v>23</v>
      </c>
      <c r="M841" t="s">
        <v>85</v>
      </c>
      <c r="N841">
        <v>40.314571000000001</v>
      </c>
      <c r="O841">
        <v>-111.735156</v>
      </c>
      <c r="P841">
        <v>4504.287112</v>
      </c>
      <c r="Q841">
        <v>330</v>
      </c>
      <c r="R841">
        <v>0</v>
      </c>
    </row>
    <row r="842" spans="1:18" x14ac:dyDescent="0.25">
      <c r="A842">
        <v>841</v>
      </c>
      <c r="B842">
        <v>94</v>
      </c>
      <c r="C842">
        <v>1376239</v>
      </c>
      <c r="D842" t="s">
        <v>363</v>
      </c>
      <c r="E842">
        <v>7.7869999999999999</v>
      </c>
      <c r="F842" t="s">
        <v>21</v>
      </c>
      <c r="G842" t="s">
        <v>26</v>
      </c>
      <c r="H842" t="s">
        <v>21</v>
      </c>
      <c r="I842" t="s">
        <v>20</v>
      </c>
      <c r="J842" t="s">
        <v>20</v>
      </c>
      <c r="K842" t="s">
        <v>41</v>
      </c>
      <c r="L842" t="s">
        <v>95</v>
      </c>
      <c r="M842" t="s">
        <v>73</v>
      </c>
      <c r="N842">
        <v>41.838712999999998</v>
      </c>
      <c r="O842">
        <v>-111.841076</v>
      </c>
      <c r="P842">
        <v>4511.3273929999996</v>
      </c>
      <c r="Q842">
        <v>356</v>
      </c>
      <c r="R842">
        <v>0</v>
      </c>
    </row>
    <row r="843" spans="1:18" x14ac:dyDescent="0.25">
      <c r="A843">
        <v>842</v>
      </c>
      <c r="B843">
        <v>94</v>
      </c>
      <c r="C843">
        <v>1014366</v>
      </c>
      <c r="D843" t="s">
        <v>65</v>
      </c>
      <c r="E843">
        <v>7.79</v>
      </c>
      <c r="F843" t="s">
        <v>21</v>
      </c>
      <c r="G843" t="s">
        <v>26</v>
      </c>
      <c r="H843" t="s">
        <v>21</v>
      </c>
      <c r="I843" t="s">
        <v>20</v>
      </c>
      <c r="J843" t="s">
        <v>20</v>
      </c>
      <c r="K843" t="s">
        <v>31</v>
      </c>
      <c r="L843" t="s">
        <v>188</v>
      </c>
      <c r="M843" t="s">
        <v>67</v>
      </c>
      <c r="N843">
        <v>40.728333999999997</v>
      </c>
      <c r="O843">
        <v>-111.81654</v>
      </c>
      <c r="P843">
        <v>4699.8052159999997</v>
      </c>
      <c r="Q843">
        <v>402</v>
      </c>
      <c r="R843">
        <v>0</v>
      </c>
    </row>
    <row r="844" spans="1:18" x14ac:dyDescent="0.25">
      <c r="A844">
        <v>843</v>
      </c>
      <c r="B844">
        <v>94</v>
      </c>
      <c r="C844">
        <v>27508201</v>
      </c>
      <c r="D844" t="s">
        <v>96</v>
      </c>
      <c r="E844">
        <v>7.8040000000000003</v>
      </c>
      <c r="F844" t="s">
        <v>21</v>
      </c>
      <c r="G844" t="s">
        <v>26</v>
      </c>
      <c r="H844" t="s">
        <v>21</v>
      </c>
      <c r="I844" t="s">
        <v>20</v>
      </c>
      <c r="J844" t="s">
        <v>20</v>
      </c>
      <c r="K844" t="s">
        <v>22</v>
      </c>
      <c r="L844" t="s">
        <v>97</v>
      </c>
      <c r="M844" t="s">
        <v>98</v>
      </c>
      <c r="N844">
        <v>40.988249000000003</v>
      </c>
      <c r="O844">
        <v>-109.725139</v>
      </c>
      <c r="P844">
        <v>6326.4745000000003</v>
      </c>
      <c r="Q844">
        <v>311</v>
      </c>
      <c r="R844">
        <v>0</v>
      </c>
    </row>
    <row r="845" spans="1:18" x14ac:dyDescent="0.25">
      <c r="A845">
        <v>844</v>
      </c>
      <c r="B845">
        <v>94</v>
      </c>
      <c r="C845">
        <v>31389569</v>
      </c>
      <c r="D845" t="s">
        <v>364</v>
      </c>
      <c r="E845">
        <v>7.8159999999999998</v>
      </c>
      <c r="F845" t="s">
        <v>21</v>
      </c>
      <c r="G845" t="s">
        <v>26</v>
      </c>
      <c r="H845" t="s">
        <v>21</v>
      </c>
      <c r="I845" t="s">
        <v>20</v>
      </c>
      <c r="J845" t="s">
        <v>20</v>
      </c>
      <c r="K845" t="s">
        <v>22</v>
      </c>
      <c r="L845" t="s">
        <v>140</v>
      </c>
      <c r="M845" t="s">
        <v>85</v>
      </c>
      <c r="N845">
        <v>40.108006000000003</v>
      </c>
      <c r="O845">
        <v>-111.662927</v>
      </c>
      <c r="P845">
        <v>4518.9141399999999</v>
      </c>
      <c r="Q845">
        <v>1401</v>
      </c>
      <c r="R845">
        <v>0</v>
      </c>
    </row>
    <row r="846" spans="1:18" x14ac:dyDescent="0.25">
      <c r="A846">
        <v>845</v>
      </c>
      <c r="B846">
        <v>94</v>
      </c>
      <c r="C846">
        <v>1497619</v>
      </c>
      <c r="D846" t="s">
        <v>88</v>
      </c>
      <c r="E846">
        <v>7.8159999999999998</v>
      </c>
      <c r="F846" t="s">
        <v>21</v>
      </c>
      <c r="G846" t="s">
        <v>26</v>
      </c>
      <c r="H846" t="s">
        <v>21</v>
      </c>
      <c r="I846" t="s">
        <v>20</v>
      </c>
      <c r="J846" t="s">
        <v>20</v>
      </c>
      <c r="K846" t="s">
        <v>31</v>
      </c>
      <c r="L846" t="s">
        <v>89</v>
      </c>
      <c r="M846" t="s">
        <v>90</v>
      </c>
      <c r="N846">
        <v>40.553044999999997</v>
      </c>
      <c r="O846">
        <v>-111.872236</v>
      </c>
      <c r="P846">
        <v>4495.4479250000004</v>
      </c>
      <c r="Q846">
        <v>318</v>
      </c>
      <c r="R846">
        <v>0</v>
      </c>
    </row>
    <row r="847" spans="1:18" x14ac:dyDescent="0.25">
      <c r="A847">
        <v>846</v>
      </c>
      <c r="B847">
        <v>94</v>
      </c>
      <c r="C847">
        <v>1014373</v>
      </c>
      <c r="D847" t="s">
        <v>65</v>
      </c>
      <c r="E847">
        <v>7.8179999999999996</v>
      </c>
      <c r="F847" t="s">
        <v>21</v>
      </c>
      <c r="G847" t="s">
        <v>26</v>
      </c>
      <c r="H847" t="s">
        <v>21</v>
      </c>
      <c r="I847" t="s">
        <v>20</v>
      </c>
      <c r="J847" t="s">
        <v>20</v>
      </c>
      <c r="K847" t="s">
        <v>31</v>
      </c>
      <c r="L847" t="s">
        <v>188</v>
      </c>
      <c r="M847" t="s">
        <v>67</v>
      </c>
      <c r="N847">
        <v>40.727970999999997</v>
      </c>
      <c r="O847">
        <v>-111.81629100000001</v>
      </c>
      <c r="P847">
        <v>4702.0397149999999</v>
      </c>
      <c r="Q847">
        <v>402</v>
      </c>
      <c r="R847">
        <v>0</v>
      </c>
    </row>
    <row r="848" spans="1:18" x14ac:dyDescent="0.25">
      <c r="A848">
        <v>847</v>
      </c>
      <c r="B848">
        <v>94</v>
      </c>
      <c r="C848">
        <v>31732717</v>
      </c>
      <c r="D848" t="s">
        <v>290</v>
      </c>
      <c r="E848">
        <v>7.8280000000000003</v>
      </c>
      <c r="F848" t="s">
        <v>21</v>
      </c>
      <c r="G848" t="s">
        <v>20</v>
      </c>
      <c r="H848" t="s">
        <v>21</v>
      </c>
      <c r="I848" t="s">
        <v>20</v>
      </c>
      <c r="J848" t="s">
        <v>20</v>
      </c>
      <c r="K848" t="s">
        <v>41</v>
      </c>
      <c r="L848" t="s">
        <v>291</v>
      </c>
      <c r="M848" t="s">
        <v>238</v>
      </c>
      <c r="N848">
        <v>41.419590999999997</v>
      </c>
      <c r="O848">
        <v>-113.90689999999999</v>
      </c>
      <c r="P848">
        <v>4657.2661029999999</v>
      </c>
      <c r="Q848">
        <v>1343</v>
      </c>
      <c r="R848">
        <v>0</v>
      </c>
    </row>
    <row r="849" spans="1:18" x14ac:dyDescent="0.25">
      <c r="A849">
        <v>848</v>
      </c>
      <c r="B849">
        <v>94</v>
      </c>
      <c r="C849">
        <v>853271</v>
      </c>
      <c r="D849" t="s">
        <v>68</v>
      </c>
      <c r="E849">
        <v>7.8289999999999997</v>
      </c>
      <c r="F849" t="s">
        <v>21</v>
      </c>
      <c r="G849" t="s">
        <v>26</v>
      </c>
      <c r="H849" t="s">
        <v>21</v>
      </c>
      <c r="I849" t="s">
        <v>20</v>
      </c>
      <c r="J849" t="s">
        <v>20</v>
      </c>
      <c r="K849" t="s">
        <v>31</v>
      </c>
      <c r="L849" t="s">
        <v>32</v>
      </c>
      <c r="M849" t="s">
        <v>70</v>
      </c>
      <c r="N849">
        <v>40.674965999999998</v>
      </c>
      <c r="O849">
        <v>-111.807014</v>
      </c>
      <c r="P849">
        <v>4715.0094859999999</v>
      </c>
      <c r="Q849">
        <v>431</v>
      </c>
      <c r="R849">
        <v>0</v>
      </c>
    </row>
    <row r="850" spans="1:18" x14ac:dyDescent="0.25">
      <c r="A850">
        <v>849</v>
      </c>
      <c r="B850">
        <v>94</v>
      </c>
      <c r="C850">
        <v>1374162</v>
      </c>
      <c r="D850" t="s">
        <v>363</v>
      </c>
      <c r="E850">
        <v>6.6029999999999998</v>
      </c>
      <c r="F850" t="s">
        <v>21</v>
      </c>
      <c r="G850" t="s">
        <v>26</v>
      </c>
      <c r="H850" t="s">
        <v>21</v>
      </c>
      <c r="I850" t="s">
        <v>20</v>
      </c>
      <c r="J850" t="s">
        <v>20</v>
      </c>
      <c r="K850" t="s">
        <v>41</v>
      </c>
      <c r="L850" t="s">
        <v>95</v>
      </c>
      <c r="M850" t="s">
        <v>73</v>
      </c>
      <c r="N850">
        <v>41.838794</v>
      </c>
      <c r="O850">
        <v>-111.863967</v>
      </c>
      <c r="P850">
        <v>4422.8344139999999</v>
      </c>
      <c r="Q850">
        <v>356</v>
      </c>
      <c r="R850">
        <v>0</v>
      </c>
    </row>
    <row r="851" spans="1:18" x14ac:dyDescent="0.25">
      <c r="A851">
        <v>850</v>
      </c>
      <c r="B851">
        <v>94</v>
      </c>
      <c r="C851">
        <v>567093</v>
      </c>
      <c r="D851" t="s">
        <v>115</v>
      </c>
      <c r="E851">
        <v>6.6079999999999997</v>
      </c>
      <c r="F851" t="s">
        <v>21</v>
      </c>
      <c r="G851" t="s">
        <v>26</v>
      </c>
      <c r="H851" t="s">
        <v>21</v>
      </c>
      <c r="I851" t="s">
        <v>20</v>
      </c>
      <c r="J851" t="s">
        <v>20</v>
      </c>
      <c r="K851" t="s">
        <v>31</v>
      </c>
      <c r="L851" t="s">
        <v>48</v>
      </c>
      <c r="M851" t="s">
        <v>70</v>
      </c>
      <c r="N851">
        <v>40.65305</v>
      </c>
      <c r="O851">
        <v>-111.95137200000001</v>
      </c>
      <c r="P851">
        <v>4310.8574639999997</v>
      </c>
      <c r="Q851">
        <v>1437</v>
      </c>
      <c r="R851">
        <v>0</v>
      </c>
    </row>
    <row r="852" spans="1:18" x14ac:dyDescent="0.25">
      <c r="A852">
        <v>851</v>
      </c>
      <c r="B852">
        <v>94</v>
      </c>
      <c r="C852">
        <v>31259809</v>
      </c>
      <c r="D852" t="s">
        <v>303</v>
      </c>
      <c r="E852">
        <v>6.61</v>
      </c>
      <c r="F852" t="s">
        <v>21</v>
      </c>
      <c r="G852" t="s">
        <v>26</v>
      </c>
      <c r="H852" t="s">
        <v>21</v>
      </c>
      <c r="I852" t="s">
        <v>20</v>
      </c>
      <c r="J852" t="s">
        <v>20</v>
      </c>
      <c r="K852" t="s">
        <v>27</v>
      </c>
      <c r="L852" t="s">
        <v>72</v>
      </c>
      <c r="M852" t="s">
        <v>73</v>
      </c>
      <c r="N852">
        <v>37.173124999999999</v>
      </c>
      <c r="O852">
        <v>-113.34477699999999</v>
      </c>
      <c r="P852">
        <v>3086.7183639999998</v>
      </c>
      <c r="Q852">
        <v>1326</v>
      </c>
      <c r="R852">
        <v>0</v>
      </c>
    </row>
    <row r="853" spans="1:18" x14ac:dyDescent="0.25">
      <c r="A853">
        <v>852</v>
      </c>
      <c r="B853">
        <v>94</v>
      </c>
      <c r="C853" t="e">
        <f>-JXVCRB4Hz5HvmDg20ubfV</f>
        <v>#NAME?</v>
      </c>
      <c r="D853" t="s">
        <v>239</v>
      </c>
      <c r="E853">
        <v>6.6120000000000001</v>
      </c>
      <c r="F853" t="s">
        <v>21</v>
      </c>
      <c r="G853" t="s">
        <v>20</v>
      </c>
      <c r="H853" t="s">
        <v>21</v>
      </c>
      <c r="I853" t="s">
        <v>20</v>
      </c>
      <c r="J853" t="s">
        <v>20</v>
      </c>
      <c r="K853" t="s">
        <v>41</v>
      </c>
      <c r="L853" t="s">
        <v>181</v>
      </c>
      <c r="M853" t="s">
        <v>178</v>
      </c>
      <c r="N853">
        <v>41.665616999999997</v>
      </c>
      <c r="O853">
        <v>-112.296469</v>
      </c>
      <c r="P853">
        <v>4260.5999570000004</v>
      </c>
      <c r="Q853">
        <v>1392</v>
      </c>
      <c r="R853">
        <v>0</v>
      </c>
    </row>
    <row r="854" spans="1:18" x14ac:dyDescent="0.25">
      <c r="A854">
        <v>853</v>
      </c>
      <c r="B854">
        <v>94</v>
      </c>
      <c r="C854" t="e">
        <f>-IpP6FlUIJT1QxMsugyGJF</f>
        <v>#NAME?</v>
      </c>
      <c r="D854" t="s">
        <v>129</v>
      </c>
      <c r="E854">
        <v>6.6150000000000002</v>
      </c>
      <c r="F854" t="s">
        <v>21</v>
      </c>
      <c r="G854" t="s">
        <v>26</v>
      </c>
      <c r="H854" t="s">
        <v>21</v>
      </c>
      <c r="I854" t="s">
        <v>20</v>
      </c>
      <c r="J854" t="s">
        <v>20</v>
      </c>
      <c r="K854" t="s">
        <v>31</v>
      </c>
      <c r="L854" t="s">
        <v>130</v>
      </c>
      <c r="M854" t="s">
        <v>131</v>
      </c>
      <c r="N854">
        <v>40.629818999999998</v>
      </c>
      <c r="O854">
        <v>-111.17715099999999</v>
      </c>
      <c r="P854">
        <v>7104.7947260000001</v>
      </c>
      <c r="Q854">
        <v>340</v>
      </c>
      <c r="R854">
        <v>0</v>
      </c>
    </row>
    <row r="855" spans="1:18" x14ac:dyDescent="0.25">
      <c r="A855">
        <v>854</v>
      </c>
      <c r="B855">
        <v>94</v>
      </c>
      <c r="C855">
        <v>31302309</v>
      </c>
      <c r="D855" t="s">
        <v>116</v>
      </c>
      <c r="E855">
        <v>6.6159999999999997</v>
      </c>
      <c r="F855" t="s">
        <v>21</v>
      </c>
      <c r="G855" t="s">
        <v>26</v>
      </c>
      <c r="H855" t="s">
        <v>21</v>
      </c>
      <c r="I855" t="s">
        <v>20</v>
      </c>
      <c r="J855" t="s">
        <v>20</v>
      </c>
      <c r="K855" t="s">
        <v>41</v>
      </c>
      <c r="L855" t="s">
        <v>177</v>
      </c>
      <c r="M855" t="s">
        <v>43</v>
      </c>
      <c r="N855">
        <v>41.507283999999999</v>
      </c>
      <c r="O855">
        <v>-111.94547900000001</v>
      </c>
      <c r="P855">
        <v>5142.7852860000003</v>
      </c>
      <c r="Q855">
        <v>324</v>
      </c>
      <c r="R855">
        <v>0</v>
      </c>
    </row>
    <row r="856" spans="1:18" x14ac:dyDescent="0.25">
      <c r="A856">
        <v>855</v>
      </c>
      <c r="B856">
        <v>94</v>
      </c>
      <c r="C856">
        <v>31370085</v>
      </c>
      <c r="D856" t="s">
        <v>345</v>
      </c>
      <c r="E856">
        <v>6.6189999999999998</v>
      </c>
      <c r="F856" t="s">
        <v>21</v>
      </c>
      <c r="G856" t="s">
        <v>26</v>
      </c>
      <c r="H856" t="s">
        <v>21</v>
      </c>
      <c r="I856" t="s">
        <v>20</v>
      </c>
      <c r="J856" t="s">
        <v>20</v>
      </c>
      <c r="K856" t="s">
        <v>27</v>
      </c>
      <c r="L856" t="s">
        <v>75</v>
      </c>
      <c r="M856" t="s">
        <v>76</v>
      </c>
      <c r="N856">
        <v>38.638885000000002</v>
      </c>
      <c r="O856">
        <v>-112.121441</v>
      </c>
      <c r="P856">
        <v>5289.8008870000003</v>
      </c>
      <c r="Q856">
        <v>1403</v>
      </c>
      <c r="R856">
        <v>0</v>
      </c>
    </row>
    <row r="857" spans="1:18" x14ac:dyDescent="0.25">
      <c r="A857">
        <v>856</v>
      </c>
      <c r="B857">
        <v>94</v>
      </c>
      <c r="C857">
        <v>769740</v>
      </c>
      <c r="D857" t="s">
        <v>44</v>
      </c>
      <c r="E857">
        <v>6.6210000000000004</v>
      </c>
      <c r="F857" t="s">
        <v>21</v>
      </c>
      <c r="G857" t="s">
        <v>26</v>
      </c>
      <c r="H857" t="s">
        <v>21</v>
      </c>
      <c r="I857" t="s">
        <v>20</v>
      </c>
      <c r="J857" t="s">
        <v>20</v>
      </c>
      <c r="K857" t="s">
        <v>41</v>
      </c>
      <c r="L857" t="s">
        <v>87</v>
      </c>
      <c r="M857" t="s">
        <v>46</v>
      </c>
      <c r="N857">
        <v>40.972929999999998</v>
      </c>
      <c r="O857">
        <v>-111.883318</v>
      </c>
      <c r="P857">
        <v>4293.203673</v>
      </c>
      <c r="Q857">
        <v>1395</v>
      </c>
      <c r="R857">
        <v>0</v>
      </c>
    </row>
    <row r="858" spans="1:18" x14ac:dyDescent="0.25">
      <c r="A858">
        <v>857</v>
      </c>
      <c r="B858">
        <v>94</v>
      </c>
      <c r="C858">
        <v>31714954</v>
      </c>
      <c r="D858" t="s">
        <v>244</v>
      </c>
      <c r="E858">
        <v>68.141999999999996</v>
      </c>
      <c r="F858" t="s">
        <v>21</v>
      </c>
      <c r="G858" t="s">
        <v>26</v>
      </c>
      <c r="H858" t="s">
        <v>21</v>
      </c>
      <c r="I858" t="s">
        <v>20</v>
      </c>
      <c r="J858" t="s">
        <v>20</v>
      </c>
      <c r="K858" t="s">
        <v>27</v>
      </c>
      <c r="L858" t="s">
        <v>266</v>
      </c>
      <c r="M858" t="s">
        <v>270</v>
      </c>
      <c r="N858">
        <v>38.299059</v>
      </c>
      <c r="O858">
        <v>-111.427635</v>
      </c>
      <c r="P858">
        <v>6788.6430309999996</v>
      </c>
      <c r="Q858">
        <v>1340</v>
      </c>
      <c r="R858">
        <v>0</v>
      </c>
    </row>
    <row r="859" spans="1:18" x14ac:dyDescent="0.25">
      <c r="A859">
        <v>858</v>
      </c>
      <c r="B859">
        <v>94</v>
      </c>
      <c r="C859">
        <v>31334006</v>
      </c>
      <c r="D859" t="s">
        <v>241</v>
      </c>
      <c r="E859">
        <v>68.183000000000007</v>
      </c>
      <c r="F859" t="s">
        <v>21</v>
      </c>
      <c r="G859" t="s">
        <v>26</v>
      </c>
      <c r="H859" t="s">
        <v>21</v>
      </c>
      <c r="I859" t="s">
        <v>20</v>
      </c>
      <c r="J859" t="s">
        <v>20</v>
      </c>
      <c r="K859" t="s">
        <v>27</v>
      </c>
      <c r="L859" t="s">
        <v>158</v>
      </c>
      <c r="M859" t="s">
        <v>243</v>
      </c>
      <c r="N859">
        <v>39.591746999999998</v>
      </c>
      <c r="O859">
        <v>-110.81122499999999</v>
      </c>
      <c r="P859">
        <v>5454.9498949999997</v>
      </c>
      <c r="Q859">
        <v>1327</v>
      </c>
      <c r="R859">
        <v>0</v>
      </c>
    </row>
    <row r="860" spans="1:18" x14ac:dyDescent="0.25">
      <c r="A860">
        <v>859</v>
      </c>
      <c r="B860">
        <v>94</v>
      </c>
      <c r="C860">
        <v>31514242</v>
      </c>
      <c r="D860" t="s">
        <v>124</v>
      </c>
      <c r="E860">
        <v>68.188999999999993</v>
      </c>
      <c r="F860" t="s">
        <v>19</v>
      </c>
      <c r="G860" t="s">
        <v>20</v>
      </c>
      <c r="H860" t="s">
        <v>21</v>
      </c>
      <c r="I860" t="s">
        <v>20</v>
      </c>
      <c r="J860" t="s">
        <v>20</v>
      </c>
      <c r="K860" t="s">
        <v>41</v>
      </c>
      <c r="L860" t="s">
        <v>45</v>
      </c>
      <c r="M860" t="s">
        <v>365</v>
      </c>
      <c r="N860">
        <v>40.884182000000003</v>
      </c>
      <c r="O860">
        <v>-111.911777</v>
      </c>
      <c r="P860">
        <v>4191.9692789999999</v>
      </c>
      <c r="Q860">
        <v>1368</v>
      </c>
      <c r="R860">
        <v>0</v>
      </c>
    </row>
    <row r="861" spans="1:18" x14ac:dyDescent="0.25">
      <c r="A861">
        <v>860</v>
      </c>
      <c r="B861">
        <v>94</v>
      </c>
      <c r="C861">
        <v>31467603</v>
      </c>
      <c r="D861" t="s">
        <v>319</v>
      </c>
      <c r="E861">
        <v>56.247999999999998</v>
      </c>
      <c r="F861" t="s">
        <v>21</v>
      </c>
      <c r="G861" t="s">
        <v>26</v>
      </c>
      <c r="H861" t="s">
        <v>21</v>
      </c>
      <c r="I861" t="s">
        <v>20</v>
      </c>
      <c r="J861" t="s">
        <v>20</v>
      </c>
      <c r="K861" t="s">
        <v>27</v>
      </c>
      <c r="L861" t="s">
        <v>54</v>
      </c>
      <c r="M861" t="s">
        <v>55</v>
      </c>
      <c r="N861">
        <v>37.684964000000001</v>
      </c>
      <c r="O861">
        <v>-113.15674</v>
      </c>
      <c r="P861">
        <v>5429.8143659999996</v>
      </c>
      <c r="Q861">
        <v>314</v>
      </c>
      <c r="R861">
        <v>0</v>
      </c>
    </row>
    <row r="862" spans="1:18" x14ac:dyDescent="0.25">
      <c r="A862">
        <v>861</v>
      </c>
      <c r="B862">
        <v>94</v>
      </c>
      <c r="C862" t="e">
        <f>-JPGve3bFpXD30hio7aSPV</f>
        <v>#NAME?</v>
      </c>
      <c r="D862" t="s">
        <v>281</v>
      </c>
      <c r="E862">
        <v>56.256</v>
      </c>
      <c r="F862" t="s">
        <v>21</v>
      </c>
      <c r="G862" t="s">
        <v>26</v>
      </c>
      <c r="H862" t="s">
        <v>21</v>
      </c>
      <c r="I862" t="s">
        <v>20</v>
      </c>
      <c r="J862" t="s">
        <v>20</v>
      </c>
      <c r="K862" t="s">
        <v>31</v>
      </c>
      <c r="L862" t="s">
        <v>282</v>
      </c>
      <c r="M862" t="s">
        <v>174</v>
      </c>
      <c r="N862">
        <v>40.558028999999998</v>
      </c>
      <c r="O862">
        <v>-112.29706299999999</v>
      </c>
      <c r="P862">
        <v>4749.3818899999997</v>
      </c>
      <c r="Q862">
        <v>1347</v>
      </c>
      <c r="R862">
        <v>0</v>
      </c>
    </row>
    <row r="863" spans="1:18" x14ac:dyDescent="0.25">
      <c r="A863">
        <v>862</v>
      </c>
      <c r="B863">
        <v>94</v>
      </c>
      <c r="C863">
        <v>31502614</v>
      </c>
      <c r="D863" t="s">
        <v>124</v>
      </c>
      <c r="E863">
        <v>56.323999999999998</v>
      </c>
      <c r="F863" t="s">
        <v>19</v>
      </c>
      <c r="G863" t="s">
        <v>20</v>
      </c>
      <c r="H863" t="s">
        <v>21</v>
      </c>
      <c r="I863" t="s">
        <v>20</v>
      </c>
      <c r="J863" t="s">
        <v>20</v>
      </c>
      <c r="K863" t="s">
        <v>31</v>
      </c>
      <c r="L863" t="s">
        <v>362</v>
      </c>
      <c r="M863" t="s">
        <v>365</v>
      </c>
      <c r="N863">
        <v>40.725917000000003</v>
      </c>
      <c r="O863">
        <v>-111.93897800000001</v>
      </c>
      <c r="P863">
        <v>4183.8526019999999</v>
      </c>
      <c r="Q863">
        <v>1368</v>
      </c>
      <c r="R863">
        <v>0</v>
      </c>
    </row>
    <row r="864" spans="1:18" x14ac:dyDescent="0.25">
      <c r="A864">
        <v>863</v>
      </c>
      <c r="B864">
        <v>94</v>
      </c>
      <c r="C864">
        <v>31817147</v>
      </c>
      <c r="D864" t="s">
        <v>290</v>
      </c>
      <c r="E864">
        <v>56.335999999999999</v>
      </c>
      <c r="F864" t="s">
        <v>21</v>
      </c>
      <c r="G864" t="s">
        <v>20</v>
      </c>
      <c r="H864" t="s">
        <v>21</v>
      </c>
      <c r="I864" t="s">
        <v>20</v>
      </c>
      <c r="J864" t="s">
        <v>20</v>
      </c>
      <c r="K864" t="s">
        <v>41</v>
      </c>
      <c r="L864" t="s">
        <v>291</v>
      </c>
      <c r="M864" t="s">
        <v>238</v>
      </c>
      <c r="N864">
        <v>41.817104999999998</v>
      </c>
      <c r="O864">
        <v>-113.302189</v>
      </c>
      <c r="P864">
        <v>5484.2125580000002</v>
      </c>
      <c r="Q864">
        <v>1343</v>
      </c>
      <c r="R864">
        <v>0</v>
      </c>
    </row>
    <row r="865" spans="1:18" x14ac:dyDescent="0.25">
      <c r="A865">
        <v>864</v>
      </c>
      <c r="B865">
        <v>94</v>
      </c>
      <c r="C865">
        <v>31747342</v>
      </c>
      <c r="D865" t="s">
        <v>290</v>
      </c>
      <c r="E865">
        <v>56.341999999999999</v>
      </c>
      <c r="F865" t="s">
        <v>21</v>
      </c>
      <c r="G865" t="s">
        <v>20</v>
      </c>
      <c r="H865" t="s">
        <v>21</v>
      </c>
      <c r="I865" t="s">
        <v>20</v>
      </c>
      <c r="J865" t="s">
        <v>20</v>
      </c>
      <c r="K865" t="s">
        <v>41</v>
      </c>
      <c r="L865" t="s">
        <v>291</v>
      </c>
      <c r="M865" t="s">
        <v>238</v>
      </c>
      <c r="N865">
        <v>41.817104999999998</v>
      </c>
      <c r="O865">
        <v>-113.302057</v>
      </c>
      <c r="P865">
        <v>5483.8172130000003</v>
      </c>
      <c r="Q865">
        <v>1343</v>
      </c>
      <c r="R865">
        <v>0</v>
      </c>
    </row>
    <row r="866" spans="1:18" x14ac:dyDescent="0.25">
      <c r="A866">
        <v>865</v>
      </c>
      <c r="B866">
        <v>94</v>
      </c>
      <c r="C866">
        <v>31487358</v>
      </c>
      <c r="D866" t="s">
        <v>213</v>
      </c>
      <c r="E866">
        <v>56.356000000000002</v>
      </c>
      <c r="F866" t="s">
        <v>21</v>
      </c>
      <c r="G866" t="s">
        <v>26</v>
      </c>
      <c r="H866" t="s">
        <v>21</v>
      </c>
      <c r="I866" t="s">
        <v>20</v>
      </c>
      <c r="J866" t="s">
        <v>20</v>
      </c>
      <c r="K866" t="s">
        <v>27</v>
      </c>
      <c r="L866" t="s">
        <v>173</v>
      </c>
      <c r="M866" t="s">
        <v>214</v>
      </c>
      <c r="N866">
        <v>39.139389999999999</v>
      </c>
      <c r="O866">
        <v>-113.087796</v>
      </c>
      <c r="P866">
        <v>4616.9216029999998</v>
      </c>
      <c r="Q866">
        <v>1332</v>
      </c>
      <c r="R866">
        <v>0</v>
      </c>
    </row>
    <row r="867" spans="1:18" x14ac:dyDescent="0.25">
      <c r="A867">
        <v>866</v>
      </c>
      <c r="B867">
        <v>94</v>
      </c>
      <c r="C867">
        <v>31747603</v>
      </c>
      <c r="D867" t="s">
        <v>290</v>
      </c>
      <c r="E867">
        <v>56.405000000000001</v>
      </c>
      <c r="F867" t="s">
        <v>21</v>
      </c>
      <c r="G867" t="s">
        <v>20</v>
      </c>
      <c r="H867" t="s">
        <v>21</v>
      </c>
      <c r="I867" t="s">
        <v>20</v>
      </c>
      <c r="J867" t="s">
        <v>20</v>
      </c>
      <c r="K867" t="s">
        <v>41</v>
      </c>
      <c r="L867" t="s">
        <v>291</v>
      </c>
      <c r="M867" t="s">
        <v>238</v>
      </c>
      <c r="N867">
        <v>41.817112999999999</v>
      </c>
      <c r="O867">
        <v>-113.300826</v>
      </c>
      <c r="P867">
        <v>5477.9575969999996</v>
      </c>
      <c r="Q867">
        <v>1343</v>
      </c>
      <c r="R867">
        <v>0</v>
      </c>
    </row>
    <row r="868" spans="1:18" x14ac:dyDescent="0.25">
      <c r="A868">
        <v>867</v>
      </c>
      <c r="B868">
        <v>94</v>
      </c>
      <c r="C868">
        <v>31467614</v>
      </c>
      <c r="D868" t="s">
        <v>319</v>
      </c>
      <c r="E868">
        <v>56.49</v>
      </c>
      <c r="F868" t="s">
        <v>21</v>
      </c>
      <c r="G868" t="s">
        <v>20</v>
      </c>
      <c r="H868" t="s">
        <v>21</v>
      </c>
      <c r="I868" t="s">
        <v>20</v>
      </c>
      <c r="J868" t="s">
        <v>20</v>
      </c>
      <c r="K868" t="s">
        <v>27</v>
      </c>
      <c r="L868" t="s">
        <v>54</v>
      </c>
      <c r="M868" t="s">
        <v>55</v>
      </c>
      <c r="N868">
        <v>37.684972000000002</v>
      </c>
      <c r="O868">
        <v>-113.152327</v>
      </c>
      <c r="P868">
        <v>5434.7117749999998</v>
      </c>
      <c r="Q868">
        <v>314</v>
      </c>
      <c r="R868">
        <v>0</v>
      </c>
    </row>
    <row r="869" spans="1:18" x14ac:dyDescent="0.25">
      <c r="A869">
        <v>868</v>
      </c>
      <c r="B869">
        <v>94</v>
      </c>
      <c r="C869">
        <v>31503929</v>
      </c>
      <c r="D869" t="s">
        <v>124</v>
      </c>
      <c r="E869">
        <v>56.52</v>
      </c>
      <c r="F869" t="s">
        <v>21</v>
      </c>
      <c r="G869" t="s">
        <v>26</v>
      </c>
      <c r="H869" t="s">
        <v>21</v>
      </c>
      <c r="I869" t="s">
        <v>20</v>
      </c>
      <c r="J869" t="s">
        <v>20</v>
      </c>
      <c r="K869" t="s">
        <v>31</v>
      </c>
      <c r="L869" t="s">
        <v>362</v>
      </c>
      <c r="M869" t="s">
        <v>365</v>
      </c>
      <c r="N869">
        <v>40.728752</v>
      </c>
      <c r="O869">
        <v>-111.939018</v>
      </c>
      <c r="P869">
        <v>4181.147438</v>
      </c>
      <c r="Q869">
        <v>1368</v>
      </c>
      <c r="R869">
        <v>0</v>
      </c>
    </row>
    <row r="870" spans="1:18" x14ac:dyDescent="0.25">
      <c r="A870">
        <v>869</v>
      </c>
      <c r="B870">
        <v>94</v>
      </c>
      <c r="C870">
        <v>31825488</v>
      </c>
      <c r="D870" t="s">
        <v>272</v>
      </c>
      <c r="E870">
        <v>56.537999999999997</v>
      </c>
      <c r="F870" t="s">
        <v>21</v>
      </c>
      <c r="G870" t="s">
        <v>26</v>
      </c>
      <c r="H870" t="s">
        <v>21</v>
      </c>
      <c r="I870" t="s">
        <v>20</v>
      </c>
      <c r="J870" t="s">
        <v>20</v>
      </c>
      <c r="K870" t="s">
        <v>27</v>
      </c>
      <c r="L870" t="s">
        <v>259</v>
      </c>
      <c r="M870" t="s">
        <v>214</v>
      </c>
      <c r="N870">
        <v>37.030697000000004</v>
      </c>
      <c r="O870">
        <v>-112.400696</v>
      </c>
      <c r="P870">
        <v>5121.6108089999998</v>
      </c>
      <c r="Q870">
        <v>1384</v>
      </c>
      <c r="R870">
        <v>0</v>
      </c>
    </row>
    <row r="871" spans="1:18" x14ac:dyDescent="0.25">
      <c r="A871">
        <v>870</v>
      </c>
      <c r="B871">
        <v>94</v>
      </c>
      <c r="C871">
        <v>31325167</v>
      </c>
      <c r="D871" t="s">
        <v>241</v>
      </c>
      <c r="E871">
        <v>56.6</v>
      </c>
      <c r="F871" t="s">
        <v>21</v>
      </c>
      <c r="G871" t="s">
        <v>26</v>
      </c>
      <c r="H871" t="s">
        <v>19</v>
      </c>
      <c r="I871">
        <v>155</v>
      </c>
      <c r="J871" t="s">
        <v>20</v>
      </c>
      <c r="K871" t="s">
        <v>27</v>
      </c>
      <c r="L871" t="s">
        <v>111</v>
      </c>
      <c r="M871" t="s">
        <v>243</v>
      </c>
      <c r="N871">
        <v>39.433052000000004</v>
      </c>
      <c r="O871">
        <v>-110.867637</v>
      </c>
      <c r="P871">
        <v>5758.4151110000003</v>
      </c>
      <c r="Q871">
        <v>1327</v>
      </c>
      <c r="R871">
        <v>0</v>
      </c>
    </row>
    <row r="872" spans="1:18" x14ac:dyDescent="0.25">
      <c r="A872">
        <v>871</v>
      </c>
      <c r="B872">
        <v>94</v>
      </c>
      <c r="C872" t="e">
        <f>-JRw2yskHUyTjkDvehQFOV</f>
        <v>#NAME?</v>
      </c>
      <c r="D872" t="s">
        <v>288</v>
      </c>
      <c r="E872">
        <v>56.671999999999997</v>
      </c>
      <c r="F872" t="s">
        <v>21</v>
      </c>
      <c r="G872" t="s">
        <v>20</v>
      </c>
      <c r="H872" t="s">
        <v>21</v>
      </c>
      <c r="I872" t="s">
        <v>20</v>
      </c>
      <c r="J872" t="s">
        <v>20</v>
      </c>
      <c r="K872" t="s">
        <v>27</v>
      </c>
      <c r="L872" t="s">
        <v>146</v>
      </c>
      <c r="M872" t="s">
        <v>147</v>
      </c>
      <c r="N872">
        <v>37.685139999999997</v>
      </c>
      <c r="O872">
        <v>-109.432283</v>
      </c>
      <c r="P872">
        <v>6392.4099669999996</v>
      </c>
      <c r="Q872">
        <v>350</v>
      </c>
      <c r="R872">
        <v>0</v>
      </c>
    </row>
    <row r="873" spans="1:18" x14ac:dyDescent="0.25">
      <c r="A873">
        <v>872</v>
      </c>
      <c r="B873">
        <v>94</v>
      </c>
      <c r="C873">
        <v>31508653</v>
      </c>
      <c r="D873" t="s">
        <v>124</v>
      </c>
      <c r="E873">
        <v>59.463999999999999</v>
      </c>
      <c r="F873" t="s">
        <v>19</v>
      </c>
      <c r="G873" t="s">
        <v>20</v>
      </c>
      <c r="H873" t="s">
        <v>21</v>
      </c>
      <c r="I873" t="s">
        <v>20</v>
      </c>
      <c r="J873" t="s">
        <v>20</v>
      </c>
      <c r="K873" t="s">
        <v>31</v>
      </c>
      <c r="L873" t="s">
        <v>362</v>
      </c>
      <c r="M873" t="s">
        <v>365</v>
      </c>
      <c r="N873">
        <v>40.771534000000003</v>
      </c>
      <c r="O873">
        <v>-111.93925</v>
      </c>
      <c r="P873">
        <v>4166.1327670000001</v>
      </c>
      <c r="Q873">
        <v>1368</v>
      </c>
      <c r="R873">
        <v>0</v>
      </c>
    </row>
    <row r="874" spans="1:18" x14ac:dyDescent="0.25">
      <c r="A874">
        <v>873</v>
      </c>
      <c r="B874">
        <v>94</v>
      </c>
      <c r="C874">
        <v>31474401</v>
      </c>
      <c r="D874" t="s">
        <v>319</v>
      </c>
      <c r="E874">
        <v>59.466000000000001</v>
      </c>
      <c r="F874" t="s">
        <v>21</v>
      </c>
      <c r="G874" t="s">
        <v>26</v>
      </c>
      <c r="H874" t="s">
        <v>21</v>
      </c>
      <c r="I874" t="s">
        <v>20</v>
      </c>
      <c r="J874" t="s">
        <v>20</v>
      </c>
      <c r="K874" t="s">
        <v>27</v>
      </c>
      <c r="L874" t="s">
        <v>54</v>
      </c>
      <c r="M874" t="s">
        <v>55</v>
      </c>
      <c r="N874">
        <v>37.684851000000002</v>
      </c>
      <c r="O874">
        <v>-113.098029</v>
      </c>
      <c r="P874">
        <v>5559.9012700000003</v>
      </c>
      <c r="Q874">
        <v>314</v>
      </c>
      <c r="R874">
        <v>0</v>
      </c>
    </row>
    <row r="875" spans="1:18" x14ac:dyDescent="0.25">
      <c r="A875">
        <v>874</v>
      </c>
      <c r="B875">
        <v>94</v>
      </c>
      <c r="C875">
        <v>31584488</v>
      </c>
      <c r="D875" t="s">
        <v>172</v>
      </c>
      <c r="E875">
        <v>59.484999999999999</v>
      </c>
      <c r="F875" t="s">
        <v>21</v>
      </c>
      <c r="G875" t="s">
        <v>26</v>
      </c>
      <c r="H875" t="s">
        <v>21</v>
      </c>
      <c r="I875" t="s">
        <v>20</v>
      </c>
      <c r="J875" t="s">
        <v>20</v>
      </c>
      <c r="K875" t="s">
        <v>27</v>
      </c>
      <c r="L875" t="s">
        <v>230</v>
      </c>
      <c r="M875" t="s">
        <v>174</v>
      </c>
      <c r="N875">
        <v>39.473573999999999</v>
      </c>
      <c r="O875">
        <v>-111.562859</v>
      </c>
      <c r="P875">
        <v>5448.9327359999997</v>
      </c>
      <c r="Q875">
        <v>1411</v>
      </c>
      <c r="R875">
        <v>0</v>
      </c>
    </row>
    <row r="876" spans="1:18" x14ac:dyDescent="0.25">
      <c r="A876">
        <v>875</v>
      </c>
      <c r="B876">
        <v>94</v>
      </c>
      <c r="C876">
        <v>28217719</v>
      </c>
      <c r="D876" t="s">
        <v>220</v>
      </c>
      <c r="E876">
        <v>59.493000000000002</v>
      </c>
      <c r="F876" t="s">
        <v>21</v>
      </c>
      <c r="G876" t="s">
        <v>26</v>
      </c>
      <c r="H876" t="s">
        <v>21</v>
      </c>
      <c r="I876" t="s">
        <v>20</v>
      </c>
      <c r="J876" t="s">
        <v>20</v>
      </c>
      <c r="K876" t="s">
        <v>27</v>
      </c>
      <c r="L876" t="s">
        <v>28</v>
      </c>
      <c r="M876" t="s">
        <v>366</v>
      </c>
      <c r="N876">
        <v>37.770327000000002</v>
      </c>
      <c r="O876">
        <v>-111.600296</v>
      </c>
      <c r="P876">
        <v>5738.2852489999996</v>
      </c>
      <c r="Q876">
        <v>1328</v>
      </c>
      <c r="R876">
        <v>0</v>
      </c>
    </row>
    <row r="877" spans="1:18" x14ac:dyDescent="0.25">
      <c r="A877">
        <v>876</v>
      </c>
      <c r="B877">
        <v>94</v>
      </c>
      <c r="C877">
        <v>31509273</v>
      </c>
      <c r="D877" t="s">
        <v>124</v>
      </c>
      <c r="E877">
        <v>59.558999999999997</v>
      </c>
      <c r="F877" t="s">
        <v>21</v>
      </c>
      <c r="G877" t="s">
        <v>26</v>
      </c>
      <c r="H877" t="s">
        <v>21</v>
      </c>
      <c r="I877" t="s">
        <v>20</v>
      </c>
      <c r="J877" t="s">
        <v>20</v>
      </c>
      <c r="K877" t="s">
        <v>31</v>
      </c>
      <c r="L877" t="s">
        <v>362</v>
      </c>
      <c r="M877" t="s">
        <v>365</v>
      </c>
      <c r="N877">
        <v>40.772917</v>
      </c>
      <c r="O877">
        <v>-111.939284</v>
      </c>
      <c r="P877">
        <v>4165.7342159999998</v>
      </c>
      <c r="Q877">
        <v>1368</v>
      </c>
      <c r="R877">
        <v>0</v>
      </c>
    </row>
    <row r="878" spans="1:18" x14ac:dyDescent="0.25">
      <c r="A878">
        <v>877</v>
      </c>
      <c r="B878">
        <v>94</v>
      </c>
      <c r="C878">
        <v>28217730</v>
      </c>
      <c r="D878" t="s">
        <v>220</v>
      </c>
      <c r="E878">
        <v>59.597999999999999</v>
      </c>
      <c r="F878" t="s">
        <v>21</v>
      </c>
      <c r="G878" t="s">
        <v>26</v>
      </c>
      <c r="H878" t="s">
        <v>21</v>
      </c>
      <c r="I878" t="s">
        <v>20</v>
      </c>
      <c r="J878" t="s">
        <v>20</v>
      </c>
      <c r="K878" t="s">
        <v>27</v>
      </c>
      <c r="L878" t="s">
        <v>28</v>
      </c>
      <c r="M878" t="s">
        <v>366</v>
      </c>
      <c r="N878">
        <v>37.770302999999998</v>
      </c>
      <c r="O878">
        <v>-111.598356</v>
      </c>
      <c r="P878">
        <v>5732.9681579999997</v>
      </c>
      <c r="Q878">
        <v>1328</v>
      </c>
      <c r="R878">
        <v>0</v>
      </c>
    </row>
    <row r="879" spans="1:18" x14ac:dyDescent="0.25">
      <c r="A879">
        <v>878</v>
      </c>
      <c r="B879">
        <v>94</v>
      </c>
      <c r="C879">
        <v>31475362</v>
      </c>
      <c r="D879" t="s">
        <v>319</v>
      </c>
      <c r="E879">
        <v>59.606999999999999</v>
      </c>
      <c r="F879" t="s">
        <v>21</v>
      </c>
      <c r="G879" t="s">
        <v>26</v>
      </c>
      <c r="H879" t="s">
        <v>21</v>
      </c>
      <c r="I879" t="s">
        <v>20</v>
      </c>
      <c r="J879" t="s">
        <v>20</v>
      </c>
      <c r="K879" t="s">
        <v>27</v>
      </c>
      <c r="L879" t="s">
        <v>54</v>
      </c>
      <c r="M879" t="s">
        <v>55</v>
      </c>
      <c r="N879">
        <v>37.684328000000001</v>
      </c>
      <c r="O879">
        <v>-113.095546</v>
      </c>
      <c r="P879">
        <v>5581.3290219999999</v>
      </c>
      <c r="Q879">
        <v>314</v>
      </c>
      <c r="R879">
        <v>0</v>
      </c>
    </row>
    <row r="880" spans="1:18" x14ac:dyDescent="0.25">
      <c r="A880">
        <v>879</v>
      </c>
      <c r="B880">
        <v>94</v>
      </c>
      <c r="C880">
        <v>28218399</v>
      </c>
      <c r="D880" t="s">
        <v>220</v>
      </c>
      <c r="E880">
        <v>59.707000000000001</v>
      </c>
      <c r="F880" t="s">
        <v>21</v>
      </c>
      <c r="G880" t="s">
        <v>26</v>
      </c>
      <c r="H880" t="s">
        <v>21</v>
      </c>
      <c r="I880" t="s">
        <v>20</v>
      </c>
      <c r="J880" t="s">
        <v>20</v>
      </c>
      <c r="K880" t="s">
        <v>27</v>
      </c>
      <c r="L880" t="s">
        <v>28</v>
      </c>
      <c r="M880" t="s">
        <v>366</v>
      </c>
      <c r="N880">
        <v>37.770274000000001</v>
      </c>
      <c r="O880">
        <v>-111.596358</v>
      </c>
      <c r="P880">
        <v>5728.4045219999998</v>
      </c>
      <c r="Q880">
        <v>1328</v>
      </c>
      <c r="R880">
        <v>0</v>
      </c>
    </row>
    <row r="881" spans="1:18" x14ac:dyDescent="0.25">
      <c r="A881">
        <v>880</v>
      </c>
      <c r="B881">
        <v>94</v>
      </c>
      <c r="C881">
        <v>31733887</v>
      </c>
      <c r="D881" t="s">
        <v>118</v>
      </c>
      <c r="E881">
        <v>59.738</v>
      </c>
      <c r="F881" t="s">
        <v>21</v>
      </c>
      <c r="G881" t="s">
        <v>26</v>
      </c>
      <c r="H881" t="s">
        <v>21</v>
      </c>
      <c r="I881" t="s">
        <v>20</v>
      </c>
      <c r="J881" t="s">
        <v>20</v>
      </c>
      <c r="K881" t="s">
        <v>22</v>
      </c>
      <c r="L881" t="s">
        <v>168</v>
      </c>
      <c r="M881" t="s">
        <v>120</v>
      </c>
      <c r="N881">
        <v>40.202406000000003</v>
      </c>
      <c r="O881">
        <v>-110.877905</v>
      </c>
      <c r="P881">
        <v>6717.8049440000004</v>
      </c>
      <c r="Q881">
        <v>310</v>
      </c>
      <c r="R881">
        <v>0</v>
      </c>
    </row>
    <row r="882" spans="1:18" x14ac:dyDescent="0.25">
      <c r="A882">
        <v>881</v>
      </c>
      <c r="B882">
        <v>94</v>
      </c>
      <c r="C882">
        <v>28218967</v>
      </c>
      <c r="D882" t="s">
        <v>220</v>
      </c>
      <c r="E882">
        <v>59.755000000000003</v>
      </c>
      <c r="F882" t="s">
        <v>21</v>
      </c>
      <c r="G882" t="s">
        <v>26</v>
      </c>
      <c r="H882" t="s">
        <v>21</v>
      </c>
      <c r="I882" t="s">
        <v>20</v>
      </c>
      <c r="J882" t="s">
        <v>20</v>
      </c>
      <c r="K882" t="s">
        <v>27</v>
      </c>
      <c r="L882" t="s">
        <v>28</v>
      </c>
      <c r="M882" t="s">
        <v>366</v>
      </c>
      <c r="N882">
        <v>37.770110000000003</v>
      </c>
      <c r="O882">
        <v>-111.595507</v>
      </c>
      <c r="P882">
        <v>5726.2891170000003</v>
      </c>
      <c r="Q882">
        <v>1328</v>
      </c>
      <c r="R882">
        <v>0</v>
      </c>
    </row>
    <row r="883" spans="1:18" x14ac:dyDescent="0.25">
      <c r="A883">
        <v>882</v>
      </c>
      <c r="B883">
        <v>94</v>
      </c>
      <c r="C883">
        <v>31465615</v>
      </c>
      <c r="D883" t="s">
        <v>319</v>
      </c>
      <c r="E883">
        <v>50.722999999999999</v>
      </c>
      <c r="F883" t="s">
        <v>21</v>
      </c>
      <c r="G883" t="s">
        <v>20</v>
      </c>
      <c r="H883" t="s">
        <v>21</v>
      </c>
      <c r="I883" t="s">
        <v>20</v>
      </c>
      <c r="J883" t="s">
        <v>20</v>
      </c>
      <c r="K883" t="s">
        <v>27</v>
      </c>
      <c r="L883" t="s">
        <v>54</v>
      </c>
      <c r="M883" t="s">
        <v>55</v>
      </c>
      <c r="N883">
        <v>37.645510000000002</v>
      </c>
      <c r="O883">
        <v>-113.24391300000001</v>
      </c>
      <c r="P883">
        <v>5557.2437680000003</v>
      </c>
      <c r="Q883">
        <v>314</v>
      </c>
      <c r="R883">
        <v>0</v>
      </c>
    </row>
    <row r="884" spans="1:18" x14ac:dyDescent="0.25">
      <c r="A884">
        <v>883</v>
      </c>
      <c r="B884">
        <v>94</v>
      </c>
      <c r="C884">
        <v>31339024</v>
      </c>
      <c r="D884" t="s">
        <v>288</v>
      </c>
      <c r="E884">
        <v>50.738</v>
      </c>
      <c r="F884" t="s">
        <v>21</v>
      </c>
      <c r="G884" t="s">
        <v>26</v>
      </c>
      <c r="H884" t="s">
        <v>21</v>
      </c>
      <c r="I884" t="s">
        <v>20</v>
      </c>
      <c r="J884" t="s">
        <v>20</v>
      </c>
      <c r="K884" t="s">
        <v>27</v>
      </c>
      <c r="L884" t="s">
        <v>327</v>
      </c>
      <c r="M884" t="s">
        <v>147</v>
      </c>
      <c r="N884">
        <v>37.618265000000001</v>
      </c>
      <c r="O884">
        <v>-109.47797799999999</v>
      </c>
      <c r="P884">
        <v>5989.2114519999996</v>
      </c>
      <c r="Q884">
        <v>350</v>
      </c>
      <c r="R884">
        <v>0</v>
      </c>
    </row>
    <row r="885" spans="1:18" x14ac:dyDescent="0.25">
      <c r="A885">
        <v>884</v>
      </c>
      <c r="B885">
        <v>94</v>
      </c>
      <c r="C885">
        <v>31733865</v>
      </c>
      <c r="D885" t="s">
        <v>118</v>
      </c>
      <c r="E885">
        <v>50.752000000000002</v>
      </c>
      <c r="F885" t="s">
        <v>21</v>
      </c>
      <c r="G885" t="s">
        <v>20</v>
      </c>
      <c r="H885" t="s">
        <v>21</v>
      </c>
      <c r="I885" t="s">
        <v>20</v>
      </c>
      <c r="J885" t="s">
        <v>20</v>
      </c>
      <c r="K885" t="s">
        <v>22</v>
      </c>
      <c r="L885" t="s">
        <v>119</v>
      </c>
      <c r="M885" t="s">
        <v>120</v>
      </c>
      <c r="N885">
        <v>40.183118</v>
      </c>
      <c r="O885">
        <v>-111.02768500000001</v>
      </c>
      <c r="P885">
        <v>7608.9864120000002</v>
      </c>
      <c r="Q885">
        <v>310</v>
      </c>
      <c r="R885">
        <v>0</v>
      </c>
    </row>
    <row r="886" spans="1:18" x14ac:dyDescent="0.25">
      <c r="A886">
        <v>885</v>
      </c>
      <c r="B886">
        <v>94</v>
      </c>
      <c r="C886">
        <v>27644249</v>
      </c>
      <c r="D886" t="s">
        <v>196</v>
      </c>
      <c r="E886">
        <v>0.80700000000000005</v>
      </c>
      <c r="F886" t="s">
        <v>19</v>
      </c>
      <c r="G886" t="s">
        <v>20</v>
      </c>
      <c r="H886" t="s">
        <v>21</v>
      </c>
      <c r="I886" t="s">
        <v>20</v>
      </c>
      <c r="J886" t="s">
        <v>20</v>
      </c>
      <c r="K886" t="s">
        <v>27</v>
      </c>
      <c r="L886" t="s">
        <v>72</v>
      </c>
      <c r="M886" t="s">
        <v>73</v>
      </c>
      <c r="N886">
        <v>37.109892000000002</v>
      </c>
      <c r="O886">
        <v>-113.57906699999999</v>
      </c>
      <c r="P886">
        <v>2672.34537</v>
      </c>
      <c r="Q886">
        <v>308</v>
      </c>
      <c r="R886">
        <v>0</v>
      </c>
    </row>
    <row r="887" spans="1:18" x14ac:dyDescent="0.25">
      <c r="A887">
        <v>886</v>
      </c>
      <c r="B887">
        <v>94</v>
      </c>
      <c r="C887">
        <v>27338891</v>
      </c>
      <c r="D887" t="s">
        <v>185</v>
      </c>
      <c r="E887">
        <v>0.80800000000000005</v>
      </c>
      <c r="F887" t="s">
        <v>21</v>
      </c>
      <c r="G887" t="s">
        <v>26</v>
      </c>
      <c r="H887" t="s">
        <v>21</v>
      </c>
      <c r="I887" t="s">
        <v>20</v>
      </c>
      <c r="J887" t="s">
        <v>20</v>
      </c>
      <c r="K887" t="s">
        <v>41</v>
      </c>
      <c r="L887" t="s">
        <v>57</v>
      </c>
      <c r="M887" t="s">
        <v>58</v>
      </c>
      <c r="N887">
        <v>41.139893000000001</v>
      </c>
      <c r="O887">
        <v>-112.04160299999999</v>
      </c>
      <c r="P887">
        <v>4384.2514369999999</v>
      </c>
      <c r="Q887">
        <v>309</v>
      </c>
      <c r="R887">
        <v>0</v>
      </c>
    </row>
    <row r="888" spans="1:18" x14ac:dyDescent="0.25">
      <c r="A888">
        <v>887</v>
      </c>
      <c r="B888">
        <v>94</v>
      </c>
      <c r="C888">
        <v>1078696</v>
      </c>
      <c r="D888" t="s">
        <v>367</v>
      </c>
      <c r="E888">
        <v>0.80800000000000005</v>
      </c>
      <c r="F888" t="s">
        <v>21</v>
      </c>
      <c r="G888" t="s">
        <v>26</v>
      </c>
      <c r="H888" t="s">
        <v>21</v>
      </c>
      <c r="I888" t="s">
        <v>20</v>
      </c>
      <c r="J888" t="s">
        <v>20</v>
      </c>
      <c r="K888" t="s">
        <v>41</v>
      </c>
      <c r="L888" t="s">
        <v>177</v>
      </c>
      <c r="M888" t="s">
        <v>368</v>
      </c>
      <c r="N888">
        <v>41.421531999999999</v>
      </c>
      <c r="O888">
        <v>-112.05392399999999</v>
      </c>
      <c r="P888">
        <v>4188.835282</v>
      </c>
      <c r="Q888">
        <v>266</v>
      </c>
      <c r="R888">
        <v>0</v>
      </c>
    </row>
    <row r="889" spans="1:18" x14ac:dyDescent="0.25">
      <c r="A889">
        <v>888</v>
      </c>
      <c r="B889">
        <v>94</v>
      </c>
      <c r="C889">
        <v>31387577</v>
      </c>
      <c r="D889" t="s">
        <v>369</v>
      </c>
      <c r="E889">
        <v>0.80900000000000005</v>
      </c>
      <c r="F889" t="s">
        <v>21</v>
      </c>
      <c r="G889" t="s">
        <v>26</v>
      </c>
      <c r="H889" t="s">
        <v>21</v>
      </c>
      <c r="I889" t="s">
        <v>20</v>
      </c>
      <c r="J889" t="s">
        <v>20</v>
      </c>
      <c r="K889" t="s">
        <v>22</v>
      </c>
      <c r="L889" t="s">
        <v>198</v>
      </c>
      <c r="M889" t="s">
        <v>76</v>
      </c>
      <c r="N889">
        <v>40.031337000000001</v>
      </c>
      <c r="O889">
        <v>-111.74333799999999</v>
      </c>
      <c r="P889">
        <v>4599.1027299999996</v>
      </c>
      <c r="Q889">
        <v>347</v>
      </c>
      <c r="R889">
        <v>0</v>
      </c>
    </row>
    <row r="890" spans="1:18" x14ac:dyDescent="0.25">
      <c r="A890">
        <v>889</v>
      </c>
      <c r="B890">
        <v>94</v>
      </c>
      <c r="C890">
        <v>27680685</v>
      </c>
      <c r="D890" t="s">
        <v>217</v>
      </c>
      <c r="E890">
        <v>0.81</v>
      </c>
      <c r="F890" t="s">
        <v>19</v>
      </c>
      <c r="G890" t="s">
        <v>20</v>
      </c>
      <c r="H890" t="s">
        <v>21</v>
      </c>
      <c r="I890" t="s">
        <v>20</v>
      </c>
      <c r="J890" t="s">
        <v>20</v>
      </c>
      <c r="K890" t="s">
        <v>27</v>
      </c>
      <c r="L890" t="s">
        <v>72</v>
      </c>
      <c r="M890" t="s">
        <v>163</v>
      </c>
      <c r="N890">
        <v>37.092761000000003</v>
      </c>
      <c r="O890">
        <v>-113.58610299999999</v>
      </c>
      <c r="P890">
        <v>2529.9940310000002</v>
      </c>
      <c r="Q890">
        <v>304</v>
      </c>
      <c r="R890">
        <v>0</v>
      </c>
    </row>
    <row r="891" spans="1:18" x14ac:dyDescent="0.25">
      <c r="A891">
        <v>890</v>
      </c>
      <c r="B891">
        <v>94</v>
      </c>
      <c r="C891">
        <v>31534856</v>
      </c>
      <c r="D891" t="s">
        <v>53</v>
      </c>
      <c r="E891">
        <v>0.81100000000000005</v>
      </c>
      <c r="F891" t="s">
        <v>21</v>
      </c>
      <c r="G891" t="s">
        <v>26</v>
      </c>
      <c r="H891" t="s">
        <v>21</v>
      </c>
      <c r="I891" t="s">
        <v>20</v>
      </c>
      <c r="J891" t="s">
        <v>20</v>
      </c>
      <c r="K891" t="s">
        <v>27</v>
      </c>
      <c r="L891" t="s">
        <v>54</v>
      </c>
      <c r="M891" t="s">
        <v>55</v>
      </c>
      <c r="N891">
        <v>37.677011999999998</v>
      </c>
      <c r="O891">
        <v>-113.076638</v>
      </c>
      <c r="P891">
        <v>5709.89293</v>
      </c>
      <c r="Q891">
        <v>1285</v>
      </c>
      <c r="R891">
        <v>0</v>
      </c>
    </row>
    <row r="892" spans="1:18" x14ac:dyDescent="0.25">
      <c r="A892">
        <v>891</v>
      </c>
      <c r="B892">
        <v>94</v>
      </c>
      <c r="C892">
        <v>31779696</v>
      </c>
      <c r="D892" t="s">
        <v>61</v>
      </c>
      <c r="E892">
        <v>0.81100000000000005</v>
      </c>
      <c r="F892" t="s">
        <v>19</v>
      </c>
      <c r="G892" t="s">
        <v>20</v>
      </c>
      <c r="H892" t="s">
        <v>21</v>
      </c>
      <c r="I892" t="s">
        <v>20</v>
      </c>
      <c r="J892" t="s">
        <v>20</v>
      </c>
      <c r="K892" t="s">
        <v>22</v>
      </c>
      <c r="L892" t="s">
        <v>23</v>
      </c>
      <c r="M892" t="s">
        <v>62</v>
      </c>
      <c r="N892">
        <v>40.217680999999999</v>
      </c>
      <c r="O892">
        <v>-111.658967</v>
      </c>
      <c r="P892">
        <v>4447.5421829999996</v>
      </c>
      <c r="Q892">
        <v>403</v>
      </c>
      <c r="R892">
        <v>0</v>
      </c>
    </row>
    <row r="893" spans="1:18" x14ac:dyDescent="0.25">
      <c r="A893">
        <v>892</v>
      </c>
      <c r="B893">
        <v>94</v>
      </c>
      <c r="C893">
        <v>2525007</v>
      </c>
      <c r="D893" t="s">
        <v>176</v>
      </c>
      <c r="E893">
        <v>0.81200000000000006</v>
      </c>
      <c r="F893" t="s">
        <v>21</v>
      </c>
      <c r="G893" t="s">
        <v>26</v>
      </c>
      <c r="H893" t="s">
        <v>21</v>
      </c>
      <c r="I893" t="s">
        <v>20</v>
      </c>
      <c r="J893" t="s">
        <v>20</v>
      </c>
      <c r="K893" t="s">
        <v>41</v>
      </c>
      <c r="L893" t="s">
        <v>177</v>
      </c>
      <c r="M893" t="s">
        <v>178</v>
      </c>
      <c r="N893">
        <v>41.498373999999998</v>
      </c>
      <c r="O893">
        <v>-112.016006</v>
      </c>
      <c r="P893">
        <v>4373.215021</v>
      </c>
      <c r="Q893">
        <v>1329</v>
      </c>
      <c r="R893">
        <v>0</v>
      </c>
    </row>
    <row r="894" spans="1:18" x14ac:dyDescent="0.25">
      <c r="A894">
        <v>893</v>
      </c>
      <c r="B894">
        <v>94</v>
      </c>
      <c r="C894">
        <v>1758928</v>
      </c>
      <c r="D894" t="s">
        <v>370</v>
      </c>
      <c r="E894">
        <v>0.81299999999999994</v>
      </c>
      <c r="F894" t="s">
        <v>21</v>
      </c>
      <c r="G894" t="s">
        <v>26</v>
      </c>
      <c r="H894" t="s">
        <v>21</v>
      </c>
      <c r="I894" t="s">
        <v>20</v>
      </c>
      <c r="J894" t="s">
        <v>20</v>
      </c>
      <c r="K894" t="s">
        <v>41</v>
      </c>
      <c r="L894" t="s">
        <v>87</v>
      </c>
      <c r="M894" t="s">
        <v>58</v>
      </c>
      <c r="N894">
        <v>41.161180999999999</v>
      </c>
      <c r="O894">
        <v>-112.007519</v>
      </c>
      <c r="P894">
        <v>4406.6278009999996</v>
      </c>
      <c r="Q894">
        <v>1435</v>
      </c>
      <c r="R894">
        <v>0</v>
      </c>
    </row>
    <row r="895" spans="1:18" x14ac:dyDescent="0.25">
      <c r="A895">
        <v>894</v>
      </c>
      <c r="B895">
        <v>94</v>
      </c>
      <c r="C895" t="s">
        <v>371</v>
      </c>
      <c r="D895" t="s">
        <v>220</v>
      </c>
      <c r="E895">
        <v>0.81399999999999995</v>
      </c>
      <c r="F895" t="s">
        <v>21</v>
      </c>
      <c r="G895" t="s">
        <v>20</v>
      </c>
      <c r="H895" t="s">
        <v>21</v>
      </c>
      <c r="I895" t="s">
        <v>20</v>
      </c>
      <c r="J895" t="s">
        <v>20</v>
      </c>
      <c r="K895" t="s">
        <v>27</v>
      </c>
      <c r="L895" t="s">
        <v>247</v>
      </c>
      <c r="M895" t="s">
        <v>29</v>
      </c>
      <c r="N895">
        <v>37.748651000000002</v>
      </c>
      <c r="O895">
        <v>-112.361964</v>
      </c>
      <c r="P895">
        <v>6763.2622950000004</v>
      </c>
      <c r="Q895">
        <v>1328</v>
      </c>
      <c r="R895">
        <v>0</v>
      </c>
    </row>
    <row r="896" spans="1:18" x14ac:dyDescent="0.25">
      <c r="A896">
        <v>895</v>
      </c>
      <c r="B896">
        <v>94</v>
      </c>
      <c r="C896">
        <v>31529319</v>
      </c>
      <c r="D896" t="s">
        <v>326</v>
      </c>
      <c r="E896">
        <v>0.878</v>
      </c>
      <c r="F896" t="s">
        <v>21</v>
      </c>
      <c r="G896" t="s">
        <v>26</v>
      </c>
      <c r="H896" t="s">
        <v>19</v>
      </c>
      <c r="I896">
        <v>316</v>
      </c>
      <c r="J896" t="s">
        <v>20</v>
      </c>
      <c r="K896" t="s">
        <v>27</v>
      </c>
      <c r="L896" t="s">
        <v>211</v>
      </c>
      <c r="M896" t="s">
        <v>212</v>
      </c>
      <c r="N896">
        <v>37.198844000000001</v>
      </c>
      <c r="O896">
        <v>-109.879041</v>
      </c>
      <c r="P896">
        <v>4612.9403849999999</v>
      </c>
      <c r="Q896">
        <v>256</v>
      </c>
      <c r="R896">
        <v>0</v>
      </c>
    </row>
    <row r="897" spans="1:18" x14ac:dyDescent="0.25">
      <c r="A897">
        <v>896</v>
      </c>
      <c r="B897">
        <v>94</v>
      </c>
      <c r="C897">
        <v>31406003</v>
      </c>
      <c r="D897" t="s">
        <v>74</v>
      </c>
      <c r="E897">
        <v>1.27</v>
      </c>
      <c r="F897" t="s">
        <v>19</v>
      </c>
      <c r="G897" t="s">
        <v>20</v>
      </c>
      <c r="H897" t="s">
        <v>21</v>
      </c>
      <c r="I897" t="s">
        <v>20</v>
      </c>
      <c r="J897" t="s">
        <v>20</v>
      </c>
      <c r="K897" t="s">
        <v>27</v>
      </c>
      <c r="L897" t="s">
        <v>75</v>
      </c>
      <c r="M897" t="s">
        <v>76</v>
      </c>
      <c r="N897">
        <v>38.753222000000001</v>
      </c>
      <c r="O897">
        <v>-112.086243</v>
      </c>
      <c r="P897">
        <v>5225.1606979999997</v>
      </c>
      <c r="Q897">
        <v>332</v>
      </c>
      <c r="R897">
        <v>0</v>
      </c>
    </row>
    <row r="898" spans="1:18" x14ac:dyDescent="0.25">
      <c r="A898">
        <v>897</v>
      </c>
      <c r="B898">
        <v>94</v>
      </c>
      <c r="C898">
        <v>1368452</v>
      </c>
      <c r="D898" t="s">
        <v>100</v>
      </c>
      <c r="E898">
        <v>1.272</v>
      </c>
      <c r="F898" t="s">
        <v>21</v>
      </c>
      <c r="G898" t="s">
        <v>26</v>
      </c>
      <c r="H898" t="s">
        <v>21</v>
      </c>
      <c r="I898" t="s">
        <v>20</v>
      </c>
      <c r="J898" t="s">
        <v>20</v>
      </c>
      <c r="K898" t="s">
        <v>41</v>
      </c>
      <c r="L898" t="s">
        <v>57</v>
      </c>
      <c r="M898" t="s">
        <v>46</v>
      </c>
      <c r="N898">
        <v>41.089094000000003</v>
      </c>
      <c r="O898">
        <v>-112.012227</v>
      </c>
      <c r="P898">
        <v>4395.0272249999998</v>
      </c>
      <c r="Q898">
        <v>1396</v>
      </c>
      <c r="R898">
        <v>0</v>
      </c>
    </row>
    <row r="899" spans="1:18" x14ac:dyDescent="0.25">
      <c r="A899">
        <v>898</v>
      </c>
      <c r="B899">
        <v>94</v>
      </c>
      <c r="C899">
        <v>27645124</v>
      </c>
      <c r="D899" t="s">
        <v>196</v>
      </c>
      <c r="E899">
        <v>1.274</v>
      </c>
      <c r="F899" t="s">
        <v>21</v>
      </c>
      <c r="G899" t="s">
        <v>26</v>
      </c>
      <c r="H899" t="s">
        <v>21</v>
      </c>
      <c r="I899" t="s">
        <v>20</v>
      </c>
      <c r="J899" t="s">
        <v>20</v>
      </c>
      <c r="K899" t="s">
        <v>27</v>
      </c>
      <c r="L899" t="s">
        <v>72</v>
      </c>
      <c r="M899" t="s">
        <v>73</v>
      </c>
      <c r="N899">
        <v>37.109841000000003</v>
      </c>
      <c r="O899">
        <v>-113.57057500000001</v>
      </c>
      <c r="P899">
        <v>2693.5735410000002</v>
      </c>
      <c r="Q899">
        <v>308</v>
      </c>
      <c r="R899">
        <v>0</v>
      </c>
    </row>
    <row r="900" spans="1:18" x14ac:dyDescent="0.25">
      <c r="A900">
        <v>899</v>
      </c>
      <c r="B900">
        <v>94</v>
      </c>
      <c r="C900">
        <v>27864746</v>
      </c>
      <c r="D900" t="s">
        <v>91</v>
      </c>
      <c r="E900">
        <v>1.2769999999999999</v>
      </c>
      <c r="F900" t="s">
        <v>21</v>
      </c>
      <c r="G900" t="s">
        <v>26</v>
      </c>
      <c r="H900" t="s">
        <v>21</v>
      </c>
      <c r="I900" t="s">
        <v>20</v>
      </c>
      <c r="J900" t="s">
        <v>20</v>
      </c>
      <c r="K900" t="s">
        <v>41</v>
      </c>
      <c r="L900" t="s">
        <v>42</v>
      </c>
      <c r="M900" t="s">
        <v>73</v>
      </c>
      <c r="N900">
        <v>41.634608</v>
      </c>
      <c r="O900">
        <v>-111.93451399999999</v>
      </c>
      <c r="P900">
        <v>4490.2982959999999</v>
      </c>
      <c r="Q900">
        <v>1339</v>
      </c>
      <c r="R900">
        <v>0</v>
      </c>
    </row>
    <row r="901" spans="1:18" x14ac:dyDescent="0.25">
      <c r="A901">
        <v>900</v>
      </c>
      <c r="B901">
        <v>94</v>
      </c>
      <c r="C901">
        <v>31383561</v>
      </c>
      <c r="D901" t="s">
        <v>184</v>
      </c>
      <c r="E901">
        <v>1.2769999999999999</v>
      </c>
      <c r="F901" t="s">
        <v>21</v>
      </c>
      <c r="G901" t="s">
        <v>26</v>
      </c>
      <c r="H901" t="s">
        <v>21</v>
      </c>
      <c r="I901" t="s">
        <v>20</v>
      </c>
      <c r="J901" t="s">
        <v>20</v>
      </c>
      <c r="K901" t="s">
        <v>27</v>
      </c>
      <c r="L901" t="s">
        <v>54</v>
      </c>
      <c r="M901" t="s">
        <v>55</v>
      </c>
      <c r="N901">
        <v>37.664614999999998</v>
      </c>
      <c r="O901">
        <v>-113.06591299999999</v>
      </c>
      <c r="P901">
        <v>5867.0279870000004</v>
      </c>
      <c r="Q901">
        <v>1410</v>
      </c>
      <c r="R901">
        <v>0</v>
      </c>
    </row>
    <row r="902" spans="1:18" x14ac:dyDescent="0.25">
      <c r="A902">
        <v>901</v>
      </c>
      <c r="B902">
        <v>94</v>
      </c>
      <c r="C902" t="e">
        <f>-IrB3OsbFv9GseGgASkaPk</f>
        <v>#NAME?</v>
      </c>
      <c r="D902" t="s">
        <v>92</v>
      </c>
      <c r="E902">
        <v>1.2789999999999999</v>
      </c>
      <c r="F902" t="s">
        <v>19</v>
      </c>
      <c r="G902" t="s">
        <v>20</v>
      </c>
      <c r="H902" t="s">
        <v>21</v>
      </c>
      <c r="I902" t="s">
        <v>20</v>
      </c>
      <c r="J902" t="s">
        <v>20</v>
      </c>
      <c r="K902" t="s">
        <v>41</v>
      </c>
      <c r="L902" t="s">
        <v>87</v>
      </c>
      <c r="M902" t="s">
        <v>93</v>
      </c>
      <c r="N902">
        <v>41.089182000000001</v>
      </c>
      <c r="O902">
        <v>-111.97346899999999</v>
      </c>
      <c r="P902">
        <v>4468.7607639999997</v>
      </c>
      <c r="Q902">
        <v>252</v>
      </c>
      <c r="R902">
        <v>0</v>
      </c>
    </row>
    <row r="903" spans="1:18" x14ac:dyDescent="0.25">
      <c r="A903">
        <v>902</v>
      </c>
      <c r="B903">
        <v>94</v>
      </c>
      <c r="C903">
        <v>31436994</v>
      </c>
      <c r="D903" t="s">
        <v>254</v>
      </c>
      <c r="E903">
        <v>1.282</v>
      </c>
      <c r="F903" t="s">
        <v>21</v>
      </c>
      <c r="G903" t="s">
        <v>20</v>
      </c>
      <c r="H903" t="s">
        <v>21</v>
      </c>
      <c r="I903" t="s">
        <v>20</v>
      </c>
      <c r="J903" t="s">
        <v>20</v>
      </c>
      <c r="K903" t="s">
        <v>41</v>
      </c>
      <c r="L903" t="s">
        <v>255</v>
      </c>
      <c r="M903" t="s">
        <v>204</v>
      </c>
      <c r="N903">
        <v>41.264232</v>
      </c>
      <c r="O903">
        <v>-111.825307</v>
      </c>
      <c r="P903">
        <v>4886.24791</v>
      </c>
      <c r="Q903">
        <v>1429</v>
      </c>
      <c r="R903">
        <v>0</v>
      </c>
    </row>
    <row r="904" spans="1:18" x14ac:dyDescent="0.25">
      <c r="A904">
        <v>903</v>
      </c>
      <c r="B904">
        <v>94</v>
      </c>
      <c r="C904">
        <v>946413</v>
      </c>
      <c r="D904" t="s">
        <v>65</v>
      </c>
      <c r="E904">
        <v>1.2849999999999999</v>
      </c>
      <c r="F904" t="s">
        <v>21</v>
      </c>
      <c r="G904" t="s">
        <v>26</v>
      </c>
      <c r="H904" t="s">
        <v>21</v>
      </c>
      <c r="I904" t="s">
        <v>20</v>
      </c>
      <c r="J904" t="s">
        <v>20</v>
      </c>
      <c r="K904" t="s">
        <v>31</v>
      </c>
      <c r="L904" t="s">
        <v>66</v>
      </c>
      <c r="M904" t="s">
        <v>67</v>
      </c>
      <c r="N904">
        <v>40.778675</v>
      </c>
      <c r="O904">
        <v>-111.890339</v>
      </c>
      <c r="P904">
        <v>4443.4744250000003</v>
      </c>
      <c r="Q904">
        <v>402</v>
      </c>
      <c r="R904">
        <v>0</v>
      </c>
    </row>
    <row r="905" spans="1:18" x14ac:dyDescent="0.25">
      <c r="A905">
        <v>904</v>
      </c>
      <c r="B905">
        <v>94</v>
      </c>
      <c r="C905">
        <v>31370017</v>
      </c>
      <c r="D905" t="s">
        <v>199</v>
      </c>
      <c r="E905">
        <v>1.286</v>
      </c>
      <c r="F905" t="s">
        <v>21</v>
      </c>
      <c r="G905" t="s">
        <v>20</v>
      </c>
      <c r="H905" t="s">
        <v>21</v>
      </c>
      <c r="I905" t="s">
        <v>20</v>
      </c>
      <c r="J905" t="s">
        <v>20</v>
      </c>
      <c r="K905" t="s">
        <v>27</v>
      </c>
      <c r="L905" t="s">
        <v>103</v>
      </c>
      <c r="M905" t="s">
        <v>200</v>
      </c>
      <c r="N905">
        <v>38.277065999999998</v>
      </c>
      <c r="O905">
        <v>-112.61772999999999</v>
      </c>
      <c r="P905">
        <v>5934.4227270000001</v>
      </c>
      <c r="Q905">
        <v>341</v>
      </c>
      <c r="R905">
        <v>0</v>
      </c>
    </row>
    <row r="906" spans="1:18" x14ac:dyDescent="0.25">
      <c r="A906">
        <v>905</v>
      </c>
      <c r="B906">
        <v>94</v>
      </c>
      <c r="C906">
        <v>27337977</v>
      </c>
      <c r="D906" t="s">
        <v>372</v>
      </c>
      <c r="E906">
        <v>1.286</v>
      </c>
      <c r="F906" t="s">
        <v>21</v>
      </c>
      <c r="G906" t="s">
        <v>26</v>
      </c>
      <c r="H906" t="s">
        <v>21</v>
      </c>
      <c r="I906" t="s">
        <v>20</v>
      </c>
      <c r="J906" t="s">
        <v>20</v>
      </c>
      <c r="K906" t="s">
        <v>31</v>
      </c>
      <c r="L906" t="s">
        <v>373</v>
      </c>
      <c r="M906" t="s">
        <v>283</v>
      </c>
      <c r="N906">
        <v>40.739575000000002</v>
      </c>
      <c r="O906">
        <v>-114.02010900000001</v>
      </c>
      <c r="P906">
        <v>4173.8843850000003</v>
      </c>
      <c r="Q906">
        <v>1362</v>
      </c>
      <c r="R906">
        <v>0</v>
      </c>
    </row>
    <row r="907" spans="1:18" x14ac:dyDescent="0.25">
      <c r="A907">
        <v>906</v>
      </c>
      <c r="B907">
        <v>94</v>
      </c>
      <c r="C907">
        <v>31528002</v>
      </c>
      <c r="D907" t="s">
        <v>182</v>
      </c>
      <c r="E907">
        <v>1.2869999999999999</v>
      </c>
      <c r="F907" t="s">
        <v>21</v>
      </c>
      <c r="G907" t="s">
        <v>26</v>
      </c>
      <c r="H907" t="s">
        <v>21</v>
      </c>
      <c r="I907" t="s">
        <v>20</v>
      </c>
      <c r="J907" t="s">
        <v>20</v>
      </c>
      <c r="K907" t="s">
        <v>27</v>
      </c>
      <c r="L907" t="s">
        <v>183</v>
      </c>
      <c r="M907" t="s">
        <v>76</v>
      </c>
      <c r="N907">
        <v>38.919423999999999</v>
      </c>
      <c r="O907">
        <v>-111.934406</v>
      </c>
      <c r="P907">
        <v>5121.7429229999998</v>
      </c>
      <c r="Q907">
        <v>429</v>
      </c>
      <c r="R907">
        <v>0</v>
      </c>
    </row>
    <row r="908" spans="1:18" x14ac:dyDescent="0.25">
      <c r="A908">
        <v>907</v>
      </c>
      <c r="B908">
        <v>94</v>
      </c>
      <c r="C908">
        <v>31535011</v>
      </c>
      <c r="D908" t="s">
        <v>53</v>
      </c>
      <c r="E908">
        <v>1.288</v>
      </c>
      <c r="F908" t="s">
        <v>21</v>
      </c>
      <c r="G908" t="s">
        <v>26</v>
      </c>
      <c r="H908" t="s">
        <v>21</v>
      </c>
      <c r="I908" t="s">
        <v>20</v>
      </c>
      <c r="J908" t="s">
        <v>20</v>
      </c>
      <c r="K908" t="s">
        <v>27</v>
      </c>
      <c r="L908" t="s">
        <v>54</v>
      </c>
      <c r="M908" t="s">
        <v>55</v>
      </c>
      <c r="N908">
        <v>37.674151000000002</v>
      </c>
      <c r="O908">
        <v>-113.073826</v>
      </c>
      <c r="P908">
        <v>5746.2352220000002</v>
      </c>
      <c r="Q908">
        <v>1285</v>
      </c>
      <c r="R908">
        <v>0</v>
      </c>
    </row>
    <row r="909" spans="1:18" x14ac:dyDescent="0.25">
      <c r="A909">
        <v>908</v>
      </c>
      <c r="B909">
        <v>94</v>
      </c>
      <c r="C909">
        <v>1543047</v>
      </c>
      <c r="D909" t="s">
        <v>92</v>
      </c>
      <c r="E909">
        <v>1.36</v>
      </c>
      <c r="F909" t="s">
        <v>21</v>
      </c>
      <c r="G909" t="s">
        <v>26</v>
      </c>
      <c r="H909" t="s">
        <v>21</v>
      </c>
      <c r="I909" t="s">
        <v>20</v>
      </c>
      <c r="J909" t="s">
        <v>20</v>
      </c>
      <c r="K909" t="s">
        <v>41</v>
      </c>
      <c r="L909" t="s">
        <v>87</v>
      </c>
      <c r="M909" t="s">
        <v>93</v>
      </c>
      <c r="N909">
        <v>41.090358999999999</v>
      </c>
      <c r="O909">
        <v>-111.97345900000001</v>
      </c>
      <c r="P909">
        <v>4482.2002050000001</v>
      </c>
      <c r="Q909">
        <v>252</v>
      </c>
      <c r="R909">
        <v>0</v>
      </c>
    </row>
    <row r="910" spans="1:18" x14ac:dyDescent="0.25">
      <c r="A910">
        <v>909</v>
      </c>
      <c r="B910">
        <v>94</v>
      </c>
      <c r="C910">
        <v>31419097</v>
      </c>
      <c r="D910" t="s">
        <v>107</v>
      </c>
      <c r="E910">
        <v>1.361</v>
      </c>
      <c r="F910" t="s">
        <v>19</v>
      </c>
      <c r="G910" t="s">
        <v>20</v>
      </c>
      <c r="H910" t="s">
        <v>21</v>
      </c>
      <c r="I910" t="s">
        <v>20</v>
      </c>
      <c r="J910" t="s">
        <v>20</v>
      </c>
      <c r="K910" t="s">
        <v>41</v>
      </c>
      <c r="L910" t="s">
        <v>81</v>
      </c>
      <c r="M910" t="s">
        <v>93</v>
      </c>
      <c r="N910">
        <v>41.212397000000003</v>
      </c>
      <c r="O910">
        <v>-111.97904800000001</v>
      </c>
      <c r="P910">
        <v>4253.0182519999998</v>
      </c>
      <c r="Q910">
        <v>413</v>
      </c>
      <c r="R910">
        <v>0</v>
      </c>
    </row>
    <row r="911" spans="1:18" x14ac:dyDescent="0.25">
      <c r="A911">
        <v>910</v>
      </c>
      <c r="B911">
        <v>94</v>
      </c>
      <c r="C911">
        <v>31309535</v>
      </c>
      <c r="D911" t="s">
        <v>215</v>
      </c>
      <c r="E911">
        <v>1.361</v>
      </c>
      <c r="F911" t="s">
        <v>21</v>
      </c>
      <c r="G911" t="s">
        <v>26</v>
      </c>
      <c r="H911" t="s">
        <v>21</v>
      </c>
      <c r="I911" t="s">
        <v>20</v>
      </c>
      <c r="J911" t="s">
        <v>20</v>
      </c>
      <c r="K911" t="s">
        <v>22</v>
      </c>
      <c r="L911" t="s">
        <v>23</v>
      </c>
      <c r="M911" t="s">
        <v>85</v>
      </c>
      <c r="N911">
        <v>40.233891</v>
      </c>
      <c r="O911">
        <v>-111.690792</v>
      </c>
      <c r="P911">
        <v>4464.9517610000003</v>
      </c>
      <c r="Q911">
        <v>330</v>
      </c>
      <c r="R911">
        <v>0</v>
      </c>
    </row>
    <row r="912" spans="1:18" x14ac:dyDescent="0.25">
      <c r="A912">
        <v>911</v>
      </c>
      <c r="B912">
        <v>94</v>
      </c>
      <c r="C912">
        <v>31474832</v>
      </c>
      <c r="D912" t="s">
        <v>244</v>
      </c>
      <c r="E912">
        <v>1.3620000000000001</v>
      </c>
      <c r="F912" t="s">
        <v>21</v>
      </c>
      <c r="G912" t="s">
        <v>26</v>
      </c>
      <c r="H912" t="s">
        <v>21</v>
      </c>
      <c r="I912" t="s">
        <v>20</v>
      </c>
      <c r="J912" t="s">
        <v>20</v>
      </c>
      <c r="K912" t="s">
        <v>27</v>
      </c>
      <c r="L912" t="s">
        <v>183</v>
      </c>
      <c r="M912" t="s">
        <v>58</v>
      </c>
      <c r="N912">
        <v>38.939728000000002</v>
      </c>
      <c r="O912">
        <v>-111.887807</v>
      </c>
      <c r="P912">
        <v>5075.5482279999997</v>
      </c>
      <c r="Q912">
        <v>1340</v>
      </c>
      <c r="R912">
        <v>0</v>
      </c>
    </row>
    <row r="913" spans="1:18" x14ac:dyDescent="0.25">
      <c r="A913">
        <v>912</v>
      </c>
      <c r="B913">
        <v>94</v>
      </c>
      <c r="C913">
        <v>27998523</v>
      </c>
      <c r="D913" t="s">
        <v>346</v>
      </c>
      <c r="E913">
        <v>1.3640000000000001</v>
      </c>
      <c r="F913" t="s">
        <v>21</v>
      </c>
      <c r="G913" t="s">
        <v>20</v>
      </c>
      <c r="H913" t="s">
        <v>21</v>
      </c>
      <c r="I913" t="s">
        <v>20</v>
      </c>
      <c r="J913" t="s">
        <v>20</v>
      </c>
      <c r="K913" t="s">
        <v>27</v>
      </c>
      <c r="L913" t="s">
        <v>307</v>
      </c>
      <c r="M913" t="s">
        <v>159</v>
      </c>
      <c r="N913">
        <v>39.664212999999997</v>
      </c>
      <c r="O913">
        <v>-111.15522900000001</v>
      </c>
      <c r="P913">
        <v>8043.1490830000002</v>
      </c>
      <c r="Q913">
        <v>1389</v>
      </c>
      <c r="R913">
        <v>0</v>
      </c>
    </row>
    <row r="914" spans="1:18" x14ac:dyDescent="0.25">
      <c r="A914">
        <v>913</v>
      </c>
      <c r="B914">
        <v>94</v>
      </c>
      <c r="C914">
        <v>1257523</v>
      </c>
      <c r="D914" t="s">
        <v>128</v>
      </c>
      <c r="E914">
        <v>1.3640000000000001</v>
      </c>
      <c r="F914" t="s">
        <v>21</v>
      </c>
      <c r="G914" t="s">
        <v>26</v>
      </c>
      <c r="H914" t="s">
        <v>21</v>
      </c>
      <c r="I914" t="s">
        <v>20</v>
      </c>
      <c r="J914" t="s">
        <v>20</v>
      </c>
      <c r="K914" t="s">
        <v>41</v>
      </c>
      <c r="L914" t="s">
        <v>42</v>
      </c>
      <c r="M914" t="s">
        <v>73</v>
      </c>
      <c r="N914">
        <v>41.717315999999997</v>
      </c>
      <c r="O914">
        <v>-111.85999099999999</v>
      </c>
      <c r="P914">
        <v>4416.1394140000002</v>
      </c>
      <c r="Q914">
        <v>5943</v>
      </c>
      <c r="R914">
        <v>0</v>
      </c>
    </row>
    <row r="915" spans="1:18" x14ac:dyDescent="0.25">
      <c r="A915">
        <v>914</v>
      </c>
      <c r="B915">
        <v>94</v>
      </c>
      <c r="C915">
        <v>1100483</v>
      </c>
      <c r="D915" t="s">
        <v>101</v>
      </c>
      <c r="E915">
        <v>1.365</v>
      </c>
      <c r="F915" t="s">
        <v>21</v>
      </c>
      <c r="G915" t="s">
        <v>26</v>
      </c>
      <c r="H915" t="s">
        <v>21</v>
      </c>
      <c r="I915" t="s">
        <v>20</v>
      </c>
      <c r="J915" t="s">
        <v>20</v>
      </c>
      <c r="K915" t="s">
        <v>41</v>
      </c>
      <c r="L915" t="s">
        <v>57</v>
      </c>
      <c r="M915" t="s">
        <v>58</v>
      </c>
      <c r="N915">
        <v>41.118113000000001</v>
      </c>
      <c r="O915">
        <v>-112.08643600000001</v>
      </c>
      <c r="P915">
        <v>4253.6976059999997</v>
      </c>
      <c r="Q915">
        <v>328</v>
      </c>
      <c r="R915">
        <v>0</v>
      </c>
    </row>
    <row r="916" spans="1:18" x14ac:dyDescent="0.25">
      <c r="A916">
        <v>915</v>
      </c>
      <c r="B916">
        <v>94</v>
      </c>
      <c r="C916">
        <v>31275458</v>
      </c>
      <c r="D916" t="s">
        <v>288</v>
      </c>
      <c r="E916">
        <v>1.3660000000000001</v>
      </c>
      <c r="F916" t="s">
        <v>21</v>
      </c>
      <c r="G916" t="s">
        <v>26</v>
      </c>
      <c r="H916" t="s">
        <v>21</v>
      </c>
      <c r="I916" t="s">
        <v>20</v>
      </c>
      <c r="J916" t="s">
        <v>20</v>
      </c>
      <c r="K916" t="s">
        <v>27</v>
      </c>
      <c r="L916" t="s">
        <v>211</v>
      </c>
      <c r="M916" t="s">
        <v>318</v>
      </c>
      <c r="N916">
        <v>37.017426999999998</v>
      </c>
      <c r="O916">
        <v>-109.60953000000001</v>
      </c>
      <c r="P916">
        <v>5033.8909009999998</v>
      </c>
      <c r="Q916">
        <v>350</v>
      </c>
      <c r="R916">
        <v>0</v>
      </c>
    </row>
    <row r="917" spans="1:18" x14ac:dyDescent="0.25">
      <c r="A917">
        <v>916</v>
      </c>
      <c r="B917">
        <v>94</v>
      </c>
      <c r="C917">
        <v>946199</v>
      </c>
      <c r="D917" t="s">
        <v>65</v>
      </c>
      <c r="E917">
        <v>1.3660000000000001</v>
      </c>
      <c r="F917" t="s">
        <v>21</v>
      </c>
      <c r="G917" t="s">
        <v>26</v>
      </c>
      <c r="H917" t="s">
        <v>21</v>
      </c>
      <c r="I917" t="s">
        <v>20</v>
      </c>
      <c r="J917" t="s">
        <v>20</v>
      </c>
      <c r="K917" t="s">
        <v>31</v>
      </c>
      <c r="L917" t="s">
        <v>66</v>
      </c>
      <c r="M917" t="s">
        <v>67</v>
      </c>
      <c r="N917">
        <v>40.777479999999997</v>
      </c>
      <c r="O917">
        <v>-111.890519</v>
      </c>
      <c r="P917">
        <v>4435.9916910000002</v>
      </c>
      <c r="Q917">
        <v>402</v>
      </c>
      <c r="R917">
        <v>0</v>
      </c>
    </row>
    <row r="918" spans="1:18" x14ac:dyDescent="0.25">
      <c r="A918">
        <v>917</v>
      </c>
      <c r="B918">
        <v>94</v>
      </c>
      <c r="C918">
        <v>516131</v>
      </c>
      <c r="D918" t="s">
        <v>44</v>
      </c>
      <c r="E918">
        <v>1.367</v>
      </c>
      <c r="F918" t="s">
        <v>21</v>
      </c>
      <c r="G918" t="s">
        <v>26</v>
      </c>
      <c r="H918" t="s">
        <v>21</v>
      </c>
      <c r="I918" t="s">
        <v>20</v>
      </c>
      <c r="J918" t="s">
        <v>20</v>
      </c>
      <c r="K918" t="s">
        <v>41</v>
      </c>
      <c r="L918" t="s">
        <v>45</v>
      </c>
      <c r="M918" t="s">
        <v>46</v>
      </c>
      <c r="N918">
        <v>40.897255999999999</v>
      </c>
      <c r="O918">
        <v>-111.879007</v>
      </c>
      <c r="P918">
        <v>4293.7394709999999</v>
      </c>
      <c r="Q918">
        <v>1395</v>
      </c>
      <c r="R918">
        <v>0</v>
      </c>
    </row>
    <row r="919" spans="1:18" x14ac:dyDescent="0.25">
      <c r="A919">
        <v>918</v>
      </c>
      <c r="B919">
        <v>94</v>
      </c>
      <c r="C919">
        <v>31193473</v>
      </c>
      <c r="D919" t="s">
        <v>374</v>
      </c>
      <c r="E919">
        <v>4.7E-2</v>
      </c>
      <c r="F919" t="s">
        <v>21</v>
      </c>
      <c r="G919" t="s">
        <v>26</v>
      </c>
      <c r="H919" t="s">
        <v>21</v>
      </c>
      <c r="I919" t="s">
        <v>20</v>
      </c>
      <c r="J919" t="s">
        <v>20</v>
      </c>
      <c r="K919" t="s">
        <v>22</v>
      </c>
      <c r="L919" t="s">
        <v>234</v>
      </c>
      <c r="M919" t="s">
        <v>169</v>
      </c>
      <c r="N919">
        <v>40.370502000000002</v>
      </c>
      <c r="O919">
        <v>-109.345595</v>
      </c>
      <c r="P919">
        <v>4709.1665970000004</v>
      </c>
      <c r="Q919">
        <v>1422</v>
      </c>
      <c r="R919">
        <v>0</v>
      </c>
    </row>
    <row r="920" spans="1:18" x14ac:dyDescent="0.25">
      <c r="A920">
        <v>919</v>
      </c>
      <c r="B920">
        <v>94</v>
      </c>
      <c r="C920">
        <v>986672</v>
      </c>
      <c r="D920" t="s">
        <v>375</v>
      </c>
      <c r="E920">
        <v>4.7E-2</v>
      </c>
      <c r="F920" t="s">
        <v>19</v>
      </c>
      <c r="G920" t="s">
        <v>20</v>
      </c>
      <c r="H920" t="s">
        <v>21</v>
      </c>
      <c r="I920" t="s">
        <v>20</v>
      </c>
      <c r="J920" t="s">
        <v>20</v>
      </c>
      <c r="K920" t="s">
        <v>41</v>
      </c>
      <c r="L920" t="s">
        <v>87</v>
      </c>
      <c r="M920" t="s">
        <v>67</v>
      </c>
      <c r="N920">
        <v>40.989108999999999</v>
      </c>
      <c r="O920">
        <v>-111.90611699999999</v>
      </c>
      <c r="P920">
        <v>4230.5211069999996</v>
      </c>
      <c r="Q920">
        <v>422</v>
      </c>
      <c r="R920">
        <v>0</v>
      </c>
    </row>
    <row r="921" spans="1:18" x14ac:dyDescent="0.25">
      <c r="A921">
        <v>920</v>
      </c>
      <c r="B921">
        <v>94</v>
      </c>
      <c r="C921">
        <v>31536366</v>
      </c>
      <c r="D921" t="s">
        <v>376</v>
      </c>
      <c r="E921">
        <v>5.0999999999999997E-2</v>
      </c>
      <c r="F921" t="s">
        <v>21</v>
      </c>
      <c r="G921" t="s">
        <v>26</v>
      </c>
      <c r="H921" t="s">
        <v>21</v>
      </c>
      <c r="I921" t="s">
        <v>20</v>
      </c>
      <c r="J921" t="s">
        <v>20</v>
      </c>
      <c r="K921" t="s">
        <v>27</v>
      </c>
      <c r="L921" t="s">
        <v>173</v>
      </c>
      <c r="M921" t="s">
        <v>106</v>
      </c>
      <c r="N921">
        <v>38.940719000000001</v>
      </c>
      <c r="O921">
        <v>-114.033575</v>
      </c>
      <c r="P921">
        <v>5194.131257</v>
      </c>
      <c r="Q921">
        <v>343</v>
      </c>
      <c r="R921">
        <v>0</v>
      </c>
    </row>
    <row r="922" spans="1:18" x14ac:dyDescent="0.25">
      <c r="A922">
        <v>921</v>
      </c>
      <c r="B922">
        <v>94</v>
      </c>
      <c r="C922">
        <v>36169</v>
      </c>
      <c r="D922" t="s">
        <v>249</v>
      </c>
      <c r="E922">
        <v>5.2999999999999999E-2</v>
      </c>
      <c r="F922" t="s">
        <v>21</v>
      </c>
      <c r="G922" t="s">
        <v>26</v>
      </c>
      <c r="H922" t="s">
        <v>21</v>
      </c>
      <c r="I922" t="s">
        <v>20</v>
      </c>
      <c r="J922" t="s">
        <v>20</v>
      </c>
      <c r="K922" t="s">
        <v>31</v>
      </c>
      <c r="L922" t="s">
        <v>89</v>
      </c>
      <c r="M922" t="s">
        <v>24</v>
      </c>
      <c r="N922">
        <v>40.489524000000003</v>
      </c>
      <c r="O922">
        <v>-111.939139</v>
      </c>
      <c r="P922">
        <v>4378.843742</v>
      </c>
      <c r="Q922">
        <v>337</v>
      </c>
      <c r="R922">
        <v>0</v>
      </c>
    </row>
    <row r="923" spans="1:18" x14ac:dyDescent="0.25">
      <c r="A923">
        <v>922</v>
      </c>
      <c r="B923">
        <v>94</v>
      </c>
      <c r="C923">
        <v>31388387</v>
      </c>
      <c r="D923" t="s">
        <v>377</v>
      </c>
      <c r="E923">
        <v>5.3999999999999999E-2</v>
      </c>
      <c r="F923" t="s">
        <v>19</v>
      </c>
      <c r="G923" t="s">
        <v>20</v>
      </c>
      <c r="H923" t="s">
        <v>21</v>
      </c>
      <c r="I923" t="s">
        <v>20</v>
      </c>
      <c r="J923" t="s">
        <v>20</v>
      </c>
      <c r="K923" t="s">
        <v>22</v>
      </c>
      <c r="L923" t="s">
        <v>84</v>
      </c>
      <c r="M923" t="s">
        <v>24</v>
      </c>
      <c r="N923">
        <v>40.359417000000001</v>
      </c>
      <c r="O923">
        <v>-111.78554</v>
      </c>
      <c r="P923">
        <v>4499.9124840000004</v>
      </c>
      <c r="Q923">
        <v>1439</v>
      </c>
      <c r="R923">
        <v>0</v>
      </c>
    </row>
    <row r="924" spans="1:18" x14ac:dyDescent="0.25">
      <c r="A924">
        <v>923</v>
      </c>
      <c r="B924">
        <v>94</v>
      </c>
      <c r="C924">
        <v>27072010</v>
      </c>
      <c r="D924" t="s">
        <v>351</v>
      </c>
      <c r="E924">
        <v>5.8999999999999997E-2</v>
      </c>
      <c r="F924" t="s">
        <v>21</v>
      </c>
      <c r="G924" t="s">
        <v>26</v>
      </c>
      <c r="H924" t="s">
        <v>21</v>
      </c>
      <c r="I924" t="s">
        <v>20</v>
      </c>
      <c r="J924" t="s">
        <v>20</v>
      </c>
      <c r="K924" t="s">
        <v>22</v>
      </c>
      <c r="L924" t="s">
        <v>140</v>
      </c>
      <c r="M924" t="s">
        <v>125</v>
      </c>
      <c r="N924">
        <v>40.115982000000002</v>
      </c>
      <c r="O924">
        <v>-111.63510599999999</v>
      </c>
      <c r="P924">
        <v>4596.4361929999995</v>
      </c>
      <c r="Q924">
        <v>1357</v>
      </c>
      <c r="R924">
        <v>0</v>
      </c>
    </row>
    <row r="925" spans="1:18" x14ac:dyDescent="0.25">
      <c r="A925">
        <v>924</v>
      </c>
      <c r="B925">
        <v>94</v>
      </c>
      <c r="C925" t="e">
        <f>-JQj5j8eHBaZsWC1GzYKqk</f>
        <v>#NAME?</v>
      </c>
      <c r="D925" t="s">
        <v>378</v>
      </c>
      <c r="E925">
        <v>0.06</v>
      </c>
      <c r="F925" t="s">
        <v>19</v>
      </c>
      <c r="G925" t="s">
        <v>20</v>
      </c>
      <c r="H925" t="s">
        <v>21</v>
      </c>
      <c r="I925" t="s">
        <v>20</v>
      </c>
      <c r="J925" t="s">
        <v>20</v>
      </c>
      <c r="K925" t="s">
        <v>22</v>
      </c>
      <c r="L925" t="s">
        <v>140</v>
      </c>
      <c r="M925" t="s">
        <v>379</v>
      </c>
      <c r="N925">
        <v>40.128881</v>
      </c>
      <c r="O925">
        <v>-111.64917</v>
      </c>
      <c r="P925">
        <v>4516.395966</v>
      </c>
      <c r="Q925">
        <v>6661</v>
      </c>
      <c r="R925">
        <v>0</v>
      </c>
    </row>
    <row r="926" spans="1:18" x14ac:dyDescent="0.25">
      <c r="A926">
        <v>925</v>
      </c>
      <c r="B926">
        <v>94</v>
      </c>
      <c r="C926">
        <v>31585283</v>
      </c>
      <c r="D926" t="s">
        <v>187</v>
      </c>
      <c r="E926">
        <v>6.2E-2</v>
      </c>
      <c r="F926" t="s">
        <v>19</v>
      </c>
      <c r="G926" t="s">
        <v>20</v>
      </c>
      <c r="H926" t="s">
        <v>21</v>
      </c>
      <c r="I926" t="s">
        <v>20</v>
      </c>
      <c r="J926" t="s">
        <v>20</v>
      </c>
      <c r="K926" t="s">
        <v>31</v>
      </c>
      <c r="L926" t="s">
        <v>188</v>
      </c>
      <c r="M926" t="s">
        <v>90</v>
      </c>
      <c r="N926">
        <v>40.760644999999997</v>
      </c>
      <c r="O926">
        <v>-111.852363</v>
      </c>
      <c r="P926">
        <v>4546.6644939999996</v>
      </c>
      <c r="Q926">
        <v>435</v>
      </c>
      <c r="R926">
        <v>0</v>
      </c>
    </row>
    <row r="927" spans="1:18" x14ac:dyDescent="0.25">
      <c r="A927">
        <v>926</v>
      </c>
      <c r="B927">
        <v>94</v>
      </c>
      <c r="C927">
        <v>31480158</v>
      </c>
      <c r="D927" t="s">
        <v>320</v>
      </c>
      <c r="E927">
        <v>97.888999999999996</v>
      </c>
      <c r="F927" t="s">
        <v>21</v>
      </c>
      <c r="G927" t="s">
        <v>26</v>
      </c>
      <c r="H927" t="s">
        <v>21</v>
      </c>
      <c r="I927" t="s">
        <v>20</v>
      </c>
      <c r="J927" t="s">
        <v>20</v>
      </c>
      <c r="K927" t="s">
        <v>27</v>
      </c>
      <c r="L927" t="s">
        <v>173</v>
      </c>
      <c r="M927" t="s">
        <v>166</v>
      </c>
      <c r="N927">
        <v>39.287007000000003</v>
      </c>
      <c r="O927">
        <v>-112.463903</v>
      </c>
      <c r="P927">
        <v>4590.8589359999996</v>
      </c>
      <c r="Q927">
        <v>1356</v>
      </c>
      <c r="R927">
        <v>0</v>
      </c>
    </row>
    <row r="928" spans="1:18" x14ac:dyDescent="0.25">
      <c r="A928">
        <v>927</v>
      </c>
      <c r="B928">
        <v>94</v>
      </c>
      <c r="C928" t="s">
        <v>380</v>
      </c>
      <c r="D928" t="s">
        <v>118</v>
      </c>
      <c r="E928">
        <v>98.096999999999994</v>
      </c>
      <c r="F928" t="s">
        <v>21</v>
      </c>
      <c r="G928" t="s">
        <v>26</v>
      </c>
      <c r="H928" t="s">
        <v>21</v>
      </c>
      <c r="I928" t="s">
        <v>20</v>
      </c>
      <c r="J928" t="s">
        <v>20</v>
      </c>
      <c r="K928" t="s">
        <v>22</v>
      </c>
      <c r="L928" t="s">
        <v>133</v>
      </c>
      <c r="M928" t="s">
        <v>169</v>
      </c>
      <c r="N928">
        <v>40.156588999999997</v>
      </c>
      <c r="O928">
        <v>-110.190212</v>
      </c>
      <c r="P928">
        <v>5204.4249390000004</v>
      </c>
      <c r="Q928">
        <v>310</v>
      </c>
      <c r="R928">
        <v>0</v>
      </c>
    </row>
    <row r="929" spans="1:18" x14ac:dyDescent="0.25">
      <c r="A929">
        <v>928</v>
      </c>
      <c r="B929">
        <v>94</v>
      </c>
      <c r="C929">
        <v>31726912</v>
      </c>
      <c r="D929" t="s">
        <v>244</v>
      </c>
      <c r="E929">
        <v>98.137</v>
      </c>
      <c r="F929" t="s">
        <v>21</v>
      </c>
      <c r="G929" t="s">
        <v>26</v>
      </c>
      <c r="H929" t="s">
        <v>21</v>
      </c>
      <c r="I929" t="s">
        <v>20</v>
      </c>
      <c r="J929" t="s">
        <v>20</v>
      </c>
      <c r="K929" t="s">
        <v>27</v>
      </c>
      <c r="L929" t="s">
        <v>122</v>
      </c>
      <c r="M929" t="s">
        <v>270</v>
      </c>
      <c r="N929">
        <v>38.333832000000001</v>
      </c>
      <c r="O929">
        <v>-111.01775600000001</v>
      </c>
      <c r="P929">
        <v>4554.3215579999996</v>
      </c>
      <c r="Q929">
        <v>1340</v>
      </c>
      <c r="R929">
        <v>0</v>
      </c>
    </row>
    <row r="930" spans="1:18" x14ac:dyDescent="0.25">
      <c r="A930">
        <v>929</v>
      </c>
      <c r="B930">
        <v>94</v>
      </c>
      <c r="C930" t="e">
        <f>-JS9tJb1FeXglhn3lhTyXF</f>
        <v>#NAME?</v>
      </c>
      <c r="D930" t="s">
        <v>288</v>
      </c>
      <c r="E930">
        <v>98.156999999999996</v>
      </c>
      <c r="F930" t="s">
        <v>21</v>
      </c>
      <c r="G930" t="s">
        <v>20</v>
      </c>
      <c r="H930" t="s">
        <v>21</v>
      </c>
      <c r="I930" t="s">
        <v>20</v>
      </c>
      <c r="J930" t="s">
        <v>20</v>
      </c>
      <c r="K930" t="s">
        <v>27</v>
      </c>
      <c r="L930" t="s">
        <v>146</v>
      </c>
      <c r="M930" t="s">
        <v>147</v>
      </c>
      <c r="N930">
        <v>38.243707000000001</v>
      </c>
      <c r="O930">
        <v>-109.38138499999999</v>
      </c>
      <c r="P930">
        <v>5902.7441630000003</v>
      </c>
      <c r="Q930">
        <v>350</v>
      </c>
      <c r="R930">
        <v>0</v>
      </c>
    </row>
    <row r="931" spans="1:18" x14ac:dyDescent="0.25">
      <c r="A931">
        <v>930</v>
      </c>
      <c r="B931">
        <v>94</v>
      </c>
      <c r="C931">
        <v>31412111</v>
      </c>
      <c r="D931" t="s">
        <v>129</v>
      </c>
      <c r="E931">
        <v>9.0239999999999991</v>
      </c>
      <c r="F931" t="s">
        <v>21</v>
      </c>
      <c r="G931" t="s">
        <v>26</v>
      </c>
      <c r="H931" t="s">
        <v>21</v>
      </c>
      <c r="I931" t="s">
        <v>20</v>
      </c>
      <c r="J931" t="s">
        <v>20</v>
      </c>
      <c r="K931" t="s">
        <v>31</v>
      </c>
      <c r="L931" t="s">
        <v>130</v>
      </c>
      <c r="M931" t="s">
        <v>131</v>
      </c>
      <c r="N931">
        <v>40.619790999999999</v>
      </c>
      <c r="O931">
        <v>-111.134809</v>
      </c>
      <c r="P931">
        <v>7366.1578280000003</v>
      </c>
      <c r="Q931">
        <v>340</v>
      </c>
      <c r="R931">
        <v>0</v>
      </c>
    </row>
    <row r="932" spans="1:18" x14ac:dyDescent="0.25">
      <c r="A932">
        <v>931</v>
      </c>
      <c r="B932">
        <v>94</v>
      </c>
      <c r="C932" t="s">
        <v>381</v>
      </c>
      <c r="D932" t="s">
        <v>316</v>
      </c>
      <c r="E932">
        <v>9.0329999999999995</v>
      </c>
      <c r="F932" t="s">
        <v>21</v>
      </c>
      <c r="G932" t="s">
        <v>20</v>
      </c>
      <c r="H932" t="s">
        <v>21</v>
      </c>
      <c r="I932" t="s">
        <v>20</v>
      </c>
      <c r="J932" t="s">
        <v>20</v>
      </c>
      <c r="K932" t="s">
        <v>31</v>
      </c>
      <c r="L932" t="s">
        <v>130</v>
      </c>
      <c r="M932" t="s">
        <v>302</v>
      </c>
      <c r="N932">
        <v>40.555433999999998</v>
      </c>
      <c r="O932">
        <v>-111.146728</v>
      </c>
      <c r="P932">
        <v>7054.6806790000001</v>
      </c>
      <c r="Q932">
        <v>1346</v>
      </c>
      <c r="R932">
        <v>0</v>
      </c>
    </row>
    <row r="933" spans="1:18" x14ac:dyDescent="0.25">
      <c r="A933">
        <v>932</v>
      </c>
      <c r="B933">
        <v>94</v>
      </c>
      <c r="C933">
        <v>540488</v>
      </c>
      <c r="D933" t="s">
        <v>44</v>
      </c>
      <c r="E933">
        <v>9.0340000000000007</v>
      </c>
      <c r="F933" t="s">
        <v>19</v>
      </c>
      <c r="G933" t="s">
        <v>20</v>
      </c>
      <c r="H933" t="s">
        <v>21</v>
      </c>
      <c r="I933" t="s">
        <v>20</v>
      </c>
      <c r="J933" t="s">
        <v>20</v>
      </c>
      <c r="K933" t="s">
        <v>41</v>
      </c>
      <c r="L933" t="s">
        <v>87</v>
      </c>
      <c r="M933" t="s">
        <v>46</v>
      </c>
      <c r="N933">
        <v>41.000802999999998</v>
      </c>
      <c r="O933">
        <v>-111.900519</v>
      </c>
      <c r="P933">
        <v>4248.1004590000002</v>
      </c>
      <c r="Q933">
        <v>1395</v>
      </c>
      <c r="R933">
        <v>0</v>
      </c>
    </row>
    <row r="934" spans="1:18" x14ac:dyDescent="0.25">
      <c r="A934">
        <v>933</v>
      </c>
      <c r="B934">
        <v>94</v>
      </c>
      <c r="C934" t="e">
        <f>-Iov1QEcIG9_44bdHl_Hzk</f>
        <v>#NAME?</v>
      </c>
      <c r="D934" t="s">
        <v>176</v>
      </c>
      <c r="E934">
        <v>9.0429999999999993</v>
      </c>
      <c r="F934" t="s">
        <v>21</v>
      </c>
      <c r="G934" t="s">
        <v>26</v>
      </c>
      <c r="H934" t="s">
        <v>21</v>
      </c>
      <c r="I934" t="s">
        <v>20</v>
      </c>
      <c r="J934" t="s">
        <v>20</v>
      </c>
      <c r="K934" t="s">
        <v>41</v>
      </c>
      <c r="L934" t="s">
        <v>177</v>
      </c>
      <c r="M934" t="s">
        <v>178</v>
      </c>
      <c r="N934">
        <v>41.554690000000001</v>
      </c>
      <c r="O934">
        <v>-112.127544</v>
      </c>
      <c r="P934">
        <v>4182.4711360000001</v>
      </c>
      <c r="Q934">
        <v>1329</v>
      </c>
      <c r="R934">
        <v>0</v>
      </c>
    </row>
    <row r="935" spans="1:18" x14ac:dyDescent="0.25">
      <c r="A935">
        <v>934</v>
      </c>
      <c r="B935">
        <v>94</v>
      </c>
      <c r="C935" t="e">
        <f>-JNL5n3PHkiVmmL_dvjjQk</f>
        <v>#NAME?</v>
      </c>
      <c r="D935" t="s">
        <v>124</v>
      </c>
      <c r="E935">
        <v>9.0570000000000004</v>
      </c>
      <c r="F935" t="s">
        <v>21</v>
      </c>
      <c r="G935" t="s">
        <v>20</v>
      </c>
      <c r="H935" t="s">
        <v>21</v>
      </c>
      <c r="I935" t="s">
        <v>20</v>
      </c>
      <c r="J935" t="s">
        <v>20</v>
      </c>
      <c r="K935" t="s">
        <v>22</v>
      </c>
      <c r="L935" t="s">
        <v>193</v>
      </c>
      <c r="M935" t="s">
        <v>194</v>
      </c>
      <c r="N935">
        <v>40.083455000000001</v>
      </c>
      <c r="O935">
        <v>-111.958776</v>
      </c>
      <c r="P935">
        <v>4539.7257579999996</v>
      </c>
      <c r="Q935">
        <v>1368</v>
      </c>
      <c r="R935">
        <v>0</v>
      </c>
    </row>
    <row r="936" spans="1:18" x14ac:dyDescent="0.25">
      <c r="A936">
        <v>935</v>
      </c>
      <c r="B936">
        <v>94</v>
      </c>
      <c r="C936">
        <v>28719728</v>
      </c>
      <c r="D936" t="s">
        <v>192</v>
      </c>
      <c r="E936">
        <v>9.0579999999999998</v>
      </c>
      <c r="F936" t="s">
        <v>19</v>
      </c>
      <c r="G936" t="s">
        <v>20</v>
      </c>
      <c r="H936" t="s">
        <v>19</v>
      </c>
      <c r="I936">
        <v>89</v>
      </c>
      <c r="J936" t="s">
        <v>20</v>
      </c>
      <c r="K936" t="s">
        <v>22</v>
      </c>
      <c r="L936" t="s">
        <v>140</v>
      </c>
      <c r="M936" t="s">
        <v>125</v>
      </c>
      <c r="N936">
        <v>40.161096000000001</v>
      </c>
      <c r="O936">
        <v>-111.610648</v>
      </c>
      <c r="P936">
        <v>4528.5278170000001</v>
      </c>
      <c r="Q936">
        <v>1375</v>
      </c>
      <c r="R936">
        <v>0</v>
      </c>
    </row>
    <row r="937" spans="1:18" x14ac:dyDescent="0.25">
      <c r="A937">
        <v>936</v>
      </c>
      <c r="B937">
        <v>94</v>
      </c>
      <c r="C937">
        <v>578438</v>
      </c>
      <c r="D937" t="s">
        <v>115</v>
      </c>
      <c r="E937">
        <v>9.06</v>
      </c>
      <c r="F937" t="s">
        <v>19</v>
      </c>
      <c r="G937" t="s">
        <v>20</v>
      </c>
      <c r="H937" t="s">
        <v>21</v>
      </c>
      <c r="I937" t="s">
        <v>20</v>
      </c>
      <c r="J937" t="s">
        <v>20</v>
      </c>
      <c r="K937" t="s">
        <v>31</v>
      </c>
      <c r="L937" t="s">
        <v>69</v>
      </c>
      <c r="M937" t="s">
        <v>70</v>
      </c>
      <c r="N937">
        <v>40.654314999999997</v>
      </c>
      <c r="O937">
        <v>-111.90495199999999</v>
      </c>
      <c r="P937">
        <v>4247.0859410000003</v>
      </c>
      <c r="Q937">
        <v>1437</v>
      </c>
      <c r="R937">
        <v>0</v>
      </c>
    </row>
    <row r="938" spans="1:18" x14ac:dyDescent="0.25">
      <c r="A938">
        <v>937</v>
      </c>
      <c r="B938">
        <v>94</v>
      </c>
      <c r="C938">
        <v>31191726</v>
      </c>
      <c r="D938" t="s">
        <v>310</v>
      </c>
      <c r="E938">
        <v>9.0649999999999995</v>
      </c>
      <c r="F938" t="s">
        <v>21</v>
      </c>
      <c r="G938" t="s">
        <v>26</v>
      </c>
      <c r="H938" t="s">
        <v>21</v>
      </c>
      <c r="I938" t="s">
        <v>20</v>
      </c>
      <c r="J938" t="s">
        <v>20</v>
      </c>
      <c r="K938" t="s">
        <v>31</v>
      </c>
      <c r="L938" t="s">
        <v>285</v>
      </c>
      <c r="M938" t="s">
        <v>206</v>
      </c>
      <c r="N938">
        <v>40.602240999999999</v>
      </c>
      <c r="O938">
        <v>-112.48456400000001</v>
      </c>
      <c r="P938">
        <v>4301.0241619999997</v>
      </c>
      <c r="Q938">
        <v>1414</v>
      </c>
      <c r="R938">
        <v>0</v>
      </c>
    </row>
    <row r="939" spans="1:18" x14ac:dyDescent="0.25">
      <c r="A939">
        <v>938</v>
      </c>
      <c r="B939">
        <v>94</v>
      </c>
      <c r="C939">
        <v>1015483</v>
      </c>
      <c r="D939" t="s">
        <v>65</v>
      </c>
      <c r="E939">
        <v>8.2929999999999993</v>
      </c>
      <c r="F939" t="s">
        <v>19</v>
      </c>
      <c r="G939" t="s">
        <v>20</v>
      </c>
      <c r="H939" t="s">
        <v>21</v>
      </c>
      <c r="I939" t="s">
        <v>20</v>
      </c>
      <c r="J939" t="s">
        <v>20</v>
      </c>
      <c r="K939" t="s">
        <v>31</v>
      </c>
      <c r="L939" t="s">
        <v>188</v>
      </c>
      <c r="M939" t="s">
        <v>67</v>
      </c>
      <c r="N939">
        <v>40.721817999999999</v>
      </c>
      <c r="O939">
        <v>-111.81207499999999</v>
      </c>
      <c r="P939">
        <v>4764.4222460000001</v>
      </c>
      <c r="Q939">
        <v>402</v>
      </c>
      <c r="R939">
        <v>0</v>
      </c>
    </row>
    <row r="940" spans="1:18" x14ac:dyDescent="0.25">
      <c r="A940">
        <v>939</v>
      </c>
      <c r="B940">
        <v>94</v>
      </c>
      <c r="C940">
        <v>31390311</v>
      </c>
      <c r="D940" t="s">
        <v>184</v>
      </c>
      <c r="E940">
        <v>8.2929999999999993</v>
      </c>
      <c r="F940" t="s">
        <v>21</v>
      </c>
      <c r="G940" t="s">
        <v>26</v>
      </c>
      <c r="H940" t="s">
        <v>21</v>
      </c>
      <c r="I940" t="s">
        <v>20</v>
      </c>
      <c r="J940" t="s">
        <v>20</v>
      </c>
      <c r="K940" t="s">
        <v>27</v>
      </c>
      <c r="L940" t="s">
        <v>54</v>
      </c>
      <c r="M940" t="s">
        <v>55</v>
      </c>
      <c r="N940">
        <v>37.758057000000001</v>
      </c>
      <c r="O940">
        <v>-113.05528</v>
      </c>
      <c r="P940">
        <v>5432.9166969999997</v>
      </c>
      <c r="Q940">
        <v>1410</v>
      </c>
      <c r="R940">
        <v>0</v>
      </c>
    </row>
    <row r="941" spans="1:18" x14ac:dyDescent="0.25">
      <c r="A941">
        <v>940</v>
      </c>
      <c r="B941">
        <v>94</v>
      </c>
      <c r="C941">
        <v>540223</v>
      </c>
      <c r="D941" t="s">
        <v>44</v>
      </c>
      <c r="E941">
        <v>8.2970000000000006</v>
      </c>
      <c r="F941" t="s">
        <v>19</v>
      </c>
      <c r="G941" t="s">
        <v>20</v>
      </c>
      <c r="H941" t="s">
        <v>19</v>
      </c>
      <c r="I941">
        <v>225</v>
      </c>
      <c r="J941" t="s">
        <v>20</v>
      </c>
      <c r="K941" t="s">
        <v>41</v>
      </c>
      <c r="L941" t="s">
        <v>87</v>
      </c>
      <c r="M941" t="s">
        <v>46</v>
      </c>
      <c r="N941">
        <v>40.991357000000001</v>
      </c>
      <c r="O941">
        <v>-111.89357200000001</v>
      </c>
      <c r="P941">
        <v>4255.4206549999999</v>
      </c>
      <c r="Q941">
        <v>1395</v>
      </c>
      <c r="R941">
        <v>0</v>
      </c>
    </row>
    <row r="942" spans="1:18" x14ac:dyDescent="0.25">
      <c r="A942">
        <v>941</v>
      </c>
      <c r="B942">
        <v>94</v>
      </c>
      <c r="C942">
        <v>31838482</v>
      </c>
      <c r="D942" t="s">
        <v>272</v>
      </c>
      <c r="E942">
        <v>64.067999999999998</v>
      </c>
      <c r="F942" t="s">
        <v>21</v>
      </c>
      <c r="G942" t="s">
        <v>26</v>
      </c>
      <c r="H942" t="s">
        <v>21</v>
      </c>
      <c r="I942" t="s">
        <v>20</v>
      </c>
      <c r="J942" t="s">
        <v>20</v>
      </c>
      <c r="K942" t="s">
        <v>27</v>
      </c>
      <c r="L942" t="s">
        <v>259</v>
      </c>
      <c r="M942" t="s">
        <v>214</v>
      </c>
      <c r="N942">
        <v>37.046419</v>
      </c>
      <c r="O942">
        <v>-112.52639499999999</v>
      </c>
      <c r="P942">
        <v>4887.6863940000003</v>
      </c>
      <c r="Q942">
        <v>1384</v>
      </c>
      <c r="R942">
        <v>0</v>
      </c>
    </row>
    <row r="943" spans="1:18" x14ac:dyDescent="0.25">
      <c r="A943">
        <v>942</v>
      </c>
      <c r="B943">
        <v>94</v>
      </c>
      <c r="C943" t="s">
        <v>382</v>
      </c>
      <c r="D943" t="s">
        <v>124</v>
      </c>
      <c r="E943">
        <v>64.082999999999998</v>
      </c>
      <c r="F943" t="s">
        <v>21</v>
      </c>
      <c r="G943" t="s">
        <v>20</v>
      </c>
      <c r="H943" t="s">
        <v>21</v>
      </c>
      <c r="I943" t="s">
        <v>20</v>
      </c>
      <c r="J943" t="s">
        <v>20</v>
      </c>
      <c r="K943" t="s">
        <v>41</v>
      </c>
      <c r="L943" t="s">
        <v>45</v>
      </c>
      <c r="M943" t="s">
        <v>365</v>
      </c>
      <c r="N943">
        <v>40.838183999999998</v>
      </c>
      <c r="O943">
        <v>-111.93378800000001</v>
      </c>
      <c r="P943">
        <v>4164.7495589999999</v>
      </c>
      <c r="Q943">
        <v>1368</v>
      </c>
      <c r="R943">
        <v>0</v>
      </c>
    </row>
    <row r="944" spans="1:18" x14ac:dyDescent="0.25">
      <c r="A944">
        <v>943</v>
      </c>
      <c r="B944">
        <v>94</v>
      </c>
      <c r="C944">
        <v>31838493</v>
      </c>
      <c r="D944" t="s">
        <v>272</v>
      </c>
      <c r="E944">
        <v>64.176000000000002</v>
      </c>
      <c r="F944" t="s">
        <v>21</v>
      </c>
      <c r="G944" t="s">
        <v>26</v>
      </c>
      <c r="H944" t="s">
        <v>21</v>
      </c>
      <c r="I944" t="s">
        <v>20</v>
      </c>
      <c r="J944" t="s">
        <v>20</v>
      </c>
      <c r="K944" t="s">
        <v>27</v>
      </c>
      <c r="L944" t="s">
        <v>259</v>
      </c>
      <c r="M944" t="s">
        <v>214</v>
      </c>
      <c r="N944">
        <v>37.047930000000001</v>
      </c>
      <c r="O944">
        <v>-112.526695</v>
      </c>
      <c r="P944">
        <v>4899.6297260000001</v>
      </c>
      <c r="Q944">
        <v>1384</v>
      </c>
      <c r="R944">
        <v>0</v>
      </c>
    </row>
    <row r="945" spans="1:18" x14ac:dyDescent="0.25">
      <c r="A945">
        <v>944</v>
      </c>
      <c r="B945">
        <v>94</v>
      </c>
      <c r="C945">
        <v>31857595</v>
      </c>
      <c r="D945" t="s">
        <v>312</v>
      </c>
      <c r="E945">
        <v>64.227000000000004</v>
      </c>
      <c r="F945" t="s">
        <v>21</v>
      </c>
      <c r="G945" t="s">
        <v>26</v>
      </c>
      <c r="H945" t="s">
        <v>21</v>
      </c>
      <c r="I945" t="s">
        <v>20</v>
      </c>
      <c r="J945" t="s">
        <v>20</v>
      </c>
      <c r="K945" t="s">
        <v>27</v>
      </c>
      <c r="L945" t="s">
        <v>173</v>
      </c>
      <c r="M945" t="s">
        <v>313</v>
      </c>
      <c r="N945">
        <v>39.257863</v>
      </c>
      <c r="O945">
        <v>-112.653188</v>
      </c>
      <c r="P945">
        <v>4520.6320230000001</v>
      </c>
      <c r="Q945">
        <v>255</v>
      </c>
      <c r="R945">
        <v>0</v>
      </c>
    </row>
    <row r="946" spans="1:18" x14ac:dyDescent="0.25">
      <c r="A946">
        <v>945</v>
      </c>
      <c r="B946">
        <v>94</v>
      </c>
      <c r="C946">
        <v>28694868</v>
      </c>
      <c r="D946" t="s">
        <v>142</v>
      </c>
      <c r="E946">
        <v>64.242999999999995</v>
      </c>
      <c r="F946" t="s">
        <v>21</v>
      </c>
      <c r="G946" t="s">
        <v>20</v>
      </c>
      <c r="H946" t="s">
        <v>21</v>
      </c>
      <c r="I946" t="s">
        <v>20</v>
      </c>
      <c r="J946" t="s">
        <v>20</v>
      </c>
      <c r="K946" t="s">
        <v>27</v>
      </c>
      <c r="L946" t="s">
        <v>143</v>
      </c>
      <c r="M946" t="s">
        <v>106</v>
      </c>
      <c r="N946">
        <v>38.458362999999999</v>
      </c>
      <c r="O946">
        <v>-113.22974600000001</v>
      </c>
      <c r="P946">
        <v>6196.5510619999995</v>
      </c>
      <c r="Q946">
        <v>305</v>
      </c>
      <c r="R946">
        <v>0</v>
      </c>
    </row>
    <row r="947" spans="1:18" x14ac:dyDescent="0.25">
      <c r="A947">
        <v>946</v>
      </c>
      <c r="B947">
        <v>94</v>
      </c>
      <c r="C947">
        <v>31327594</v>
      </c>
      <c r="D947" t="s">
        <v>241</v>
      </c>
      <c r="E947">
        <v>64.268000000000001</v>
      </c>
      <c r="F947" t="s">
        <v>21</v>
      </c>
      <c r="G947" t="s">
        <v>26</v>
      </c>
      <c r="H947" t="s">
        <v>21</v>
      </c>
      <c r="I947" t="s">
        <v>20</v>
      </c>
      <c r="J947" t="s">
        <v>20</v>
      </c>
      <c r="K947" t="s">
        <v>27</v>
      </c>
      <c r="L947" t="s">
        <v>158</v>
      </c>
      <c r="M947" t="s">
        <v>243</v>
      </c>
      <c r="N947">
        <v>39.535812</v>
      </c>
      <c r="O947">
        <v>-110.815759</v>
      </c>
      <c r="P947">
        <v>5643.5171369999998</v>
      </c>
      <c r="Q947">
        <v>1327</v>
      </c>
      <c r="R947">
        <v>0</v>
      </c>
    </row>
    <row r="948" spans="1:18" x14ac:dyDescent="0.25">
      <c r="A948">
        <v>947</v>
      </c>
      <c r="B948">
        <v>94</v>
      </c>
      <c r="C948">
        <v>31843854</v>
      </c>
      <c r="D948" t="s">
        <v>272</v>
      </c>
      <c r="E948">
        <v>64.281000000000006</v>
      </c>
      <c r="F948" t="s">
        <v>19</v>
      </c>
      <c r="G948" t="s">
        <v>20</v>
      </c>
      <c r="H948" t="s">
        <v>21</v>
      </c>
      <c r="I948" t="s">
        <v>20</v>
      </c>
      <c r="J948" t="s">
        <v>20</v>
      </c>
      <c r="K948" t="s">
        <v>27</v>
      </c>
      <c r="L948" t="s">
        <v>259</v>
      </c>
      <c r="M948" t="s">
        <v>214</v>
      </c>
      <c r="N948">
        <v>37.048143000000003</v>
      </c>
      <c r="O948">
        <v>-112.52856199999999</v>
      </c>
      <c r="P948">
        <v>4894.5479969999997</v>
      </c>
      <c r="Q948">
        <v>1384</v>
      </c>
      <c r="R948">
        <v>0</v>
      </c>
    </row>
    <row r="949" spans="1:18" x14ac:dyDescent="0.25">
      <c r="A949">
        <v>948</v>
      </c>
      <c r="B949">
        <v>94</v>
      </c>
      <c r="C949">
        <v>31512912</v>
      </c>
      <c r="D949" t="s">
        <v>124</v>
      </c>
      <c r="E949">
        <v>64.363</v>
      </c>
      <c r="F949" t="s">
        <v>19</v>
      </c>
      <c r="G949" t="s">
        <v>20</v>
      </c>
      <c r="H949" t="s">
        <v>21</v>
      </c>
      <c r="I949" t="s">
        <v>20</v>
      </c>
      <c r="J949" t="s">
        <v>20</v>
      </c>
      <c r="K949" t="s">
        <v>41</v>
      </c>
      <c r="L949" t="s">
        <v>45</v>
      </c>
      <c r="M949" t="s">
        <v>365</v>
      </c>
      <c r="N949">
        <v>40.841940000000001</v>
      </c>
      <c r="O949">
        <v>-111.931704</v>
      </c>
      <c r="P949">
        <v>4167.6509580000002</v>
      </c>
      <c r="Q949">
        <v>1368</v>
      </c>
      <c r="R949">
        <v>0</v>
      </c>
    </row>
    <row r="950" spans="1:18" x14ac:dyDescent="0.25">
      <c r="A950">
        <v>949</v>
      </c>
      <c r="B950">
        <v>94</v>
      </c>
      <c r="C950">
        <v>31736097</v>
      </c>
      <c r="D950" t="s">
        <v>118</v>
      </c>
      <c r="E950">
        <v>64.387</v>
      </c>
      <c r="F950" t="s">
        <v>21</v>
      </c>
      <c r="G950" t="s">
        <v>20</v>
      </c>
      <c r="H950" t="s">
        <v>21</v>
      </c>
      <c r="I950" t="s">
        <v>20</v>
      </c>
      <c r="J950" t="s">
        <v>20</v>
      </c>
      <c r="K950" t="s">
        <v>22</v>
      </c>
      <c r="L950" t="s">
        <v>168</v>
      </c>
      <c r="M950" t="s">
        <v>120</v>
      </c>
      <c r="N950">
        <v>40.203983000000001</v>
      </c>
      <c r="O950">
        <v>-110.79621400000001</v>
      </c>
      <c r="P950">
        <v>6476.9215880000002</v>
      </c>
      <c r="Q950">
        <v>310</v>
      </c>
      <c r="R950">
        <v>0</v>
      </c>
    </row>
    <row r="951" spans="1:18" x14ac:dyDescent="0.25">
      <c r="A951">
        <v>950</v>
      </c>
      <c r="B951">
        <v>94</v>
      </c>
      <c r="C951">
        <v>28225279</v>
      </c>
      <c r="D951" t="s">
        <v>220</v>
      </c>
      <c r="E951">
        <v>64.391999999999996</v>
      </c>
      <c r="F951" t="s">
        <v>21</v>
      </c>
      <c r="G951" t="s">
        <v>26</v>
      </c>
      <c r="H951" t="s">
        <v>21</v>
      </c>
      <c r="I951" t="s">
        <v>20</v>
      </c>
      <c r="J951" t="s">
        <v>20</v>
      </c>
      <c r="K951" t="s">
        <v>27</v>
      </c>
      <c r="L951" t="s">
        <v>28</v>
      </c>
      <c r="M951" t="s">
        <v>366</v>
      </c>
      <c r="N951">
        <v>37.727696999999999</v>
      </c>
      <c r="O951">
        <v>-111.5314</v>
      </c>
      <c r="P951">
        <v>5701.5114590000003</v>
      </c>
      <c r="Q951">
        <v>1328</v>
      </c>
      <c r="R951">
        <v>0</v>
      </c>
    </row>
    <row r="952" spans="1:18" x14ac:dyDescent="0.25">
      <c r="A952">
        <v>951</v>
      </c>
      <c r="B952">
        <v>94</v>
      </c>
      <c r="C952">
        <v>31844351</v>
      </c>
      <c r="D952" t="s">
        <v>272</v>
      </c>
      <c r="E952">
        <v>64.397999999999996</v>
      </c>
      <c r="F952" t="s">
        <v>21</v>
      </c>
      <c r="G952" t="s">
        <v>26</v>
      </c>
      <c r="H952" t="s">
        <v>21</v>
      </c>
      <c r="I952" t="s">
        <v>20</v>
      </c>
      <c r="J952" t="s">
        <v>20</v>
      </c>
      <c r="K952" t="s">
        <v>27</v>
      </c>
      <c r="L952" t="s">
        <v>259</v>
      </c>
      <c r="M952" t="s">
        <v>214</v>
      </c>
      <c r="N952">
        <v>37.048135000000002</v>
      </c>
      <c r="O952">
        <v>-112.530699</v>
      </c>
      <c r="P952">
        <v>4887.5073359999997</v>
      </c>
      <c r="Q952">
        <v>1384</v>
      </c>
      <c r="R952">
        <v>0</v>
      </c>
    </row>
    <row r="953" spans="1:18" x14ac:dyDescent="0.25">
      <c r="A953">
        <v>952</v>
      </c>
      <c r="B953">
        <v>94</v>
      </c>
      <c r="C953">
        <v>606470</v>
      </c>
      <c r="D953" t="s">
        <v>383</v>
      </c>
      <c r="E953">
        <v>12.847</v>
      </c>
      <c r="F953" t="s">
        <v>21</v>
      </c>
      <c r="G953" t="s">
        <v>26</v>
      </c>
      <c r="H953" t="s">
        <v>21</v>
      </c>
      <c r="I953" t="s">
        <v>20</v>
      </c>
      <c r="J953" t="s">
        <v>20</v>
      </c>
      <c r="K953" t="s">
        <v>31</v>
      </c>
      <c r="L953" t="s">
        <v>89</v>
      </c>
      <c r="M953" t="s">
        <v>384</v>
      </c>
      <c r="N953">
        <v>40.588149000000001</v>
      </c>
      <c r="O953">
        <v>-111.877994</v>
      </c>
      <c r="P953">
        <v>4445.5479999999998</v>
      </c>
      <c r="Q953">
        <v>414</v>
      </c>
      <c r="R953">
        <v>0</v>
      </c>
    </row>
    <row r="954" spans="1:18" x14ac:dyDescent="0.25">
      <c r="A954">
        <v>953</v>
      </c>
      <c r="B954">
        <v>94</v>
      </c>
      <c r="C954">
        <v>606477</v>
      </c>
      <c r="D954" t="s">
        <v>383</v>
      </c>
      <c r="E954">
        <v>12.884</v>
      </c>
      <c r="F954" t="s">
        <v>21</v>
      </c>
      <c r="G954" t="s">
        <v>26</v>
      </c>
      <c r="H954" t="s">
        <v>21</v>
      </c>
      <c r="I954" t="s">
        <v>20</v>
      </c>
      <c r="J954" t="s">
        <v>20</v>
      </c>
      <c r="K954" t="s">
        <v>31</v>
      </c>
      <c r="L954" t="s">
        <v>89</v>
      </c>
      <c r="M954" t="s">
        <v>384</v>
      </c>
      <c r="N954">
        <v>40.588151000000003</v>
      </c>
      <c r="O954">
        <v>-111.877268</v>
      </c>
      <c r="P954">
        <v>4447.4380000000001</v>
      </c>
      <c r="Q954">
        <v>414</v>
      </c>
      <c r="R954">
        <v>0</v>
      </c>
    </row>
    <row r="955" spans="1:18" x14ac:dyDescent="0.25">
      <c r="A955">
        <v>954</v>
      </c>
      <c r="B955">
        <v>94</v>
      </c>
      <c r="C955">
        <v>606484</v>
      </c>
      <c r="D955" t="s">
        <v>383</v>
      </c>
      <c r="E955">
        <v>12.927</v>
      </c>
      <c r="F955" t="s">
        <v>21</v>
      </c>
      <c r="G955" t="s">
        <v>26</v>
      </c>
      <c r="H955" t="s">
        <v>21</v>
      </c>
      <c r="I955" t="s">
        <v>20</v>
      </c>
      <c r="J955" t="s">
        <v>20</v>
      </c>
      <c r="K955" t="s">
        <v>31</v>
      </c>
      <c r="L955" t="s">
        <v>89</v>
      </c>
      <c r="M955" t="s">
        <v>384</v>
      </c>
      <c r="N955">
        <v>40.588144</v>
      </c>
      <c r="O955">
        <v>-111.87643300000001</v>
      </c>
      <c r="P955">
        <v>4449.5609999999997</v>
      </c>
      <c r="Q955">
        <v>414</v>
      </c>
      <c r="R955">
        <v>0</v>
      </c>
    </row>
    <row r="956" spans="1:18" x14ac:dyDescent="0.25">
      <c r="A956">
        <v>955</v>
      </c>
      <c r="B956">
        <v>94</v>
      </c>
      <c r="C956">
        <v>606491</v>
      </c>
      <c r="D956" t="s">
        <v>383</v>
      </c>
      <c r="E956">
        <v>12.972</v>
      </c>
      <c r="F956" t="s">
        <v>21</v>
      </c>
      <c r="G956" t="s">
        <v>26</v>
      </c>
      <c r="H956" t="s">
        <v>21</v>
      </c>
      <c r="I956" t="s">
        <v>20</v>
      </c>
      <c r="J956" t="s">
        <v>20</v>
      </c>
      <c r="K956" t="s">
        <v>31</v>
      </c>
      <c r="L956" t="s">
        <v>89</v>
      </c>
      <c r="M956" t="s">
        <v>384</v>
      </c>
      <c r="N956">
        <v>40.588120000000004</v>
      </c>
      <c r="O956">
        <v>-111.875559</v>
      </c>
      <c r="P956">
        <v>4451.6869999999999</v>
      </c>
      <c r="Q956">
        <v>414</v>
      </c>
      <c r="R956">
        <v>0</v>
      </c>
    </row>
    <row r="957" spans="1:18" x14ac:dyDescent="0.25">
      <c r="A957">
        <v>956</v>
      </c>
      <c r="B957">
        <v>94</v>
      </c>
      <c r="C957">
        <v>607750</v>
      </c>
      <c r="D957" t="s">
        <v>383</v>
      </c>
      <c r="E957">
        <v>13.148999999999999</v>
      </c>
      <c r="F957" t="s">
        <v>19</v>
      </c>
      <c r="G957" t="s">
        <v>20</v>
      </c>
      <c r="H957" t="s">
        <v>19</v>
      </c>
      <c r="I957">
        <v>71</v>
      </c>
      <c r="J957" t="s">
        <v>20</v>
      </c>
      <c r="K957" t="s">
        <v>31</v>
      </c>
      <c r="L957" t="s">
        <v>89</v>
      </c>
      <c r="M957" t="s">
        <v>384</v>
      </c>
      <c r="N957">
        <v>40.588104999999999</v>
      </c>
      <c r="O957">
        <v>-111.872141</v>
      </c>
      <c r="P957">
        <v>4458.7349999999997</v>
      </c>
      <c r="Q957">
        <v>414</v>
      </c>
      <c r="R957">
        <v>0</v>
      </c>
    </row>
    <row r="958" spans="1:18" x14ac:dyDescent="0.25">
      <c r="A958">
        <v>957</v>
      </c>
      <c r="B958">
        <v>94</v>
      </c>
      <c r="C958">
        <v>608948</v>
      </c>
      <c r="D958" t="s">
        <v>383</v>
      </c>
      <c r="E958">
        <v>13.25</v>
      </c>
      <c r="F958" t="s">
        <v>21</v>
      </c>
      <c r="G958" t="s">
        <v>26</v>
      </c>
      <c r="H958" t="s">
        <v>21</v>
      </c>
      <c r="I958" t="s">
        <v>20</v>
      </c>
      <c r="J958" t="s">
        <v>20</v>
      </c>
      <c r="K958" t="s">
        <v>31</v>
      </c>
      <c r="L958" t="s">
        <v>89</v>
      </c>
      <c r="M958" t="s">
        <v>384</v>
      </c>
      <c r="N958">
        <v>40.588064000000003</v>
      </c>
      <c r="O958">
        <v>-111.87021799999999</v>
      </c>
      <c r="P958">
        <v>4464.643</v>
      </c>
      <c r="Q958">
        <v>414</v>
      </c>
      <c r="R958">
        <v>0</v>
      </c>
    </row>
    <row r="959" spans="1:18" x14ac:dyDescent="0.25">
      <c r="A959">
        <v>958</v>
      </c>
      <c r="B959">
        <v>94</v>
      </c>
      <c r="C959">
        <v>611198</v>
      </c>
      <c r="D959" t="s">
        <v>383</v>
      </c>
      <c r="E959">
        <v>14.048</v>
      </c>
      <c r="F959" t="s">
        <v>19</v>
      </c>
      <c r="G959" t="s">
        <v>20</v>
      </c>
      <c r="H959" t="s">
        <v>21</v>
      </c>
      <c r="I959" t="s">
        <v>20</v>
      </c>
      <c r="J959" t="s">
        <v>20</v>
      </c>
      <c r="K959" t="s">
        <v>31</v>
      </c>
      <c r="L959" t="s">
        <v>89</v>
      </c>
      <c r="M959" t="s">
        <v>384</v>
      </c>
      <c r="N959">
        <v>40.581020000000002</v>
      </c>
      <c r="O959">
        <v>-111.861405</v>
      </c>
      <c r="P959">
        <v>4528.5739999999996</v>
      </c>
      <c r="Q959">
        <v>414</v>
      </c>
      <c r="R959">
        <v>0</v>
      </c>
    </row>
    <row r="960" spans="1:18" x14ac:dyDescent="0.25">
      <c r="A960">
        <v>959</v>
      </c>
      <c r="B960">
        <v>94</v>
      </c>
      <c r="C960">
        <v>612480</v>
      </c>
      <c r="D960" t="s">
        <v>383</v>
      </c>
      <c r="E960">
        <v>14.24</v>
      </c>
      <c r="F960" t="s">
        <v>21</v>
      </c>
      <c r="G960" t="s">
        <v>26</v>
      </c>
      <c r="H960" t="s">
        <v>21</v>
      </c>
      <c r="I960" t="s">
        <v>20</v>
      </c>
      <c r="J960" t="s">
        <v>20</v>
      </c>
      <c r="K960" t="s">
        <v>31</v>
      </c>
      <c r="L960" t="s">
        <v>32</v>
      </c>
      <c r="M960" t="s">
        <v>384</v>
      </c>
      <c r="N960">
        <v>40.580519000000002</v>
      </c>
      <c r="O960">
        <v>-111.857878</v>
      </c>
      <c r="P960">
        <v>4585.6880000000001</v>
      </c>
      <c r="Q960">
        <v>414</v>
      </c>
      <c r="R960">
        <v>0</v>
      </c>
    </row>
    <row r="961" spans="1:18" x14ac:dyDescent="0.25">
      <c r="A961">
        <v>960</v>
      </c>
      <c r="B961">
        <v>94</v>
      </c>
      <c r="C961">
        <v>614529</v>
      </c>
      <c r="D961" t="s">
        <v>383</v>
      </c>
      <c r="E961">
        <v>14.483000000000001</v>
      </c>
      <c r="F961" t="s">
        <v>19</v>
      </c>
      <c r="G961" t="s">
        <v>20</v>
      </c>
      <c r="H961" t="s">
        <v>21</v>
      </c>
      <c r="I961" t="s">
        <v>20</v>
      </c>
      <c r="J961" t="s">
        <v>20</v>
      </c>
      <c r="K961" t="s">
        <v>31</v>
      </c>
      <c r="L961" t="s">
        <v>32</v>
      </c>
      <c r="M961" t="s">
        <v>384</v>
      </c>
      <c r="N961">
        <v>40.580438999999998</v>
      </c>
      <c r="O961">
        <v>-111.85326499999999</v>
      </c>
      <c r="P961">
        <v>4679.6229999999996</v>
      </c>
      <c r="Q961">
        <v>414</v>
      </c>
      <c r="R961">
        <v>0</v>
      </c>
    </row>
    <row r="962" spans="1:18" x14ac:dyDescent="0.25">
      <c r="A962">
        <v>961</v>
      </c>
      <c r="B962">
        <v>94</v>
      </c>
      <c r="C962">
        <v>615283</v>
      </c>
      <c r="D962" t="s">
        <v>383</v>
      </c>
      <c r="E962">
        <v>14.519</v>
      </c>
      <c r="F962" t="s">
        <v>21</v>
      </c>
      <c r="G962" t="s">
        <v>26</v>
      </c>
      <c r="H962" t="s">
        <v>21</v>
      </c>
      <c r="I962" t="s">
        <v>20</v>
      </c>
      <c r="J962" t="s">
        <v>20</v>
      </c>
      <c r="K962" t="s">
        <v>31</v>
      </c>
      <c r="L962" t="s">
        <v>32</v>
      </c>
      <c r="M962" t="s">
        <v>384</v>
      </c>
      <c r="N962">
        <v>40.580364000000003</v>
      </c>
      <c r="O962">
        <v>-111.852586</v>
      </c>
      <c r="P962">
        <v>4693.26</v>
      </c>
      <c r="Q962">
        <v>414</v>
      </c>
      <c r="R962">
        <v>0</v>
      </c>
    </row>
    <row r="963" spans="1:18" x14ac:dyDescent="0.25">
      <c r="A963">
        <v>962</v>
      </c>
      <c r="B963">
        <v>94</v>
      </c>
      <c r="C963">
        <v>615582</v>
      </c>
      <c r="D963" t="s">
        <v>383</v>
      </c>
      <c r="E963">
        <v>14.616</v>
      </c>
      <c r="F963" t="s">
        <v>21</v>
      </c>
      <c r="G963" t="s">
        <v>26</v>
      </c>
      <c r="H963" t="s">
        <v>21</v>
      </c>
      <c r="I963" t="s">
        <v>20</v>
      </c>
      <c r="J963" t="s">
        <v>20</v>
      </c>
      <c r="K963" t="s">
        <v>31</v>
      </c>
      <c r="L963" t="s">
        <v>32</v>
      </c>
      <c r="M963" t="s">
        <v>384</v>
      </c>
      <c r="N963">
        <v>40.580410000000001</v>
      </c>
      <c r="O963">
        <v>-111.850729</v>
      </c>
      <c r="P963">
        <v>4722.7910000000002</v>
      </c>
      <c r="Q963">
        <v>414</v>
      </c>
      <c r="R963">
        <v>0</v>
      </c>
    </row>
    <row r="964" spans="1:18" x14ac:dyDescent="0.25">
      <c r="A964">
        <v>963</v>
      </c>
      <c r="B964">
        <v>94</v>
      </c>
      <c r="C964">
        <v>617038</v>
      </c>
      <c r="D964" t="s">
        <v>383</v>
      </c>
      <c r="E964">
        <v>14.978999999999999</v>
      </c>
      <c r="F964" t="s">
        <v>19</v>
      </c>
      <c r="G964" t="s">
        <v>20</v>
      </c>
      <c r="H964" t="s">
        <v>21</v>
      </c>
      <c r="I964" t="s">
        <v>20</v>
      </c>
      <c r="J964" t="s">
        <v>20</v>
      </c>
      <c r="K964" t="s">
        <v>31</v>
      </c>
      <c r="L964" t="s">
        <v>32</v>
      </c>
      <c r="M964" t="s">
        <v>384</v>
      </c>
      <c r="N964">
        <v>40.580398000000002</v>
      </c>
      <c r="O964">
        <v>-111.84377499999999</v>
      </c>
      <c r="P964">
        <v>4733.71</v>
      </c>
      <c r="Q964">
        <v>414</v>
      </c>
      <c r="R964">
        <v>0</v>
      </c>
    </row>
    <row r="965" spans="1:18" x14ac:dyDescent="0.25">
      <c r="A965">
        <v>964</v>
      </c>
      <c r="B965">
        <v>94</v>
      </c>
      <c r="C965">
        <v>617487</v>
      </c>
      <c r="D965" t="s">
        <v>383</v>
      </c>
      <c r="E965">
        <v>15.071999999999999</v>
      </c>
      <c r="F965" t="s">
        <v>21</v>
      </c>
      <c r="G965" t="s">
        <v>26</v>
      </c>
      <c r="H965" t="s">
        <v>21</v>
      </c>
      <c r="I965" t="s">
        <v>20</v>
      </c>
      <c r="J965" t="s">
        <v>20</v>
      </c>
      <c r="K965" t="s">
        <v>31</v>
      </c>
      <c r="L965" t="s">
        <v>32</v>
      </c>
      <c r="M965" t="s">
        <v>384</v>
      </c>
      <c r="N965">
        <v>40.580415000000002</v>
      </c>
      <c r="O965">
        <v>-111.84201</v>
      </c>
      <c r="P965">
        <v>4725.3639999999996</v>
      </c>
      <c r="Q965">
        <v>414</v>
      </c>
      <c r="R965">
        <v>0</v>
      </c>
    </row>
    <row r="966" spans="1:18" x14ac:dyDescent="0.25">
      <c r="A966">
        <v>965</v>
      </c>
      <c r="B966">
        <v>94</v>
      </c>
      <c r="C966">
        <v>31459738</v>
      </c>
      <c r="D966" t="s">
        <v>331</v>
      </c>
      <c r="E966">
        <v>5.718</v>
      </c>
      <c r="F966" t="s">
        <v>21</v>
      </c>
      <c r="G966" t="s">
        <v>26</v>
      </c>
      <c r="H966" t="s">
        <v>21</v>
      </c>
      <c r="I966" t="s">
        <v>20</v>
      </c>
      <c r="J966" t="s">
        <v>20</v>
      </c>
      <c r="K966" t="s">
        <v>27</v>
      </c>
      <c r="L966" t="s">
        <v>111</v>
      </c>
      <c r="M966" t="s">
        <v>112</v>
      </c>
      <c r="N966">
        <v>39.364196999999997</v>
      </c>
      <c r="O966">
        <v>-110.851862</v>
      </c>
      <c r="P966">
        <v>5704.1508180000001</v>
      </c>
      <c r="Q966">
        <v>1427</v>
      </c>
      <c r="R966">
        <v>0</v>
      </c>
    </row>
    <row r="967" spans="1:18" x14ac:dyDescent="0.25">
      <c r="A967">
        <v>966</v>
      </c>
      <c r="B967">
        <v>94</v>
      </c>
      <c r="C967">
        <v>31311704</v>
      </c>
      <c r="D967" t="s">
        <v>40</v>
      </c>
      <c r="E967">
        <v>5.7210000000000001</v>
      </c>
      <c r="F967" t="s">
        <v>21</v>
      </c>
      <c r="G967" t="s">
        <v>26</v>
      </c>
      <c r="H967" t="s">
        <v>21</v>
      </c>
      <c r="I967" t="s">
        <v>20</v>
      </c>
      <c r="J967" t="s">
        <v>20</v>
      </c>
      <c r="K967" t="s">
        <v>41</v>
      </c>
      <c r="L967" t="s">
        <v>42</v>
      </c>
      <c r="M967" t="s">
        <v>43</v>
      </c>
      <c r="N967">
        <v>41.633671</v>
      </c>
      <c r="O967">
        <v>-111.83653</v>
      </c>
      <c r="P967">
        <v>4735.3511529999996</v>
      </c>
      <c r="Q967">
        <v>1391</v>
      </c>
      <c r="R967">
        <v>0</v>
      </c>
    </row>
    <row r="968" spans="1:18" x14ac:dyDescent="0.25">
      <c r="A968">
        <v>967</v>
      </c>
      <c r="B968">
        <v>94</v>
      </c>
      <c r="C968" t="e">
        <f>-Iov-EmFH7eKWl4lMAzAMF</f>
        <v>#NAME?</v>
      </c>
      <c r="D968" t="s">
        <v>176</v>
      </c>
      <c r="E968">
        <v>5.7210000000000001</v>
      </c>
      <c r="F968" t="s">
        <v>21</v>
      </c>
      <c r="G968" t="s">
        <v>26</v>
      </c>
      <c r="H968" t="s">
        <v>21</v>
      </c>
      <c r="I968" t="s">
        <v>20</v>
      </c>
      <c r="J968" t="s">
        <v>20</v>
      </c>
      <c r="K968" t="s">
        <v>41</v>
      </c>
      <c r="L968" t="s">
        <v>177</v>
      </c>
      <c r="M968" t="s">
        <v>178</v>
      </c>
      <c r="N968">
        <v>41.536051</v>
      </c>
      <c r="O968">
        <v>-112.06880700000001</v>
      </c>
      <c r="P968">
        <v>4174.9370500000005</v>
      </c>
      <c r="Q968">
        <v>1329</v>
      </c>
      <c r="R968">
        <v>0</v>
      </c>
    </row>
    <row r="969" spans="1:18" x14ac:dyDescent="0.25">
      <c r="A969">
        <v>968</v>
      </c>
      <c r="B969">
        <v>94</v>
      </c>
      <c r="C969" t="s">
        <v>385</v>
      </c>
      <c r="D969" t="s">
        <v>203</v>
      </c>
      <c r="E969">
        <v>5.7229999999999999</v>
      </c>
      <c r="F969" t="s">
        <v>21</v>
      </c>
      <c r="G969" t="s">
        <v>26</v>
      </c>
      <c r="H969" t="s">
        <v>21</v>
      </c>
      <c r="I969" t="s">
        <v>20</v>
      </c>
      <c r="J969" t="s">
        <v>20</v>
      </c>
      <c r="K969" t="s">
        <v>41</v>
      </c>
      <c r="L969" t="s">
        <v>81</v>
      </c>
      <c r="M969" t="s">
        <v>204</v>
      </c>
      <c r="N969">
        <v>41.244300000000003</v>
      </c>
      <c r="O969">
        <v>-111.98289</v>
      </c>
      <c r="P969">
        <v>4224.1611380000004</v>
      </c>
      <c r="Q969">
        <v>1349</v>
      </c>
      <c r="R969">
        <v>0</v>
      </c>
    </row>
    <row r="970" spans="1:18" x14ac:dyDescent="0.25">
      <c r="A970">
        <v>969</v>
      </c>
      <c r="B970">
        <v>94</v>
      </c>
      <c r="C970" t="e">
        <f>-Ip5Lqu2Glus8jMLb99ixk</f>
        <v>#NAME?</v>
      </c>
      <c r="D970" t="s">
        <v>208</v>
      </c>
      <c r="E970">
        <v>5.7290000000000001</v>
      </c>
      <c r="F970" t="s">
        <v>19</v>
      </c>
      <c r="G970" t="s">
        <v>20</v>
      </c>
      <c r="H970" t="s">
        <v>21</v>
      </c>
      <c r="I970" t="s">
        <v>20</v>
      </c>
      <c r="J970" t="s">
        <v>20</v>
      </c>
      <c r="K970" t="s">
        <v>31</v>
      </c>
      <c r="L970" t="s">
        <v>209</v>
      </c>
      <c r="M970" t="s">
        <v>131</v>
      </c>
      <c r="N970">
        <v>40.656523999999997</v>
      </c>
      <c r="O970">
        <v>-111.506533</v>
      </c>
      <c r="P970">
        <v>6799.6317339999996</v>
      </c>
      <c r="Q970">
        <v>357</v>
      </c>
      <c r="R970">
        <v>0</v>
      </c>
    </row>
    <row r="971" spans="1:18" x14ac:dyDescent="0.25">
      <c r="A971">
        <v>970</v>
      </c>
      <c r="B971">
        <v>94</v>
      </c>
      <c r="C971">
        <v>31501754</v>
      </c>
      <c r="D971" t="s">
        <v>124</v>
      </c>
      <c r="E971">
        <v>56.189</v>
      </c>
      <c r="F971" t="s">
        <v>19</v>
      </c>
      <c r="G971" t="s">
        <v>20</v>
      </c>
      <c r="H971" t="s">
        <v>21</v>
      </c>
      <c r="I971" t="s">
        <v>20</v>
      </c>
      <c r="J971" t="s">
        <v>20</v>
      </c>
      <c r="K971" t="s">
        <v>31</v>
      </c>
      <c r="L971" t="s">
        <v>362</v>
      </c>
      <c r="M971" t="s">
        <v>365</v>
      </c>
      <c r="N971">
        <v>40.723958000000003</v>
      </c>
      <c r="O971">
        <v>-111.93894</v>
      </c>
      <c r="P971">
        <v>4184.3555829999996</v>
      </c>
      <c r="Q971">
        <v>1368</v>
      </c>
      <c r="R971">
        <v>0</v>
      </c>
    </row>
    <row r="972" spans="1:18" x14ac:dyDescent="0.25">
      <c r="A972">
        <v>971</v>
      </c>
      <c r="B972">
        <v>94</v>
      </c>
      <c r="C972">
        <v>31747331</v>
      </c>
      <c r="D972" t="s">
        <v>290</v>
      </c>
      <c r="E972">
        <v>56.206000000000003</v>
      </c>
      <c r="F972" t="s">
        <v>21</v>
      </c>
      <c r="G972" t="s">
        <v>20</v>
      </c>
      <c r="H972" t="s">
        <v>21</v>
      </c>
      <c r="I972" t="s">
        <v>20</v>
      </c>
      <c r="J972" t="s">
        <v>20</v>
      </c>
      <c r="K972" t="s">
        <v>41</v>
      </c>
      <c r="L972" t="s">
        <v>291</v>
      </c>
      <c r="M972" t="s">
        <v>238</v>
      </c>
      <c r="N972">
        <v>41.817093999999997</v>
      </c>
      <c r="O972">
        <v>-113.30469100000001</v>
      </c>
      <c r="P972">
        <v>5483.2252980000003</v>
      </c>
      <c r="Q972">
        <v>1343</v>
      </c>
      <c r="R972">
        <v>0</v>
      </c>
    </row>
    <row r="973" spans="1:18" x14ac:dyDescent="0.25">
      <c r="A973">
        <v>972</v>
      </c>
      <c r="B973">
        <v>94</v>
      </c>
      <c r="C973">
        <v>31502535</v>
      </c>
      <c r="D973" t="s">
        <v>124</v>
      </c>
      <c r="E973">
        <v>56.23</v>
      </c>
      <c r="F973" t="s">
        <v>19</v>
      </c>
      <c r="G973" t="s">
        <v>20</v>
      </c>
      <c r="H973" t="s">
        <v>21</v>
      </c>
      <c r="I973" t="s">
        <v>20</v>
      </c>
      <c r="J973" t="s">
        <v>20</v>
      </c>
      <c r="K973" t="s">
        <v>31</v>
      </c>
      <c r="L973" t="s">
        <v>362</v>
      </c>
      <c r="M973" t="s">
        <v>365</v>
      </c>
      <c r="N973">
        <v>40.724556</v>
      </c>
      <c r="O973">
        <v>-111.93883700000001</v>
      </c>
      <c r="P973">
        <v>4183.092208</v>
      </c>
      <c r="Q973">
        <v>1368</v>
      </c>
      <c r="R973">
        <v>0</v>
      </c>
    </row>
    <row r="974" spans="1:18" x14ac:dyDescent="0.25">
      <c r="A974">
        <v>973</v>
      </c>
      <c r="B974">
        <v>94</v>
      </c>
      <c r="C974">
        <v>31662961</v>
      </c>
      <c r="D974" t="s">
        <v>244</v>
      </c>
      <c r="E974">
        <v>56.231999999999999</v>
      </c>
      <c r="F974" t="s">
        <v>21</v>
      </c>
      <c r="G974" t="s">
        <v>26</v>
      </c>
      <c r="H974" t="s">
        <v>21</v>
      </c>
      <c r="I974" t="s">
        <v>20</v>
      </c>
      <c r="J974" t="s">
        <v>20</v>
      </c>
      <c r="K974" t="s">
        <v>27</v>
      </c>
      <c r="L974" t="s">
        <v>266</v>
      </c>
      <c r="M974" t="s">
        <v>386</v>
      </c>
      <c r="N974">
        <v>38.385876000000003</v>
      </c>
      <c r="O974">
        <v>-111.583952</v>
      </c>
      <c r="P974">
        <v>7111.6262619999998</v>
      </c>
      <c r="Q974">
        <v>1340</v>
      </c>
      <c r="R974">
        <v>0</v>
      </c>
    </row>
    <row r="975" spans="1:18" x14ac:dyDescent="0.25">
      <c r="A975">
        <v>974</v>
      </c>
      <c r="B975">
        <v>94</v>
      </c>
      <c r="C975">
        <v>2157651</v>
      </c>
      <c r="D975" t="s">
        <v>332</v>
      </c>
      <c r="E975">
        <v>7.2240000000000002</v>
      </c>
      <c r="F975" t="s">
        <v>21</v>
      </c>
      <c r="G975" t="s">
        <v>26</v>
      </c>
      <c r="H975" t="s">
        <v>21</v>
      </c>
      <c r="I975" t="s">
        <v>20</v>
      </c>
      <c r="J975" t="s">
        <v>20</v>
      </c>
      <c r="K975" t="s">
        <v>31</v>
      </c>
      <c r="L975" t="s">
        <v>282</v>
      </c>
      <c r="M975" t="s">
        <v>206</v>
      </c>
      <c r="N975">
        <v>40.550870000000003</v>
      </c>
      <c r="O975">
        <v>-112.317201</v>
      </c>
      <c r="P975">
        <v>4722.2330540000003</v>
      </c>
      <c r="Q975">
        <v>1399</v>
      </c>
      <c r="R975">
        <v>0</v>
      </c>
    </row>
    <row r="976" spans="1:18" x14ac:dyDescent="0.25">
      <c r="A976">
        <v>975</v>
      </c>
      <c r="B976">
        <v>94</v>
      </c>
      <c r="C976">
        <v>1393742</v>
      </c>
      <c r="D976" t="s">
        <v>100</v>
      </c>
      <c r="E976">
        <v>7.2270000000000003</v>
      </c>
      <c r="F976" t="s">
        <v>21</v>
      </c>
      <c r="G976" t="s">
        <v>26</v>
      </c>
      <c r="H976" t="s">
        <v>21</v>
      </c>
      <c r="I976" t="s">
        <v>20</v>
      </c>
      <c r="J976" t="s">
        <v>20</v>
      </c>
      <c r="K976" t="s">
        <v>41</v>
      </c>
      <c r="L976" t="s">
        <v>57</v>
      </c>
      <c r="M976" t="s">
        <v>46</v>
      </c>
      <c r="N976">
        <v>41.135815999999998</v>
      </c>
      <c r="O976">
        <v>-112.06447</v>
      </c>
      <c r="P976">
        <v>4303.945463</v>
      </c>
      <c r="Q976">
        <v>1396</v>
      </c>
      <c r="R976">
        <v>0</v>
      </c>
    </row>
    <row r="977" spans="1:18" x14ac:dyDescent="0.25">
      <c r="A977">
        <v>976</v>
      </c>
      <c r="B977">
        <v>94</v>
      </c>
      <c r="C977">
        <v>1482354</v>
      </c>
      <c r="D977" t="s">
        <v>88</v>
      </c>
      <c r="E977">
        <v>5.8250000000000002</v>
      </c>
      <c r="F977" t="s">
        <v>21</v>
      </c>
      <c r="G977" t="s">
        <v>26</v>
      </c>
      <c r="H977" t="s">
        <v>21</v>
      </c>
      <c r="I977" t="s">
        <v>20</v>
      </c>
      <c r="J977" t="s">
        <v>20</v>
      </c>
      <c r="K977" t="s">
        <v>31</v>
      </c>
      <c r="L977" t="s">
        <v>89</v>
      </c>
      <c r="M977" t="s">
        <v>90</v>
      </c>
      <c r="N977">
        <v>40.526693999999999</v>
      </c>
      <c r="O977">
        <v>-111.874798</v>
      </c>
      <c r="P977">
        <v>4401.5064279999997</v>
      </c>
      <c r="Q977">
        <v>318</v>
      </c>
      <c r="R977">
        <v>0</v>
      </c>
    </row>
    <row r="978" spans="1:18" x14ac:dyDescent="0.25">
      <c r="A978">
        <v>977</v>
      </c>
      <c r="B978">
        <v>94</v>
      </c>
      <c r="C978">
        <v>31312150</v>
      </c>
      <c r="D978" t="s">
        <v>215</v>
      </c>
      <c r="E978">
        <v>5.8289999999999997</v>
      </c>
      <c r="F978" t="s">
        <v>21</v>
      </c>
      <c r="G978" t="s">
        <v>26</v>
      </c>
      <c r="H978" t="s">
        <v>21</v>
      </c>
      <c r="I978" t="s">
        <v>20</v>
      </c>
      <c r="J978" t="s">
        <v>20</v>
      </c>
      <c r="K978" t="s">
        <v>22</v>
      </c>
      <c r="L978" t="s">
        <v>23</v>
      </c>
      <c r="M978" t="s">
        <v>85</v>
      </c>
      <c r="N978">
        <v>40.286476</v>
      </c>
      <c r="O978">
        <v>-111.733773</v>
      </c>
      <c r="P978">
        <v>4481.8331250000001</v>
      </c>
      <c r="Q978">
        <v>330</v>
      </c>
      <c r="R978">
        <v>0</v>
      </c>
    </row>
    <row r="979" spans="1:18" x14ac:dyDescent="0.25">
      <c r="A979">
        <v>978</v>
      </c>
      <c r="B979">
        <v>94</v>
      </c>
      <c r="C979">
        <v>28004199</v>
      </c>
      <c r="D979" t="s">
        <v>281</v>
      </c>
      <c r="E979">
        <v>50.753999999999998</v>
      </c>
      <c r="F979" t="s">
        <v>21</v>
      </c>
      <c r="G979" t="s">
        <v>26</v>
      </c>
      <c r="H979" t="s">
        <v>21</v>
      </c>
      <c r="I979" t="s">
        <v>20</v>
      </c>
      <c r="J979" t="s">
        <v>20</v>
      </c>
      <c r="K979" t="s">
        <v>31</v>
      </c>
      <c r="L979" t="s">
        <v>282</v>
      </c>
      <c r="M979" t="s">
        <v>283</v>
      </c>
      <c r="N979">
        <v>40.489545</v>
      </c>
      <c r="O979">
        <v>-112.33521399999999</v>
      </c>
      <c r="P979">
        <v>5054.5640450000001</v>
      </c>
      <c r="Q979">
        <v>1347</v>
      </c>
      <c r="R979">
        <v>0</v>
      </c>
    </row>
    <row r="980" spans="1:18" x14ac:dyDescent="0.25">
      <c r="A980">
        <v>979</v>
      </c>
      <c r="B980">
        <v>94</v>
      </c>
      <c r="C980">
        <v>31505130</v>
      </c>
      <c r="D980" t="s">
        <v>129</v>
      </c>
      <c r="E980">
        <v>50.774000000000001</v>
      </c>
      <c r="F980" t="s">
        <v>21</v>
      </c>
      <c r="G980" t="s">
        <v>20</v>
      </c>
      <c r="H980" t="s">
        <v>21</v>
      </c>
      <c r="I980" t="s">
        <v>20</v>
      </c>
      <c r="J980" t="s">
        <v>20</v>
      </c>
      <c r="K980" t="s">
        <v>31</v>
      </c>
      <c r="L980" t="s">
        <v>130</v>
      </c>
      <c r="M980" t="s">
        <v>328</v>
      </c>
      <c r="N980">
        <v>40.943443000000002</v>
      </c>
      <c r="O980">
        <v>-110.83825899999999</v>
      </c>
      <c r="P980">
        <v>8135.1813659999998</v>
      </c>
      <c r="Q980">
        <v>340</v>
      </c>
      <c r="R980">
        <v>0</v>
      </c>
    </row>
    <row r="981" spans="1:18" x14ac:dyDescent="0.25">
      <c r="A981">
        <v>980</v>
      </c>
      <c r="B981">
        <v>94</v>
      </c>
      <c r="C981">
        <v>31626725</v>
      </c>
      <c r="D981" t="s">
        <v>50</v>
      </c>
      <c r="E981">
        <v>50.777000000000001</v>
      </c>
      <c r="F981" t="s">
        <v>21</v>
      </c>
      <c r="G981" t="s">
        <v>26</v>
      </c>
      <c r="H981" t="s">
        <v>21</v>
      </c>
      <c r="I981" t="s">
        <v>20</v>
      </c>
      <c r="J981" t="s">
        <v>20</v>
      </c>
      <c r="K981" t="s">
        <v>27</v>
      </c>
      <c r="L981" t="s">
        <v>247</v>
      </c>
      <c r="M981" t="s">
        <v>52</v>
      </c>
      <c r="N981">
        <v>37.816558000000001</v>
      </c>
      <c r="O981">
        <v>-112.435552</v>
      </c>
      <c r="P981">
        <v>6568.9188770000001</v>
      </c>
      <c r="Q981">
        <v>1418</v>
      </c>
      <c r="R981">
        <v>0</v>
      </c>
    </row>
    <row r="982" spans="1:18" x14ac:dyDescent="0.25">
      <c r="A982">
        <v>981</v>
      </c>
      <c r="B982">
        <v>94</v>
      </c>
      <c r="C982">
        <v>31339035</v>
      </c>
      <c r="D982" t="s">
        <v>288</v>
      </c>
      <c r="E982">
        <v>50.835000000000001</v>
      </c>
      <c r="F982" t="s">
        <v>21</v>
      </c>
      <c r="G982" t="s">
        <v>26</v>
      </c>
      <c r="H982" t="s">
        <v>21</v>
      </c>
      <c r="I982" t="s">
        <v>20</v>
      </c>
      <c r="J982" t="s">
        <v>20</v>
      </c>
      <c r="K982" t="s">
        <v>27</v>
      </c>
      <c r="L982" t="s">
        <v>327</v>
      </c>
      <c r="M982" t="s">
        <v>147</v>
      </c>
      <c r="N982">
        <v>37.619683999999999</v>
      </c>
      <c r="O982">
        <v>-109.477987</v>
      </c>
      <c r="P982">
        <v>5997.2348110000003</v>
      </c>
      <c r="Q982">
        <v>350</v>
      </c>
      <c r="R982">
        <v>0</v>
      </c>
    </row>
    <row r="983" spans="1:18" x14ac:dyDescent="0.25">
      <c r="A983">
        <v>982</v>
      </c>
      <c r="B983">
        <v>94</v>
      </c>
      <c r="C983">
        <v>31410074</v>
      </c>
      <c r="D983" t="s">
        <v>124</v>
      </c>
      <c r="E983">
        <v>50.856000000000002</v>
      </c>
      <c r="F983" t="s">
        <v>19</v>
      </c>
      <c r="G983" t="s">
        <v>20</v>
      </c>
      <c r="H983" t="s">
        <v>21</v>
      </c>
      <c r="I983" t="s">
        <v>20</v>
      </c>
      <c r="J983" t="s">
        <v>20</v>
      </c>
      <c r="K983" t="s">
        <v>31</v>
      </c>
      <c r="L983" t="s">
        <v>48</v>
      </c>
      <c r="M983" t="s">
        <v>125</v>
      </c>
      <c r="N983">
        <v>40.646470000000001</v>
      </c>
      <c r="O983">
        <v>-111.93882499999999</v>
      </c>
      <c r="P983">
        <v>4289.8645150000002</v>
      </c>
      <c r="Q983">
        <v>1368</v>
      </c>
      <c r="R983">
        <v>0</v>
      </c>
    </row>
    <row r="984" spans="1:18" x14ac:dyDescent="0.25">
      <c r="A984">
        <v>983</v>
      </c>
      <c r="B984">
        <v>94</v>
      </c>
      <c r="C984">
        <v>31701233</v>
      </c>
      <c r="D984" t="s">
        <v>217</v>
      </c>
      <c r="E984">
        <v>50.856999999999999</v>
      </c>
      <c r="F984" t="s">
        <v>21</v>
      </c>
      <c r="G984" t="s">
        <v>20</v>
      </c>
      <c r="H984" t="s">
        <v>21</v>
      </c>
      <c r="I984" t="s">
        <v>20</v>
      </c>
      <c r="J984" t="s">
        <v>20</v>
      </c>
      <c r="K984" t="s">
        <v>27</v>
      </c>
      <c r="L984" t="s">
        <v>162</v>
      </c>
      <c r="M984" t="s">
        <v>163</v>
      </c>
      <c r="N984">
        <v>37.707284000000001</v>
      </c>
      <c r="O984">
        <v>-113.656356</v>
      </c>
      <c r="P984">
        <v>5104.7423529999996</v>
      </c>
      <c r="Q984">
        <v>304</v>
      </c>
      <c r="R984">
        <v>0</v>
      </c>
    </row>
    <row r="985" spans="1:18" x14ac:dyDescent="0.25">
      <c r="A985">
        <v>984</v>
      </c>
      <c r="B985">
        <v>94</v>
      </c>
      <c r="C985">
        <v>31626736</v>
      </c>
      <c r="D985" t="s">
        <v>50</v>
      </c>
      <c r="E985">
        <v>50.884999999999998</v>
      </c>
      <c r="F985" t="s">
        <v>21</v>
      </c>
      <c r="G985" t="s">
        <v>26</v>
      </c>
      <c r="H985" t="s">
        <v>21</v>
      </c>
      <c r="I985" t="s">
        <v>20</v>
      </c>
      <c r="J985" t="s">
        <v>20</v>
      </c>
      <c r="K985" t="s">
        <v>27</v>
      </c>
      <c r="L985" t="s">
        <v>247</v>
      </c>
      <c r="M985" t="s">
        <v>52</v>
      </c>
      <c r="N985">
        <v>37.818109</v>
      </c>
      <c r="O985">
        <v>-112.43557699999999</v>
      </c>
      <c r="P985">
        <v>6567.1213340000004</v>
      </c>
      <c r="Q985">
        <v>1418</v>
      </c>
      <c r="R985">
        <v>0</v>
      </c>
    </row>
    <row r="986" spans="1:18" x14ac:dyDescent="0.25">
      <c r="A986">
        <v>985</v>
      </c>
      <c r="B986">
        <v>94</v>
      </c>
      <c r="C986" t="s">
        <v>387</v>
      </c>
      <c r="D986" t="s">
        <v>241</v>
      </c>
      <c r="E986">
        <v>50.915999999999997</v>
      </c>
      <c r="F986" t="s">
        <v>21</v>
      </c>
      <c r="G986" t="s">
        <v>26</v>
      </c>
      <c r="H986" t="s">
        <v>21</v>
      </c>
      <c r="I986" t="s">
        <v>20</v>
      </c>
      <c r="J986" t="s">
        <v>20</v>
      </c>
      <c r="K986" t="s">
        <v>27</v>
      </c>
      <c r="L986" t="s">
        <v>111</v>
      </c>
      <c r="M986" t="s">
        <v>243</v>
      </c>
      <c r="N986">
        <v>39.363809000000003</v>
      </c>
      <c r="O986">
        <v>-110.923283</v>
      </c>
      <c r="P986">
        <v>5849.1229169999997</v>
      </c>
      <c r="Q986">
        <v>1327</v>
      </c>
      <c r="R986">
        <v>0</v>
      </c>
    </row>
    <row r="987" spans="1:18" x14ac:dyDescent="0.25">
      <c r="A987">
        <v>986</v>
      </c>
      <c r="B987">
        <v>94</v>
      </c>
      <c r="C987">
        <v>31339046</v>
      </c>
      <c r="D987" t="s">
        <v>288</v>
      </c>
      <c r="E987">
        <v>50.935000000000002</v>
      </c>
      <c r="F987" t="s">
        <v>21</v>
      </c>
      <c r="G987" t="s">
        <v>26</v>
      </c>
      <c r="H987" t="s">
        <v>21</v>
      </c>
      <c r="I987" t="s">
        <v>20</v>
      </c>
      <c r="J987" t="s">
        <v>20</v>
      </c>
      <c r="K987" t="s">
        <v>27</v>
      </c>
      <c r="L987" t="s">
        <v>327</v>
      </c>
      <c r="M987" t="s">
        <v>147</v>
      </c>
      <c r="N987">
        <v>37.621124999999999</v>
      </c>
      <c r="O987">
        <v>-109.478005</v>
      </c>
      <c r="P987">
        <v>6010.1123939999998</v>
      </c>
      <c r="Q987">
        <v>350</v>
      </c>
      <c r="R987">
        <v>0</v>
      </c>
    </row>
    <row r="988" spans="1:18" x14ac:dyDescent="0.25">
      <c r="A988">
        <v>987</v>
      </c>
      <c r="B988">
        <v>94</v>
      </c>
      <c r="C988">
        <v>31505141</v>
      </c>
      <c r="D988" t="s">
        <v>129</v>
      </c>
      <c r="E988">
        <v>50.936</v>
      </c>
      <c r="F988" t="s">
        <v>21</v>
      </c>
      <c r="G988" t="s">
        <v>20</v>
      </c>
      <c r="H988" t="s">
        <v>21</v>
      </c>
      <c r="I988" t="s">
        <v>20</v>
      </c>
      <c r="J988" t="s">
        <v>20</v>
      </c>
      <c r="K988" t="s">
        <v>31</v>
      </c>
      <c r="L988" t="s">
        <v>130</v>
      </c>
      <c r="M988" t="s">
        <v>328</v>
      </c>
      <c r="N988">
        <v>40.945701</v>
      </c>
      <c r="O988">
        <v>-110.839118</v>
      </c>
      <c r="P988">
        <v>8117.3791860000001</v>
      </c>
      <c r="Q988">
        <v>340</v>
      </c>
      <c r="R988">
        <v>0</v>
      </c>
    </row>
    <row r="989" spans="1:18" x14ac:dyDescent="0.25">
      <c r="A989">
        <v>988</v>
      </c>
      <c r="B989">
        <v>94</v>
      </c>
      <c r="C989" t="s">
        <v>388</v>
      </c>
      <c r="D989" t="s">
        <v>124</v>
      </c>
      <c r="E989">
        <v>50.960999999999999</v>
      </c>
      <c r="F989" t="s">
        <v>21</v>
      </c>
      <c r="G989" t="s">
        <v>26</v>
      </c>
      <c r="H989" t="s">
        <v>21</v>
      </c>
      <c r="I989" t="s">
        <v>20</v>
      </c>
      <c r="J989" t="s">
        <v>20</v>
      </c>
      <c r="K989" t="s">
        <v>31</v>
      </c>
      <c r="L989" t="s">
        <v>48</v>
      </c>
      <c r="M989" t="s">
        <v>125</v>
      </c>
      <c r="N989">
        <v>40.648015999999998</v>
      </c>
      <c r="O989">
        <v>-111.938827</v>
      </c>
      <c r="P989">
        <v>4285.3660730000001</v>
      </c>
      <c r="Q989">
        <v>1368</v>
      </c>
      <c r="R989">
        <v>0</v>
      </c>
    </row>
    <row r="990" spans="1:18" x14ac:dyDescent="0.25">
      <c r="A990">
        <v>989</v>
      </c>
      <c r="B990">
        <v>94</v>
      </c>
      <c r="C990">
        <v>31747065</v>
      </c>
      <c r="D990" t="s">
        <v>290</v>
      </c>
      <c r="E990">
        <v>50.976999999999997</v>
      </c>
      <c r="F990" t="s">
        <v>21</v>
      </c>
      <c r="G990" t="s">
        <v>20</v>
      </c>
      <c r="H990" t="s">
        <v>21</v>
      </c>
      <c r="I990" t="s">
        <v>20</v>
      </c>
      <c r="J990" t="s">
        <v>20</v>
      </c>
      <c r="K990" t="s">
        <v>41</v>
      </c>
      <c r="L990" t="s">
        <v>291</v>
      </c>
      <c r="M990" t="s">
        <v>238</v>
      </c>
      <c r="N990">
        <v>41.819614999999999</v>
      </c>
      <c r="O990">
        <v>-113.40542600000001</v>
      </c>
      <c r="P990">
        <v>5623.6556579999997</v>
      </c>
      <c r="Q990">
        <v>1343</v>
      </c>
      <c r="R990">
        <v>0</v>
      </c>
    </row>
    <row r="991" spans="1:18" x14ac:dyDescent="0.25">
      <c r="A991">
        <v>990</v>
      </c>
      <c r="B991">
        <v>94</v>
      </c>
      <c r="C991">
        <v>31394590</v>
      </c>
      <c r="D991" t="s">
        <v>114</v>
      </c>
      <c r="E991">
        <v>6.0620000000000003</v>
      </c>
      <c r="F991" t="s">
        <v>21</v>
      </c>
      <c r="G991" t="s">
        <v>26</v>
      </c>
      <c r="H991" t="s">
        <v>21</v>
      </c>
      <c r="I991" t="s">
        <v>20</v>
      </c>
      <c r="J991" t="s">
        <v>20</v>
      </c>
      <c r="K991" t="s">
        <v>41</v>
      </c>
      <c r="L991" t="s">
        <v>87</v>
      </c>
      <c r="M991" t="s">
        <v>82</v>
      </c>
      <c r="N991">
        <v>41.102837999999998</v>
      </c>
      <c r="O991">
        <v>-111.95244599999999</v>
      </c>
      <c r="P991">
        <v>4724.6851820000002</v>
      </c>
      <c r="Q991">
        <v>405</v>
      </c>
      <c r="R991">
        <v>0</v>
      </c>
    </row>
    <row r="992" spans="1:18" x14ac:dyDescent="0.25">
      <c r="A992">
        <v>991</v>
      </c>
      <c r="B992">
        <v>94</v>
      </c>
      <c r="C992" t="s">
        <v>389</v>
      </c>
      <c r="D992" t="s">
        <v>304</v>
      </c>
      <c r="E992">
        <v>6.0629999999999997</v>
      </c>
      <c r="F992" t="s">
        <v>21</v>
      </c>
      <c r="G992" t="s">
        <v>20</v>
      </c>
      <c r="H992" t="s">
        <v>21</v>
      </c>
      <c r="I992" t="s">
        <v>20</v>
      </c>
      <c r="J992" t="s">
        <v>20</v>
      </c>
      <c r="K992" t="s">
        <v>41</v>
      </c>
      <c r="L992" t="s">
        <v>177</v>
      </c>
      <c r="M992" t="s">
        <v>43</v>
      </c>
      <c r="N992">
        <v>41.606502999999996</v>
      </c>
      <c r="O992">
        <v>-112.058834</v>
      </c>
      <c r="P992">
        <v>4231.2112200000001</v>
      </c>
      <c r="Q992">
        <v>1348</v>
      </c>
      <c r="R992">
        <v>0</v>
      </c>
    </row>
    <row r="993" spans="1:18" x14ac:dyDescent="0.25">
      <c r="A993">
        <v>992</v>
      </c>
      <c r="B993">
        <v>94</v>
      </c>
      <c r="C993">
        <v>1374534</v>
      </c>
      <c r="D993" t="s">
        <v>100</v>
      </c>
      <c r="E993">
        <v>6.0650000000000004</v>
      </c>
      <c r="F993" t="s">
        <v>21</v>
      </c>
      <c r="G993" t="s">
        <v>26</v>
      </c>
      <c r="H993" t="s">
        <v>21</v>
      </c>
      <c r="I993" t="s">
        <v>20</v>
      </c>
      <c r="J993" t="s">
        <v>20</v>
      </c>
      <c r="K993" t="s">
        <v>41</v>
      </c>
      <c r="L993" t="s">
        <v>57</v>
      </c>
      <c r="M993" t="s">
        <v>46</v>
      </c>
      <c r="N993">
        <v>41.119005000000001</v>
      </c>
      <c r="O993">
        <v>-112.064521</v>
      </c>
      <c r="P993">
        <v>4307.9827599999999</v>
      </c>
      <c r="Q993">
        <v>1396</v>
      </c>
      <c r="R993">
        <v>0</v>
      </c>
    </row>
    <row r="994" spans="1:18" x14ac:dyDescent="0.25">
      <c r="A994">
        <v>993</v>
      </c>
      <c r="B994">
        <v>94</v>
      </c>
      <c r="C994">
        <v>31405386</v>
      </c>
      <c r="D994" t="s">
        <v>224</v>
      </c>
      <c r="E994">
        <v>6.0679999999999996</v>
      </c>
      <c r="F994" t="s">
        <v>21</v>
      </c>
      <c r="G994" t="s">
        <v>26</v>
      </c>
      <c r="H994" t="s">
        <v>21</v>
      </c>
      <c r="I994" t="s">
        <v>20</v>
      </c>
      <c r="J994" t="s">
        <v>20</v>
      </c>
      <c r="K994" t="s">
        <v>22</v>
      </c>
      <c r="L994" t="s">
        <v>198</v>
      </c>
      <c r="M994" t="s">
        <v>194</v>
      </c>
      <c r="N994">
        <v>40.044504000000003</v>
      </c>
      <c r="O994">
        <v>-111.71952</v>
      </c>
      <c r="P994">
        <v>4584.2364660000003</v>
      </c>
      <c r="Q994">
        <v>408</v>
      </c>
      <c r="R994">
        <v>0</v>
      </c>
    </row>
    <row r="995" spans="1:18" x14ac:dyDescent="0.25">
      <c r="A995">
        <v>994</v>
      </c>
      <c r="B995">
        <v>94</v>
      </c>
      <c r="C995">
        <v>31446142</v>
      </c>
      <c r="D995" t="s">
        <v>254</v>
      </c>
      <c r="E995">
        <v>6.0709999999999997</v>
      </c>
      <c r="F995" t="s">
        <v>21</v>
      </c>
      <c r="G995" t="s">
        <v>20</v>
      </c>
      <c r="H995" t="s">
        <v>21</v>
      </c>
      <c r="I995" t="s">
        <v>20</v>
      </c>
      <c r="J995" t="s">
        <v>20</v>
      </c>
      <c r="K995" t="s">
        <v>41</v>
      </c>
      <c r="L995" t="s">
        <v>255</v>
      </c>
      <c r="M995" t="s">
        <v>204</v>
      </c>
      <c r="N995">
        <v>41.326644999999999</v>
      </c>
      <c r="O995">
        <v>-111.82567899999999</v>
      </c>
      <c r="P995">
        <v>5207.8311180000001</v>
      </c>
      <c r="Q995">
        <v>1429</v>
      </c>
      <c r="R995">
        <v>0</v>
      </c>
    </row>
    <row r="996" spans="1:18" x14ac:dyDescent="0.25">
      <c r="A996">
        <v>995</v>
      </c>
      <c r="B996">
        <v>94</v>
      </c>
      <c r="C996">
        <v>31525020</v>
      </c>
      <c r="D996" t="s">
        <v>390</v>
      </c>
      <c r="E996">
        <v>6.0709999999999997</v>
      </c>
      <c r="F996" t="s">
        <v>21</v>
      </c>
      <c r="G996" t="s">
        <v>26</v>
      </c>
      <c r="H996" t="s">
        <v>21</v>
      </c>
      <c r="I996" t="s">
        <v>20</v>
      </c>
      <c r="J996" t="s">
        <v>20</v>
      </c>
      <c r="K996" t="s">
        <v>22</v>
      </c>
      <c r="L996" t="s">
        <v>84</v>
      </c>
      <c r="M996" t="s">
        <v>335</v>
      </c>
      <c r="N996">
        <v>40.431964000000001</v>
      </c>
      <c r="O996">
        <v>-111.78058299999999</v>
      </c>
      <c r="P996">
        <v>4873.262017</v>
      </c>
      <c r="Q996">
        <v>1386</v>
      </c>
      <c r="R996">
        <v>0</v>
      </c>
    </row>
    <row r="997" spans="1:18" x14ac:dyDescent="0.25">
      <c r="A997">
        <v>996</v>
      </c>
      <c r="B997">
        <v>94</v>
      </c>
      <c r="C997">
        <v>31388564</v>
      </c>
      <c r="D997" t="s">
        <v>184</v>
      </c>
      <c r="E997">
        <v>5.8959999999999999</v>
      </c>
      <c r="F997" t="s">
        <v>21</v>
      </c>
      <c r="G997" t="s">
        <v>20</v>
      </c>
      <c r="H997" t="s">
        <v>21</v>
      </c>
      <c r="I997" t="s">
        <v>20</v>
      </c>
      <c r="J997" t="s">
        <v>20</v>
      </c>
      <c r="K997" t="s">
        <v>27</v>
      </c>
      <c r="L997" t="s">
        <v>54</v>
      </c>
      <c r="M997" t="s">
        <v>55</v>
      </c>
      <c r="N997">
        <v>37.725261000000003</v>
      </c>
      <c r="O997">
        <v>-113.05000699999999</v>
      </c>
      <c r="P997">
        <v>5701.3618550000001</v>
      </c>
      <c r="Q997">
        <v>1410</v>
      </c>
      <c r="R997">
        <v>0</v>
      </c>
    </row>
    <row r="998" spans="1:18" x14ac:dyDescent="0.25">
      <c r="A998">
        <v>997</v>
      </c>
      <c r="B998">
        <v>94</v>
      </c>
      <c r="C998">
        <v>31769105</v>
      </c>
      <c r="D998" t="s">
        <v>118</v>
      </c>
      <c r="E998">
        <v>70.998999999999995</v>
      </c>
      <c r="F998" t="s">
        <v>21</v>
      </c>
      <c r="G998" t="s">
        <v>20</v>
      </c>
      <c r="H998" t="s">
        <v>21</v>
      </c>
      <c r="I998" t="s">
        <v>20</v>
      </c>
      <c r="J998" t="s">
        <v>20</v>
      </c>
      <c r="K998" t="s">
        <v>22</v>
      </c>
      <c r="L998" t="s">
        <v>253</v>
      </c>
      <c r="M998" t="s">
        <v>120</v>
      </c>
      <c r="N998">
        <v>40.192684</v>
      </c>
      <c r="O998">
        <v>-110.68270200000001</v>
      </c>
      <c r="P998">
        <v>6732.3471229999996</v>
      </c>
      <c r="Q998">
        <v>310</v>
      </c>
      <c r="R998">
        <v>0</v>
      </c>
    </row>
    <row r="999" spans="1:18" x14ac:dyDescent="0.25">
      <c r="A999">
        <v>998</v>
      </c>
      <c r="B999">
        <v>94</v>
      </c>
      <c r="C999">
        <v>31717836</v>
      </c>
      <c r="D999" t="s">
        <v>244</v>
      </c>
      <c r="E999">
        <v>71.058000000000007</v>
      </c>
      <c r="F999" t="s">
        <v>21</v>
      </c>
      <c r="G999" t="s">
        <v>20</v>
      </c>
      <c r="H999" t="s">
        <v>21</v>
      </c>
      <c r="I999" t="s">
        <v>20</v>
      </c>
      <c r="J999" t="s">
        <v>20</v>
      </c>
      <c r="K999" t="s">
        <v>27</v>
      </c>
      <c r="L999" t="s">
        <v>266</v>
      </c>
      <c r="M999" t="s">
        <v>270</v>
      </c>
      <c r="N999">
        <v>38.310940000000002</v>
      </c>
      <c r="O999">
        <v>-111.387812</v>
      </c>
      <c r="P999">
        <v>6545.799481</v>
      </c>
      <c r="Q999">
        <v>1340</v>
      </c>
      <c r="R999">
        <v>0</v>
      </c>
    </row>
    <row r="1000" spans="1:18" x14ac:dyDescent="0.25">
      <c r="A1000">
        <v>999</v>
      </c>
      <c r="B1000">
        <v>94</v>
      </c>
      <c r="C1000">
        <v>31358251</v>
      </c>
      <c r="D1000" t="s">
        <v>288</v>
      </c>
      <c r="E1000">
        <v>71.293999999999997</v>
      </c>
      <c r="F1000" t="s">
        <v>21</v>
      </c>
      <c r="G1000" t="s">
        <v>26</v>
      </c>
      <c r="H1000" t="s">
        <v>21</v>
      </c>
      <c r="I1000" t="s">
        <v>20</v>
      </c>
      <c r="J1000" t="s">
        <v>20</v>
      </c>
      <c r="K1000" t="s">
        <v>27</v>
      </c>
      <c r="L1000" t="s">
        <v>146</v>
      </c>
      <c r="M1000" t="s">
        <v>147</v>
      </c>
      <c r="N1000">
        <v>37.864525</v>
      </c>
      <c r="O1000">
        <v>-109.34257100000001</v>
      </c>
      <c r="P1000">
        <v>6928.4549960000004</v>
      </c>
      <c r="Q1000">
        <v>350</v>
      </c>
      <c r="R1000">
        <v>0</v>
      </c>
    </row>
    <row r="1001" spans="1:18" x14ac:dyDescent="0.25">
      <c r="A1001">
        <v>1000</v>
      </c>
      <c r="B1001">
        <v>94</v>
      </c>
      <c r="C1001">
        <v>31360762</v>
      </c>
      <c r="D1001" t="s">
        <v>288</v>
      </c>
      <c r="E1001">
        <v>71.323999999999998</v>
      </c>
      <c r="F1001" t="s">
        <v>21</v>
      </c>
      <c r="G1001" t="s">
        <v>26</v>
      </c>
      <c r="H1001" t="s">
        <v>21</v>
      </c>
      <c r="I1001" t="s">
        <v>20</v>
      </c>
      <c r="J1001" t="s">
        <v>20</v>
      </c>
      <c r="K1001" t="s">
        <v>27</v>
      </c>
      <c r="L1001" t="s">
        <v>146</v>
      </c>
      <c r="M1001" t="s">
        <v>147</v>
      </c>
      <c r="N1001">
        <v>37.864938000000002</v>
      </c>
      <c r="O1001">
        <v>-109.342753</v>
      </c>
      <c r="P1001">
        <v>6934.8697350000002</v>
      </c>
      <c r="Q1001">
        <v>350</v>
      </c>
      <c r="R1001">
        <v>0</v>
      </c>
    </row>
    <row r="1002" spans="1:18" x14ac:dyDescent="0.25">
      <c r="A1002">
        <v>1001</v>
      </c>
      <c r="B1002">
        <v>94</v>
      </c>
      <c r="C1002">
        <v>31769116</v>
      </c>
      <c r="D1002" t="s">
        <v>118</v>
      </c>
      <c r="E1002">
        <v>71.347999999999999</v>
      </c>
      <c r="F1002" t="s">
        <v>21</v>
      </c>
      <c r="G1002" t="s">
        <v>20</v>
      </c>
      <c r="H1002" t="s">
        <v>21</v>
      </c>
      <c r="I1002" t="s">
        <v>20</v>
      </c>
      <c r="J1002" t="s">
        <v>20</v>
      </c>
      <c r="K1002" t="s">
        <v>22</v>
      </c>
      <c r="L1002" t="s">
        <v>253</v>
      </c>
      <c r="M1002" t="s">
        <v>120</v>
      </c>
      <c r="N1002">
        <v>40.189886000000001</v>
      </c>
      <c r="O1002">
        <v>-110.67717</v>
      </c>
      <c r="P1002">
        <v>6749.4976989999996</v>
      </c>
      <c r="Q1002">
        <v>310</v>
      </c>
      <c r="R1002">
        <v>0</v>
      </c>
    </row>
    <row r="1003" spans="1:18" x14ac:dyDescent="0.25">
      <c r="A1003">
        <v>1002</v>
      </c>
      <c r="B1003">
        <v>94</v>
      </c>
      <c r="C1003">
        <v>31769127</v>
      </c>
      <c r="D1003" t="s">
        <v>118</v>
      </c>
      <c r="E1003">
        <v>71.405000000000001</v>
      </c>
      <c r="F1003" t="s">
        <v>21</v>
      </c>
      <c r="G1003" t="s">
        <v>20</v>
      </c>
      <c r="H1003" t="s">
        <v>21</v>
      </c>
      <c r="I1003" t="s">
        <v>20</v>
      </c>
      <c r="J1003" t="s">
        <v>20</v>
      </c>
      <c r="K1003" t="s">
        <v>22</v>
      </c>
      <c r="L1003" t="s">
        <v>253</v>
      </c>
      <c r="M1003" t="s">
        <v>120</v>
      </c>
      <c r="N1003">
        <v>40.189428999999997</v>
      </c>
      <c r="O1003">
        <v>-110.676266</v>
      </c>
      <c r="P1003">
        <v>6754.8428809999996</v>
      </c>
      <c r="Q1003">
        <v>310</v>
      </c>
      <c r="R1003">
        <v>0</v>
      </c>
    </row>
    <row r="1004" spans="1:18" x14ac:dyDescent="0.25">
      <c r="A1004">
        <v>1003</v>
      </c>
      <c r="B1004">
        <v>94</v>
      </c>
      <c r="C1004">
        <v>31541667</v>
      </c>
      <c r="D1004" t="s">
        <v>348</v>
      </c>
      <c r="E1004">
        <v>71.444999999999993</v>
      </c>
      <c r="F1004" t="s">
        <v>21</v>
      </c>
      <c r="G1004" t="s">
        <v>26</v>
      </c>
      <c r="H1004" t="s">
        <v>21</v>
      </c>
      <c r="I1004" t="s">
        <v>20</v>
      </c>
      <c r="J1004" t="s">
        <v>20</v>
      </c>
      <c r="K1004" t="s">
        <v>27</v>
      </c>
      <c r="L1004" t="s">
        <v>327</v>
      </c>
      <c r="M1004" t="s">
        <v>123</v>
      </c>
      <c r="N1004">
        <v>37.635804999999998</v>
      </c>
      <c r="O1004">
        <v>-110.15595399999999</v>
      </c>
      <c r="P1004">
        <v>5237.8789239999996</v>
      </c>
      <c r="Q1004">
        <v>1388</v>
      </c>
      <c r="R1004">
        <v>0</v>
      </c>
    </row>
    <row r="1005" spans="1:18" x14ac:dyDescent="0.25">
      <c r="A1005">
        <v>1004</v>
      </c>
      <c r="B1005">
        <v>94</v>
      </c>
      <c r="C1005">
        <v>31360773</v>
      </c>
      <c r="D1005" t="s">
        <v>288</v>
      </c>
      <c r="E1005">
        <v>71.457999999999998</v>
      </c>
      <c r="F1005" t="s">
        <v>21</v>
      </c>
      <c r="G1005" t="s">
        <v>26</v>
      </c>
      <c r="H1005" t="s">
        <v>21</v>
      </c>
      <c r="I1005" t="s">
        <v>20</v>
      </c>
      <c r="J1005" t="s">
        <v>20</v>
      </c>
      <c r="K1005" t="s">
        <v>27</v>
      </c>
      <c r="L1005" t="s">
        <v>146</v>
      </c>
      <c r="M1005" t="s">
        <v>147</v>
      </c>
      <c r="N1005">
        <v>37.866852000000002</v>
      </c>
      <c r="O1005">
        <v>-109.342945</v>
      </c>
      <c r="P1005">
        <v>6966.3985080000002</v>
      </c>
      <c r="Q1005">
        <v>350</v>
      </c>
      <c r="R1005">
        <v>0</v>
      </c>
    </row>
    <row r="1006" spans="1:18" x14ac:dyDescent="0.25">
      <c r="A1006">
        <v>1005</v>
      </c>
      <c r="B1006">
        <v>94</v>
      </c>
      <c r="C1006">
        <v>31718608</v>
      </c>
      <c r="D1006" t="s">
        <v>244</v>
      </c>
      <c r="E1006">
        <v>71.468999999999994</v>
      </c>
      <c r="F1006" t="s">
        <v>21</v>
      </c>
      <c r="G1006" t="s">
        <v>20</v>
      </c>
      <c r="H1006" t="s">
        <v>21</v>
      </c>
      <c r="I1006" t="s">
        <v>20</v>
      </c>
      <c r="J1006" t="s">
        <v>20</v>
      </c>
      <c r="K1006" t="s">
        <v>27</v>
      </c>
      <c r="L1006" t="s">
        <v>266</v>
      </c>
      <c r="M1006" t="s">
        <v>270</v>
      </c>
      <c r="N1006">
        <v>38.316509000000003</v>
      </c>
      <c r="O1006">
        <v>-111.385086</v>
      </c>
      <c r="P1006">
        <v>6452.9899720000003</v>
      </c>
      <c r="Q1006">
        <v>1340</v>
      </c>
      <c r="R1006">
        <v>0</v>
      </c>
    </row>
    <row r="1007" spans="1:18" x14ac:dyDescent="0.25">
      <c r="A1007">
        <v>1006</v>
      </c>
      <c r="B1007">
        <v>94</v>
      </c>
      <c r="C1007">
        <v>31360784</v>
      </c>
      <c r="D1007" t="s">
        <v>288</v>
      </c>
      <c r="E1007">
        <v>71.555999999999997</v>
      </c>
      <c r="F1007" t="s">
        <v>21</v>
      </c>
      <c r="G1007" t="s">
        <v>26</v>
      </c>
      <c r="H1007" t="s">
        <v>21</v>
      </c>
      <c r="I1007" t="s">
        <v>20</v>
      </c>
      <c r="J1007" t="s">
        <v>20</v>
      </c>
      <c r="K1007" t="s">
        <v>27</v>
      </c>
      <c r="L1007" t="s">
        <v>146</v>
      </c>
      <c r="M1007" t="s">
        <v>147</v>
      </c>
      <c r="N1007">
        <v>37.868285</v>
      </c>
      <c r="O1007">
        <v>-109.34296000000001</v>
      </c>
      <c r="P1007">
        <v>6995.9994589999997</v>
      </c>
      <c r="Q1007">
        <v>350</v>
      </c>
      <c r="R1007">
        <v>0</v>
      </c>
    </row>
    <row r="1008" spans="1:18" x14ac:dyDescent="0.25">
      <c r="A1008">
        <v>1007</v>
      </c>
      <c r="B1008">
        <v>94</v>
      </c>
      <c r="C1008">
        <v>31630795</v>
      </c>
      <c r="D1008" t="s">
        <v>121</v>
      </c>
      <c r="E1008">
        <v>71.611000000000004</v>
      </c>
      <c r="F1008" t="s">
        <v>21</v>
      </c>
      <c r="G1008" t="s">
        <v>26</v>
      </c>
      <c r="H1008" t="s">
        <v>21</v>
      </c>
      <c r="I1008" t="s">
        <v>20</v>
      </c>
      <c r="J1008" t="s">
        <v>20</v>
      </c>
      <c r="K1008" t="s">
        <v>27</v>
      </c>
      <c r="L1008" t="s">
        <v>327</v>
      </c>
      <c r="M1008" t="s">
        <v>123</v>
      </c>
      <c r="N1008">
        <v>37.409723999999997</v>
      </c>
      <c r="O1008">
        <v>-110.27296699999999</v>
      </c>
      <c r="P1008">
        <v>4651.5781079999997</v>
      </c>
      <c r="Q1008">
        <v>1283</v>
      </c>
      <c r="R1008">
        <v>0</v>
      </c>
    </row>
    <row r="1009" spans="1:18" x14ac:dyDescent="0.25">
      <c r="A1009">
        <v>1008</v>
      </c>
      <c r="B1009">
        <v>94</v>
      </c>
      <c r="C1009">
        <v>31523555</v>
      </c>
      <c r="D1009" t="s">
        <v>390</v>
      </c>
      <c r="E1009">
        <v>5.8289999999999997</v>
      </c>
      <c r="F1009" t="s">
        <v>19</v>
      </c>
      <c r="G1009" t="s">
        <v>20</v>
      </c>
      <c r="H1009" t="s">
        <v>19</v>
      </c>
      <c r="I1009">
        <v>74</v>
      </c>
      <c r="J1009" t="s">
        <v>20</v>
      </c>
      <c r="K1009" t="s">
        <v>22</v>
      </c>
      <c r="L1009" t="s">
        <v>84</v>
      </c>
      <c r="M1009" t="s">
        <v>335</v>
      </c>
      <c r="N1009">
        <v>40.431927999999999</v>
      </c>
      <c r="O1009">
        <v>-111.785185</v>
      </c>
      <c r="P1009">
        <v>4855.1900379999997</v>
      </c>
      <c r="Q1009">
        <v>1386</v>
      </c>
      <c r="R1009">
        <v>0</v>
      </c>
    </row>
    <row r="1010" spans="1:18" x14ac:dyDescent="0.25">
      <c r="A1010">
        <v>1009</v>
      </c>
      <c r="B1010">
        <v>94</v>
      </c>
      <c r="C1010">
        <v>28001132</v>
      </c>
      <c r="D1010" t="s">
        <v>346</v>
      </c>
      <c r="E1010">
        <v>5.8319999999999999</v>
      </c>
      <c r="F1010" t="s">
        <v>21</v>
      </c>
      <c r="G1010" t="s">
        <v>26</v>
      </c>
      <c r="H1010" t="s">
        <v>21</v>
      </c>
      <c r="I1010" t="s">
        <v>20</v>
      </c>
      <c r="J1010" t="s">
        <v>20</v>
      </c>
      <c r="K1010" t="s">
        <v>27</v>
      </c>
      <c r="L1010" t="s">
        <v>307</v>
      </c>
      <c r="M1010" t="s">
        <v>159</v>
      </c>
      <c r="N1010">
        <v>39.724063000000001</v>
      </c>
      <c r="O1010">
        <v>-111.161062</v>
      </c>
      <c r="P1010">
        <v>7654.5741820000003</v>
      </c>
      <c r="Q1010">
        <v>1389</v>
      </c>
      <c r="R1010">
        <v>0</v>
      </c>
    </row>
    <row r="1011" spans="1:18" x14ac:dyDescent="0.25">
      <c r="A1011">
        <v>1010</v>
      </c>
      <c r="B1011">
        <v>94</v>
      </c>
      <c r="C1011">
        <v>764167</v>
      </c>
      <c r="D1011" t="s">
        <v>236</v>
      </c>
      <c r="E1011">
        <v>5.835</v>
      </c>
      <c r="F1011" t="s">
        <v>19</v>
      </c>
      <c r="G1011" t="s">
        <v>20</v>
      </c>
      <c r="H1011" t="s">
        <v>19</v>
      </c>
      <c r="I1011">
        <v>173</v>
      </c>
      <c r="J1011" t="s">
        <v>20</v>
      </c>
      <c r="K1011" t="s">
        <v>31</v>
      </c>
      <c r="L1011" t="s">
        <v>78</v>
      </c>
      <c r="M1011" t="s">
        <v>79</v>
      </c>
      <c r="N1011">
        <v>40.654049999999998</v>
      </c>
      <c r="O1011">
        <v>-112.07611300000001</v>
      </c>
      <c r="P1011">
        <v>4970.8664209999997</v>
      </c>
      <c r="Q1011">
        <v>1398</v>
      </c>
      <c r="R1011">
        <v>0</v>
      </c>
    </row>
    <row r="1012" spans="1:18" x14ac:dyDescent="0.25">
      <c r="A1012">
        <v>1011</v>
      </c>
      <c r="B1012">
        <v>94</v>
      </c>
      <c r="C1012" t="e">
        <f>-IowQVPwGZaVXNvjBUkqEV</f>
        <v>#NAME?</v>
      </c>
      <c r="D1012" t="s">
        <v>203</v>
      </c>
      <c r="E1012">
        <v>5.84</v>
      </c>
      <c r="F1012" t="s">
        <v>21</v>
      </c>
      <c r="G1012" t="s">
        <v>26</v>
      </c>
      <c r="H1012" t="s">
        <v>21</v>
      </c>
      <c r="I1012" t="s">
        <v>20</v>
      </c>
      <c r="J1012" t="s">
        <v>20</v>
      </c>
      <c r="K1012" t="s">
        <v>41</v>
      </c>
      <c r="L1012" t="s">
        <v>81</v>
      </c>
      <c r="M1012" t="s">
        <v>204</v>
      </c>
      <c r="N1012">
        <v>41.244259</v>
      </c>
      <c r="O1012">
        <v>-111.980628</v>
      </c>
      <c r="P1012">
        <v>4224.4966919999997</v>
      </c>
      <c r="Q1012">
        <v>1349</v>
      </c>
      <c r="R1012">
        <v>0</v>
      </c>
    </row>
    <row r="1013" spans="1:18" x14ac:dyDescent="0.25">
      <c r="A1013">
        <v>1012</v>
      </c>
      <c r="B1013">
        <v>94</v>
      </c>
      <c r="C1013" t="e">
        <f>-JO0EJ9rGkisUOGi8vXsFF</f>
        <v>#NAME?</v>
      </c>
      <c r="D1013" t="s">
        <v>110</v>
      </c>
      <c r="E1013">
        <v>5.84</v>
      </c>
      <c r="F1013" t="s">
        <v>21</v>
      </c>
      <c r="G1013" t="s">
        <v>26</v>
      </c>
      <c r="H1013" t="s">
        <v>21</v>
      </c>
      <c r="I1013" t="s">
        <v>20</v>
      </c>
      <c r="J1013" t="s">
        <v>20</v>
      </c>
      <c r="K1013" t="s">
        <v>27</v>
      </c>
      <c r="L1013" t="s">
        <v>111</v>
      </c>
      <c r="M1013" t="s">
        <v>112</v>
      </c>
      <c r="N1013">
        <v>39.243682</v>
      </c>
      <c r="O1013">
        <v>-111.0911</v>
      </c>
      <c r="P1013">
        <v>5910.6633439999996</v>
      </c>
      <c r="Q1013">
        <v>1361</v>
      </c>
      <c r="R1013">
        <v>0</v>
      </c>
    </row>
    <row r="1014" spans="1:18" x14ac:dyDescent="0.25">
      <c r="A1014">
        <v>1013</v>
      </c>
      <c r="B1014">
        <v>94</v>
      </c>
      <c r="C1014" t="e">
        <f>-Ip5M-vOHjHf8D3hnkv8IF</f>
        <v>#NAME?</v>
      </c>
      <c r="D1014" t="s">
        <v>208</v>
      </c>
      <c r="E1014">
        <v>5.8470000000000004</v>
      </c>
      <c r="F1014" t="s">
        <v>21</v>
      </c>
      <c r="G1014" t="s">
        <v>26</v>
      </c>
      <c r="H1014" t="s">
        <v>21</v>
      </c>
      <c r="I1014" t="s">
        <v>20</v>
      </c>
      <c r="J1014" t="s">
        <v>20</v>
      </c>
      <c r="K1014" t="s">
        <v>31</v>
      </c>
      <c r="L1014" t="s">
        <v>209</v>
      </c>
      <c r="M1014" t="s">
        <v>131</v>
      </c>
      <c r="N1014">
        <v>40.657949000000002</v>
      </c>
      <c r="O1014">
        <v>-111.50737100000001</v>
      </c>
      <c r="P1014">
        <v>6785.1045819999999</v>
      </c>
      <c r="Q1014">
        <v>357</v>
      </c>
      <c r="R1014">
        <v>0</v>
      </c>
    </row>
    <row r="1015" spans="1:18" x14ac:dyDescent="0.25">
      <c r="A1015">
        <v>1014</v>
      </c>
      <c r="B1015">
        <v>94</v>
      </c>
      <c r="C1015">
        <v>2363537</v>
      </c>
      <c r="D1015" t="s">
        <v>113</v>
      </c>
      <c r="E1015">
        <v>5.8529999999999998</v>
      </c>
      <c r="F1015" t="s">
        <v>21</v>
      </c>
      <c r="G1015" t="s">
        <v>26</v>
      </c>
      <c r="H1015" t="s">
        <v>21</v>
      </c>
      <c r="I1015" t="s">
        <v>20</v>
      </c>
      <c r="J1015" t="s">
        <v>20</v>
      </c>
      <c r="K1015" t="s">
        <v>41</v>
      </c>
      <c r="L1015" t="s">
        <v>87</v>
      </c>
      <c r="M1015" t="s">
        <v>58</v>
      </c>
      <c r="N1015">
        <v>41.132480000000001</v>
      </c>
      <c r="O1015">
        <v>-111.932171</v>
      </c>
      <c r="P1015">
        <v>4453.2328509999998</v>
      </c>
      <c r="Q1015">
        <v>1363</v>
      </c>
      <c r="R1015">
        <v>0</v>
      </c>
    </row>
    <row r="1016" spans="1:18" x14ac:dyDescent="0.25">
      <c r="A1016">
        <v>1015</v>
      </c>
      <c r="B1016">
        <v>94</v>
      </c>
      <c r="C1016">
        <v>1374527</v>
      </c>
      <c r="D1016" t="s">
        <v>100</v>
      </c>
      <c r="E1016">
        <v>5.8540000000000001</v>
      </c>
      <c r="F1016" t="s">
        <v>21</v>
      </c>
      <c r="G1016" t="s">
        <v>26</v>
      </c>
      <c r="H1016" t="s">
        <v>21</v>
      </c>
      <c r="I1016" t="s">
        <v>20</v>
      </c>
      <c r="J1016" t="s">
        <v>20</v>
      </c>
      <c r="K1016" t="s">
        <v>41</v>
      </c>
      <c r="L1016" t="s">
        <v>57</v>
      </c>
      <c r="M1016" t="s">
        <v>46</v>
      </c>
      <c r="N1016">
        <v>41.115952</v>
      </c>
      <c r="O1016">
        <v>-112.06452299999999</v>
      </c>
      <c r="P1016">
        <v>4294.9634409999999</v>
      </c>
      <c r="Q1016">
        <v>1396</v>
      </c>
      <c r="R1016">
        <v>0</v>
      </c>
    </row>
    <row r="1017" spans="1:18" x14ac:dyDescent="0.25">
      <c r="A1017">
        <v>1016</v>
      </c>
      <c r="B1017">
        <v>94</v>
      </c>
      <c r="C1017">
        <v>28001121</v>
      </c>
      <c r="D1017" t="s">
        <v>346</v>
      </c>
      <c r="E1017">
        <v>5.8559999999999999</v>
      </c>
      <c r="F1017" t="s">
        <v>21</v>
      </c>
      <c r="G1017" t="s">
        <v>26</v>
      </c>
      <c r="H1017" t="s">
        <v>21</v>
      </c>
      <c r="I1017" t="s">
        <v>20</v>
      </c>
      <c r="J1017" t="s">
        <v>20</v>
      </c>
      <c r="K1017" t="s">
        <v>27</v>
      </c>
      <c r="L1017" t="s">
        <v>307</v>
      </c>
      <c r="M1017" t="s">
        <v>159</v>
      </c>
      <c r="N1017">
        <v>39.724390999999997</v>
      </c>
      <c r="O1017">
        <v>-111.160905</v>
      </c>
      <c r="P1017">
        <v>7650.9862039999998</v>
      </c>
      <c r="Q1017">
        <v>1389</v>
      </c>
      <c r="R1017">
        <v>0</v>
      </c>
    </row>
    <row r="1018" spans="1:18" x14ac:dyDescent="0.25">
      <c r="A1018">
        <v>1017</v>
      </c>
      <c r="B1018">
        <v>94</v>
      </c>
      <c r="C1018">
        <v>31446131</v>
      </c>
      <c r="D1018" t="s">
        <v>254</v>
      </c>
      <c r="E1018">
        <v>5.859</v>
      </c>
      <c r="F1018" t="s">
        <v>21</v>
      </c>
      <c r="G1018" t="s">
        <v>26</v>
      </c>
      <c r="H1018" t="s">
        <v>21</v>
      </c>
      <c r="I1018" t="s">
        <v>20</v>
      </c>
      <c r="J1018" t="s">
        <v>20</v>
      </c>
      <c r="K1018" t="s">
        <v>41</v>
      </c>
      <c r="L1018" t="s">
        <v>255</v>
      </c>
      <c r="M1018" t="s">
        <v>204</v>
      </c>
      <c r="N1018">
        <v>41.324497999999998</v>
      </c>
      <c r="O1018">
        <v>-111.828486</v>
      </c>
      <c r="P1018">
        <v>5130.7431040000001</v>
      </c>
      <c r="Q1018">
        <v>1429</v>
      </c>
      <c r="R1018">
        <v>0</v>
      </c>
    </row>
    <row r="1019" spans="1:18" x14ac:dyDescent="0.25">
      <c r="A1019">
        <v>1018</v>
      </c>
      <c r="B1019">
        <v>94</v>
      </c>
      <c r="C1019">
        <v>31404342</v>
      </c>
      <c r="D1019" t="s">
        <v>224</v>
      </c>
      <c r="E1019">
        <v>5.86</v>
      </c>
      <c r="F1019" t="s">
        <v>19</v>
      </c>
      <c r="G1019" t="s">
        <v>20</v>
      </c>
      <c r="H1019" t="s">
        <v>21</v>
      </c>
      <c r="I1019" t="s">
        <v>20</v>
      </c>
      <c r="J1019" t="s">
        <v>20</v>
      </c>
      <c r="K1019" t="s">
        <v>22</v>
      </c>
      <c r="L1019" t="s">
        <v>198</v>
      </c>
      <c r="M1019" t="s">
        <v>194</v>
      </c>
      <c r="N1019">
        <v>40.044486999999997</v>
      </c>
      <c r="O1019">
        <v>-111.723443</v>
      </c>
      <c r="P1019">
        <v>4620.62691</v>
      </c>
      <c r="Q1019">
        <v>408</v>
      </c>
      <c r="R1019">
        <v>0</v>
      </c>
    </row>
    <row r="1020" spans="1:18" x14ac:dyDescent="0.25">
      <c r="A1020">
        <v>1019</v>
      </c>
      <c r="B1020">
        <v>94</v>
      </c>
      <c r="C1020">
        <v>31191271</v>
      </c>
      <c r="D1020" t="s">
        <v>310</v>
      </c>
      <c r="E1020">
        <v>5.8609999999999998</v>
      </c>
      <c r="F1020" t="s">
        <v>21</v>
      </c>
      <c r="G1020" t="s">
        <v>26</v>
      </c>
      <c r="H1020" t="s">
        <v>21</v>
      </c>
      <c r="I1020" t="s">
        <v>20</v>
      </c>
      <c r="J1020" t="s">
        <v>20</v>
      </c>
      <c r="K1020" t="s">
        <v>31</v>
      </c>
      <c r="L1020" t="s">
        <v>285</v>
      </c>
      <c r="M1020" t="s">
        <v>206</v>
      </c>
      <c r="N1020">
        <v>40.638717</v>
      </c>
      <c r="O1020">
        <v>-112.522126</v>
      </c>
      <c r="P1020">
        <v>4228.4091040000003</v>
      </c>
      <c r="Q1020">
        <v>1414</v>
      </c>
      <c r="R1020">
        <v>0</v>
      </c>
    </row>
    <row r="1021" spans="1:18" x14ac:dyDescent="0.25">
      <c r="A1021">
        <v>1020</v>
      </c>
      <c r="B1021">
        <v>94</v>
      </c>
      <c r="C1021">
        <v>31632907</v>
      </c>
      <c r="D1021" t="s">
        <v>332</v>
      </c>
      <c r="E1021">
        <v>5.87</v>
      </c>
      <c r="F1021" t="s">
        <v>21</v>
      </c>
      <c r="G1021" t="s">
        <v>26</v>
      </c>
      <c r="H1021" t="s">
        <v>21</v>
      </c>
      <c r="I1021" t="s">
        <v>20</v>
      </c>
      <c r="J1021" t="s">
        <v>20</v>
      </c>
      <c r="K1021" t="s">
        <v>31</v>
      </c>
      <c r="L1021" t="s">
        <v>282</v>
      </c>
      <c r="M1021" t="s">
        <v>206</v>
      </c>
      <c r="N1021">
        <v>40.548259000000002</v>
      </c>
      <c r="O1021">
        <v>-112.342018</v>
      </c>
      <c r="P1021">
        <v>4657.8062550000004</v>
      </c>
      <c r="Q1021">
        <v>1399</v>
      </c>
      <c r="R1021">
        <v>0</v>
      </c>
    </row>
    <row r="1022" spans="1:18" x14ac:dyDescent="0.25">
      <c r="A1022">
        <v>1021</v>
      </c>
      <c r="B1022">
        <v>94</v>
      </c>
      <c r="C1022">
        <v>31632656</v>
      </c>
      <c r="D1022" t="s">
        <v>227</v>
      </c>
      <c r="E1022">
        <v>5.8869999999999996</v>
      </c>
      <c r="F1022" t="s">
        <v>21</v>
      </c>
      <c r="G1022" t="s">
        <v>20</v>
      </c>
      <c r="H1022" t="s">
        <v>21</v>
      </c>
      <c r="I1022" t="s">
        <v>20</v>
      </c>
      <c r="J1022" t="s">
        <v>20</v>
      </c>
      <c r="K1022" t="s">
        <v>27</v>
      </c>
      <c r="L1022" t="s">
        <v>158</v>
      </c>
      <c r="M1022" t="s">
        <v>190</v>
      </c>
      <c r="N1022">
        <v>39.535679999999999</v>
      </c>
      <c r="O1022">
        <v>-110.46603399999999</v>
      </c>
      <c r="P1022">
        <v>5915.9856300000001</v>
      </c>
      <c r="Q1022">
        <v>1407</v>
      </c>
      <c r="R1022">
        <v>0</v>
      </c>
    </row>
    <row r="1023" spans="1:18" x14ac:dyDescent="0.25">
      <c r="A1023">
        <v>1022</v>
      </c>
      <c r="B1023">
        <v>94</v>
      </c>
      <c r="C1023" t="e">
        <f>-JNQI6NqIFu-bQY7yekqik</f>
        <v>#NAME?</v>
      </c>
      <c r="D1023" t="s">
        <v>333</v>
      </c>
      <c r="E1023">
        <v>5.8890000000000002</v>
      </c>
      <c r="F1023" t="s">
        <v>19</v>
      </c>
      <c r="G1023" t="s">
        <v>20</v>
      </c>
      <c r="H1023" t="s">
        <v>21</v>
      </c>
      <c r="I1023" t="s">
        <v>20</v>
      </c>
      <c r="J1023" t="s">
        <v>20</v>
      </c>
      <c r="K1023" t="s">
        <v>31</v>
      </c>
      <c r="L1023" t="s">
        <v>89</v>
      </c>
      <c r="M1023" t="s">
        <v>49</v>
      </c>
      <c r="N1023">
        <v>40.509529000000001</v>
      </c>
      <c r="O1023">
        <v>-111.983621</v>
      </c>
      <c r="P1023">
        <v>4580.6820150000003</v>
      </c>
      <c r="Q1023">
        <v>1426</v>
      </c>
      <c r="R1023">
        <v>0</v>
      </c>
    </row>
    <row r="1024" spans="1:18" x14ac:dyDescent="0.25">
      <c r="A1024">
        <v>1023</v>
      </c>
      <c r="B1024">
        <v>94</v>
      </c>
      <c r="C1024">
        <v>31778445</v>
      </c>
      <c r="D1024" t="s">
        <v>272</v>
      </c>
      <c r="E1024">
        <v>5.8890000000000002</v>
      </c>
      <c r="F1024" t="s">
        <v>21</v>
      </c>
      <c r="G1024" t="s">
        <v>26</v>
      </c>
      <c r="H1024" t="s">
        <v>21</v>
      </c>
      <c r="I1024" t="s">
        <v>20</v>
      </c>
      <c r="J1024" t="s">
        <v>20</v>
      </c>
      <c r="K1024" t="s">
        <v>27</v>
      </c>
      <c r="L1024" t="s">
        <v>259</v>
      </c>
      <c r="M1024" t="s">
        <v>214</v>
      </c>
      <c r="N1024">
        <v>37.063630000000003</v>
      </c>
      <c r="O1024">
        <v>-111.644598</v>
      </c>
      <c r="P1024">
        <v>3952.5897730000002</v>
      </c>
      <c r="Q1024">
        <v>1384</v>
      </c>
      <c r="R1024">
        <v>0</v>
      </c>
    </row>
    <row r="1025" spans="1:18" x14ac:dyDescent="0.25">
      <c r="A1025">
        <v>1024</v>
      </c>
      <c r="B1025">
        <v>94</v>
      </c>
      <c r="C1025">
        <v>31760598</v>
      </c>
      <c r="D1025" t="s">
        <v>68</v>
      </c>
      <c r="E1025">
        <v>5.8949999999999996</v>
      </c>
      <c r="F1025" t="s">
        <v>21</v>
      </c>
      <c r="G1025" t="s">
        <v>26</v>
      </c>
      <c r="H1025" t="s">
        <v>21</v>
      </c>
      <c r="I1025" t="s">
        <v>20</v>
      </c>
      <c r="J1025" t="s">
        <v>20</v>
      </c>
      <c r="K1025" t="s">
        <v>31</v>
      </c>
      <c r="L1025" t="s">
        <v>32</v>
      </c>
      <c r="M1025" t="s">
        <v>70</v>
      </c>
      <c r="N1025">
        <v>40.674275999999999</v>
      </c>
      <c r="O1025">
        <v>-111.843467</v>
      </c>
      <c r="P1025">
        <v>4298.3401540000004</v>
      </c>
      <c r="Q1025">
        <v>431</v>
      </c>
      <c r="R1025">
        <v>0</v>
      </c>
    </row>
    <row r="1026" spans="1:18" x14ac:dyDescent="0.25">
      <c r="A1026">
        <v>1025</v>
      </c>
      <c r="B1026">
        <v>94</v>
      </c>
      <c r="C1026" t="e">
        <f>-JYlV3JdGx1zELEXbvysDF</f>
        <v>#NAME?</v>
      </c>
      <c r="D1026" t="s">
        <v>129</v>
      </c>
      <c r="E1026">
        <v>50.707999999999998</v>
      </c>
      <c r="F1026" t="s">
        <v>21</v>
      </c>
      <c r="G1026" t="s">
        <v>20</v>
      </c>
      <c r="H1026" t="s">
        <v>21</v>
      </c>
      <c r="I1026" t="s">
        <v>20</v>
      </c>
      <c r="J1026" t="s">
        <v>20</v>
      </c>
      <c r="K1026" t="s">
        <v>31</v>
      </c>
      <c r="L1026" t="s">
        <v>130</v>
      </c>
      <c r="M1026" t="s">
        <v>328</v>
      </c>
      <c r="N1026">
        <v>40.942532999999997</v>
      </c>
      <c r="O1026">
        <v>-110.837915</v>
      </c>
      <c r="P1026">
        <v>8142.1950489999999</v>
      </c>
      <c r="Q1026">
        <v>340</v>
      </c>
      <c r="R1026">
        <v>0</v>
      </c>
    </row>
    <row r="1027" spans="1:18" x14ac:dyDescent="0.25">
      <c r="A1027">
        <v>1026</v>
      </c>
      <c r="B1027">
        <v>94</v>
      </c>
      <c r="C1027" t="e">
        <f>-JOj4RLZFPPDDIBTKM1FoV</f>
        <v>#NAME?</v>
      </c>
      <c r="D1027" t="s">
        <v>244</v>
      </c>
      <c r="E1027">
        <v>98.286000000000001</v>
      </c>
      <c r="F1027" t="s">
        <v>21</v>
      </c>
      <c r="G1027" t="s">
        <v>26</v>
      </c>
      <c r="H1027" t="s">
        <v>21</v>
      </c>
      <c r="I1027" t="s">
        <v>20</v>
      </c>
      <c r="J1027" t="s">
        <v>20</v>
      </c>
      <c r="K1027" t="s">
        <v>27</v>
      </c>
      <c r="L1027" t="s">
        <v>122</v>
      </c>
      <c r="M1027" t="s">
        <v>270</v>
      </c>
      <c r="N1027">
        <v>38.333880000000001</v>
      </c>
      <c r="O1027">
        <v>-111.01504199999999</v>
      </c>
      <c r="P1027">
        <v>4543.1002660000004</v>
      </c>
      <c r="Q1027">
        <v>1340</v>
      </c>
      <c r="R1027">
        <v>0</v>
      </c>
    </row>
    <row r="1028" spans="1:18" x14ac:dyDescent="0.25">
      <c r="A1028">
        <v>1027</v>
      </c>
      <c r="B1028">
        <v>94</v>
      </c>
      <c r="C1028">
        <v>31374941</v>
      </c>
      <c r="D1028" t="s">
        <v>142</v>
      </c>
      <c r="E1028">
        <v>98.376999999999995</v>
      </c>
      <c r="F1028" t="s">
        <v>21</v>
      </c>
      <c r="G1028" t="s">
        <v>26</v>
      </c>
      <c r="H1028" t="s">
        <v>21</v>
      </c>
      <c r="I1028" t="s">
        <v>20</v>
      </c>
      <c r="J1028" t="s">
        <v>20</v>
      </c>
      <c r="K1028" t="s">
        <v>27</v>
      </c>
      <c r="L1028" t="s">
        <v>143</v>
      </c>
      <c r="M1028" t="s">
        <v>106</v>
      </c>
      <c r="N1028">
        <v>38.235300000000002</v>
      </c>
      <c r="O1028">
        <v>-112.79441199999999</v>
      </c>
      <c r="P1028">
        <v>5522.8095629999998</v>
      </c>
      <c r="Q1028">
        <v>305</v>
      </c>
      <c r="R1028">
        <v>0</v>
      </c>
    </row>
    <row r="1029" spans="1:18" x14ac:dyDescent="0.25">
      <c r="A1029">
        <v>1028</v>
      </c>
      <c r="B1029">
        <v>94</v>
      </c>
      <c r="C1029">
        <v>31296618</v>
      </c>
      <c r="D1029" t="s">
        <v>338</v>
      </c>
      <c r="E1029">
        <v>8.1059999999999999</v>
      </c>
      <c r="F1029" t="s">
        <v>21</v>
      </c>
      <c r="G1029" t="s">
        <v>26</v>
      </c>
      <c r="H1029" t="s">
        <v>21</v>
      </c>
      <c r="I1029" t="s">
        <v>20</v>
      </c>
      <c r="J1029" t="s">
        <v>20</v>
      </c>
      <c r="K1029" t="s">
        <v>27</v>
      </c>
      <c r="L1029" t="s">
        <v>72</v>
      </c>
      <c r="M1029" t="s">
        <v>73</v>
      </c>
      <c r="N1029">
        <v>37.075208000000003</v>
      </c>
      <c r="O1029">
        <v>-113.106567</v>
      </c>
      <c r="P1029">
        <v>4799.7278319999996</v>
      </c>
      <c r="Q1029">
        <v>315</v>
      </c>
      <c r="R1029">
        <v>0</v>
      </c>
    </row>
    <row r="1030" spans="1:18" x14ac:dyDescent="0.25">
      <c r="A1030">
        <v>1029</v>
      </c>
      <c r="B1030">
        <v>94</v>
      </c>
      <c r="C1030">
        <v>865920</v>
      </c>
      <c r="D1030" t="s">
        <v>68</v>
      </c>
      <c r="E1030">
        <v>8.1129999999999995</v>
      </c>
      <c r="F1030" t="s">
        <v>19</v>
      </c>
      <c r="G1030" t="s">
        <v>20</v>
      </c>
      <c r="H1030" t="s">
        <v>21</v>
      </c>
      <c r="I1030" t="s">
        <v>20</v>
      </c>
      <c r="J1030" t="s">
        <v>20</v>
      </c>
      <c r="K1030" t="s">
        <v>31</v>
      </c>
      <c r="L1030" t="s">
        <v>32</v>
      </c>
      <c r="M1030" t="s">
        <v>70</v>
      </c>
      <c r="N1030">
        <v>40.674050999999999</v>
      </c>
      <c r="O1030">
        <v>-111.801751</v>
      </c>
      <c r="P1030">
        <v>4876.4447909999999</v>
      </c>
      <c r="Q1030">
        <v>431</v>
      </c>
      <c r="R1030">
        <v>0</v>
      </c>
    </row>
    <row r="1031" spans="1:18" x14ac:dyDescent="0.25">
      <c r="A1031">
        <v>1030</v>
      </c>
      <c r="B1031">
        <v>94</v>
      </c>
      <c r="C1031">
        <v>31383756</v>
      </c>
      <c r="D1031" t="s">
        <v>391</v>
      </c>
      <c r="E1031">
        <v>8.1199999999999992</v>
      </c>
      <c r="F1031" t="s">
        <v>21</v>
      </c>
      <c r="G1031" t="s">
        <v>26</v>
      </c>
      <c r="H1031" t="s">
        <v>19</v>
      </c>
      <c r="I1031">
        <v>6</v>
      </c>
      <c r="J1031" t="s">
        <v>20</v>
      </c>
      <c r="K1031" t="s">
        <v>27</v>
      </c>
      <c r="L1031" t="s">
        <v>173</v>
      </c>
      <c r="M1031" t="s">
        <v>392</v>
      </c>
      <c r="N1031">
        <v>39.461748</v>
      </c>
      <c r="O1031">
        <v>-112.433228</v>
      </c>
      <c r="P1031">
        <v>4721.5306689999998</v>
      </c>
      <c r="Q1031">
        <v>1438</v>
      </c>
      <c r="R1031">
        <v>0</v>
      </c>
    </row>
    <row r="1032" spans="1:18" x14ac:dyDescent="0.25">
      <c r="A1032">
        <v>1031</v>
      </c>
      <c r="B1032">
        <v>94</v>
      </c>
      <c r="C1032">
        <v>31195086</v>
      </c>
      <c r="D1032" t="s">
        <v>126</v>
      </c>
      <c r="E1032">
        <v>8.1240000000000006</v>
      </c>
      <c r="F1032" t="s">
        <v>21</v>
      </c>
      <c r="G1032" t="s">
        <v>26</v>
      </c>
      <c r="H1032" t="s">
        <v>21</v>
      </c>
      <c r="I1032" t="s">
        <v>20</v>
      </c>
      <c r="J1032" t="s">
        <v>20</v>
      </c>
      <c r="K1032" t="s">
        <v>41</v>
      </c>
      <c r="L1032" t="s">
        <v>57</v>
      </c>
      <c r="M1032" t="s">
        <v>93</v>
      </c>
      <c r="N1032">
        <v>41.303359</v>
      </c>
      <c r="O1032">
        <v>-112.084456</v>
      </c>
      <c r="P1032">
        <v>4183.4133000000002</v>
      </c>
      <c r="Q1032">
        <v>1412</v>
      </c>
      <c r="R1032">
        <v>0</v>
      </c>
    </row>
    <row r="1033" spans="1:18" x14ac:dyDescent="0.25">
      <c r="A1033">
        <v>1032</v>
      </c>
      <c r="B1033">
        <v>94</v>
      </c>
      <c r="C1033">
        <v>31263258</v>
      </c>
      <c r="D1033" t="s">
        <v>303</v>
      </c>
      <c r="E1033">
        <v>8.1270000000000007</v>
      </c>
      <c r="F1033" t="s">
        <v>21</v>
      </c>
      <c r="G1033" t="s">
        <v>26</v>
      </c>
      <c r="H1033" t="s">
        <v>21</v>
      </c>
      <c r="I1033" t="s">
        <v>20</v>
      </c>
      <c r="J1033" t="s">
        <v>20</v>
      </c>
      <c r="K1033" t="s">
        <v>27</v>
      </c>
      <c r="L1033" t="s">
        <v>72</v>
      </c>
      <c r="M1033" t="s">
        <v>73</v>
      </c>
      <c r="N1033">
        <v>37.176423999999997</v>
      </c>
      <c r="O1033">
        <v>-113.318017</v>
      </c>
      <c r="P1033">
        <v>3134.3777679999998</v>
      </c>
      <c r="Q1033">
        <v>1326</v>
      </c>
      <c r="R1033">
        <v>0</v>
      </c>
    </row>
    <row r="1034" spans="1:18" x14ac:dyDescent="0.25">
      <c r="A1034">
        <v>1033</v>
      </c>
      <c r="B1034">
        <v>94</v>
      </c>
      <c r="C1034">
        <v>31480992</v>
      </c>
      <c r="D1034" t="s">
        <v>244</v>
      </c>
      <c r="E1034">
        <v>8.1300000000000008</v>
      </c>
      <c r="F1034" t="s">
        <v>21</v>
      </c>
      <c r="G1034" t="s">
        <v>26</v>
      </c>
      <c r="H1034" t="s">
        <v>19</v>
      </c>
      <c r="I1034">
        <v>118</v>
      </c>
      <c r="J1034" t="s">
        <v>20</v>
      </c>
      <c r="K1034" t="s">
        <v>27</v>
      </c>
      <c r="L1034" t="s">
        <v>75</v>
      </c>
      <c r="M1034" t="s">
        <v>58</v>
      </c>
      <c r="N1034">
        <v>38.865713</v>
      </c>
      <c r="O1034">
        <v>-111.965575</v>
      </c>
      <c r="P1034">
        <v>5199.822983</v>
      </c>
      <c r="Q1034">
        <v>1340</v>
      </c>
      <c r="R1034">
        <v>0</v>
      </c>
    </row>
    <row r="1035" spans="1:18" x14ac:dyDescent="0.25">
      <c r="A1035">
        <v>1034</v>
      </c>
      <c r="B1035">
        <v>94</v>
      </c>
      <c r="C1035">
        <v>2566308</v>
      </c>
      <c r="D1035" t="s">
        <v>176</v>
      </c>
      <c r="E1035">
        <v>8.1329999999999991</v>
      </c>
      <c r="F1035" t="s">
        <v>21</v>
      </c>
      <c r="G1035" t="s">
        <v>26</v>
      </c>
      <c r="H1035" t="s">
        <v>21</v>
      </c>
      <c r="I1035" t="s">
        <v>20</v>
      </c>
      <c r="J1035" t="s">
        <v>20</v>
      </c>
      <c r="K1035" t="s">
        <v>41</v>
      </c>
      <c r="L1035" t="s">
        <v>177</v>
      </c>
      <c r="M1035" t="s">
        <v>178</v>
      </c>
      <c r="N1035">
        <v>41.551116999999998</v>
      </c>
      <c r="O1035">
        <v>-112.110573</v>
      </c>
      <c r="P1035">
        <v>4178.862083</v>
      </c>
      <c r="Q1035">
        <v>1329</v>
      </c>
      <c r="R1035">
        <v>0</v>
      </c>
    </row>
    <row r="1036" spans="1:18" x14ac:dyDescent="0.25">
      <c r="A1036">
        <v>1035</v>
      </c>
      <c r="B1036">
        <v>94</v>
      </c>
      <c r="C1036">
        <v>1465966</v>
      </c>
      <c r="D1036" t="s">
        <v>109</v>
      </c>
      <c r="E1036">
        <v>8.1340000000000003</v>
      </c>
      <c r="F1036" t="s">
        <v>21</v>
      </c>
      <c r="G1036" t="s">
        <v>26</v>
      </c>
      <c r="H1036" t="s">
        <v>21</v>
      </c>
      <c r="I1036" t="s">
        <v>20</v>
      </c>
      <c r="J1036" t="s">
        <v>20</v>
      </c>
      <c r="K1036" t="s">
        <v>41</v>
      </c>
      <c r="L1036" t="s">
        <v>42</v>
      </c>
      <c r="M1036" t="s">
        <v>73</v>
      </c>
      <c r="N1036">
        <v>41.680058000000002</v>
      </c>
      <c r="O1036">
        <v>-111.83356999999999</v>
      </c>
      <c r="P1036">
        <v>4486.3336550000004</v>
      </c>
      <c r="Q1036">
        <v>345</v>
      </c>
      <c r="R1036">
        <v>0</v>
      </c>
    </row>
    <row r="1037" spans="1:18" x14ac:dyDescent="0.25">
      <c r="A1037">
        <v>1036</v>
      </c>
      <c r="B1037">
        <v>94</v>
      </c>
      <c r="C1037">
        <v>31191704</v>
      </c>
      <c r="D1037" t="s">
        <v>310</v>
      </c>
      <c r="E1037">
        <v>8.1340000000000003</v>
      </c>
      <c r="F1037" t="s">
        <v>21</v>
      </c>
      <c r="G1037" t="s">
        <v>26</v>
      </c>
      <c r="H1037" t="s">
        <v>21</v>
      </c>
      <c r="I1037" t="s">
        <v>20</v>
      </c>
      <c r="J1037" t="s">
        <v>20</v>
      </c>
      <c r="K1037" t="s">
        <v>31</v>
      </c>
      <c r="L1037" t="s">
        <v>285</v>
      </c>
      <c r="M1037" t="s">
        <v>206</v>
      </c>
      <c r="N1037">
        <v>40.612918999999998</v>
      </c>
      <c r="O1037">
        <v>-112.495369</v>
      </c>
      <c r="P1037">
        <v>4285.7310040000002</v>
      </c>
      <c r="Q1037">
        <v>1414</v>
      </c>
      <c r="R1037">
        <v>0</v>
      </c>
    </row>
    <row r="1038" spans="1:18" x14ac:dyDescent="0.25">
      <c r="A1038">
        <v>1037</v>
      </c>
      <c r="B1038">
        <v>94</v>
      </c>
      <c r="C1038">
        <v>31409286</v>
      </c>
      <c r="D1038" t="s">
        <v>224</v>
      </c>
      <c r="E1038">
        <v>8.1349999999999998</v>
      </c>
      <c r="F1038" t="s">
        <v>21</v>
      </c>
      <c r="G1038" t="s">
        <v>26</v>
      </c>
      <c r="H1038" t="s">
        <v>21</v>
      </c>
      <c r="I1038" t="s">
        <v>20</v>
      </c>
      <c r="J1038" t="s">
        <v>20</v>
      </c>
      <c r="K1038" t="s">
        <v>22</v>
      </c>
      <c r="L1038" t="s">
        <v>198</v>
      </c>
      <c r="M1038" t="s">
        <v>194</v>
      </c>
      <c r="N1038">
        <v>40.051743999999999</v>
      </c>
      <c r="O1038">
        <v>-111.682192</v>
      </c>
      <c r="P1038">
        <v>4528.7605890000004</v>
      </c>
      <c r="Q1038">
        <v>408</v>
      </c>
      <c r="R1038">
        <v>0</v>
      </c>
    </row>
    <row r="1039" spans="1:18" x14ac:dyDescent="0.25">
      <c r="A1039">
        <v>1038</v>
      </c>
      <c r="B1039">
        <v>94</v>
      </c>
      <c r="C1039">
        <v>31296629</v>
      </c>
      <c r="D1039" t="s">
        <v>338</v>
      </c>
      <c r="E1039">
        <v>8.141</v>
      </c>
      <c r="F1039" t="s">
        <v>21</v>
      </c>
      <c r="G1039" t="s">
        <v>26</v>
      </c>
      <c r="H1039" t="s">
        <v>21</v>
      </c>
      <c r="I1039" t="s">
        <v>20</v>
      </c>
      <c r="J1039" t="s">
        <v>20</v>
      </c>
      <c r="K1039" t="s">
        <v>27</v>
      </c>
      <c r="L1039" t="s">
        <v>72</v>
      </c>
      <c r="M1039" t="s">
        <v>73</v>
      </c>
      <c r="N1039">
        <v>37.075673999999999</v>
      </c>
      <c r="O1039">
        <v>-113.106807</v>
      </c>
      <c r="P1039">
        <v>4796.6406829999996</v>
      </c>
      <c r="Q1039">
        <v>315</v>
      </c>
      <c r="R1039">
        <v>0</v>
      </c>
    </row>
    <row r="1040" spans="1:18" x14ac:dyDescent="0.25">
      <c r="A1040">
        <v>1039</v>
      </c>
      <c r="B1040">
        <v>94</v>
      </c>
      <c r="C1040" t="e">
        <f>-Ip_c-T4G9DaW83N1UMTIk</f>
        <v>#NAME?</v>
      </c>
      <c r="D1040" t="s">
        <v>272</v>
      </c>
      <c r="E1040">
        <v>66.763000000000005</v>
      </c>
      <c r="F1040" t="s">
        <v>21</v>
      </c>
      <c r="G1040" t="s">
        <v>20</v>
      </c>
      <c r="H1040" t="s">
        <v>21</v>
      </c>
      <c r="I1040" t="s">
        <v>20</v>
      </c>
      <c r="J1040" t="s">
        <v>20</v>
      </c>
      <c r="K1040" t="s">
        <v>27</v>
      </c>
      <c r="L1040" t="s">
        <v>259</v>
      </c>
      <c r="M1040" t="s">
        <v>214</v>
      </c>
      <c r="N1040">
        <v>37.078921000000001</v>
      </c>
      <c r="O1040">
        <v>-112.538684</v>
      </c>
      <c r="P1040">
        <v>4966.3557780000001</v>
      </c>
      <c r="Q1040">
        <v>1384</v>
      </c>
      <c r="R1040">
        <v>0</v>
      </c>
    </row>
    <row r="1041" spans="1:18" x14ac:dyDescent="0.25">
      <c r="A1041">
        <v>1040</v>
      </c>
      <c r="B1041">
        <v>94</v>
      </c>
      <c r="C1041">
        <v>31514062</v>
      </c>
      <c r="D1041" t="s">
        <v>124</v>
      </c>
      <c r="E1041">
        <v>66.849000000000004</v>
      </c>
      <c r="F1041" t="s">
        <v>21</v>
      </c>
      <c r="G1041" t="s">
        <v>26</v>
      </c>
      <c r="H1041" t="s">
        <v>21</v>
      </c>
      <c r="I1041" t="s">
        <v>20</v>
      </c>
      <c r="J1041" t="s">
        <v>20</v>
      </c>
      <c r="K1041" t="s">
        <v>41</v>
      </c>
      <c r="L1041" t="s">
        <v>45</v>
      </c>
      <c r="M1041" t="s">
        <v>365</v>
      </c>
      <c r="N1041">
        <v>40.87782</v>
      </c>
      <c r="O1041">
        <v>-111.930007</v>
      </c>
      <c r="P1041">
        <v>4174.334167</v>
      </c>
      <c r="Q1041">
        <v>1368</v>
      </c>
      <c r="R1041">
        <v>0</v>
      </c>
    </row>
    <row r="1042" spans="1:18" x14ac:dyDescent="0.25">
      <c r="A1042">
        <v>1041</v>
      </c>
      <c r="B1042">
        <v>94</v>
      </c>
      <c r="C1042" t="e">
        <f>-JOd9cZRFamSJg88hCtlNk</f>
        <v>#NAME?</v>
      </c>
      <c r="D1042" t="s">
        <v>241</v>
      </c>
      <c r="E1042">
        <v>66.861000000000004</v>
      </c>
      <c r="F1042" t="s">
        <v>21</v>
      </c>
      <c r="G1042" t="s">
        <v>26</v>
      </c>
      <c r="H1042" t="s">
        <v>21</v>
      </c>
      <c r="I1042" t="s">
        <v>20</v>
      </c>
      <c r="J1042" t="s">
        <v>20</v>
      </c>
      <c r="K1042" t="s">
        <v>27</v>
      </c>
      <c r="L1042" t="s">
        <v>158</v>
      </c>
      <c r="M1042" t="s">
        <v>243</v>
      </c>
      <c r="N1042">
        <v>39.573180999999998</v>
      </c>
      <c r="O1042">
        <v>-110.81603200000001</v>
      </c>
      <c r="P1042">
        <v>5513.1887210000004</v>
      </c>
      <c r="Q1042">
        <v>1327</v>
      </c>
      <c r="R1042">
        <v>0</v>
      </c>
    </row>
    <row r="1043" spans="1:18" x14ac:dyDescent="0.25">
      <c r="A1043">
        <v>1042</v>
      </c>
      <c r="B1043">
        <v>94</v>
      </c>
      <c r="C1043">
        <v>31329543</v>
      </c>
      <c r="D1043" t="s">
        <v>241</v>
      </c>
      <c r="E1043">
        <v>66.998000000000005</v>
      </c>
      <c r="F1043" t="s">
        <v>21</v>
      </c>
      <c r="G1043" t="s">
        <v>26</v>
      </c>
      <c r="H1043" t="s">
        <v>21</v>
      </c>
      <c r="I1043" t="s">
        <v>20</v>
      </c>
      <c r="J1043" t="s">
        <v>20</v>
      </c>
      <c r="K1043" t="s">
        <v>27</v>
      </c>
      <c r="L1043" t="s">
        <v>158</v>
      </c>
      <c r="M1043" t="s">
        <v>243</v>
      </c>
      <c r="N1043">
        <v>39.575181000000001</v>
      </c>
      <c r="O1043">
        <v>-110.816046</v>
      </c>
      <c r="P1043">
        <v>5500.3316619999996</v>
      </c>
      <c r="Q1043">
        <v>1327</v>
      </c>
      <c r="R1043">
        <v>0</v>
      </c>
    </row>
    <row r="1044" spans="1:18" x14ac:dyDescent="0.25">
      <c r="A1044">
        <v>1043</v>
      </c>
      <c r="B1044">
        <v>94</v>
      </c>
      <c r="C1044">
        <v>31357102</v>
      </c>
      <c r="D1044" t="s">
        <v>288</v>
      </c>
      <c r="E1044">
        <v>67.016999999999996</v>
      </c>
      <c r="F1044" t="s">
        <v>21</v>
      </c>
      <c r="G1044" t="s">
        <v>20</v>
      </c>
      <c r="H1044" t="s">
        <v>21</v>
      </c>
      <c r="I1044" t="s">
        <v>20</v>
      </c>
      <c r="J1044" t="s">
        <v>20</v>
      </c>
      <c r="K1044" t="s">
        <v>27</v>
      </c>
      <c r="L1044" t="s">
        <v>146</v>
      </c>
      <c r="M1044" t="s">
        <v>147</v>
      </c>
      <c r="N1044">
        <v>37.803888999999998</v>
      </c>
      <c r="O1044">
        <v>-109.337209</v>
      </c>
      <c r="P1044">
        <v>6874.4975839999997</v>
      </c>
      <c r="Q1044">
        <v>350</v>
      </c>
      <c r="R1044">
        <v>0</v>
      </c>
    </row>
    <row r="1045" spans="1:18" x14ac:dyDescent="0.25">
      <c r="A1045">
        <v>1044</v>
      </c>
      <c r="B1045">
        <v>94</v>
      </c>
      <c r="C1045">
        <v>31859072</v>
      </c>
      <c r="D1045" t="s">
        <v>312</v>
      </c>
      <c r="E1045">
        <v>67.236999999999995</v>
      </c>
      <c r="F1045" t="s">
        <v>21</v>
      </c>
      <c r="G1045" t="s">
        <v>26</v>
      </c>
      <c r="H1045" t="s">
        <v>21</v>
      </c>
      <c r="I1045" t="s">
        <v>20</v>
      </c>
      <c r="J1045" t="s">
        <v>20</v>
      </c>
      <c r="K1045" t="s">
        <v>27</v>
      </c>
      <c r="L1045" t="s">
        <v>173</v>
      </c>
      <c r="M1045" t="s">
        <v>313</v>
      </c>
      <c r="N1045">
        <v>39.301569000000001</v>
      </c>
      <c r="O1045">
        <v>-112.65254400000001</v>
      </c>
      <c r="P1045">
        <v>4524.3381230000005</v>
      </c>
      <c r="Q1045">
        <v>255</v>
      </c>
      <c r="R1045">
        <v>0</v>
      </c>
    </row>
    <row r="1046" spans="1:18" x14ac:dyDescent="0.25">
      <c r="A1046">
        <v>1045</v>
      </c>
      <c r="B1046">
        <v>94</v>
      </c>
      <c r="C1046">
        <v>31514073</v>
      </c>
      <c r="D1046" t="s">
        <v>124</v>
      </c>
      <c r="E1046">
        <v>67.254000000000005</v>
      </c>
      <c r="F1046" t="s">
        <v>19</v>
      </c>
      <c r="G1046" t="s">
        <v>20</v>
      </c>
      <c r="H1046" t="s">
        <v>21</v>
      </c>
      <c r="I1046" t="s">
        <v>20</v>
      </c>
      <c r="J1046" t="s">
        <v>20</v>
      </c>
      <c r="K1046" t="s">
        <v>41</v>
      </c>
      <c r="L1046" t="s">
        <v>45</v>
      </c>
      <c r="M1046" t="s">
        <v>365</v>
      </c>
      <c r="N1046">
        <v>40.883989999999997</v>
      </c>
      <c r="O1046">
        <v>-111.929922</v>
      </c>
      <c r="P1046">
        <v>4170.0990499999998</v>
      </c>
      <c r="Q1046">
        <v>1368</v>
      </c>
      <c r="R1046">
        <v>0</v>
      </c>
    </row>
    <row r="1047" spans="1:18" x14ac:dyDescent="0.25">
      <c r="A1047">
        <v>1046</v>
      </c>
      <c r="B1047">
        <v>94</v>
      </c>
      <c r="C1047">
        <v>31837519</v>
      </c>
      <c r="D1047" t="s">
        <v>290</v>
      </c>
      <c r="E1047">
        <v>59.456000000000003</v>
      </c>
      <c r="F1047" t="s">
        <v>21</v>
      </c>
      <c r="G1047" t="s">
        <v>20</v>
      </c>
      <c r="H1047" t="s">
        <v>21</v>
      </c>
      <c r="I1047" t="s">
        <v>20</v>
      </c>
      <c r="J1047" t="s">
        <v>20</v>
      </c>
      <c r="K1047" t="s">
        <v>41</v>
      </c>
      <c r="L1047" t="s">
        <v>291</v>
      </c>
      <c r="M1047" t="s">
        <v>238</v>
      </c>
      <c r="N1047">
        <v>41.816687999999999</v>
      </c>
      <c r="O1047">
        <v>-113.24176300000001</v>
      </c>
      <c r="P1047">
        <v>5126.9765980000002</v>
      </c>
      <c r="Q1047">
        <v>1343</v>
      </c>
      <c r="R1047">
        <v>0</v>
      </c>
    </row>
    <row r="1048" spans="1:18" x14ac:dyDescent="0.25">
      <c r="A1048">
        <v>1047</v>
      </c>
      <c r="B1048">
        <v>94</v>
      </c>
      <c r="C1048">
        <v>600627</v>
      </c>
      <c r="D1048" t="s">
        <v>383</v>
      </c>
      <c r="E1048">
        <v>11.914999999999999</v>
      </c>
      <c r="F1048" t="s">
        <v>19</v>
      </c>
      <c r="G1048" t="s">
        <v>20</v>
      </c>
      <c r="H1048" t="s">
        <v>21</v>
      </c>
      <c r="I1048" t="s">
        <v>20</v>
      </c>
      <c r="J1048" t="s">
        <v>20</v>
      </c>
      <c r="K1048" t="s">
        <v>31</v>
      </c>
      <c r="L1048" t="s">
        <v>89</v>
      </c>
      <c r="M1048" t="s">
        <v>384</v>
      </c>
      <c r="N1048">
        <v>40.588048000000001</v>
      </c>
      <c r="O1048">
        <v>-111.89596</v>
      </c>
      <c r="P1048">
        <v>4328.3530000000001</v>
      </c>
      <c r="Q1048">
        <v>414</v>
      </c>
      <c r="R1048">
        <v>0</v>
      </c>
    </row>
    <row r="1049" spans="1:18" x14ac:dyDescent="0.25">
      <c r="A1049">
        <v>1048</v>
      </c>
      <c r="B1049">
        <v>94</v>
      </c>
      <c r="C1049">
        <v>601094</v>
      </c>
      <c r="D1049" t="s">
        <v>383</v>
      </c>
      <c r="E1049">
        <v>12.039</v>
      </c>
      <c r="F1049" t="s">
        <v>21</v>
      </c>
      <c r="G1049" t="s">
        <v>26</v>
      </c>
      <c r="H1049" t="s">
        <v>21</v>
      </c>
      <c r="I1049" t="s">
        <v>20</v>
      </c>
      <c r="J1049" t="s">
        <v>20</v>
      </c>
      <c r="K1049" t="s">
        <v>31</v>
      </c>
      <c r="L1049" t="s">
        <v>89</v>
      </c>
      <c r="M1049" t="s">
        <v>384</v>
      </c>
      <c r="N1049">
        <v>40.587994000000002</v>
      </c>
      <c r="O1049">
        <v>-111.893591</v>
      </c>
      <c r="P1049">
        <v>4339.2520000000004</v>
      </c>
      <c r="Q1049">
        <v>414</v>
      </c>
      <c r="R1049">
        <v>0</v>
      </c>
    </row>
    <row r="1050" spans="1:18" x14ac:dyDescent="0.25">
      <c r="A1050">
        <v>1049</v>
      </c>
      <c r="B1050">
        <v>94</v>
      </c>
      <c r="C1050">
        <v>604695</v>
      </c>
      <c r="D1050" t="s">
        <v>383</v>
      </c>
      <c r="E1050">
        <v>12.423999999999999</v>
      </c>
      <c r="F1050" t="s">
        <v>21</v>
      </c>
      <c r="G1050" t="s">
        <v>26</v>
      </c>
      <c r="H1050" t="s">
        <v>21</v>
      </c>
      <c r="I1050" t="s">
        <v>20</v>
      </c>
      <c r="J1050" t="s">
        <v>20</v>
      </c>
      <c r="K1050" t="s">
        <v>31</v>
      </c>
      <c r="L1050" t="s">
        <v>89</v>
      </c>
      <c r="M1050" t="s">
        <v>384</v>
      </c>
      <c r="N1050">
        <v>40.588023999999997</v>
      </c>
      <c r="O1050">
        <v>-111.886156</v>
      </c>
      <c r="P1050">
        <v>4414.8090000000002</v>
      </c>
      <c r="Q1050">
        <v>414</v>
      </c>
      <c r="R1050">
        <v>0</v>
      </c>
    </row>
    <row r="1051" spans="1:18" x14ac:dyDescent="0.25">
      <c r="A1051">
        <v>1050</v>
      </c>
      <c r="B1051">
        <v>94</v>
      </c>
      <c r="C1051">
        <v>605028</v>
      </c>
      <c r="D1051" t="s">
        <v>383</v>
      </c>
      <c r="E1051">
        <v>12.532</v>
      </c>
      <c r="F1051" t="s">
        <v>21</v>
      </c>
      <c r="G1051" t="s">
        <v>26</v>
      </c>
      <c r="H1051" t="s">
        <v>21</v>
      </c>
      <c r="I1051" t="s">
        <v>20</v>
      </c>
      <c r="J1051" t="s">
        <v>20</v>
      </c>
      <c r="K1051" t="s">
        <v>31</v>
      </c>
      <c r="L1051" t="s">
        <v>89</v>
      </c>
      <c r="M1051" t="s">
        <v>384</v>
      </c>
      <c r="N1051">
        <v>40.588132000000002</v>
      </c>
      <c r="O1051">
        <v>-111.88408800000001</v>
      </c>
      <c r="P1051">
        <v>4425.0940000000001</v>
      </c>
      <c r="Q1051">
        <v>414</v>
      </c>
      <c r="R1051">
        <v>0</v>
      </c>
    </row>
    <row r="1052" spans="1:18" x14ac:dyDescent="0.25">
      <c r="A1052">
        <v>1051</v>
      </c>
      <c r="B1052">
        <v>94</v>
      </c>
      <c r="C1052">
        <v>605199</v>
      </c>
      <c r="D1052" t="s">
        <v>383</v>
      </c>
      <c r="E1052">
        <v>12.593999999999999</v>
      </c>
      <c r="F1052" t="s">
        <v>21</v>
      </c>
      <c r="G1052" t="s">
        <v>26</v>
      </c>
      <c r="H1052" t="s">
        <v>21</v>
      </c>
      <c r="I1052" t="s">
        <v>20</v>
      </c>
      <c r="J1052" t="s">
        <v>20</v>
      </c>
      <c r="K1052" t="s">
        <v>31</v>
      </c>
      <c r="L1052" t="s">
        <v>89</v>
      </c>
      <c r="M1052" t="s">
        <v>384</v>
      </c>
      <c r="N1052">
        <v>40.588161999999997</v>
      </c>
      <c r="O1052">
        <v>-111.882868</v>
      </c>
      <c r="P1052">
        <v>4430.8990000000003</v>
      </c>
      <c r="Q1052">
        <v>414</v>
      </c>
      <c r="R1052">
        <v>0</v>
      </c>
    </row>
    <row r="1053" spans="1:18" x14ac:dyDescent="0.25">
      <c r="A1053">
        <v>1052</v>
      </c>
      <c r="B1053">
        <v>94</v>
      </c>
      <c r="C1053">
        <v>605469</v>
      </c>
      <c r="D1053" t="s">
        <v>383</v>
      </c>
      <c r="E1053">
        <v>12.645</v>
      </c>
      <c r="F1053" t="s">
        <v>19</v>
      </c>
      <c r="G1053" t="s">
        <v>20</v>
      </c>
      <c r="H1053" t="s">
        <v>21</v>
      </c>
      <c r="I1053" t="s">
        <v>20</v>
      </c>
      <c r="J1053" t="s">
        <v>20</v>
      </c>
      <c r="K1053" t="s">
        <v>31</v>
      </c>
      <c r="L1053" t="s">
        <v>89</v>
      </c>
      <c r="M1053" t="s">
        <v>384</v>
      </c>
      <c r="N1053">
        <v>40.588140000000003</v>
      </c>
      <c r="O1053">
        <v>-111.881894</v>
      </c>
      <c r="P1053">
        <v>4435.7709999999997</v>
      </c>
      <c r="Q1053">
        <v>414</v>
      </c>
      <c r="R1053">
        <v>0</v>
      </c>
    </row>
    <row r="1054" spans="1:18" x14ac:dyDescent="0.25">
      <c r="A1054">
        <v>1053</v>
      </c>
      <c r="B1054">
        <v>94</v>
      </c>
      <c r="C1054">
        <v>606349</v>
      </c>
      <c r="D1054" t="s">
        <v>383</v>
      </c>
      <c r="E1054">
        <v>12.736000000000001</v>
      </c>
      <c r="F1054" t="s">
        <v>21</v>
      </c>
      <c r="G1054" t="s">
        <v>26</v>
      </c>
      <c r="H1054" t="s">
        <v>21</v>
      </c>
      <c r="I1054" t="s">
        <v>20</v>
      </c>
      <c r="J1054" t="s">
        <v>20</v>
      </c>
      <c r="K1054" t="s">
        <v>31</v>
      </c>
      <c r="L1054" t="s">
        <v>89</v>
      </c>
      <c r="M1054" t="s">
        <v>384</v>
      </c>
      <c r="N1054">
        <v>40.588160000000002</v>
      </c>
      <c r="O1054">
        <v>-111.88012500000001</v>
      </c>
      <c r="P1054">
        <v>4440.0959999999995</v>
      </c>
      <c r="Q1054">
        <v>414</v>
      </c>
      <c r="R1054">
        <v>0</v>
      </c>
    </row>
    <row r="1055" spans="1:18" x14ac:dyDescent="0.25">
      <c r="A1055">
        <v>1054</v>
      </c>
      <c r="B1055">
        <v>94</v>
      </c>
      <c r="C1055">
        <v>606456</v>
      </c>
      <c r="D1055" t="s">
        <v>383</v>
      </c>
      <c r="E1055">
        <v>12.798</v>
      </c>
      <c r="F1055" t="s">
        <v>21</v>
      </c>
      <c r="G1055" t="s">
        <v>26</v>
      </c>
      <c r="H1055" t="s">
        <v>21</v>
      </c>
      <c r="I1055" t="s">
        <v>20</v>
      </c>
      <c r="J1055" t="s">
        <v>20</v>
      </c>
      <c r="K1055" t="s">
        <v>31</v>
      </c>
      <c r="L1055" t="s">
        <v>89</v>
      </c>
      <c r="M1055" t="s">
        <v>384</v>
      </c>
      <c r="N1055">
        <v>40.588152999999998</v>
      </c>
      <c r="O1055">
        <v>-111.878941</v>
      </c>
      <c r="P1055">
        <v>4443.0820000000003</v>
      </c>
      <c r="Q1055">
        <v>414</v>
      </c>
      <c r="R1055">
        <v>0</v>
      </c>
    </row>
    <row r="1056" spans="1:18" x14ac:dyDescent="0.25">
      <c r="A1056">
        <v>1055</v>
      </c>
      <c r="B1056">
        <v>94</v>
      </c>
      <c r="C1056">
        <v>606463</v>
      </c>
      <c r="D1056" t="s">
        <v>383</v>
      </c>
      <c r="E1056">
        <v>12.815</v>
      </c>
      <c r="F1056" t="s">
        <v>21</v>
      </c>
      <c r="G1056" t="s">
        <v>26</v>
      </c>
      <c r="H1056" t="s">
        <v>21</v>
      </c>
      <c r="I1056" t="s">
        <v>20</v>
      </c>
      <c r="J1056" t="s">
        <v>20</v>
      </c>
      <c r="K1056" t="s">
        <v>31</v>
      </c>
      <c r="L1056" t="s">
        <v>89</v>
      </c>
      <c r="M1056" t="s">
        <v>384</v>
      </c>
      <c r="N1056">
        <v>40.588161999999997</v>
      </c>
      <c r="O1056">
        <v>-111.878615</v>
      </c>
      <c r="P1056">
        <v>4443.8429999999998</v>
      </c>
      <c r="Q1056">
        <v>414</v>
      </c>
      <c r="R1056">
        <v>0</v>
      </c>
    </row>
    <row r="1057" spans="1:18" x14ac:dyDescent="0.25">
      <c r="A1057">
        <v>1056</v>
      </c>
      <c r="B1057">
        <v>94</v>
      </c>
      <c r="C1057">
        <v>31367167</v>
      </c>
      <c r="D1057" t="s">
        <v>229</v>
      </c>
      <c r="E1057">
        <v>7.4770000000000003</v>
      </c>
      <c r="F1057" t="s">
        <v>21</v>
      </c>
      <c r="G1057" t="s">
        <v>26</v>
      </c>
      <c r="H1057" t="s">
        <v>21</v>
      </c>
      <c r="I1057" t="s">
        <v>20</v>
      </c>
      <c r="J1057" t="s">
        <v>20</v>
      </c>
      <c r="K1057" t="s">
        <v>27</v>
      </c>
      <c r="L1057" t="s">
        <v>230</v>
      </c>
      <c r="M1057" t="s">
        <v>82</v>
      </c>
      <c r="N1057">
        <v>39.481037000000001</v>
      </c>
      <c r="O1057">
        <v>-111.51558</v>
      </c>
      <c r="P1057">
        <v>5665.2621209999998</v>
      </c>
      <c r="Q1057">
        <v>331</v>
      </c>
      <c r="R1057">
        <v>0</v>
      </c>
    </row>
    <row r="1058" spans="1:18" x14ac:dyDescent="0.25">
      <c r="A1058">
        <v>1057</v>
      </c>
      <c r="B1058">
        <v>94</v>
      </c>
      <c r="C1058">
        <v>1013240</v>
      </c>
      <c r="D1058" t="s">
        <v>65</v>
      </c>
      <c r="E1058">
        <v>7.4790000000000001</v>
      </c>
      <c r="F1058" t="s">
        <v>21</v>
      </c>
      <c r="G1058" t="s">
        <v>26</v>
      </c>
      <c r="H1058" t="s">
        <v>21</v>
      </c>
      <c r="I1058" t="s">
        <v>20</v>
      </c>
      <c r="J1058" t="s">
        <v>20</v>
      </c>
      <c r="K1058" t="s">
        <v>31</v>
      </c>
      <c r="L1058" t="s">
        <v>188</v>
      </c>
      <c r="M1058" t="s">
        <v>67</v>
      </c>
      <c r="N1058">
        <v>40.732363999999997</v>
      </c>
      <c r="O1058">
        <v>-111.819298</v>
      </c>
      <c r="P1058">
        <v>4690.1415740000002</v>
      </c>
      <c r="Q1058">
        <v>402</v>
      </c>
      <c r="R1058">
        <v>0</v>
      </c>
    </row>
    <row r="1059" spans="1:18" x14ac:dyDescent="0.25">
      <c r="A1059">
        <v>1058</v>
      </c>
      <c r="B1059">
        <v>94</v>
      </c>
      <c r="C1059">
        <v>31762172</v>
      </c>
      <c r="D1059" t="s">
        <v>68</v>
      </c>
      <c r="E1059">
        <v>7.4790000000000001</v>
      </c>
      <c r="F1059" t="s">
        <v>21</v>
      </c>
      <c r="G1059" t="s">
        <v>20</v>
      </c>
      <c r="H1059" t="s">
        <v>21</v>
      </c>
      <c r="I1059" t="s">
        <v>20</v>
      </c>
      <c r="J1059" t="s">
        <v>20</v>
      </c>
      <c r="K1059" t="s">
        <v>31</v>
      </c>
      <c r="L1059" t="s">
        <v>32</v>
      </c>
      <c r="M1059" t="s">
        <v>70</v>
      </c>
      <c r="N1059">
        <v>40.675238999999998</v>
      </c>
      <c r="O1059">
        <v>-111.813641</v>
      </c>
      <c r="P1059">
        <v>4593.24089</v>
      </c>
      <c r="Q1059">
        <v>431</v>
      </c>
      <c r="R1059">
        <v>0</v>
      </c>
    </row>
    <row r="1060" spans="1:18" x14ac:dyDescent="0.25">
      <c r="A1060">
        <v>1059</v>
      </c>
      <c r="B1060">
        <v>94</v>
      </c>
      <c r="C1060">
        <v>2370274</v>
      </c>
      <c r="D1060" t="s">
        <v>113</v>
      </c>
      <c r="E1060">
        <v>7.4889999999999999</v>
      </c>
      <c r="F1060" t="s">
        <v>21</v>
      </c>
      <c r="G1060" t="s">
        <v>26</v>
      </c>
      <c r="H1060" t="s">
        <v>21</v>
      </c>
      <c r="I1060" t="s">
        <v>20</v>
      </c>
      <c r="J1060" t="s">
        <v>20</v>
      </c>
      <c r="K1060" t="s">
        <v>41</v>
      </c>
      <c r="L1060" t="s">
        <v>87</v>
      </c>
      <c r="M1060" t="s">
        <v>58</v>
      </c>
      <c r="N1060">
        <v>41.128836999999997</v>
      </c>
      <c r="O1060">
        <v>-111.905641</v>
      </c>
      <c r="P1060">
        <v>4524.9644470000003</v>
      </c>
      <c r="Q1060">
        <v>1363</v>
      </c>
      <c r="R1060">
        <v>0</v>
      </c>
    </row>
    <row r="1061" spans="1:18" x14ac:dyDescent="0.25">
      <c r="A1061">
        <v>1060</v>
      </c>
      <c r="B1061">
        <v>94</v>
      </c>
      <c r="C1061">
        <v>31259842</v>
      </c>
      <c r="D1061" t="s">
        <v>303</v>
      </c>
      <c r="E1061">
        <v>7.4939999999999998</v>
      </c>
      <c r="F1061" t="s">
        <v>19</v>
      </c>
      <c r="G1061" t="s">
        <v>20</v>
      </c>
      <c r="H1061" t="s">
        <v>21</v>
      </c>
      <c r="I1061" t="s">
        <v>20</v>
      </c>
      <c r="J1061" t="s">
        <v>20</v>
      </c>
      <c r="K1061" t="s">
        <v>27</v>
      </c>
      <c r="L1061" t="s">
        <v>72</v>
      </c>
      <c r="M1061" t="s">
        <v>73</v>
      </c>
      <c r="N1061">
        <v>37.176358999999998</v>
      </c>
      <c r="O1061">
        <v>-113.3295</v>
      </c>
      <c r="P1061">
        <v>3190.9166319999999</v>
      </c>
      <c r="Q1061">
        <v>1326</v>
      </c>
      <c r="R1061">
        <v>0</v>
      </c>
    </row>
    <row r="1062" spans="1:18" x14ac:dyDescent="0.25">
      <c r="A1062">
        <v>1061</v>
      </c>
      <c r="B1062">
        <v>94</v>
      </c>
      <c r="C1062">
        <v>552079</v>
      </c>
      <c r="D1062" t="s">
        <v>77</v>
      </c>
      <c r="E1062">
        <v>7.4989999999999997</v>
      </c>
      <c r="F1062" t="s">
        <v>21</v>
      </c>
      <c r="G1062" t="s">
        <v>26</v>
      </c>
      <c r="H1062" t="s">
        <v>21</v>
      </c>
      <c r="I1062" t="s">
        <v>20</v>
      </c>
      <c r="J1062" t="s">
        <v>20</v>
      </c>
      <c r="K1062" t="s">
        <v>31</v>
      </c>
      <c r="L1062" t="s">
        <v>78</v>
      </c>
      <c r="M1062" t="s">
        <v>79</v>
      </c>
      <c r="N1062">
        <v>40.747286000000003</v>
      </c>
      <c r="O1062">
        <v>-112.024933</v>
      </c>
      <c r="P1062">
        <v>4180.2696679999999</v>
      </c>
      <c r="Q1062">
        <v>1436</v>
      </c>
      <c r="R1062">
        <v>0</v>
      </c>
    </row>
    <row r="1063" spans="1:18" x14ac:dyDescent="0.25">
      <c r="A1063">
        <v>1062</v>
      </c>
      <c r="B1063">
        <v>94</v>
      </c>
      <c r="C1063" t="e">
        <f>-JXh2_fgHNPFDjcBF_T9Fk</f>
        <v>#NAME?</v>
      </c>
      <c r="D1063" t="s">
        <v>203</v>
      </c>
      <c r="E1063">
        <v>7.5</v>
      </c>
      <c r="F1063" t="s">
        <v>21</v>
      </c>
      <c r="G1063" t="s">
        <v>26</v>
      </c>
      <c r="H1063" t="s">
        <v>21</v>
      </c>
      <c r="I1063" t="s">
        <v>20</v>
      </c>
      <c r="J1063" t="s">
        <v>20</v>
      </c>
      <c r="K1063" t="s">
        <v>41</v>
      </c>
      <c r="L1063" t="s">
        <v>81</v>
      </c>
      <c r="M1063" t="s">
        <v>204</v>
      </c>
      <c r="N1063">
        <v>41.243692000000003</v>
      </c>
      <c r="O1063">
        <v>-111.948736</v>
      </c>
      <c r="P1063">
        <v>4294.3253590000004</v>
      </c>
      <c r="Q1063">
        <v>1349</v>
      </c>
      <c r="R1063">
        <v>0</v>
      </c>
    </row>
    <row r="1064" spans="1:18" x14ac:dyDescent="0.25">
      <c r="A1064">
        <v>1063</v>
      </c>
      <c r="B1064">
        <v>94</v>
      </c>
      <c r="C1064">
        <v>31397162</v>
      </c>
      <c r="D1064" t="s">
        <v>210</v>
      </c>
      <c r="E1064">
        <v>7.5049999999999999</v>
      </c>
      <c r="F1064" t="s">
        <v>21</v>
      </c>
      <c r="G1064" t="s">
        <v>20</v>
      </c>
      <c r="H1064" t="s">
        <v>21</v>
      </c>
      <c r="I1064" t="s">
        <v>20</v>
      </c>
      <c r="J1064" t="s">
        <v>20</v>
      </c>
      <c r="K1064" t="s">
        <v>27</v>
      </c>
      <c r="L1064" t="s">
        <v>211</v>
      </c>
      <c r="M1064" t="s">
        <v>212</v>
      </c>
      <c r="N1064">
        <v>37.293534000000001</v>
      </c>
      <c r="O1064">
        <v>-109.422139</v>
      </c>
      <c r="P1064">
        <v>4465.8907760000002</v>
      </c>
      <c r="Q1064">
        <v>344</v>
      </c>
      <c r="R1064">
        <v>0</v>
      </c>
    </row>
    <row r="1065" spans="1:18" x14ac:dyDescent="0.25">
      <c r="A1065">
        <v>1064</v>
      </c>
      <c r="B1065">
        <v>94</v>
      </c>
      <c r="C1065">
        <v>1209876</v>
      </c>
      <c r="D1065" t="s">
        <v>100</v>
      </c>
      <c r="E1065">
        <v>7.5090000000000003</v>
      </c>
      <c r="F1065" t="s">
        <v>19</v>
      </c>
      <c r="G1065" t="s">
        <v>20</v>
      </c>
      <c r="H1065" t="s">
        <v>19</v>
      </c>
      <c r="I1065">
        <v>37</v>
      </c>
      <c r="J1065" t="s">
        <v>20</v>
      </c>
      <c r="K1065" t="s">
        <v>41</v>
      </c>
      <c r="L1065" t="s">
        <v>57</v>
      </c>
      <c r="M1065" t="s">
        <v>46</v>
      </c>
      <c r="N1065">
        <v>41.139890999999999</v>
      </c>
      <c r="O1065">
        <v>-112.064463</v>
      </c>
      <c r="P1065">
        <v>4280.4650709999996</v>
      </c>
      <c r="Q1065">
        <v>1396</v>
      </c>
      <c r="R1065">
        <v>0</v>
      </c>
    </row>
    <row r="1066" spans="1:18" x14ac:dyDescent="0.25">
      <c r="A1066">
        <v>1065</v>
      </c>
      <c r="B1066">
        <v>94</v>
      </c>
      <c r="C1066">
        <v>31389845</v>
      </c>
      <c r="D1066" t="s">
        <v>184</v>
      </c>
      <c r="E1066">
        <v>7.5110000000000001</v>
      </c>
      <c r="F1066" t="s">
        <v>21</v>
      </c>
      <c r="G1066" t="s">
        <v>26</v>
      </c>
      <c r="H1066" t="s">
        <v>21</v>
      </c>
      <c r="I1066" t="s">
        <v>20</v>
      </c>
      <c r="J1066" t="s">
        <v>20</v>
      </c>
      <c r="K1066" t="s">
        <v>27</v>
      </c>
      <c r="L1066" t="s">
        <v>54</v>
      </c>
      <c r="M1066" t="s">
        <v>55</v>
      </c>
      <c r="N1066">
        <v>37.746823999999997</v>
      </c>
      <c r="O1066">
        <v>-113.055261</v>
      </c>
      <c r="P1066">
        <v>5479.5453340000004</v>
      </c>
      <c r="Q1066">
        <v>1410</v>
      </c>
      <c r="R1066">
        <v>0</v>
      </c>
    </row>
    <row r="1067" spans="1:18" x14ac:dyDescent="0.25">
      <c r="A1067">
        <v>1066</v>
      </c>
      <c r="B1067">
        <v>94</v>
      </c>
      <c r="C1067">
        <v>539963</v>
      </c>
      <c r="D1067" t="s">
        <v>44</v>
      </c>
      <c r="E1067">
        <v>7.5170000000000003</v>
      </c>
      <c r="F1067" t="s">
        <v>21</v>
      </c>
      <c r="G1067" t="s">
        <v>26</v>
      </c>
      <c r="H1067" t="s">
        <v>21</v>
      </c>
      <c r="I1067" t="s">
        <v>20</v>
      </c>
      <c r="J1067" t="s">
        <v>20</v>
      </c>
      <c r="K1067" t="s">
        <v>41</v>
      </c>
      <c r="L1067" t="s">
        <v>87</v>
      </c>
      <c r="M1067" t="s">
        <v>46</v>
      </c>
      <c r="N1067">
        <v>40.983744999999999</v>
      </c>
      <c r="O1067">
        <v>-111.887533</v>
      </c>
      <c r="P1067">
        <v>4250.5530170000002</v>
      </c>
      <c r="Q1067">
        <v>1395</v>
      </c>
      <c r="R1067">
        <v>0</v>
      </c>
    </row>
    <row r="1068" spans="1:18" x14ac:dyDescent="0.25">
      <c r="A1068">
        <v>1067</v>
      </c>
      <c r="B1068">
        <v>94</v>
      </c>
      <c r="C1068">
        <v>573422</v>
      </c>
      <c r="D1068" t="s">
        <v>115</v>
      </c>
      <c r="E1068">
        <v>7.5170000000000003</v>
      </c>
      <c r="F1068" t="s">
        <v>19</v>
      </c>
      <c r="G1068" t="s">
        <v>20</v>
      </c>
      <c r="H1068" t="s">
        <v>21</v>
      </c>
      <c r="I1068" t="s">
        <v>20</v>
      </c>
      <c r="J1068" t="s">
        <v>20</v>
      </c>
      <c r="K1068" t="s">
        <v>31</v>
      </c>
      <c r="L1068" t="s">
        <v>69</v>
      </c>
      <c r="M1068" t="s">
        <v>70</v>
      </c>
      <c r="N1068">
        <v>40.653070999999997</v>
      </c>
      <c r="O1068">
        <v>-111.934095</v>
      </c>
      <c r="P1068">
        <v>4262.8863300000003</v>
      </c>
      <c r="Q1068">
        <v>1437</v>
      </c>
      <c r="R1068">
        <v>0</v>
      </c>
    </row>
    <row r="1069" spans="1:18" x14ac:dyDescent="0.25">
      <c r="A1069">
        <v>1068</v>
      </c>
      <c r="B1069">
        <v>94</v>
      </c>
      <c r="C1069">
        <v>31389147</v>
      </c>
      <c r="D1069" t="s">
        <v>364</v>
      </c>
      <c r="E1069">
        <v>7.5209999999999999</v>
      </c>
      <c r="F1069" t="s">
        <v>21</v>
      </c>
      <c r="G1069" t="s">
        <v>26</v>
      </c>
      <c r="H1069" t="s">
        <v>21</v>
      </c>
      <c r="I1069" t="s">
        <v>20</v>
      </c>
      <c r="J1069" t="s">
        <v>20</v>
      </c>
      <c r="K1069" t="s">
        <v>22</v>
      </c>
      <c r="L1069" t="s">
        <v>140</v>
      </c>
      <c r="M1069" t="s">
        <v>85</v>
      </c>
      <c r="N1069">
        <v>40.108013</v>
      </c>
      <c r="O1069">
        <v>-111.66850100000001</v>
      </c>
      <c r="P1069">
        <v>4515.115581</v>
      </c>
      <c r="Q1069">
        <v>1401</v>
      </c>
      <c r="R1069">
        <v>0</v>
      </c>
    </row>
    <row r="1070" spans="1:18" x14ac:dyDescent="0.25">
      <c r="A1070">
        <v>1069</v>
      </c>
      <c r="B1070">
        <v>94</v>
      </c>
      <c r="C1070" t="e">
        <f>-JPaTaoGGg9yzHYV6vAcDF</f>
        <v>#NAME?</v>
      </c>
      <c r="D1070" t="s">
        <v>229</v>
      </c>
      <c r="E1070">
        <v>7.5259999999999998</v>
      </c>
      <c r="F1070" t="s">
        <v>21</v>
      </c>
      <c r="G1070" t="s">
        <v>20</v>
      </c>
      <c r="H1070" t="s">
        <v>21</v>
      </c>
      <c r="I1070" t="s">
        <v>20</v>
      </c>
      <c r="J1070" t="s">
        <v>20</v>
      </c>
      <c r="K1070" t="s">
        <v>27</v>
      </c>
      <c r="L1070" t="s">
        <v>230</v>
      </c>
      <c r="M1070" t="s">
        <v>82</v>
      </c>
      <c r="N1070">
        <v>39.481039000000003</v>
      </c>
      <c r="O1070">
        <v>-111.51468300000001</v>
      </c>
      <c r="P1070">
        <v>5670.4478330000002</v>
      </c>
      <c r="Q1070">
        <v>331</v>
      </c>
      <c r="R1070">
        <v>0</v>
      </c>
    </row>
    <row r="1071" spans="1:18" x14ac:dyDescent="0.25">
      <c r="A1071">
        <v>1070</v>
      </c>
      <c r="B1071">
        <v>94</v>
      </c>
      <c r="C1071" t="e">
        <f>-JO3PYGmIGeRNvKdjA4KpV</f>
        <v>#NAME?</v>
      </c>
      <c r="D1071" t="s">
        <v>393</v>
      </c>
      <c r="E1071">
        <v>7.532</v>
      </c>
      <c r="F1071" t="s">
        <v>21</v>
      </c>
      <c r="G1071" t="s">
        <v>20</v>
      </c>
      <c r="H1071" t="s">
        <v>21</v>
      </c>
      <c r="I1071" t="s">
        <v>20</v>
      </c>
      <c r="J1071" t="s">
        <v>20</v>
      </c>
      <c r="K1071" t="s">
        <v>27</v>
      </c>
      <c r="L1071" t="s">
        <v>158</v>
      </c>
      <c r="M1071" t="s">
        <v>190</v>
      </c>
      <c r="N1071">
        <v>39.542645</v>
      </c>
      <c r="O1071">
        <v>-110.408439</v>
      </c>
      <c r="P1071">
        <v>6143.7951979999998</v>
      </c>
      <c r="Q1071">
        <v>333</v>
      </c>
      <c r="R1071">
        <v>0</v>
      </c>
    </row>
    <row r="1072" spans="1:18" x14ac:dyDescent="0.25">
      <c r="A1072">
        <v>1071</v>
      </c>
      <c r="B1072">
        <v>94</v>
      </c>
      <c r="C1072">
        <v>31321284</v>
      </c>
      <c r="D1072" t="s">
        <v>241</v>
      </c>
      <c r="E1072">
        <v>50.555</v>
      </c>
      <c r="F1072" t="s">
        <v>21</v>
      </c>
      <c r="G1072" t="s">
        <v>26</v>
      </c>
      <c r="H1072" t="s">
        <v>21</v>
      </c>
      <c r="I1072" t="s">
        <v>20</v>
      </c>
      <c r="J1072" t="s">
        <v>20</v>
      </c>
      <c r="K1072" t="s">
        <v>27</v>
      </c>
      <c r="L1072" t="s">
        <v>111</v>
      </c>
      <c r="M1072" t="s">
        <v>243</v>
      </c>
      <c r="N1072">
        <v>39.359395999999997</v>
      </c>
      <c r="O1072">
        <v>-110.926919</v>
      </c>
      <c r="P1072">
        <v>5810.0639000000001</v>
      </c>
      <c r="Q1072">
        <v>1327</v>
      </c>
      <c r="R1072">
        <v>0</v>
      </c>
    </row>
    <row r="1073" spans="1:18" x14ac:dyDescent="0.25">
      <c r="A1073">
        <v>1072</v>
      </c>
      <c r="B1073">
        <v>94</v>
      </c>
      <c r="C1073">
        <v>31409795</v>
      </c>
      <c r="D1073" t="s">
        <v>124</v>
      </c>
      <c r="E1073">
        <v>50.604999999999997</v>
      </c>
      <c r="F1073" t="s">
        <v>19</v>
      </c>
      <c r="G1073" t="s">
        <v>20</v>
      </c>
      <c r="H1073" t="s">
        <v>21</v>
      </c>
      <c r="I1073" t="s">
        <v>20</v>
      </c>
      <c r="J1073" t="s">
        <v>20</v>
      </c>
      <c r="K1073" t="s">
        <v>31</v>
      </c>
      <c r="L1073" t="s">
        <v>48</v>
      </c>
      <c r="M1073" t="s">
        <v>125</v>
      </c>
      <c r="N1073">
        <v>40.642847000000003</v>
      </c>
      <c r="O1073">
        <v>-111.93880799999999</v>
      </c>
      <c r="P1073">
        <v>4300.4452300000003</v>
      </c>
      <c r="Q1073">
        <v>1368</v>
      </c>
      <c r="R1073">
        <v>0</v>
      </c>
    </row>
    <row r="1074" spans="1:18" x14ac:dyDescent="0.25">
      <c r="A1074">
        <v>1073</v>
      </c>
      <c r="B1074">
        <v>94</v>
      </c>
      <c r="C1074">
        <v>31321273</v>
      </c>
      <c r="D1074" t="s">
        <v>241</v>
      </c>
      <c r="E1074">
        <v>50.618000000000002</v>
      </c>
      <c r="F1074" t="s">
        <v>21</v>
      </c>
      <c r="G1074" t="s">
        <v>26</v>
      </c>
      <c r="H1074" t="s">
        <v>21</v>
      </c>
      <c r="I1074" t="s">
        <v>20</v>
      </c>
      <c r="J1074" t="s">
        <v>20</v>
      </c>
      <c r="K1074" t="s">
        <v>27</v>
      </c>
      <c r="L1074" t="s">
        <v>111</v>
      </c>
      <c r="M1074" t="s">
        <v>243</v>
      </c>
      <c r="N1074">
        <v>39.360176000000003</v>
      </c>
      <c r="O1074">
        <v>-110.92627400000001</v>
      </c>
      <c r="P1074">
        <v>5819.1635290000004</v>
      </c>
      <c r="Q1074">
        <v>1327</v>
      </c>
      <c r="R1074">
        <v>0</v>
      </c>
    </row>
    <row r="1075" spans="1:18" x14ac:dyDescent="0.25">
      <c r="A1075">
        <v>1074</v>
      </c>
      <c r="B1075">
        <v>94</v>
      </c>
      <c r="C1075">
        <v>31626703</v>
      </c>
      <c r="D1075" t="s">
        <v>50</v>
      </c>
      <c r="E1075">
        <v>50.640999999999998</v>
      </c>
      <c r="F1075" t="s">
        <v>21</v>
      </c>
      <c r="G1075" t="s">
        <v>26</v>
      </c>
      <c r="H1075" t="s">
        <v>21</v>
      </c>
      <c r="I1075" t="s">
        <v>20</v>
      </c>
      <c r="J1075" t="s">
        <v>20</v>
      </c>
      <c r="K1075" t="s">
        <v>27</v>
      </c>
      <c r="L1075" t="s">
        <v>247</v>
      </c>
      <c r="M1075" t="s">
        <v>52</v>
      </c>
      <c r="N1075">
        <v>37.814599000000001</v>
      </c>
      <c r="O1075">
        <v>-112.435508</v>
      </c>
      <c r="P1075">
        <v>6569.584691</v>
      </c>
      <c r="Q1075">
        <v>1418</v>
      </c>
      <c r="R1075">
        <v>0</v>
      </c>
    </row>
    <row r="1076" spans="1:18" x14ac:dyDescent="0.25">
      <c r="A1076">
        <v>1075</v>
      </c>
      <c r="B1076">
        <v>94</v>
      </c>
      <c r="C1076">
        <v>31339013</v>
      </c>
      <c r="D1076" t="s">
        <v>288</v>
      </c>
      <c r="E1076">
        <v>50.648000000000003</v>
      </c>
      <c r="F1076" t="s">
        <v>21</v>
      </c>
      <c r="G1076" t="s">
        <v>26</v>
      </c>
      <c r="H1076" t="s">
        <v>21</v>
      </c>
      <c r="I1076" t="s">
        <v>20</v>
      </c>
      <c r="J1076" t="s">
        <v>20</v>
      </c>
      <c r="K1076" t="s">
        <v>27</v>
      </c>
      <c r="L1076" t="s">
        <v>327</v>
      </c>
      <c r="M1076" t="s">
        <v>147</v>
      </c>
      <c r="N1076">
        <v>37.616995000000003</v>
      </c>
      <c r="O1076">
        <v>-109.47836700000001</v>
      </c>
      <c r="P1076">
        <v>5983.2151830000003</v>
      </c>
      <c r="Q1076">
        <v>350</v>
      </c>
      <c r="R1076">
        <v>0</v>
      </c>
    </row>
    <row r="1077" spans="1:18" x14ac:dyDescent="0.25">
      <c r="A1077">
        <v>1076</v>
      </c>
      <c r="B1077">
        <v>94</v>
      </c>
      <c r="C1077">
        <v>31626714</v>
      </c>
      <c r="D1077" t="s">
        <v>50</v>
      </c>
      <c r="E1077">
        <v>50.668999999999997</v>
      </c>
      <c r="F1077" t="s">
        <v>21</v>
      </c>
      <c r="G1077" t="s">
        <v>26</v>
      </c>
      <c r="H1077" t="s">
        <v>21</v>
      </c>
      <c r="I1077" t="s">
        <v>20</v>
      </c>
      <c r="J1077" t="s">
        <v>20</v>
      </c>
      <c r="K1077" t="s">
        <v>27</v>
      </c>
      <c r="L1077" t="s">
        <v>247</v>
      </c>
      <c r="M1077" t="s">
        <v>52</v>
      </c>
      <c r="N1077">
        <v>37.814996000000001</v>
      </c>
      <c r="O1077">
        <v>-112.43551600000001</v>
      </c>
      <c r="P1077">
        <v>6569.7373109999999</v>
      </c>
      <c r="Q1077">
        <v>1418</v>
      </c>
      <c r="R1077">
        <v>0</v>
      </c>
    </row>
    <row r="1078" spans="1:18" x14ac:dyDescent="0.25">
      <c r="A1078">
        <v>1077</v>
      </c>
      <c r="B1078">
        <v>94</v>
      </c>
      <c r="C1078">
        <v>539113</v>
      </c>
      <c r="D1078" t="s">
        <v>44</v>
      </c>
      <c r="E1078">
        <v>7.21</v>
      </c>
      <c r="F1078" t="s">
        <v>21</v>
      </c>
      <c r="G1078" t="s">
        <v>26</v>
      </c>
      <c r="H1078" t="s">
        <v>21</v>
      </c>
      <c r="I1078" t="s">
        <v>20</v>
      </c>
      <c r="J1078" t="s">
        <v>20</v>
      </c>
      <c r="K1078" t="s">
        <v>41</v>
      </c>
      <c r="L1078" t="s">
        <v>87</v>
      </c>
      <c r="M1078" t="s">
        <v>46</v>
      </c>
      <c r="N1078">
        <v>40.980497</v>
      </c>
      <c r="O1078">
        <v>-111.886019</v>
      </c>
      <c r="P1078">
        <v>4255.0385290000004</v>
      </c>
      <c r="Q1078">
        <v>1395</v>
      </c>
      <c r="R1078">
        <v>0</v>
      </c>
    </row>
    <row r="1079" spans="1:18" x14ac:dyDescent="0.25">
      <c r="A1079">
        <v>1078</v>
      </c>
      <c r="B1079">
        <v>94</v>
      </c>
      <c r="C1079">
        <v>31373032</v>
      </c>
      <c r="D1079" t="s">
        <v>142</v>
      </c>
      <c r="E1079">
        <v>87.174000000000007</v>
      </c>
      <c r="F1079" t="s">
        <v>21</v>
      </c>
      <c r="G1079" t="s">
        <v>26</v>
      </c>
      <c r="H1079" t="s">
        <v>21</v>
      </c>
      <c r="I1079" t="s">
        <v>20</v>
      </c>
      <c r="J1079" t="s">
        <v>20</v>
      </c>
      <c r="K1079" t="s">
        <v>27</v>
      </c>
      <c r="L1079" t="s">
        <v>143</v>
      </c>
      <c r="M1079" t="s">
        <v>106</v>
      </c>
      <c r="N1079">
        <v>38.262262999999997</v>
      </c>
      <c r="O1079">
        <v>-112.953067</v>
      </c>
      <c r="P1079">
        <v>5230.8382099999999</v>
      </c>
      <c r="Q1079">
        <v>305</v>
      </c>
      <c r="R1079">
        <v>0</v>
      </c>
    </row>
    <row r="1080" spans="1:18" x14ac:dyDescent="0.25">
      <c r="A1080">
        <v>1079</v>
      </c>
      <c r="B1080">
        <v>94</v>
      </c>
      <c r="C1080">
        <v>31373043</v>
      </c>
      <c r="D1080" t="s">
        <v>142</v>
      </c>
      <c r="E1080">
        <v>87.206000000000003</v>
      </c>
      <c r="F1080" t="s">
        <v>21</v>
      </c>
      <c r="G1080" t="s">
        <v>26</v>
      </c>
      <c r="H1080" t="s">
        <v>21</v>
      </c>
      <c r="I1080" t="s">
        <v>20</v>
      </c>
      <c r="J1080" t="s">
        <v>20</v>
      </c>
      <c r="K1080" t="s">
        <v>27</v>
      </c>
      <c r="L1080" t="s">
        <v>143</v>
      </c>
      <c r="M1080" t="s">
        <v>106</v>
      </c>
      <c r="N1080">
        <v>38.261845999999998</v>
      </c>
      <c r="O1080">
        <v>-112.952842</v>
      </c>
      <c r="P1080">
        <v>5232.5863019999997</v>
      </c>
      <c r="Q1080">
        <v>305</v>
      </c>
      <c r="R1080">
        <v>0</v>
      </c>
    </row>
    <row r="1081" spans="1:18" x14ac:dyDescent="0.25">
      <c r="A1081">
        <v>1080</v>
      </c>
      <c r="B1081">
        <v>94</v>
      </c>
      <c r="C1081">
        <v>31777478</v>
      </c>
      <c r="D1081" t="s">
        <v>118</v>
      </c>
      <c r="E1081">
        <v>87.331999999999994</v>
      </c>
      <c r="F1081" t="s">
        <v>21</v>
      </c>
      <c r="G1081" t="s">
        <v>26</v>
      </c>
      <c r="H1081" t="s">
        <v>21</v>
      </c>
      <c r="I1081" t="s">
        <v>20</v>
      </c>
      <c r="J1081" t="s">
        <v>20</v>
      </c>
      <c r="K1081" t="s">
        <v>22</v>
      </c>
      <c r="L1081" t="s">
        <v>253</v>
      </c>
      <c r="M1081" t="s">
        <v>169</v>
      </c>
      <c r="N1081">
        <v>40.160468000000002</v>
      </c>
      <c r="O1081">
        <v>-110.38686199999999</v>
      </c>
      <c r="P1081">
        <v>5441.1638220000004</v>
      </c>
      <c r="Q1081">
        <v>310</v>
      </c>
      <c r="R1081">
        <v>0</v>
      </c>
    </row>
    <row r="1082" spans="1:18" x14ac:dyDescent="0.25">
      <c r="A1082">
        <v>1081</v>
      </c>
      <c r="B1082">
        <v>94</v>
      </c>
      <c r="C1082">
        <v>31781805</v>
      </c>
      <c r="D1082" t="s">
        <v>118</v>
      </c>
      <c r="E1082">
        <v>93.525000000000006</v>
      </c>
      <c r="F1082" t="s">
        <v>21</v>
      </c>
      <c r="G1082" t="s">
        <v>20</v>
      </c>
      <c r="H1082" t="s">
        <v>21</v>
      </c>
      <c r="I1082" t="s">
        <v>20</v>
      </c>
      <c r="J1082" t="s">
        <v>20</v>
      </c>
      <c r="K1082" t="s">
        <v>22</v>
      </c>
      <c r="L1082" t="s">
        <v>253</v>
      </c>
      <c r="M1082" t="s">
        <v>169</v>
      </c>
      <c r="N1082">
        <v>40.161776000000003</v>
      </c>
      <c r="O1082">
        <v>-110.27471799999999</v>
      </c>
      <c r="P1082">
        <v>5333.1426060000003</v>
      </c>
      <c r="Q1082">
        <v>310</v>
      </c>
      <c r="R1082">
        <v>0</v>
      </c>
    </row>
    <row r="1083" spans="1:18" x14ac:dyDescent="0.25">
      <c r="A1083">
        <v>1082</v>
      </c>
      <c r="B1083">
        <v>94</v>
      </c>
      <c r="C1083">
        <v>31373542</v>
      </c>
      <c r="D1083" t="s">
        <v>142</v>
      </c>
      <c r="E1083">
        <v>93.823999999999998</v>
      </c>
      <c r="F1083" t="s">
        <v>21</v>
      </c>
      <c r="G1083" t="s">
        <v>20</v>
      </c>
      <c r="H1083" t="s">
        <v>21</v>
      </c>
      <c r="I1083" t="s">
        <v>20</v>
      </c>
      <c r="J1083" t="s">
        <v>20</v>
      </c>
      <c r="K1083" t="s">
        <v>27</v>
      </c>
      <c r="L1083" t="s">
        <v>143</v>
      </c>
      <c r="M1083" t="s">
        <v>106</v>
      </c>
      <c r="N1083">
        <v>38.215426999999998</v>
      </c>
      <c r="O1083">
        <v>-112.86476399999999</v>
      </c>
      <c r="P1083">
        <v>5325.6723949999996</v>
      </c>
      <c r="Q1083">
        <v>305</v>
      </c>
      <c r="R1083">
        <v>0</v>
      </c>
    </row>
    <row r="1084" spans="1:18" x14ac:dyDescent="0.25">
      <c r="A1084">
        <v>1083</v>
      </c>
      <c r="B1084">
        <v>94</v>
      </c>
      <c r="C1084">
        <v>31558712</v>
      </c>
      <c r="D1084" t="s">
        <v>213</v>
      </c>
      <c r="E1084">
        <v>93.843999999999994</v>
      </c>
      <c r="F1084" t="s">
        <v>21</v>
      </c>
      <c r="G1084" t="s">
        <v>26</v>
      </c>
      <c r="H1084" t="s">
        <v>19</v>
      </c>
      <c r="I1084">
        <v>136</v>
      </c>
      <c r="J1084" t="s">
        <v>20</v>
      </c>
      <c r="K1084" t="s">
        <v>27</v>
      </c>
      <c r="L1084" t="s">
        <v>173</v>
      </c>
      <c r="M1084" t="s">
        <v>214</v>
      </c>
      <c r="N1084">
        <v>39.396523999999999</v>
      </c>
      <c r="O1084">
        <v>-112.503843</v>
      </c>
      <c r="P1084">
        <v>4652.9979030000004</v>
      </c>
      <c r="Q1084">
        <v>1332</v>
      </c>
      <c r="R1084">
        <v>0</v>
      </c>
    </row>
    <row r="1085" spans="1:18" x14ac:dyDescent="0.25">
      <c r="A1085">
        <v>1084</v>
      </c>
      <c r="B1085">
        <v>94</v>
      </c>
      <c r="C1085">
        <v>31900920</v>
      </c>
      <c r="D1085" t="s">
        <v>272</v>
      </c>
      <c r="E1085">
        <v>94.304000000000002</v>
      </c>
      <c r="F1085" t="s">
        <v>21</v>
      </c>
      <c r="G1085" t="s">
        <v>26</v>
      </c>
      <c r="H1085" t="s">
        <v>21</v>
      </c>
      <c r="I1085" t="s">
        <v>20</v>
      </c>
      <c r="J1085" t="s">
        <v>20</v>
      </c>
      <c r="K1085" t="s">
        <v>27</v>
      </c>
      <c r="L1085" t="s">
        <v>279</v>
      </c>
      <c r="M1085" t="s">
        <v>214</v>
      </c>
      <c r="N1085">
        <v>37.377693999999998</v>
      </c>
      <c r="O1085">
        <v>-112.590751</v>
      </c>
      <c r="P1085">
        <v>6201.5490380000001</v>
      </c>
      <c r="Q1085">
        <v>1384</v>
      </c>
      <c r="R1085">
        <v>0</v>
      </c>
    </row>
    <row r="1086" spans="1:18" x14ac:dyDescent="0.25">
      <c r="A1086">
        <v>1085</v>
      </c>
      <c r="B1086">
        <v>94</v>
      </c>
      <c r="C1086">
        <v>31725807</v>
      </c>
      <c r="D1086" t="s">
        <v>244</v>
      </c>
      <c r="E1086">
        <v>94.31</v>
      </c>
      <c r="F1086" t="s">
        <v>21</v>
      </c>
      <c r="G1086" t="s">
        <v>26</v>
      </c>
      <c r="H1086" t="s">
        <v>21</v>
      </c>
      <c r="I1086" t="s">
        <v>20</v>
      </c>
      <c r="J1086" t="s">
        <v>20</v>
      </c>
      <c r="K1086" t="s">
        <v>27</v>
      </c>
      <c r="L1086" t="s">
        <v>266</v>
      </c>
      <c r="M1086" t="s">
        <v>270</v>
      </c>
      <c r="N1086">
        <v>38.290387000000003</v>
      </c>
      <c r="O1086">
        <v>-111.047466</v>
      </c>
      <c r="P1086">
        <v>4623.6248159999996</v>
      </c>
      <c r="Q1086">
        <v>1340</v>
      </c>
      <c r="R1086">
        <v>0</v>
      </c>
    </row>
    <row r="1087" spans="1:18" x14ac:dyDescent="0.25">
      <c r="A1087">
        <v>1086</v>
      </c>
      <c r="B1087">
        <v>94</v>
      </c>
      <c r="C1087">
        <v>31847768</v>
      </c>
      <c r="D1087" t="s">
        <v>290</v>
      </c>
      <c r="E1087">
        <v>94.355999999999995</v>
      </c>
      <c r="F1087" t="s">
        <v>21</v>
      </c>
      <c r="G1087" t="s">
        <v>20</v>
      </c>
      <c r="H1087" t="s">
        <v>21</v>
      </c>
      <c r="I1087" t="s">
        <v>20</v>
      </c>
      <c r="J1087" t="s">
        <v>20</v>
      </c>
      <c r="K1087" t="s">
        <v>41</v>
      </c>
      <c r="L1087" t="s">
        <v>223</v>
      </c>
      <c r="M1087" t="s">
        <v>152</v>
      </c>
      <c r="N1087">
        <v>41.783822000000001</v>
      </c>
      <c r="O1087">
        <v>-112.102181</v>
      </c>
      <c r="P1087">
        <v>4330.9470540000002</v>
      </c>
      <c r="Q1087">
        <v>1343</v>
      </c>
      <c r="R1087">
        <v>0</v>
      </c>
    </row>
    <row r="1088" spans="1:18" x14ac:dyDescent="0.25">
      <c r="A1088">
        <v>1087</v>
      </c>
      <c r="B1088">
        <v>94</v>
      </c>
      <c r="C1088">
        <v>31775965</v>
      </c>
      <c r="D1088" t="s">
        <v>290</v>
      </c>
      <c r="E1088">
        <v>94.424999999999997</v>
      </c>
      <c r="F1088" t="s">
        <v>21</v>
      </c>
      <c r="G1088" t="s">
        <v>26</v>
      </c>
      <c r="H1088" t="s">
        <v>21</v>
      </c>
      <c r="I1088" t="s">
        <v>20</v>
      </c>
      <c r="J1088" t="s">
        <v>20</v>
      </c>
      <c r="K1088" t="s">
        <v>41</v>
      </c>
      <c r="L1088" t="s">
        <v>223</v>
      </c>
      <c r="M1088" t="s">
        <v>152</v>
      </c>
      <c r="N1088">
        <v>41.783996000000002</v>
      </c>
      <c r="O1088">
        <v>-112.100852</v>
      </c>
      <c r="P1088">
        <v>4339.7444800000003</v>
      </c>
      <c r="Q1088">
        <v>1343</v>
      </c>
      <c r="R1088">
        <v>0</v>
      </c>
    </row>
    <row r="1089" spans="1:18" x14ac:dyDescent="0.25">
      <c r="A1089">
        <v>1088</v>
      </c>
      <c r="B1089">
        <v>94</v>
      </c>
      <c r="C1089">
        <v>31725818</v>
      </c>
      <c r="D1089" t="s">
        <v>244</v>
      </c>
      <c r="E1089">
        <v>94.426000000000002</v>
      </c>
      <c r="F1089" t="s">
        <v>21</v>
      </c>
      <c r="G1089" t="s">
        <v>26</v>
      </c>
      <c r="H1089" t="s">
        <v>21</v>
      </c>
      <c r="I1089" t="s">
        <v>20</v>
      </c>
      <c r="J1089" t="s">
        <v>20</v>
      </c>
      <c r="K1089" t="s">
        <v>27</v>
      </c>
      <c r="L1089" t="s">
        <v>266</v>
      </c>
      <c r="M1089" t="s">
        <v>270</v>
      </c>
      <c r="N1089">
        <v>38.291997000000002</v>
      </c>
      <c r="O1089">
        <v>-111.047094</v>
      </c>
      <c r="P1089">
        <v>4613.7349260000001</v>
      </c>
      <c r="Q1089">
        <v>1340</v>
      </c>
      <c r="R1089">
        <v>0</v>
      </c>
    </row>
    <row r="1090" spans="1:18" x14ac:dyDescent="0.25">
      <c r="A1090">
        <v>1089</v>
      </c>
      <c r="B1090">
        <v>94</v>
      </c>
      <c r="C1090" t="s">
        <v>394</v>
      </c>
      <c r="D1090" t="s">
        <v>272</v>
      </c>
      <c r="E1090">
        <v>94.545000000000002</v>
      </c>
      <c r="F1090" t="s">
        <v>21</v>
      </c>
      <c r="G1090" t="s">
        <v>26</v>
      </c>
      <c r="H1090" t="s">
        <v>21</v>
      </c>
      <c r="I1090" t="s">
        <v>20</v>
      </c>
      <c r="J1090" t="s">
        <v>20</v>
      </c>
      <c r="K1090" t="s">
        <v>27</v>
      </c>
      <c r="L1090" t="s">
        <v>279</v>
      </c>
      <c r="M1090" t="s">
        <v>214</v>
      </c>
      <c r="N1090">
        <v>37.378951000000001</v>
      </c>
      <c r="O1090">
        <v>-112.58672799999999</v>
      </c>
      <c r="P1090">
        <v>6244.3435220000001</v>
      </c>
      <c r="Q1090">
        <v>1384</v>
      </c>
      <c r="R1090">
        <v>0</v>
      </c>
    </row>
    <row r="1091" spans="1:18" x14ac:dyDescent="0.25">
      <c r="A1091">
        <v>1090</v>
      </c>
      <c r="B1091">
        <v>94</v>
      </c>
      <c r="C1091">
        <v>1563207</v>
      </c>
      <c r="D1091" t="s">
        <v>88</v>
      </c>
      <c r="E1091">
        <v>20.742000000000001</v>
      </c>
      <c r="F1091" t="s">
        <v>21</v>
      </c>
      <c r="G1091" t="s">
        <v>26</v>
      </c>
      <c r="H1091" t="s">
        <v>21</v>
      </c>
      <c r="I1091" t="s">
        <v>20</v>
      </c>
      <c r="J1091" t="s">
        <v>20</v>
      </c>
      <c r="K1091" t="s">
        <v>31</v>
      </c>
      <c r="L1091" t="s">
        <v>66</v>
      </c>
      <c r="M1091" t="s">
        <v>90</v>
      </c>
      <c r="N1091">
        <v>40.735598000000003</v>
      </c>
      <c r="O1091">
        <v>-111.871115</v>
      </c>
      <c r="P1091">
        <v>4226.9551090000004</v>
      </c>
      <c r="Q1091">
        <v>318</v>
      </c>
      <c r="R1091">
        <v>0</v>
      </c>
    </row>
    <row r="1092" spans="1:18" x14ac:dyDescent="0.25">
      <c r="A1092">
        <v>1091</v>
      </c>
      <c r="B1092">
        <v>94</v>
      </c>
      <c r="C1092" t="e">
        <f>-JXkTDqdF251bttcgGbVRk</f>
        <v>#NAME?</v>
      </c>
      <c r="D1092" t="s">
        <v>203</v>
      </c>
      <c r="E1092">
        <v>20.756</v>
      </c>
      <c r="F1092" t="s">
        <v>21</v>
      </c>
      <c r="G1092" t="s">
        <v>20</v>
      </c>
      <c r="H1092" t="s">
        <v>21</v>
      </c>
      <c r="I1092" t="s">
        <v>20</v>
      </c>
      <c r="J1092" t="s">
        <v>20</v>
      </c>
      <c r="K1092" t="s">
        <v>41</v>
      </c>
      <c r="L1092" t="s">
        <v>255</v>
      </c>
      <c r="M1092" t="s">
        <v>204</v>
      </c>
      <c r="N1092">
        <v>41.261951000000003</v>
      </c>
      <c r="O1092">
        <v>-111.733856</v>
      </c>
      <c r="P1092">
        <v>4938.9336059999996</v>
      </c>
      <c r="Q1092">
        <v>1349</v>
      </c>
      <c r="R1092">
        <v>0</v>
      </c>
    </row>
    <row r="1093" spans="1:18" x14ac:dyDescent="0.25">
      <c r="A1093">
        <v>1092</v>
      </c>
      <c r="B1093">
        <v>94</v>
      </c>
      <c r="C1093">
        <v>27713058</v>
      </c>
      <c r="D1093" t="s">
        <v>217</v>
      </c>
      <c r="E1093">
        <v>20.762</v>
      </c>
      <c r="F1093" t="s">
        <v>21</v>
      </c>
      <c r="G1093" t="s">
        <v>26</v>
      </c>
      <c r="H1093" t="s">
        <v>21</v>
      </c>
      <c r="I1093" t="s">
        <v>20</v>
      </c>
      <c r="J1093" t="s">
        <v>20</v>
      </c>
      <c r="K1093" t="s">
        <v>27</v>
      </c>
      <c r="L1093" t="s">
        <v>162</v>
      </c>
      <c r="M1093" t="s">
        <v>163</v>
      </c>
      <c r="N1093">
        <v>37.346617000000002</v>
      </c>
      <c r="O1093">
        <v>-113.691661</v>
      </c>
      <c r="P1093">
        <v>4507.7925939999996</v>
      </c>
      <c r="Q1093">
        <v>304</v>
      </c>
      <c r="R1093">
        <v>0</v>
      </c>
    </row>
    <row r="1094" spans="1:18" x14ac:dyDescent="0.25">
      <c r="A1094">
        <v>1093</v>
      </c>
      <c r="B1094">
        <v>94</v>
      </c>
      <c r="C1094">
        <v>27877776</v>
      </c>
      <c r="D1094" t="s">
        <v>91</v>
      </c>
      <c r="E1094">
        <v>20.763000000000002</v>
      </c>
      <c r="F1094" t="s">
        <v>21</v>
      </c>
      <c r="G1094" t="s">
        <v>26</v>
      </c>
      <c r="H1094" t="s">
        <v>21</v>
      </c>
      <c r="I1094" t="s">
        <v>20</v>
      </c>
      <c r="J1094" t="s">
        <v>20</v>
      </c>
      <c r="K1094" t="s">
        <v>41</v>
      </c>
      <c r="L1094" t="s">
        <v>95</v>
      </c>
      <c r="M1094" t="s">
        <v>73</v>
      </c>
      <c r="N1094">
        <v>41.867994000000003</v>
      </c>
      <c r="O1094">
        <v>-111.951894</v>
      </c>
      <c r="P1094">
        <v>4475.7725250000003</v>
      </c>
      <c r="Q1094">
        <v>1339</v>
      </c>
      <c r="R1094">
        <v>0</v>
      </c>
    </row>
    <row r="1095" spans="1:18" x14ac:dyDescent="0.25">
      <c r="A1095">
        <v>1094</v>
      </c>
      <c r="B1095">
        <v>94</v>
      </c>
      <c r="C1095" t="e">
        <f>-IoMCU3fGLeeuUviHxA4WF</f>
        <v>#NAME?</v>
      </c>
      <c r="D1095" t="s">
        <v>272</v>
      </c>
      <c r="E1095">
        <v>236.96100000000001</v>
      </c>
      <c r="F1095" t="s">
        <v>21</v>
      </c>
      <c r="G1095" t="s">
        <v>26</v>
      </c>
      <c r="H1095" t="s">
        <v>21</v>
      </c>
      <c r="I1095" t="s">
        <v>20</v>
      </c>
      <c r="J1095" t="s">
        <v>20</v>
      </c>
      <c r="K1095" t="s">
        <v>27</v>
      </c>
      <c r="L1095" t="s">
        <v>350</v>
      </c>
      <c r="M1095" t="s">
        <v>174</v>
      </c>
      <c r="N1095">
        <v>39.094873999999997</v>
      </c>
      <c r="O1095">
        <v>-111.819867</v>
      </c>
      <c r="P1095">
        <v>5053.5504000000001</v>
      </c>
      <c r="Q1095">
        <v>1384</v>
      </c>
      <c r="R1095">
        <v>0</v>
      </c>
    </row>
    <row r="1096" spans="1:18" x14ac:dyDescent="0.25">
      <c r="A1096">
        <v>1095</v>
      </c>
      <c r="B1096">
        <v>94</v>
      </c>
      <c r="C1096" t="e">
        <f>-IoMCgBSHseeki29EzpGHk</f>
        <v>#NAME?</v>
      </c>
      <c r="D1096" t="s">
        <v>272</v>
      </c>
      <c r="E1096">
        <v>237.352</v>
      </c>
      <c r="F1096" t="s">
        <v>21</v>
      </c>
      <c r="G1096" t="s">
        <v>26</v>
      </c>
      <c r="H1096" t="s">
        <v>21</v>
      </c>
      <c r="I1096" t="s">
        <v>20</v>
      </c>
      <c r="J1096" t="s">
        <v>20</v>
      </c>
      <c r="K1096" t="s">
        <v>27</v>
      </c>
      <c r="L1096" t="s">
        <v>350</v>
      </c>
      <c r="M1096" t="s">
        <v>174</v>
      </c>
      <c r="N1096">
        <v>39.100569</v>
      </c>
      <c r="O1096">
        <v>-111.81976299999999</v>
      </c>
      <c r="P1096">
        <v>5056.96119</v>
      </c>
      <c r="Q1096">
        <v>1384</v>
      </c>
      <c r="R1096">
        <v>0</v>
      </c>
    </row>
    <row r="1097" spans="1:18" x14ac:dyDescent="0.25">
      <c r="A1097">
        <v>1096</v>
      </c>
      <c r="B1097">
        <v>94</v>
      </c>
      <c r="C1097" t="e">
        <f>-IoMCtNDIxDVub4notJlQV</f>
        <v>#NAME?</v>
      </c>
      <c r="D1097" t="s">
        <v>272</v>
      </c>
      <c r="E1097">
        <v>237.61099999999999</v>
      </c>
      <c r="F1097" t="s">
        <v>21</v>
      </c>
      <c r="G1097" t="s">
        <v>26</v>
      </c>
      <c r="H1097" t="s">
        <v>21</v>
      </c>
      <c r="I1097" t="s">
        <v>20</v>
      </c>
      <c r="J1097" t="s">
        <v>20</v>
      </c>
      <c r="K1097" t="s">
        <v>27</v>
      </c>
      <c r="L1097" t="s">
        <v>350</v>
      </c>
      <c r="M1097" t="s">
        <v>174</v>
      </c>
      <c r="N1097">
        <v>39.104342000000003</v>
      </c>
      <c r="O1097">
        <v>-111.819722</v>
      </c>
      <c r="P1097">
        <v>5055.9170469999999</v>
      </c>
      <c r="Q1097">
        <v>1384</v>
      </c>
      <c r="R1097">
        <v>0</v>
      </c>
    </row>
    <row r="1098" spans="1:18" x14ac:dyDescent="0.25">
      <c r="A1098">
        <v>1097</v>
      </c>
      <c r="B1098">
        <v>94</v>
      </c>
      <c r="C1098" t="e">
        <f>-IoMD-dbInLmsPa4pm5byk</f>
        <v>#NAME?</v>
      </c>
      <c r="D1098" t="s">
        <v>272</v>
      </c>
      <c r="E1098">
        <v>237.857</v>
      </c>
      <c r="F1098" t="s">
        <v>21</v>
      </c>
      <c r="G1098" t="s">
        <v>26</v>
      </c>
      <c r="H1098" t="s">
        <v>21</v>
      </c>
      <c r="I1098" t="s">
        <v>20</v>
      </c>
      <c r="J1098" t="s">
        <v>20</v>
      </c>
      <c r="K1098" t="s">
        <v>27</v>
      </c>
      <c r="L1098" t="s">
        <v>350</v>
      </c>
      <c r="M1098" t="s">
        <v>174</v>
      </c>
      <c r="N1098">
        <v>39.10792</v>
      </c>
      <c r="O1098">
        <v>-111.819664</v>
      </c>
      <c r="P1098">
        <v>5052.8756030000004</v>
      </c>
      <c r="Q1098">
        <v>1384</v>
      </c>
      <c r="R1098">
        <v>0</v>
      </c>
    </row>
    <row r="1099" spans="1:18" x14ac:dyDescent="0.25">
      <c r="A1099">
        <v>1098</v>
      </c>
      <c r="B1099">
        <v>94</v>
      </c>
      <c r="C1099" t="e">
        <f>-JY6eLNcFJeMi79LlCL9wk</f>
        <v>#NAME?</v>
      </c>
      <c r="D1099" t="s">
        <v>199</v>
      </c>
      <c r="E1099">
        <v>22.882999999999999</v>
      </c>
      <c r="F1099" t="s">
        <v>21</v>
      </c>
      <c r="G1099" t="s">
        <v>20</v>
      </c>
      <c r="H1099" t="s">
        <v>21</v>
      </c>
      <c r="I1099" t="s">
        <v>20</v>
      </c>
      <c r="J1099" t="s">
        <v>20</v>
      </c>
      <c r="K1099" t="s">
        <v>27</v>
      </c>
      <c r="L1099" t="s">
        <v>103</v>
      </c>
      <c r="M1099" t="s">
        <v>200</v>
      </c>
      <c r="N1099">
        <v>38.303742</v>
      </c>
      <c r="O1099">
        <v>-112.35947</v>
      </c>
      <c r="P1099">
        <v>10160.479051</v>
      </c>
      <c r="Q1099">
        <v>341</v>
      </c>
      <c r="R1099">
        <v>0</v>
      </c>
    </row>
    <row r="1100" spans="1:18" x14ac:dyDescent="0.25">
      <c r="A1100">
        <v>1099</v>
      </c>
      <c r="B1100">
        <v>94</v>
      </c>
      <c r="C1100">
        <v>31317505</v>
      </c>
      <c r="D1100" t="s">
        <v>347</v>
      </c>
      <c r="E1100">
        <v>22.885000000000002</v>
      </c>
      <c r="F1100" t="s">
        <v>21</v>
      </c>
      <c r="G1100" t="s">
        <v>20</v>
      </c>
      <c r="H1100" t="s">
        <v>21</v>
      </c>
      <c r="I1100" t="s">
        <v>20</v>
      </c>
      <c r="J1100" t="s">
        <v>20</v>
      </c>
      <c r="K1100" t="s">
        <v>41</v>
      </c>
      <c r="L1100" t="s">
        <v>325</v>
      </c>
      <c r="M1100" t="s">
        <v>204</v>
      </c>
      <c r="N1100">
        <v>41.694493999999999</v>
      </c>
      <c r="O1100">
        <v>-111.173901</v>
      </c>
      <c r="P1100">
        <v>6228.111371</v>
      </c>
      <c r="Q1100">
        <v>1334</v>
      </c>
      <c r="R1100">
        <v>0</v>
      </c>
    </row>
    <row r="1101" spans="1:18" x14ac:dyDescent="0.25">
      <c r="A1101">
        <v>1100</v>
      </c>
      <c r="B1101">
        <v>94</v>
      </c>
      <c r="C1101">
        <v>27718856</v>
      </c>
      <c r="D1101" t="s">
        <v>217</v>
      </c>
      <c r="E1101">
        <v>22.9</v>
      </c>
      <c r="F1101" t="s">
        <v>21</v>
      </c>
      <c r="G1101" t="s">
        <v>26</v>
      </c>
      <c r="H1101" t="s">
        <v>21</v>
      </c>
      <c r="I1101" t="s">
        <v>20</v>
      </c>
      <c r="J1101" t="s">
        <v>20</v>
      </c>
      <c r="K1101" t="s">
        <v>27</v>
      </c>
      <c r="L1101" t="s">
        <v>162</v>
      </c>
      <c r="M1101" t="s">
        <v>163</v>
      </c>
      <c r="N1101">
        <v>37.368873999999998</v>
      </c>
      <c r="O1101">
        <v>-113.66556199999999</v>
      </c>
      <c r="P1101">
        <v>4841.8246390000004</v>
      </c>
      <c r="Q1101">
        <v>304</v>
      </c>
      <c r="R1101">
        <v>0</v>
      </c>
    </row>
    <row r="1102" spans="1:18" x14ac:dyDescent="0.25">
      <c r="A1102">
        <v>1101</v>
      </c>
      <c r="B1102">
        <v>94</v>
      </c>
      <c r="C1102">
        <v>31432689</v>
      </c>
      <c r="D1102" t="s">
        <v>319</v>
      </c>
      <c r="E1102">
        <v>22.9</v>
      </c>
      <c r="F1102" t="s">
        <v>21</v>
      </c>
      <c r="G1102" t="s">
        <v>26</v>
      </c>
      <c r="H1102" t="s">
        <v>21</v>
      </c>
      <c r="I1102" t="s">
        <v>20</v>
      </c>
      <c r="J1102" t="s">
        <v>20</v>
      </c>
      <c r="K1102" t="s">
        <v>27</v>
      </c>
      <c r="L1102" t="s">
        <v>162</v>
      </c>
      <c r="M1102" t="s">
        <v>55</v>
      </c>
      <c r="N1102">
        <v>37.722642</v>
      </c>
      <c r="O1102">
        <v>-113.69285499999999</v>
      </c>
      <c r="P1102">
        <v>5100.4161569999997</v>
      </c>
      <c r="Q1102">
        <v>314</v>
      </c>
      <c r="R1102">
        <v>0</v>
      </c>
    </row>
    <row r="1103" spans="1:18" x14ac:dyDescent="0.25">
      <c r="A1103">
        <v>1102</v>
      </c>
      <c r="B1103">
        <v>94</v>
      </c>
      <c r="C1103">
        <v>28566962</v>
      </c>
      <c r="D1103" t="s">
        <v>323</v>
      </c>
      <c r="E1103">
        <v>22.957999999999998</v>
      </c>
      <c r="F1103" t="s">
        <v>21</v>
      </c>
      <c r="G1103" t="s">
        <v>26</v>
      </c>
      <c r="H1103" t="s">
        <v>21</v>
      </c>
      <c r="I1103" t="s">
        <v>20</v>
      </c>
      <c r="J1103" t="s">
        <v>20</v>
      </c>
      <c r="K1103" t="s">
        <v>31</v>
      </c>
      <c r="L1103" t="s">
        <v>149</v>
      </c>
      <c r="M1103" t="s">
        <v>131</v>
      </c>
      <c r="N1103">
        <v>40.748131000000001</v>
      </c>
      <c r="O1103">
        <v>-111.363367</v>
      </c>
      <c r="P1103">
        <v>6040.2920610000001</v>
      </c>
      <c r="Q1103">
        <v>1345</v>
      </c>
      <c r="R1103">
        <v>0</v>
      </c>
    </row>
    <row r="1104" spans="1:18" x14ac:dyDescent="0.25">
      <c r="A1104">
        <v>1103</v>
      </c>
      <c r="B1104">
        <v>94</v>
      </c>
      <c r="C1104">
        <v>31517605</v>
      </c>
      <c r="D1104" t="s">
        <v>132</v>
      </c>
      <c r="E1104">
        <v>22.975000000000001</v>
      </c>
      <c r="F1104" t="s">
        <v>21</v>
      </c>
      <c r="G1104" t="s">
        <v>26</v>
      </c>
      <c r="H1104" t="s">
        <v>21</v>
      </c>
      <c r="I1104" t="s">
        <v>20</v>
      </c>
      <c r="J1104" t="s">
        <v>20</v>
      </c>
      <c r="K1104" t="s">
        <v>22</v>
      </c>
      <c r="L1104" t="s">
        <v>133</v>
      </c>
      <c r="M1104" t="s">
        <v>134</v>
      </c>
      <c r="N1104">
        <v>40.403675999999997</v>
      </c>
      <c r="O1104">
        <v>-109.81237299999999</v>
      </c>
      <c r="P1104">
        <v>5439.8099759999996</v>
      </c>
      <c r="Q1104">
        <v>1405</v>
      </c>
      <c r="R1104">
        <v>0</v>
      </c>
    </row>
    <row r="1105" spans="1:18" x14ac:dyDescent="0.25">
      <c r="A1105">
        <v>1104</v>
      </c>
      <c r="B1105">
        <v>94</v>
      </c>
      <c r="C1105">
        <v>31511564</v>
      </c>
      <c r="D1105" t="s">
        <v>292</v>
      </c>
      <c r="E1105">
        <v>20.945</v>
      </c>
      <c r="F1105" t="s">
        <v>21</v>
      </c>
      <c r="G1105" t="s">
        <v>26</v>
      </c>
      <c r="H1105" t="s">
        <v>21</v>
      </c>
      <c r="I1105" t="s">
        <v>20</v>
      </c>
      <c r="J1105" t="s">
        <v>20</v>
      </c>
      <c r="K1105" t="s">
        <v>22</v>
      </c>
      <c r="L1105" t="s">
        <v>253</v>
      </c>
      <c r="M1105" t="s">
        <v>134</v>
      </c>
      <c r="N1105">
        <v>40.359242000000002</v>
      </c>
      <c r="O1105">
        <v>-110.294144</v>
      </c>
      <c r="P1105">
        <v>6343.5835800000004</v>
      </c>
      <c r="Q1105">
        <v>323</v>
      </c>
      <c r="R1105">
        <v>0</v>
      </c>
    </row>
    <row r="1106" spans="1:18" x14ac:dyDescent="0.25">
      <c r="A1106">
        <v>1105</v>
      </c>
      <c r="B1106">
        <v>94</v>
      </c>
      <c r="C1106">
        <v>31434215</v>
      </c>
      <c r="D1106" t="s">
        <v>333</v>
      </c>
      <c r="E1106">
        <v>20.95</v>
      </c>
      <c r="F1106" t="s">
        <v>19</v>
      </c>
      <c r="G1106" t="s">
        <v>20</v>
      </c>
      <c r="H1106" t="s">
        <v>19</v>
      </c>
      <c r="I1106">
        <v>201</v>
      </c>
      <c r="J1106" t="s">
        <v>20</v>
      </c>
      <c r="K1106" t="s">
        <v>31</v>
      </c>
      <c r="L1106" t="s">
        <v>78</v>
      </c>
      <c r="M1106" t="s">
        <v>49</v>
      </c>
      <c r="N1106">
        <v>40.724662000000002</v>
      </c>
      <c r="O1106">
        <v>-111.98637100000001</v>
      </c>
      <c r="P1106">
        <v>4210.5565219999999</v>
      </c>
      <c r="Q1106">
        <v>1426</v>
      </c>
      <c r="R1106">
        <v>0</v>
      </c>
    </row>
    <row r="1107" spans="1:18" x14ac:dyDescent="0.25">
      <c r="A1107">
        <v>1106</v>
      </c>
      <c r="B1107">
        <v>94</v>
      </c>
      <c r="C1107">
        <v>31194298</v>
      </c>
      <c r="D1107" t="s">
        <v>395</v>
      </c>
      <c r="E1107">
        <v>6.3E-2</v>
      </c>
      <c r="F1107" t="s">
        <v>21</v>
      </c>
      <c r="G1107" t="s">
        <v>26</v>
      </c>
      <c r="H1107" t="s">
        <v>21</v>
      </c>
      <c r="I1107" t="s">
        <v>20</v>
      </c>
      <c r="J1107" t="s">
        <v>20</v>
      </c>
      <c r="K1107" t="s">
        <v>27</v>
      </c>
      <c r="L1107" t="s">
        <v>165</v>
      </c>
      <c r="M1107" t="s">
        <v>166</v>
      </c>
      <c r="N1107">
        <v>38.794854999999998</v>
      </c>
      <c r="O1107">
        <v>-112.43764400000001</v>
      </c>
      <c r="P1107">
        <v>4979.5942779999996</v>
      </c>
      <c r="Q1107">
        <v>335</v>
      </c>
      <c r="R1107">
        <v>0</v>
      </c>
    </row>
    <row r="1108" spans="1:18" x14ac:dyDescent="0.25">
      <c r="A1108">
        <v>1107</v>
      </c>
      <c r="B1108">
        <v>94</v>
      </c>
      <c r="C1108">
        <v>31253362</v>
      </c>
      <c r="D1108" t="s">
        <v>340</v>
      </c>
      <c r="E1108">
        <v>6.6000000000000003E-2</v>
      </c>
      <c r="F1108" t="s">
        <v>19</v>
      </c>
      <c r="G1108" t="s">
        <v>20</v>
      </c>
      <c r="H1108" t="s">
        <v>21</v>
      </c>
      <c r="I1108" t="s">
        <v>20</v>
      </c>
      <c r="J1108" t="s">
        <v>20</v>
      </c>
      <c r="K1108" t="s">
        <v>27</v>
      </c>
      <c r="L1108" t="s">
        <v>72</v>
      </c>
      <c r="M1108" t="s">
        <v>73</v>
      </c>
      <c r="N1108">
        <v>37.027738999999997</v>
      </c>
      <c r="O1108">
        <v>-113.605118</v>
      </c>
      <c r="P1108">
        <v>2524.351439</v>
      </c>
      <c r="Q1108">
        <v>6516</v>
      </c>
      <c r="R1108">
        <v>0</v>
      </c>
    </row>
    <row r="1109" spans="1:18" x14ac:dyDescent="0.25">
      <c r="A1109">
        <v>1108</v>
      </c>
      <c r="B1109">
        <v>94</v>
      </c>
      <c r="C1109">
        <v>31517352</v>
      </c>
      <c r="D1109" t="s">
        <v>396</v>
      </c>
      <c r="E1109">
        <v>6.6000000000000003E-2</v>
      </c>
      <c r="F1109" t="s">
        <v>21</v>
      </c>
      <c r="G1109" t="s">
        <v>361</v>
      </c>
      <c r="H1109" t="s">
        <v>21</v>
      </c>
      <c r="I1109" t="s">
        <v>20</v>
      </c>
      <c r="J1109" t="s">
        <v>20</v>
      </c>
      <c r="K1109" t="s">
        <v>41</v>
      </c>
      <c r="L1109" t="s">
        <v>255</v>
      </c>
      <c r="M1109" t="s">
        <v>138</v>
      </c>
      <c r="N1109">
        <v>41.138759</v>
      </c>
      <c r="O1109">
        <v>-111.828678</v>
      </c>
      <c r="P1109">
        <v>4796.0053049999997</v>
      </c>
      <c r="Q1109">
        <v>1434</v>
      </c>
      <c r="R1109">
        <v>0</v>
      </c>
    </row>
    <row r="1110" spans="1:18" x14ac:dyDescent="0.25">
      <c r="A1110">
        <v>1109</v>
      </c>
      <c r="B1110">
        <v>94</v>
      </c>
      <c r="C1110">
        <v>1078171</v>
      </c>
      <c r="D1110" t="s">
        <v>367</v>
      </c>
      <c r="E1110">
        <v>6.8000000000000005E-2</v>
      </c>
      <c r="F1110" t="s">
        <v>21</v>
      </c>
      <c r="G1110" t="s">
        <v>26</v>
      </c>
      <c r="H1110" t="s">
        <v>21</v>
      </c>
      <c r="I1110" t="s">
        <v>20</v>
      </c>
      <c r="J1110" t="s">
        <v>20</v>
      </c>
      <c r="K1110" t="s">
        <v>41</v>
      </c>
      <c r="L1110" t="s">
        <v>177</v>
      </c>
      <c r="M1110" t="s">
        <v>368</v>
      </c>
      <c r="N1110">
        <v>41.411057999999997</v>
      </c>
      <c r="O1110">
        <v>-112.051721</v>
      </c>
      <c r="P1110">
        <v>4186.7498299999997</v>
      </c>
      <c r="Q1110">
        <v>266</v>
      </c>
      <c r="R1110">
        <v>0</v>
      </c>
    </row>
    <row r="1111" spans="1:18" x14ac:dyDescent="0.25">
      <c r="A1111">
        <v>1110</v>
      </c>
      <c r="B1111">
        <v>94</v>
      </c>
      <c r="C1111">
        <v>31764085</v>
      </c>
      <c r="D1111" t="s">
        <v>312</v>
      </c>
      <c r="E1111">
        <v>6.9000000000000006E-2</v>
      </c>
      <c r="F1111" t="s">
        <v>21</v>
      </c>
      <c r="G1111" t="s">
        <v>26</v>
      </c>
      <c r="H1111" t="s">
        <v>21</v>
      </c>
      <c r="I1111" t="s">
        <v>20</v>
      </c>
      <c r="J1111" t="s">
        <v>20</v>
      </c>
      <c r="K1111" t="s">
        <v>27</v>
      </c>
      <c r="L1111" t="s">
        <v>143</v>
      </c>
      <c r="M1111" t="s">
        <v>313</v>
      </c>
      <c r="N1111">
        <v>38.398066999999998</v>
      </c>
      <c r="O1111">
        <v>-113.01059100000001</v>
      </c>
      <c r="P1111">
        <v>4898.0351620000001</v>
      </c>
      <c r="Q1111">
        <v>255</v>
      </c>
      <c r="R1111">
        <v>0</v>
      </c>
    </row>
    <row r="1112" spans="1:18" x14ac:dyDescent="0.25">
      <c r="A1112">
        <v>1111</v>
      </c>
      <c r="B1112">
        <v>94</v>
      </c>
      <c r="C1112">
        <v>31499903</v>
      </c>
      <c r="D1112" t="s">
        <v>292</v>
      </c>
      <c r="E1112">
        <v>6.9000000000000006E-2</v>
      </c>
      <c r="F1112" t="s">
        <v>21</v>
      </c>
      <c r="G1112" t="s">
        <v>26</v>
      </c>
      <c r="H1112" t="s">
        <v>21</v>
      </c>
      <c r="I1112" t="s">
        <v>20</v>
      </c>
      <c r="J1112" t="s">
        <v>20</v>
      </c>
      <c r="K1112" t="s">
        <v>22</v>
      </c>
      <c r="L1112" t="s">
        <v>253</v>
      </c>
      <c r="M1112" t="s">
        <v>134</v>
      </c>
      <c r="N1112">
        <v>40.164540000000002</v>
      </c>
      <c r="O1112">
        <v>-110.401353</v>
      </c>
      <c r="P1112">
        <v>5461.0489319999997</v>
      </c>
      <c r="Q1112">
        <v>323</v>
      </c>
      <c r="R1112">
        <v>0</v>
      </c>
    </row>
    <row r="1113" spans="1:18" x14ac:dyDescent="0.25">
      <c r="A1113">
        <v>1112</v>
      </c>
      <c r="B1113">
        <v>94</v>
      </c>
      <c r="C1113">
        <v>1366824</v>
      </c>
      <c r="D1113" t="s">
        <v>100</v>
      </c>
      <c r="E1113">
        <v>7.3999999999999996E-2</v>
      </c>
      <c r="F1113" t="s">
        <v>19</v>
      </c>
      <c r="G1113" t="s">
        <v>20</v>
      </c>
      <c r="H1113" t="s">
        <v>21</v>
      </c>
      <c r="I1113" t="s">
        <v>20</v>
      </c>
      <c r="J1113" t="s">
        <v>20</v>
      </c>
      <c r="K1113" t="s">
        <v>41</v>
      </c>
      <c r="L1113" t="s">
        <v>57</v>
      </c>
      <c r="M1113" t="s">
        <v>46</v>
      </c>
      <c r="N1113">
        <v>41.089236999999997</v>
      </c>
      <c r="O1113">
        <v>-111.98922899999999</v>
      </c>
      <c r="P1113">
        <v>4441.1782000000003</v>
      </c>
      <c r="Q1113">
        <v>1396</v>
      </c>
      <c r="R1113">
        <v>0</v>
      </c>
    </row>
    <row r="1114" spans="1:18" x14ac:dyDescent="0.25">
      <c r="A1114">
        <v>1113</v>
      </c>
      <c r="B1114">
        <v>94</v>
      </c>
      <c r="C1114">
        <v>31387516</v>
      </c>
      <c r="D1114" t="s">
        <v>364</v>
      </c>
      <c r="E1114">
        <v>7.4999999999999997E-2</v>
      </c>
      <c r="F1114" t="s">
        <v>21</v>
      </c>
      <c r="G1114" t="s">
        <v>26</v>
      </c>
      <c r="H1114" t="s">
        <v>21</v>
      </c>
      <c r="I1114" t="s">
        <v>20</v>
      </c>
      <c r="J1114" t="s">
        <v>20</v>
      </c>
      <c r="K1114" t="s">
        <v>22</v>
      </c>
      <c r="L1114" t="s">
        <v>198</v>
      </c>
      <c r="M1114" t="s">
        <v>85</v>
      </c>
      <c r="N1114">
        <v>40.045752</v>
      </c>
      <c r="O1114">
        <v>-111.732277</v>
      </c>
      <c r="P1114">
        <v>4587.1537719999997</v>
      </c>
      <c r="Q1114">
        <v>1401</v>
      </c>
      <c r="R1114">
        <v>0</v>
      </c>
    </row>
    <row r="1115" spans="1:18" x14ac:dyDescent="0.25">
      <c r="A1115">
        <v>1114</v>
      </c>
      <c r="B1115">
        <v>94</v>
      </c>
      <c r="C1115">
        <v>979573</v>
      </c>
      <c r="D1115" t="s">
        <v>397</v>
      </c>
      <c r="E1115">
        <v>7.4999999999999997E-2</v>
      </c>
      <c r="F1115" t="s">
        <v>21</v>
      </c>
      <c r="G1115" t="s">
        <v>26</v>
      </c>
      <c r="H1115" t="s">
        <v>21</v>
      </c>
      <c r="I1115" t="s">
        <v>20</v>
      </c>
      <c r="J1115" t="s">
        <v>20</v>
      </c>
      <c r="K1115" t="s">
        <v>41</v>
      </c>
      <c r="L1115" t="s">
        <v>177</v>
      </c>
      <c r="M1115" t="s">
        <v>163</v>
      </c>
      <c r="N1115">
        <v>41.506062</v>
      </c>
      <c r="O1115">
        <v>-112.014276</v>
      </c>
      <c r="P1115">
        <v>4413.8965099999996</v>
      </c>
      <c r="Q1115">
        <v>1385</v>
      </c>
      <c r="R1115">
        <v>0</v>
      </c>
    </row>
    <row r="1116" spans="1:18" x14ac:dyDescent="0.25">
      <c r="A1116">
        <v>1115</v>
      </c>
      <c r="B1116">
        <v>94</v>
      </c>
      <c r="C1116">
        <v>31404586</v>
      </c>
      <c r="D1116" t="s">
        <v>74</v>
      </c>
      <c r="E1116">
        <v>7.5999999999999998E-2</v>
      </c>
      <c r="F1116" t="s">
        <v>21</v>
      </c>
      <c r="G1116" t="s">
        <v>26</v>
      </c>
      <c r="H1116" t="s">
        <v>21</v>
      </c>
      <c r="I1116" t="s">
        <v>20</v>
      </c>
      <c r="J1116" t="s">
        <v>20</v>
      </c>
      <c r="K1116" t="s">
        <v>27</v>
      </c>
      <c r="L1116" t="s">
        <v>75</v>
      </c>
      <c r="M1116" t="s">
        <v>76</v>
      </c>
      <c r="N1116">
        <v>38.750067000000001</v>
      </c>
      <c r="O1116">
        <v>-112.105076</v>
      </c>
      <c r="P1116">
        <v>5273.3175099999999</v>
      </c>
      <c r="Q1116">
        <v>332</v>
      </c>
      <c r="R1116">
        <v>0</v>
      </c>
    </row>
    <row r="1117" spans="1:18" x14ac:dyDescent="0.25">
      <c r="A1117">
        <v>1116</v>
      </c>
      <c r="B1117">
        <v>94</v>
      </c>
      <c r="C1117" t="e">
        <f>-JPvUy6LFmiYXODToeEc0V</f>
        <v>#NAME?</v>
      </c>
      <c r="D1117" t="s">
        <v>398</v>
      </c>
      <c r="E1117">
        <v>7.6999999999999999E-2</v>
      </c>
      <c r="F1117" t="s">
        <v>21</v>
      </c>
      <c r="G1117" t="s">
        <v>26</v>
      </c>
      <c r="H1117" t="s">
        <v>21</v>
      </c>
      <c r="I1117" t="s">
        <v>20</v>
      </c>
      <c r="J1117" t="s">
        <v>20</v>
      </c>
      <c r="K1117" t="s">
        <v>27</v>
      </c>
      <c r="L1117" t="s">
        <v>72</v>
      </c>
      <c r="M1117" t="s">
        <v>125</v>
      </c>
      <c r="N1117">
        <v>37.405434999999997</v>
      </c>
      <c r="O1117">
        <v>-113.238472</v>
      </c>
      <c r="P1117">
        <v>4729.9431359999999</v>
      </c>
      <c r="Q1117">
        <v>6661</v>
      </c>
      <c r="R1117">
        <v>0</v>
      </c>
    </row>
    <row r="1118" spans="1:18" x14ac:dyDescent="0.25">
      <c r="A1118">
        <v>1117</v>
      </c>
      <c r="B1118">
        <v>94</v>
      </c>
      <c r="C1118">
        <v>31394482</v>
      </c>
      <c r="D1118" t="s">
        <v>399</v>
      </c>
      <c r="E1118">
        <v>7.8E-2</v>
      </c>
      <c r="F1118" t="s">
        <v>21</v>
      </c>
      <c r="G1118" t="s">
        <v>26</v>
      </c>
      <c r="H1118" t="s">
        <v>19</v>
      </c>
      <c r="I1118">
        <v>70</v>
      </c>
      <c r="J1118" t="s">
        <v>20</v>
      </c>
      <c r="K1118" t="s">
        <v>27</v>
      </c>
      <c r="L1118" t="s">
        <v>400</v>
      </c>
      <c r="M1118" t="s">
        <v>166</v>
      </c>
      <c r="N1118">
        <v>38.587443</v>
      </c>
      <c r="O1118">
        <v>-112.584631</v>
      </c>
      <c r="P1118">
        <v>5914.9922560000005</v>
      </c>
      <c r="Q1118">
        <v>1431</v>
      </c>
      <c r="R1118">
        <v>0</v>
      </c>
    </row>
    <row r="1119" spans="1:18" x14ac:dyDescent="0.25">
      <c r="A1119">
        <v>1118</v>
      </c>
      <c r="B1119">
        <v>94</v>
      </c>
      <c r="C1119">
        <v>27336445</v>
      </c>
      <c r="D1119" t="s">
        <v>185</v>
      </c>
      <c r="E1119">
        <v>7.8E-2</v>
      </c>
      <c r="F1119" t="s">
        <v>21</v>
      </c>
      <c r="G1119" t="s">
        <v>26</v>
      </c>
      <c r="H1119" t="s">
        <v>21</v>
      </c>
      <c r="I1119" t="s">
        <v>20</v>
      </c>
      <c r="J1119" t="s">
        <v>20</v>
      </c>
      <c r="K1119" t="s">
        <v>41</v>
      </c>
      <c r="L1119" t="s">
        <v>57</v>
      </c>
      <c r="M1119" t="s">
        <v>58</v>
      </c>
      <c r="N1119">
        <v>41.139870999999999</v>
      </c>
      <c r="O1119">
        <v>-112.02754</v>
      </c>
      <c r="P1119">
        <v>4487.6701750000002</v>
      </c>
      <c r="Q1119">
        <v>309</v>
      </c>
      <c r="R1119">
        <v>0</v>
      </c>
    </row>
    <row r="1120" spans="1:18" x14ac:dyDescent="0.25">
      <c r="A1120">
        <v>1119</v>
      </c>
      <c r="B1120">
        <v>94</v>
      </c>
      <c r="C1120">
        <v>31546823</v>
      </c>
      <c r="D1120" t="s">
        <v>401</v>
      </c>
      <c r="E1120">
        <v>7.9000000000000001E-2</v>
      </c>
      <c r="F1120" t="s">
        <v>19</v>
      </c>
      <c r="G1120" t="s">
        <v>20</v>
      </c>
      <c r="H1120" t="s">
        <v>21</v>
      </c>
      <c r="I1120" t="s">
        <v>20</v>
      </c>
      <c r="J1120" t="s">
        <v>20</v>
      </c>
      <c r="K1120" t="s">
        <v>41</v>
      </c>
      <c r="L1120" t="s">
        <v>57</v>
      </c>
      <c r="M1120" t="s">
        <v>58</v>
      </c>
      <c r="N1120">
        <v>41.123173999999999</v>
      </c>
      <c r="O1120">
        <v>-112.024405</v>
      </c>
      <c r="P1120">
        <v>4514.8804520000003</v>
      </c>
      <c r="Q1120">
        <v>327</v>
      </c>
      <c r="R1120">
        <v>0</v>
      </c>
    </row>
    <row r="1121" spans="1:18" x14ac:dyDescent="0.25">
      <c r="A1121">
        <v>1120</v>
      </c>
      <c r="B1121">
        <v>94</v>
      </c>
      <c r="C1121">
        <v>31834201</v>
      </c>
      <c r="D1121" t="s">
        <v>161</v>
      </c>
      <c r="E1121">
        <v>0.39700000000000002</v>
      </c>
      <c r="F1121" t="s">
        <v>21</v>
      </c>
      <c r="G1121" t="s">
        <v>26</v>
      </c>
      <c r="H1121" t="s">
        <v>21</v>
      </c>
      <c r="I1121" t="s">
        <v>20</v>
      </c>
      <c r="J1121" t="s">
        <v>20</v>
      </c>
      <c r="K1121" t="s">
        <v>27</v>
      </c>
      <c r="L1121" t="s">
        <v>162</v>
      </c>
      <c r="M1121" t="s">
        <v>163</v>
      </c>
      <c r="N1121">
        <v>37.57347</v>
      </c>
      <c r="O1121">
        <v>-113.727733</v>
      </c>
      <c r="P1121">
        <v>5248.7167360000003</v>
      </c>
      <c r="Q1121">
        <v>419</v>
      </c>
      <c r="R1121">
        <v>0</v>
      </c>
    </row>
    <row r="1122" spans="1:18" x14ac:dyDescent="0.25">
      <c r="A1122">
        <v>1121</v>
      </c>
      <c r="B1122">
        <v>94</v>
      </c>
      <c r="C1122">
        <v>31631235</v>
      </c>
      <c r="D1122" t="s">
        <v>402</v>
      </c>
      <c r="E1122">
        <v>0.39700000000000002</v>
      </c>
      <c r="F1122" t="s">
        <v>21</v>
      </c>
      <c r="G1122" t="s">
        <v>26</v>
      </c>
      <c r="H1122" t="s">
        <v>21</v>
      </c>
      <c r="I1122" t="s">
        <v>20</v>
      </c>
      <c r="J1122" t="s">
        <v>20</v>
      </c>
      <c r="K1122" t="s">
        <v>27</v>
      </c>
      <c r="L1122" t="s">
        <v>350</v>
      </c>
      <c r="M1122" t="s">
        <v>58</v>
      </c>
      <c r="N1122">
        <v>39.361609999999999</v>
      </c>
      <c r="O1122">
        <v>-111.579447</v>
      </c>
      <c r="P1122">
        <v>5503.6330580000003</v>
      </c>
      <c r="Q1122">
        <v>438</v>
      </c>
      <c r="R1122">
        <v>0</v>
      </c>
    </row>
    <row r="1123" spans="1:18" x14ac:dyDescent="0.25">
      <c r="A1123">
        <v>1122</v>
      </c>
      <c r="B1123">
        <v>94</v>
      </c>
      <c r="C1123" t="e">
        <f>-JPA9pVGIzyxj_R9mGnOLk</f>
        <v>#NAME?</v>
      </c>
      <c r="D1123" t="s">
        <v>228</v>
      </c>
      <c r="E1123">
        <v>0.40100000000000002</v>
      </c>
      <c r="F1123" t="s">
        <v>21</v>
      </c>
      <c r="G1123" t="s">
        <v>26</v>
      </c>
      <c r="H1123" t="s">
        <v>21</v>
      </c>
      <c r="I1123" t="s">
        <v>20</v>
      </c>
      <c r="J1123" t="s">
        <v>20</v>
      </c>
      <c r="K1123" t="s">
        <v>22</v>
      </c>
      <c r="L1123" t="s">
        <v>155</v>
      </c>
      <c r="M1123" t="s">
        <v>76</v>
      </c>
      <c r="N1123">
        <v>39.482475000000001</v>
      </c>
      <c r="O1123">
        <v>-111.97627900000001</v>
      </c>
      <c r="P1123">
        <v>4992.9071519999998</v>
      </c>
      <c r="Q1123">
        <v>320</v>
      </c>
      <c r="R1123">
        <v>0</v>
      </c>
    </row>
    <row r="1124" spans="1:18" x14ac:dyDescent="0.25">
      <c r="A1124">
        <v>1123</v>
      </c>
      <c r="B1124">
        <v>94</v>
      </c>
      <c r="C1124">
        <v>31387538</v>
      </c>
      <c r="D1124" t="s">
        <v>364</v>
      </c>
      <c r="E1124">
        <v>0.40100000000000002</v>
      </c>
      <c r="F1124" t="s">
        <v>21</v>
      </c>
      <c r="G1124" t="s">
        <v>26</v>
      </c>
      <c r="H1124" t="s">
        <v>21</v>
      </c>
      <c r="I1124" t="s">
        <v>20</v>
      </c>
      <c r="J1124" t="s">
        <v>20</v>
      </c>
      <c r="K1124" t="s">
        <v>22</v>
      </c>
      <c r="L1124" t="s">
        <v>198</v>
      </c>
      <c r="M1124" t="s">
        <v>85</v>
      </c>
      <c r="N1124">
        <v>40.050491000000001</v>
      </c>
      <c r="O1124">
        <v>-111.732271</v>
      </c>
      <c r="P1124">
        <v>4557.3189780000002</v>
      </c>
      <c r="Q1124">
        <v>1401</v>
      </c>
      <c r="R1124">
        <v>0</v>
      </c>
    </row>
    <row r="1125" spans="1:18" x14ac:dyDescent="0.25">
      <c r="A1125">
        <v>1124</v>
      </c>
      <c r="B1125">
        <v>94</v>
      </c>
      <c r="C1125">
        <v>31760964</v>
      </c>
      <c r="D1125" t="s">
        <v>86</v>
      </c>
      <c r="E1125">
        <v>0.40200000000000002</v>
      </c>
      <c r="F1125" t="s">
        <v>21</v>
      </c>
      <c r="G1125" t="s">
        <v>26</v>
      </c>
      <c r="H1125" t="s">
        <v>21</v>
      </c>
      <c r="I1125" t="s">
        <v>20</v>
      </c>
      <c r="J1125" t="s">
        <v>20</v>
      </c>
      <c r="K1125" t="s">
        <v>41</v>
      </c>
      <c r="L1125" t="s">
        <v>87</v>
      </c>
      <c r="M1125" t="s">
        <v>58</v>
      </c>
      <c r="N1125">
        <v>41.015070999999999</v>
      </c>
      <c r="O1125">
        <v>-111.916827</v>
      </c>
      <c r="P1125">
        <v>4337.5018609999997</v>
      </c>
      <c r="Q1125">
        <v>258</v>
      </c>
      <c r="R1125">
        <v>0</v>
      </c>
    </row>
    <row r="1126" spans="1:18" x14ac:dyDescent="0.25">
      <c r="A1126">
        <v>1125</v>
      </c>
      <c r="B1126">
        <v>94</v>
      </c>
      <c r="C1126">
        <v>979601</v>
      </c>
      <c r="D1126" t="s">
        <v>397</v>
      </c>
      <c r="E1126">
        <v>0.40300000000000002</v>
      </c>
      <c r="F1126" t="s">
        <v>21</v>
      </c>
      <c r="G1126" t="s">
        <v>26</v>
      </c>
      <c r="H1126" t="s">
        <v>21</v>
      </c>
      <c r="I1126" t="s">
        <v>20</v>
      </c>
      <c r="J1126" t="s">
        <v>20</v>
      </c>
      <c r="K1126" t="s">
        <v>41</v>
      </c>
      <c r="L1126" t="s">
        <v>177</v>
      </c>
      <c r="M1126" t="s">
        <v>163</v>
      </c>
      <c r="N1126">
        <v>41.505985000000003</v>
      </c>
      <c r="O1126">
        <v>-112.007975</v>
      </c>
      <c r="P1126">
        <v>4455.4462700000004</v>
      </c>
      <c r="Q1126">
        <v>1385</v>
      </c>
      <c r="R1126">
        <v>0</v>
      </c>
    </row>
    <row r="1127" spans="1:18" x14ac:dyDescent="0.25">
      <c r="A1127">
        <v>1126</v>
      </c>
      <c r="B1127">
        <v>94</v>
      </c>
      <c r="C1127">
        <v>31363128</v>
      </c>
      <c r="D1127" t="s">
        <v>343</v>
      </c>
      <c r="E1127">
        <v>0.40300000000000002</v>
      </c>
      <c r="F1127" t="s">
        <v>21</v>
      </c>
      <c r="G1127" t="s">
        <v>26</v>
      </c>
      <c r="H1127" t="s">
        <v>21</v>
      </c>
      <c r="I1127" t="s">
        <v>20</v>
      </c>
      <c r="J1127" t="s">
        <v>20</v>
      </c>
      <c r="K1127" t="s">
        <v>27</v>
      </c>
      <c r="L1127" t="s">
        <v>230</v>
      </c>
      <c r="M1127" t="s">
        <v>82</v>
      </c>
      <c r="N1127">
        <v>39.524890999999997</v>
      </c>
      <c r="O1127">
        <v>-111.568701</v>
      </c>
      <c r="P1127">
        <v>5504.371271</v>
      </c>
      <c r="Q1127">
        <v>1402</v>
      </c>
      <c r="R1127">
        <v>0</v>
      </c>
    </row>
    <row r="1128" spans="1:18" x14ac:dyDescent="0.25">
      <c r="A1128">
        <v>1127</v>
      </c>
      <c r="B1128">
        <v>94</v>
      </c>
      <c r="C1128" t="e">
        <f>-JdY4A9rFE9ohbiD3a7olF</f>
        <v>#NAME?</v>
      </c>
      <c r="D1128" t="s">
        <v>403</v>
      </c>
      <c r="E1128">
        <v>0.40400000000000003</v>
      </c>
      <c r="F1128" t="s">
        <v>19</v>
      </c>
      <c r="G1128" t="s">
        <v>20</v>
      </c>
      <c r="H1128" t="s">
        <v>21</v>
      </c>
      <c r="I1128" t="s">
        <v>20</v>
      </c>
      <c r="J1128" t="s">
        <v>20</v>
      </c>
      <c r="K1128" t="s">
        <v>27</v>
      </c>
      <c r="L1128" t="s">
        <v>72</v>
      </c>
      <c r="M1128" t="s">
        <v>73</v>
      </c>
      <c r="N1128">
        <v>37.122709</v>
      </c>
      <c r="O1128">
        <v>-113.616258</v>
      </c>
      <c r="P1128">
        <v>2732.0271819999998</v>
      </c>
      <c r="Q1128">
        <v>303</v>
      </c>
      <c r="R1128">
        <v>0</v>
      </c>
    </row>
    <row r="1129" spans="1:18" x14ac:dyDescent="0.25">
      <c r="A1129">
        <v>1128</v>
      </c>
      <c r="B1129">
        <v>94</v>
      </c>
      <c r="C1129">
        <v>31764279</v>
      </c>
      <c r="D1129" t="s">
        <v>312</v>
      </c>
      <c r="E1129">
        <v>0.40600000000000003</v>
      </c>
      <c r="F1129" t="s">
        <v>21</v>
      </c>
      <c r="G1129" t="s">
        <v>26</v>
      </c>
      <c r="H1129" t="s">
        <v>21</v>
      </c>
      <c r="I1129" t="s">
        <v>20</v>
      </c>
      <c r="J1129" t="s">
        <v>20</v>
      </c>
      <c r="K1129" t="s">
        <v>27</v>
      </c>
      <c r="L1129" t="s">
        <v>143</v>
      </c>
      <c r="M1129" t="s">
        <v>313</v>
      </c>
      <c r="N1129">
        <v>38.402907999999996</v>
      </c>
      <c r="O1129">
        <v>-113.009855</v>
      </c>
      <c r="P1129">
        <v>4926.6400130000002</v>
      </c>
      <c r="Q1129">
        <v>255</v>
      </c>
      <c r="R1129">
        <v>0</v>
      </c>
    </row>
    <row r="1130" spans="1:18" x14ac:dyDescent="0.25">
      <c r="A1130">
        <v>1129</v>
      </c>
      <c r="B1130">
        <v>94</v>
      </c>
      <c r="C1130">
        <v>31757711</v>
      </c>
      <c r="D1130" t="s">
        <v>105</v>
      </c>
      <c r="E1130">
        <v>0.40600000000000003</v>
      </c>
      <c r="F1130" t="s">
        <v>21</v>
      </c>
      <c r="G1130" t="s">
        <v>26</v>
      </c>
      <c r="H1130" t="s">
        <v>21</v>
      </c>
      <c r="I1130" t="s">
        <v>20</v>
      </c>
      <c r="J1130" t="s">
        <v>20</v>
      </c>
      <c r="K1130" t="s">
        <v>27</v>
      </c>
      <c r="L1130" t="s">
        <v>51</v>
      </c>
      <c r="M1130" t="s">
        <v>106</v>
      </c>
      <c r="N1130">
        <v>37.854407999999999</v>
      </c>
      <c r="O1130">
        <v>-112.82184100000001</v>
      </c>
      <c r="P1130">
        <v>5867.2021430000004</v>
      </c>
      <c r="Q1130">
        <v>432</v>
      </c>
      <c r="R1130">
        <v>0</v>
      </c>
    </row>
    <row r="1131" spans="1:18" x14ac:dyDescent="0.25">
      <c r="A1131">
        <v>1130</v>
      </c>
      <c r="B1131">
        <v>94</v>
      </c>
      <c r="C1131" t="e">
        <f>-JNSBd9AF-PWueXci50GXV</f>
        <v>#NAME?</v>
      </c>
      <c r="D1131" t="s">
        <v>404</v>
      </c>
      <c r="E1131">
        <v>0.40699999999999997</v>
      </c>
      <c r="F1131" t="s">
        <v>21</v>
      </c>
      <c r="G1131" t="s">
        <v>20</v>
      </c>
      <c r="H1131" t="s">
        <v>21</v>
      </c>
      <c r="I1131" t="s">
        <v>20</v>
      </c>
      <c r="J1131" t="s">
        <v>20</v>
      </c>
      <c r="K1131" t="s">
        <v>27</v>
      </c>
      <c r="L1131" t="s">
        <v>405</v>
      </c>
      <c r="M1131" t="s">
        <v>238</v>
      </c>
      <c r="N1131">
        <v>38.965680999999996</v>
      </c>
      <c r="O1131">
        <v>-109.72019</v>
      </c>
      <c r="P1131">
        <v>5034.5184920000002</v>
      </c>
      <c r="Q1131">
        <v>325</v>
      </c>
      <c r="R1131">
        <v>0</v>
      </c>
    </row>
    <row r="1132" spans="1:18" x14ac:dyDescent="0.25">
      <c r="A1132">
        <v>1131</v>
      </c>
      <c r="B1132">
        <v>94</v>
      </c>
      <c r="C1132" t="e">
        <f>-JP_DhmgFqeN6Sr80O2wrk</f>
        <v>#NAME?</v>
      </c>
      <c r="D1132" t="s">
        <v>68</v>
      </c>
      <c r="E1132">
        <v>0.40699999999999997</v>
      </c>
      <c r="F1132" t="s">
        <v>21</v>
      </c>
      <c r="G1132" t="s">
        <v>26</v>
      </c>
      <c r="H1132" t="s">
        <v>21</v>
      </c>
      <c r="I1132" t="s">
        <v>20</v>
      </c>
      <c r="J1132" t="s">
        <v>20</v>
      </c>
      <c r="K1132" t="s">
        <v>31</v>
      </c>
      <c r="L1132" t="s">
        <v>69</v>
      </c>
      <c r="M1132" t="s">
        <v>70</v>
      </c>
      <c r="N1132">
        <v>40.667648</v>
      </c>
      <c r="O1132">
        <v>-111.946093</v>
      </c>
      <c r="P1132">
        <v>4247.7668540000004</v>
      </c>
      <c r="Q1132">
        <v>431</v>
      </c>
      <c r="R1132">
        <v>0</v>
      </c>
    </row>
    <row r="1133" spans="1:18" x14ac:dyDescent="0.25">
      <c r="A1133">
        <v>1132</v>
      </c>
      <c r="B1133">
        <v>94</v>
      </c>
      <c r="C1133" t="e">
        <f>-JRHdnWvGLmyv9d4pyWtwk</f>
        <v>#NAME?</v>
      </c>
      <c r="D1133" t="s">
        <v>406</v>
      </c>
      <c r="E1133">
        <v>0.40799999999999997</v>
      </c>
      <c r="F1133" t="s">
        <v>21</v>
      </c>
      <c r="G1133" t="s">
        <v>26</v>
      </c>
      <c r="H1133" t="s">
        <v>21</v>
      </c>
      <c r="I1133" t="s">
        <v>20</v>
      </c>
      <c r="J1133" t="s">
        <v>20</v>
      </c>
      <c r="K1133" t="s">
        <v>27</v>
      </c>
      <c r="L1133" t="s">
        <v>242</v>
      </c>
      <c r="M1133" t="s">
        <v>152</v>
      </c>
      <c r="N1133">
        <v>38.856976000000003</v>
      </c>
      <c r="O1133">
        <v>-110.913516</v>
      </c>
      <c r="P1133">
        <v>7018.0566410000001</v>
      </c>
      <c r="Q1133">
        <v>1370</v>
      </c>
      <c r="R1133">
        <v>0</v>
      </c>
    </row>
    <row r="1134" spans="1:18" x14ac:dyDescent="0.25">
      <c r="A1134">
        <v>1133</v>
      </c>
      <c r="B1134">
        <v>94</v>
      </c>
      <c r="C1134" t="s">
        <v>407</v>
      </c>
      <c r="D1134" t="s">
        <v>336</v>
      </c>
      <c r="E1134">
        <v>0.41</v>
      </c>
      <c r="F1134" t="s">
        <v>21</v>
      </c>
      <c r="G1134" t="s">
        <v>20</v>
      </c>
      <c r="H1134" t="s">
        <v>21</v>
      </c>
      <c r="I1134" t="s">
        <v>20</v>
      </c>
      <c r="J1134" t="s">
        <v>20</v>
      </c>
      <c r="K1134" t="s">
        <v>31</v>
      </c>
      <c r="L1134" t="s">
        <v>32</v>
      </c>
      <c r="M1134" t="s">
        <v>33</v>
      </c>
      <c r="N1134">
        <v>40.635401000000002</v>
      </c>
      <c r="O1134">
        <v>-111.803314</v>
      </c>
      <c r="P1134">
        <v>4657.5546569999997</v>
      </c>
      <c r="Q1134">
        <v>404</v>
      </c>
      <c r="R1134">
        <v>0</v>
      </c>
    </row>
    <row r="1135" spans="1:18" x14ac:dyDescent="0.25">
      <c r="A1135">
        <v>1134</v>
      </c>
      <c r="B1135">
        <v>94</v>
      </c>
      <c r="C1135">
        <v>31289297</v>
      </c>
      <c r="D1135" t="s">
        <v>308</v>
      </c>
      <c r="E1135">
        <v>0.41</v>
      </c>
      <c r="F1135" t="s">
        <v>21</v>
      </c>
      <c r="G1135" t="s">
        <v>26</v>
      </c>
      <c r="H1135" t="s">
        <v>21</v>
      </c>
      <c r="I1135" t="s">
        <v>20</v>
      </c>
      <c r="J1135" t="s">
        <v>20</v>
      </c>
      <c r="K1135" t="s">
        <v>27</v>
      </c>
      <c r="L1135" t="s">
        <v>230</v>
      </c>
      <c r="M1135" t="s">
        <v>82</v>
      </c>
      <c r="N1135">
        <v>39.634386999999997</v>
      </c>
      <c r="O1135">
        <v>-111.433207</v>
      </c>
      <c r="P1135">
        <v>6004.1028770000003</v>
      </c>
      <c r="Q1135">
        <v>1344</v>
      </c>
      <c r="R1135">
        <v>0</v>
      </c>
    </row>
    <row r="1136" spans="1:18" x14ac:dyDescent="0.25">
      <c r="A1136">
        <v>1135</v>
      </c>
      <c r="B1136">
        <v>94</v>
      </c>
      <c r="C1136">
        <v>31778412</v>
      </c>
      <c r="D1136" t="s">
        <v>272</v>
      </c>
      <c r="E1136">
        <v>0.41</v>
      </c>
      <c r="F1136" t="s">
        <v>21</v>
      </c>
      <c r="G1136" t="s">
        <v>26</v>
      </c>
      <c r="H1136" t="s">
        <v>21</v>
      </c>
      <c r="I1136" t="s">
        <v>20</v>
      </c>
      <c r="J1136" t="s">
        <v>20</v>
      </c>
      <c r="K1136" t="s">
        <v>27</v>
      </c>
      <c r="L1136" t="s">
        <v>259</v>
      </c>
      <c r="M1136" t="s">
        <v>214</v>
      </c>
      <c r="N1136">
        <v>37.006005999999999</v>
      </c>
      <c r="O1136">
        <v>-111.577656</v>
      </c>
      <c r="P1136">
        <v>3881.9061280000001</v>
      </c>
      <c r="Q1136">
        <v>1384</v>
      </c>
      <c r="R1136">
        <v>0</v>
      </c>
    </row>
    <row r="1137" spans="1:18" x14ac:dyDescent="0.25">
      <c r="A1137">
        <v>1136</v>
      </c>
      <c r="B1137">
        <v>94</v>
      </c>
      <c r="C1137">
        <v>31513023</v>
      </c>
      <c r="D1137" t="s">
        <v>231</v>
      </c>
      <c r="E1137">
        <v>0.41199999999999998</v>
      </c>
      <c r="F1137" t="s">
        <v>21</v>
      </c>
      <c r="G1137" t="s">
        <v>26</v>
      </c>
      <c r="H1137" t="s">
        <v>21</v>
      </c>
      <c r="I1137" t="s">
        <v>20</v>
      </c>
      <c r="J1137" t="s">
        <v>20</v>
      </c>
      <c r="K1137" t="s">
        <v>41</v>
      </c>
      <c r="L1137" t="s">
        <v>57</v>
      </c>
      <c r="M1137" t="s">
        <v>93</v>
      </c>
      <c r="N1137">
        <v>41.057381999999997</v>
      </c>
      <c r="O1137">
        <v>-111.96442500000001</v>
      </c>
      <c r="P1137">
        <v>4292.4539409999998</v>
      </c>
      <c r="Q1137">
        <v>1409</v>
      </c>
      <c r="R1137">
        <v>0</v>
      </c>
    </row>
    <row r="1138" spans="1:18" x14ac:dyDescent="0.25">
      <c r="A1138">
        <v>1137</v>
      </c>
      <c r="B1138">
        <v>94</v>
      </c>
      <c r="C1138">
        <v>2520135</v>
      </c>
      <c r="D1138" t="s">
        <v>176</v>
      </c>
      <c r="E1138">
        <v>0.41199999999999998</v>
      </c>
      <c r="F1138" t="s">
        <v>21</v>
      </c>
      <c r="G1138" t="s">
        <v>26</v>
      </c>
      <c r="H1138" t="s">
        <v>21</v>
      </c>
      <c r="I1138" t="s">
        <v>20</v>
      </c>
      <c r="J1138" t="s">
        <v>20</v>
      </c>
      <c r="K1138" t="s">
        <v>41</v>
      </c>
      <c r="L1138" t="s">
        <v>177</v>
      </c>
      <c r="M1138" t="s">
        <v>178</v>
      </c>
      <c r="N1138">
        <v>41.492558000000002</v>
      </c>
      <c r="O1138">
        <v>-112.016121</v>
      </c>
      <c r="P1138">
        <v>4317.0131279999996</v>
      </c>
      <c r="Q1138">
        <v>1329</v>
      </c>
      <c r="R1138">
        <v>0</v>
      </c>
    </row>
    <row r="1139" spans="1:18" x14ac:dyDescent="0.25">
      <c r="A1139">
        <v>1138</v>
      </c>
      <c r="B1139">
        <v>94</v>
      </c>
      <c r="C1139">
        <v>27864439</v>
      </c>
      <c r="D1139" t="s">
        <v>91</v>
      </c>
      <c r="E1139">
        <v>0.41299999999999998</v>
      </c>
      <c r="F1139" t="s">
        <v>21</v>
      </c>
      <c r="G1139" t="s">
        <v>26</v>
      </c>
      <c r="H1139" t="s">
        <v>21</v>
      </c>
      <c r="I1139" t="s">
        <v>20</v>
      </c>
      <c r="J1139" t="s">
        <v>20</v>
      </c>
      <c r="K1139" t="s">
        <v>41</v>
      </c>
      <c r="L1139" t="s">
        <v>42</v>
      </c>
      <c r="M1139" t="s">
        <v>73</v>
      </c>
      <c r="N1139">
        <v>41.622065999999997</v>
      </c>
      <c r="O1139">
        <v>-111.93494800000001</v>
      </c>
      <c r="P1139">
        <v>4530.5220410000002</v>
      </c>
      <c r="Q1139">
        <v>1339</v>
      </c>
      <c r="R1139">
        <v>0</v>
      </c>
    </row>
    <row r="1140" spans="1:18" x14ac:dyDescent="0.25">
      <c r="A1140">
        <v>1139</v>
      </c>
      <c r="B1140">
        <v>94</v>
      </c>
      <c r="C1140">
        <v>31191204</v>
      </c>
      <c r="D1140" t="s">
        <v>153</v>
      </c>
      <c r="E1140">
        <v>0.41299999999999998</v>
      </c>
      <c r="F1140" t="s">
        <v>19</v>
      </c>
      <c r="G1140" t="s">
        <v>20</v>
      </c>
      <c r="H1140" t="s">
        <v>21</v>
      </c>
      <c r="I1140" t="s">
        <v>20</v>
      </c>
      <c r="J1140" t="s">
        <v>20</v>
      </c>
      <c r="K1140" t="s">
        <v>22</v>
      </c>
      <c r="L1140" t="s">
        <v>84</v>
      </c>
      <c r="M1140" t="s">
        <v>85</v>
      </c>
      <c r="N1140">
        <v>40.363919000000003</v>
      </c>
      <c r="O1140">
        <v>-111.73885</v>
      </c>
      <c r="P1140">
        <v>4567.5445790000003</v>
      </c>
      <c r="R1140">
        <v>0</v>
      </c>
    </row>
    <row r="1141" spans="1:18" x14ac:dyDescent="0.25">
      <c r="A1141">
        <v>1140</v>
      </c>
      <c r="B1141">
        <v>94</v>
      </c>
      <c r="C1141">
        <v>27337577</v>
      </c>
      <c r="D1141" t="s">
        <v>185</v>
      </c>
      <c r="E1141">
        <v>0.41399999999999998</v>
      </c>
      <c r="F1141" t="s">
        <v>21</v>
      </c>
      <c r="G1141" t="s">
        <v>26</v>
      </c>
      <c r="H1141" t="s">
        <v>21</v>
      </c>
      <c r="I1141" t="s">
        <v>20</v>
      </c>
      <c r="J1141" t="s">
        <v>20</v>
      </c>
      <c r="K1141" t="s">
        <v>41</v>
      </c>
      <c r="L1141" t="s">
        <v>57</v>
      </c>
      <c r="M1141" t="s">
        <v>58</v>
      </c>
      <c r="N1141">
        <v>41.139876000000001</v>
      </c>
      <c r="O1141">
        <v>-112.034009</v>
      </c>
      <c r="P1141">
        <v>4426.1000770000001</v>
      </c>
      <c r="Q1141">
        <v>309</v>
      </c>
      <c r="R1141">
        <v>0</v>
      </c>
    </row>
    <row r="1142" spans="1:18" x14ac:dyDescent="0.25">
      <c r="A1142">
        <v>1141</v>
      </c>
      <c r="B1142">
        <v>94</v>
      </c>
      <c r="C1142" t="e">
        <f>-IoI7g5xFVTZXecfqBXxeV</f>
        <v>#NAME?</v>
      </c>
      <c r="D1142" t="s">
        <v>408</v>
      </c>
      <c r="E1142">
        <v>0.46700000000000003</v>
      </c>
      <c r="F1142" t="s">
        <v>21</v>
      </c>
      <c r="G1142" t="s">
        <v>26</v>
      </c>
      <c r="H1142" t="s">
        <v>21</v>
      </c>
      <c r="I1142" t="s">
        <v>20</v>
      </c>
      <c r="J1142" t="s">
        <v>20</v>
      </c>
      <c r="K1142" t="s">
        <v>27</v>
      </c>
      <c r="L1142" t="s">
        <v>75</v>
      </c>
      <c r="M1142" t="s">
        <v>366</v>
      </c>
      <c r="N1142">
        <v>38.683017</v>
      </c>
      <c r="O1142">
        <v>-112.148651</v>
      </c>
      <c r="P1142">
        <v>5282.4742850000002</v>
      </c>
      <c r="Q1142">
        <v>428</v>
      </c>
      <c r="R1142">
        <v>0</v>
      </c>
    </row>
    <row r="1143" spans="1:18" x14ac:dyDescent="0.25">
      <c r="A1143">
        <v>1142</v>
      </c>
      <c r="B1143">
        <v>94</v>
      </c>
      <c r="C1143">
        <v>31193848</v>
      </c>
      <c r="D1143" t="s">
        <v>126</v>
      </c>
      <c r="E1143">
        <v>6.6989999999999998</v>
      </c>
      <c r="F1143" t="s">
        <v>21</v>
      </c>
      <c r="G1143" t="s">
        <v>26</v>
      </c>
      <c r="H1143" t="s">
        <v>21</v>
      </c>
      <c r="I1143" t="s">
        <v>20</v>
      </c>
      <c r="J1143" t="s">
        <v>20</v>
      </c>
      <c r="K1143" t="s">
        <v>41</v>
      </c>
      <c r="L1143" t="s">
        <v>57</v>
      </c>
      <c r="M1143" t="s">
        <v>93</v>
      </c>
      <c r="N1143">
        <v>41.288255999999997</v>
      </c>
      <c r="O1143">
        <v>-112.09324700000001</v>
      </c>
      <c r="P1143">
        <v>4185.9396450000004</v>
      </c>
      <c r="Q1143">
        <v>1412</v>
      </c>
      <c r="R1143">
        <v>0</v>
      </c>
    </row>
    <row r="1144" spans="1:18" x14ac:dyDescent="0.25">
      <c r="A1144">
        <v>1143</v>
      </c>
      <c r="B1144">
        <v>94</v>
      </c>
      <c r="C1144">
        <v>31579296</v>
      </c>
      <c r="D1144" t="s">
        <v>409</v>
      </c>
      <c r="E1144">
        <v>6.7</v>
      </c>
      <c r="F1144" t="s">
        <v>21</v>
      </c>
      <c r="G1144" t="s">
        <v>26</v>
      </c>
      <c r="H1144" t="s">
        <v>21</v>
      </c>
      <c r="I1144" t="s">
        <v>20</v>
      </c>
      <c r="J1144" t="s">
        <v>20</v>
      </c>
      <c r="K1144" t="s">
        <v>27</v>
      </c>
      <c r="L1144" t="s">
        <v>51</v>
      </c>
      <c r="M1144" t="s">
        <v>117</v>
      </c>
      <c r="N1144">
        <v>38.053649</v>
      </c>
      <c r="O1144">
        <v>-112.58027800000001</v>
      </c>
      <c r="P1144">
        <v>7043.2983109999996</v>
      </c>
      <c r="Q1144">
        <v>1337</v>
      </c>
      <c r="R1144">
        <v>0</v>
      </c>
    </row>
    <row r="1145" spans="1:18" x14ac:dyDescent="0.25">
      <c r="A1145">
        <v>1144</v>
      </c>
      <c r="B1145">
        <v>94</v>
      </c>
      <c r="C1145" t="e">
        <f>-Ip5NZzaHkDK50hUsArv5F</f>
        <v>#NAME?</v>
      </c>
      <c r="D1145" t="s">
        <v>208</v>
      </c>
      <c r="E1145">
        <v>6.7</v>
      </c>
      <c r="F1145" t="s">
        <v>19</v>
      </c>
      <c r="G1145" t="s">
        <v>20</v>
      </c>
      <c r="H1145" t="s">
        <v>21</v>
      </c>
      <c r="I1145" t="s">
        <v>20</v>
      </c>
      <c r="J1145" t="s">
        <v>20</v>
      </c>
      <c r="K1145" t="s">
        <v>31</v>
      </c>
      <c r="L1145" t="s">
        <v>209</v>
      </c>
      <c r="M1145" t="s">
        <v>131</v>
      </c>
      <c r="N1145">
        <v>40.668166999999997</v>
      </c>
      <c r="O1145">
        <v>-111.51544199999999</v>
      </c>
      <c r="P1145">
        <v>6730.6777609999999</v>
      </c>
      <c r="Q1145">
        <v>357</v>
      </c>
      <c r="R1145">
        <v>0</v>
      </c>
    </row>
    <row r="1146" spans="1:18" x14ac:dyDescent="0.25">
      <c r="A1146">
        <v>1145</v>
      </c>
      <c r="B1146">
        <v>94</v>
      </c>
      <c r="C1146">
        <v>1491140</v>
      </c>
      <c r="D1146" t="s">
        <v>88</v>
      </c>
      <c r="E1146">
        <v>6.7110000000000003</v>
      </c>
      <c r="F1146" t="s">
        <v>21</v>
      </c>
      <c r="G1146" t="s">
        <v>26</v>
      </c>
      <c r="H1146" t="s">
        <v>21</v>
      </c>
      <c r="I1146" t="s">
        <v>20</v>
      </c>
      <c r="J1146" t="s">
        <v>20</v>
      </c>
      <c r="K1146" t="s">
        <v>31</v>
      </c>
      <c r="L1146" t="s">
        <v>89</v>
      </c>
      <c r="M1146" t="s">
        <v>90</v>
      </c>
      <c r="N1146">
        <v>40.537081000000001</v>
      </c>
      <c r="O1146">
        <v>-111.87111400000001</v>
      </c>
      <c r="P1146">
        <v>4433.3184019999999</v>
      </c>
      <c r="Q1146">
        <v>318</v>
      </c>
      <c r="R1146">
        <v>0</v>
      </c>
    </row>
    <row r="1147" spans="1:18" x14ac:dyDescent="0.25">
      <c r="A1147">
        <v>1146</v>
      </c>
      <c r="B1147">
        <v>94</v>
      </c>
      <c r="C1147">
        <v>31810938</v>
      </c>
      <c r="D1147" t="s">
        <v>61</v>
      </c>
      <c r="E1147">
        <v>6.7130000000000001</v>
      </c>
      <c r="F1147" t="s">
        <v>19</v>
      </c>
      <c r="G1147" t="s">
        <v>20</v>
      </c>
      <c r="H1147" t="s">
        <v>21</v>
      </c>
      <c r="I1147" t="s">
        <v>20</v>
      </c>
      <c r="J1147" t="s">
        <v>20</v>
      </c>
      <c r="K1147" t="s">
        <v>22</v>
      </c>
      <c r="L1147" t="s">
        <v>60</v>
      </c>
      <c r="M1147" t="s">
        <v>62</v>
      </c>
      <c r="N1147">
        <v>40.302824999999999</v>
      </c>
      <c r="O1147">
        <v>-111.655884</v>
      </c>
      <c r="P1147">
        <v>4724.5917399999998</v>
      </c>
      <c r="Q1147">
        <v>403</v>
      </c>
      <c r="R1147">
        <v>0</v>
      </c>
    </row>
    <row r="1148" spans="1:18" x14ac:dyDescent="0.25">
      <c r="A1148">
        <v>1147</v>
      </c>
      <c r="B1148">
        <v>94</v>
      </c>
      <c r="C1148">
        <v>31403834</v>
      </c>
      <c r="D1148" t="s">
        <v>309</v>
      </c>
      <c r="E1148">
        <v>6.7160000000000002</v>
      </c>
      <c r="F1148" t="s">
        <v>21</v>
      </c>
      <c r="G1148" t="s">
        <v>26</v>
      </c>
      <c r="H1148" t="s">
        <v>21</v>
      </c>
      <c r="I1148" t="s">
        <v>20</v>
      </c>
      <c r="J1148" t="s">
        <v>20</v>
      </c>
      <c r="K1148" t="s">
        <v>22</v>
      </c>
      <c r="L1148" t="s">
        <v>198</v>
      </c>
      <c r="M1148" t="s">
        <v>125</v>
      </c>
      <c r="N1148">
        <v>40.098059999999997</v>
      </c>
      <c r="O1148">
        <v>-111.735253</v>
      </c>
      <c r="P1148">
        <v>4467.3833869999999</v>
      </c>
      <c r="Q1148">
        <v>339</v>
      </c>
      <c r="R1148">
        <v>0</v>
      </c>
    </row>
    <row r="1149" spans="1:18" x14ac:dyDescent="0.25">
      <c r="A1149">
        <v>1148</v>
      </c>
      <c r="B1149">
        <v>94</v>
      </c>
      <c r="C1149" t="s">
        <v>410</v>
      </c>
      <c r="D1149" t="s">
        <v>227</v>
      </c>
      <c r="E1149">
        <v>6.7169999999999996</v>
      </c>
      <c r="F1149" t="s">
        <v>21</v>
      </c>
      <c r="G1149" t="s">
        <v>26</v>
      </c>
      <c r="H1149" t="s">
        <v>21</v>
      </c>
      <c r="I1149" t="s">
        <v>20</v>
      </c>
      <c r="J1149" t="s">
        <v>20</v>
      </c>
      <c r="K1149" t="s">
        <v>27</v>
      </c>
      <c r="L1149" t="s">
        <v>158</v>
      </c>
      <c r="M1149" t="s">
        <v>190</v>
      </c>
      <c r="N1149">
        <v>39.537562999999999</v>
      </c>
      <c r="O1149">
        <v>-110.450711</v>
      </c>
      <c r="P1149">
        <v>6002.7772379999997</v>
      </c>
      <c r="Q1149">
        <v>1407</v>
      </c>
      <c r="R1149">
        <v>0</v>
      </c>
    </row>
    <row r="1150" spans="1:18" x14ac:dyDescent="0.25">
      <c r="A1150">
        <v>1149</v>
      </c>
      <c r="B1150">
        <v>94</v>
      </c>
      <c r="C1150">
        <v>1012674</v>
      </c>
      <c r="D1150" t="s">
        <v>65</v>
      </c>
      <c r="E1150">
        <v>6.72</v>
      </c>
      <c r="F1150" t="s">
        <v>19</v>
      </c>
      <c r="G1150" t="s">
        <v>20</v>
      </c>
      <c r="H1150" t="s">
        <v>21</v>
      </c>
      <c r="I1150" t="s">
        <v>20</v>
      </c>
      <c r="J1150" t="s">
        <v>20</v>
      </c>
      <c r="K1150" t="s">
        <v>31</v>
      </c>
      <c r="L1150" t="s">
        <v>188</v>
      </c>
      <c r="M1150" t="s">
        <v>67</v>
      </c>
      <c r="N1150">
        <v>40.741652999999999</v>
      </c>
      <c r="O1150">
        <v>-111.827296</v>
      </c>
      <c r="P1150">
        <v>4656.9945909999997</v>
      </c>
      <c r="Q1150">
        <v>402</v>
      </c>
      <c r="R1150">
        <v>0</v>
      </c>
    </row>
    <row r="1151" spans="1:18" x14ac:dyDescent="0.25">
      <c r="A1151">
        <v>1150</v>
      </c>
      <c r="B1151">
        <v>94</v>
      </c>
      <c r="C1151" t="e">
        <f>-IpP6L9VGTLs6o07wA_XZk</f>
        <v>#NAME?</v>
      </c>
      <c r="D1151" t="s">
        <v>129</v>
      </c>
      <c r="E1151">
        <v>6.7240000000000002</v>
      </c>
      <c r="F1151" t="s">
        <v>21</v>
      </c>
      <c r="G1151" t="s">
        <v>26</v>
      </c>
      <c r="H1151" t="s">
        <v>21</v>
      </c>
      <c r="I1151" t="s">
        <v>20</v>
      </c>
      <c r="J1151" t="s">
        <v>20</v>
      </c>
      <c r="K1151" t="s">
        <v>31</v>
      </c>
      <c r="L1151" t="s">
        <v>130</v>
      </c>
      <c r="M1151" t="s">
        <v>131</v>
      </c>
      <c r="N1151">
        <v>40.629474999999999</v>
      </c>
      <c r="O1151">
        <v>-111.175128</v>
      </c>
      <c r="P1151">
        <v>7123.8476309999996</v>
      </c>
      <c r="Q1151">
        <v>340</v>
      </c>
      <c r="R1151">
        <v>0</v>
      </c>
    </row>
    <row r="1152" spans="1:18" x14ac:dyDescent="0.25">
      <c r="A1152">
        <v>1151</v>
      </c>
      <c r="B1152">
        <v>94</v>
      </c>
      <c r="C1152">
        <v>31395170</v>
      </c>
      <c r="D1152" t="s">
        <v>114</v>
      </c>
      <c r="E1152">
        <v>6.7279999999999998</v>
      </c>
      <c r="F1152" t="s">
        <v>21</v>
      </c>
      <c r="G1152" t="s">
        <v>26</v>
      </c>
      <c r="H1152" t="s">
        <v>21</v>
      </c>
      <c r="I1152" t="s">
        <v>20</v>
      </c>
      <c r="J1152" t="s">
        <v>20</v>
      </c>
      <c r="K1152" t="s">
        <v>41</v>
      </c>
      <c r="L1152" t="s">
        <v>87</v>
      </c>
      <c r="M1152" t="s">
        <v>82</v>
      </c>
      <c r="N1152">
        <v>41.101278000000001</v>
      </c>
      <c r="O1152">
        <v>-111.93986099999999</v>
      </c>
      <c r="P1152">
        <v>4743.2337719999996</v>
      </c>
      <c r="Q1152">
        <v>405</v>
      </c>
      <c r="R1152">
        <v>0</v>
      </c>
    </row>
    <row r="1153" spans="1:18" x14ac:dyDescent="0.25">
      <c r="A1153">
        <v>1152</v>
      </c>
      <c r="B1153">
        <v>94</v>
      </c>
      <c r="C1153">
        <v>538033</v>
      </c>
      <c r="D1153" t="s">
        <v>44</v>
      </c>
      <c r="E1153">
        <v>6.7290000000000001</v>
      </c>
      <c r="F1153" t="s">
        <v>21</v>
      </c>
      <c r="G1153" t="s">
        <v>26</v>
      </c>
      <c r="H1153" t="s">
        <v>21</v>
      </c>
      <c r="I1153" t="s">
        <v>20</v>
      </c>
      <c r="J1153" t="s">
        <v>20</v>
      </c>
      <c r="K1153" t="s">
        <v>41</v>
      </c>
      <c r="L1153" t="s">
        <v>87</v>
      </c>
      <c r="M1153" t="s">
        <v>46</v>
      </c>
      <c r="N1153">
        <v>40.974493000000002</v>
      </c>
      <c r="O1153">
        <v>-111.88329400000001</v>
      </c>
      <c r="P1153">
        <v>4311.2258650000003</v>
      </c>
      <c r="Q1153">
        <v>1395</v>
      </c>
      <c r="R1153">
        <v>0</v>
      </c>
    </row>
    <row r="1154" spans="1:18" x14ac:dyDescent="0.25">
      <c r="A1154">
        <v>1153</v>
      </c>
      <c r="B1154">
        <v>94</v>
      </c>
      <c r="C1154">
        <v>31448147</v>
      </c>
      <c r="D1154" t="s">
        <v>254</v>
      </c>
      <c r="E1154">
        <v>6.7329999999999997</v>
      </c>
      <c r="F1154" t="s">
        <v>21</v>
      </c>
      <c r="G1154" t="s">
        <v>26</v>
      </c>
      <c r="H1154" t="s">
        <v>21</v>
      </c>
      <c r="I1154" t="s">
        <v>20</v>
      </c>
      <c r="J1154" t="s">
        <v>20</v>
      </c>
      <c r="K1154" t="s">
        <v>41</v>
      </c>
      <c r="L1154" t="s">
        <v>255</v>
      </c>
      <c r="M1154" t="s">
        <v>204</v>
      </c>
      <c r="N1154">
        <v>41.335256999999999</v>
      </c>
      <c r="O1154">
        <v>-111.82658000000001</v>
      </c>
      <c r="P1154">
        <v>5320.1548480000001</v>
      </c>
      <c r="Q1154">
        <v>1429</v>
      </c>
      <c r="R1154">
        <v>0</v>
      </c>
    </row>
    <row r="1155" spans="1:18" x14ac:dyDescent="0.25">
      <c r="A1155">
        <v>1154</v>
      </c>
      <c r="B1155">
        <v>94</v>
      </c>
      <c r="C1155" t="e">
        <f>-IoGvWsLGwiI8Y8MSJBXvV</f>
        <v>#NAME?</v>
      </c>
      <c r="D1155" t="s">
        <v>304</v>
      </c>
      <c r="E1155">
        <v>6.7389999999999999</v>
      </c>
      <c r="F1155" t="s">
        <v>21</v>
      </c>
      <c r="G1155" t="s">
        <v>26</v>
      </c>
      <c r="H1155" t="s">
        <v>21</v>
      </c>
      <c r="I1155" t="s">
        <v>20</v>
      </c>
      <c r="J1155" t="s">
        <v>20</v>
      </c>
      <c r="K1155" t="s">
        <v>41</v>
      </c>
      <c r="L1155" t="s">
        <v>177</v>
      </c>
      <c r="M1155" t="s">
        <v>43</v>
      </c>
      <c r="N1155">
        <v>41.614828000000003</v>
      </c>
      <c r="O1155">
        <v>-112.06575100000001</v>
      </c>
      <c r="P1155">
        <v>4224.4301429999996</v>
      </c>
      <c r="Q1155">
        <v>1348</v>
      </c>
      <c r="R1155">
        <v>0</v>
      </c>
    </row>
    <row r="1156" spans="1:18" x14ac:dyDescent="0.25">
      <c r="A1156">
        <v>1155</v>
      </c>
      <c r="B1156">
        <v>94</v>
      </c>
      <c r="C1156">
        <v>1457684</v>
      </c>
      <c r="D1156" t="s">
        <v>109</v>
      </c>
      <c r="E1156">
        <v>6.74</v>
      </c>
      <c r="F1156" t="s">
        <v>21</v>
      </c>
      <c r="G1156" t="s">
        <v>26</v>
      </c>
      <c r="H1156" t="s">
        <v>21</v>
      </c>
      <c r="I1156" t="s">
        <v>20</v>
      </c>
      <c r="J1156" t="s">
        <v>20</v>
      </c>
      <c r="K1156" t="s">
        <v>41</v>
      </c>
      <c r="L1156" t="s">
        <v>42</v>
      </c>
      <c r="M1156" t="s">
        <v>73</v>
      </c>
      <c r="N1156">
        <v>41.659880000000001</v>
      </c>
      <c r="O1156">
        <v>-111.833338</v>
      </c>
      <c r="P1156">
        <v>4569.6015530000004</v>
      </c>
      <c r="Q1156">
        <v>345</v>
      </c>
      <c r="R1156">
        <v>0</v>
      </c>
    </row>
    <row r="1157" spans="1:18" x14ac:dyDescent="0.25">
      <c r="A1157">
        <v>1156</v>
      </c>
      <c r="B1157">
        <v>94</v>
      </c>
      <c r="C1157">
        <v>31509956</v>
      </c>
      <c r="D1157" t="s">
        <v>124</v>
      </c>
      <c r="E1157">
        <v>60.06</v>
      </c>
      <c r="F1157" t="s">
        <v>19</v>
      </c>
      <c r="G1157" t="s">
        <v>20</v>
      </c>
      <c r="H1157" t="s">
        <v>21</v>
      </c>
      <c r="I1157" t="s">
        <v>20</v>
      </c>
      <c r="J1157" t="s">
        <v>20</v>
      </c>
      <c r="K1157" t="s">
        <v>31</v>
      </c>
      <c r="L1157" t="s">
        <v>362</v>
      </c>
      <c r="M1157" t="s">
        <v>365</v>
      </c>
      <c r="N1157">
        <v>40.780192999999997</v>
      </c>
      <c r="O1157">
        <v>-111.93940499999999</v>
      </c>
      <c r="P1157">
        <v>4163.1976910000003</v>
      </c>
      <c r="Q1157">
        <v>1368</v>
      </c>
      <c r="R1157">
        <v>0</v>
      </c>
    </row>
    <row r="1158" spans="1:18" x14ac:dyDescent="0.25">
      <c r="A1158">
        <v>1157</v>
      </c>
      <c r="B1158">
        <v>94</v>
      </c>
      <c r="C1158">
        <v>31664916</v>
      </c>
      <c r="D1158" t="s">
        <v>244</v>
      </c>
      <c r="E1158">
        <v>60.067</v>
      </c>
      <c r="F1158" t="s">
        <v>21</v>
      </c>
      <c r="G1158" t="s">
        <v>26</v>
      </c>
      <c r="H1158" t="s">
        <v>21</v>
      </c>
      <c r="I1158" t="s">
        <v>20</v>
      </c>
      <c r="J1158" t="s">
        <v>20</v>
      </c>
      <c r="K1158" t="s">
        <v>27</v>
      </c>
      <c r="L1158" t="s">
        <v>266</v>
      </c>
      <c r="M1158" t="s">
        <v>386</v>
      </c>
      <c r="N1158">
        <v>38.341425000000001</v>
      </c>
      <c r="O1158">
        <v>-111.551592</v>
      </c>
      <c r="P1158">
        <v>7007.8750099999997</v>
      </c>
      <c r="Q1158">
        <v>1340</v>
      </c>
      <c r="R1158">
        <v>0</v>
      </c>
    </row>
    <row r="1159" spans="1:18" x14ac:dyDescent="0.25">
      <c r="A1159">
        <v>1158</v>
      </c>
      <c r="B1159">
        <v>94</v>
      </c>
      <c r="C1159">
        <v>31664927</v>
      </c>
      <c r="D1159" t="s">
        <v>244</v>
      </c>
      <c r="E1159">
        <v>60.081000000000003</v>
      </c>
      <c r="F1159" t="s">
        <v>21</v>
      </c>
      <c r="G1159" t="s">
        <v>26</v>
      </c>
      <c r="H1159" t="s">
        <v>21</v>
      </c>
      <c r="I1159" t="s">
        <v>20</v>
      </c>
      <c r="J1159" t="s">
        <v>20</v>
      </c>
      <c r="K1159" t="s">
        <v>27</v>
      </c>
      <c r="L1159" t="s">
        <v>266</v>
      </c>
      <c r="M1159" t="s">
        <v>386</v>
      </c>
      <c r="N1159">
        <v>38.341265999999997</v>
      </c>
      <c r="O1159">
        <v>-111.551412</v>
      </c>
      <c r="P1159">
        <v>7007.8036650000004</v>
      </c>
      <c r="Q1159">
        <v>1340</v>
      </c>
      <c r="R1159">
        <v>0</v>
      </c>
    </row>
    <row r="1160" spans="1:18" x14ac:dyDescent="0.25">
      <c r="A1160">
        <v>1159</v>
      </c>
      <c r="B1160">
        <v>94</v>
      </c>
      <c r="C1160">
        <v>31352010</v>
      </c>
      <c r="D1160" t="s">
        <v>288</v>
      </c>
      <c r="E1160">
        <v>60.09</v>
      </c>
      <c r="F1160" t="s">
        <v>21</v>
      </c>
      <c r="G1160" t="s">
        <v>26</v>
      </c>
      <c r="H1160" t="s">
        <v>21</v>
      </c>
      <c r="I1160" t="s">
        <v>20</v>
      </c>
      <c r="J1160" t="s">
        <v>20</v>
      </c>
      <c r="K1160" t="s">
        <v>27</v>
      </c>
      <c r="L1160" t="s">
        <v>146</v>
      </c>
      <c r="M1160" t="s">
        <v>147</v>
      </c>
      <c r="N1160">
        <v>37.730690000000003</v>
      </c>
      <c r="O1160">
        <v>-109.410865</v>
      </c>
      <c r="P1160">
        <v>6963.0153490000002</v>
      </c>
      <c r="Q1160">
        <v>350</v>
      </c>
      <c r="R1160">
        <v>0</v>
      </c>
    </row>
    <row r="1161" spans="1:18" x14ac:dyDescent="0.25">
      <c r="A1161">
        <v>1160</v>
      </c>
      <c r="B1161">
        <v>94</v>
      </c>
      <c r="C1161">
        <v>31510139</v>
      </c>
      <c r="D1161" t="s">
        <v>124</v>
      </c>
      <c r="E1161">
        <v>60.128</v>
      </c>
      <c r="F1161" t="s">
        <v>21</v>
      </c>
      <c r="G1161" t="s">
        <v>26</v>
      </c>
      <c r="H1161" t="s">
        <v>21</v>
      </c>
      <c r="I1161" t="s">
        <v>20</v>
      </c>
      <c r="J1161" t="s">
        <v>20</v>
      </c>
      <c r="K1161" t="s">
        <v>31</v>
      </c>
      <c r="L1161" t="s">
        <v>362</v>
      </c>
      <c r="M1161" t="s">
        <v>365</v>
      </c>
      <c r="N1161">
        <v>40.781180999999997</v>
      </c>
      <c r="O1161">
        <v>-111.939397</v>
      </c>
      <c r="P1161">
        <v>4162.9725580000004</v>
      </c>
      <c r="Q1161">
        <v>1368</v>
      </c>
      <c r="R1161">
        <v>0</v>
      </c>
    </row>
    <row r="1162" spans="1:18" x14ac:dyDescent="0.25">
      <c r="A1162">
        <v>1161</v>
      </c>
      <c r="B1162">
        <v>94</v>
      </c>
      <c r="C1162">
        <v>31475395</v>
      </c>
      <c r="D1162" t="s">
        <v>319</v>
      </c>
      <c r="E1162">
        <v>60.158999999999999</v>
      </c>
      <c r="F1162" t="s">
        <v>19</v>
      </c>
      <c r="G1162" t="s">
        <v>20</v>
      </c>
      <c r="H1162" t="s">
        <v>21</v>
      </c>
      <c r="I1162" t="s">
        <v>20</v>
      </c>
      <c r="J1162" t="s">
        <v>20</v>
      </c>
      <c r="K1162" t="s">
        <v>27</v>
      </c>
      <c r="L1162" t="s">
        <v>54</v>
      </c>
      <c r="M1162" t="s">
        <v>55</v>
      </c>
      <c r="N1162">
        <v>37.681274999999999</v>
      </c>
      <c r="O1162">
        <v>-113.08623299999999</v>
      </c>
      <c r="P1162">
        <v>5645.4805139999999</v>
      </c>
      <c r="Q1162">
        <v>314</v>
      </c>
      <c r="R1162">
        <v>0</v>
      </c>
    </row>
    <row r="1163" spans="1:18" x14ac:dyDescent="0.25">
      <c r="A1163">
        <v>1162</v>
      </c>
      <c r="B1163">
        <v>94</v>
      </c>
      <c r="C1163">
        <v>31711162</v>
      </c>
      <c r="D1163" t="s">
        <v>244</v>
      </c>
      <c r="E1163">
        <v>60.185000000000002</v>
      </c>
      <c r="F1163" t="s">
        <v>21</v>
      </c>
      <c r="G1163" t="s">
        <v>26</v>
      </c>
      <c r="H1163" t="s">
        <v>21</v>
      </c>
      <c r="I1163" t="s">
        <v>20</v>
      </c>
      <c r="J1163" t="s">
        <v>20</v>
      </c>
      <c r="K1163" t="s">
        <v>27</v>
      </c>
      <c r="L1163" t="s">
        <v>266</v>
      </c>
      <c r="M1163" t="s">
        <v>386</v>
      </c>
      <c r="N1163">
        <v>38.340606999999999</v>
      </c>
      <c r="O1163">
        <v>-111.54977100000001</v>
      </c>
      <c r="P1163">
        <v>7012.0683360000003</v>
      </c>
      <c r="Q1163">
        <v>1340</v>
      </c>
      <c r="R1163">
        <v>0</v>
      </c>
    </row>
    <row r="1164" spans="1:18" x14ac:dyDescent="0.25">
      <c r="A1164">
        <v>1163</v>
      </c>
      <c r="B1164">
        <v>94</v>
      </c>
      <c r="C1164">
        <v>31487380</v>
      </c>
      <c r="D1164" t="s">
        <v>213</v>
      </c>
      <c r="E1164">
        <v>60.215000000000003</v>
      </c>
      <c r="F1164" t="s">
        <v>21</v>
      </c>
      <c r="G1164" t="s">
        <v>26</v>
      </c>
      <c r="H1164" t="s">
        <v>21</v>
      </c>
      <c r="I1164" t="s">
        <v>20</v>
      </c>
      <c r="J1164" t="s">
        <v>20</v>
      </c>
      <c r="K1164" t="s">
        <v>27</v>
      </c>
      <c r="L1164" t="s">
        <v>173</v>
      </c>
      <c r="M1164" t="s">
        <v>214</v>
      </c>
      <c r="N1164">
        <v>39.172961000000001</v>
      </c>
      <c r="O1164">
        <v>-113.030306</v>
      </c>
      <c r="P1164">
        <v>4657.2970310000001</v>
      </c>
      <c r="Q1164">
        <v>1332</v>
      </c>
      <c r="R1164">
        <v>0</v>
      </c>
    </row>
    <row r="1165" spans="1:18" x14ac:dyDescent="0.25">
      <c r="A1165">
        <v>1164</v>
      </c>
      <c r="B1165">
        <v>94</v>
      </c>
      <c r="C1165">
        <v>31767734</v>
      </c>
      <c r="D1165" t="s">
        <v>118</v>
      </c>
      <c r="E1165">
        <v>67.460999999999999</v>
      </c>
      <c r="F1165" t="s">
        <v>21</v>
      </c>
      <c r="G1165" t="s">
        <v>26</v>
      </c>
      <c r="H1165" t="s">
        <v>21</v>
      </c>
      <c r="I1165" t="s">
        <v>20</v>
      </c>
      <c r="J1165" t="s">
        <v>20</v>
      </c>
      <c r="K1165" t="s">
        <v>22</v>
      </c>
      <c r="L1165" t="s">
        <v>168</v>
      </c>
      <c r="M1165" t="s">
        <v>120</v>
      </c>
      <c r="N1165">
        <v>40.208973</v>
      </c>
      <c r="O1165">
        <v>-110.74561799999999</v>
      </c>
      <c r="P1165">
        <v>6557.0280949999997</v>
      </c>
      <c r="Q1165">
        <v>310</v>
      </c>
      <c r="R1165">
        <v>0</v>
      </c>
    </row>
    <row r="1166" spans="1:18" x14ac:dyDescent="0.25">
      <c r="A1166">
        <v>1165</v>
      </c>
      <c r="B1166">
        <v>94</v>
      </c>
      <c r="C1166">
        <v>31357113</v>
      </c>
      <c r="D1166" t="s">
        <v>288</v>
      </c>
      <c r="E1166">
        <v>67.497</v>
      </c>
      <c r="F1166" t="s">
        <v>21</v>
      </c>
      <c r="G1166" t="s">
        <v>20</v>
      </c>
      <c r="H1166" t="s">
        <v>21</v>
      </c>
      <c r="I1166" t="s">
        <v>20</v>
      </c>
      <c r="J1166" t="s">
        <v>20</v>
      </c>
      <c r="K1166" t="s">
        <v>27</v>
      </c>
      <c r="L1166" t="s">
        <v>146</v>
      </c>
      <c r="M1166" t="s">
        <v>147</v>
      </c>
      <c r="N1166">
        <v>37.810847000000003</v>
      </c>
      <c r="O1166">
        <v>-109.336973</v>
      </c>
      <c r="P1166">
        <v>6961.794965</v>
      </c>
      <c r="Q1166">
        <v>350</v>
      </c>
      <c r="R1166">
        <v>0</v>
      </c>
    </row>
    <row r="1167" spans="1:18" x14ac:dyDescent="0.25">
      <c r="A1167">
        <v>1166</v>
      </c>
      <c r="B1167">
        <v>94</v>
      </c>
      <c r="C1167">
        <v>31330754</v>
      </c>
      <c r="D1167" t="s">
        <v>241</v>
      </c>
      <c r="E1167">
        <v>67.507999999999996</v>
      </c>
      <c r="F1167" t="s">
        <v>21</v>
      </c>
      <c r="G1167" t="s">
        <v>26</v>
      </c>
      <c r="H1167" t="s">
        <v>21</v>
      </c>
      <c r="I1167" t="s">
        <v>20</v>
      </c>
      <c r="J1167" t="s">
        <v>20</v>
      </c>
      <c r="K1167" t="s">
        <v>27</v>
      </c>
      <c r="L1167" t="s">
        <v>158</v>
      </c>
      <c r="M1167" t="s">
        <v>243</v>
      </c>
      <c r="N1167">
        <v>39.582467000000001</v>
      </c>
      <c r="O1167">
        <v>-110.814874</v>
      </c>
      <c r="P1167">
        <v>5486.8861059999999</v>
      </c>
      <c r="Q1167">
        <v>1327</v>
      </c>
      <c r="R1167">
        <v>0</v>
      </c>
    </row>
    <row r="1168" spans="1:18" x14ac:dyDescent="0.25">
      <c r="A1168">
        <v>1167</v>
      </c>
      <c r="B1168">
        <v>94</v>
      </c>
      <c r="C1168">
        <v>31314534</v>
      </c>
      <c r="D1168" t="s">
        <v>203</v>
      </c>
      <c r="E1168">
        <v>67.591999999999999</v>
      </c>
      <c r="F1168" t="s">
        <v>21</v>
      </c>
      <c r="G1168" t="s">
        <v>26</v>
      </c>
      <c r="H1168" t="s">
        <v>21</v>
      </c>
      <c r="I1168" t="s">
        <v>20</v>
      </c>
      <c r="J1168" t="s">
        <v>20</v>
      </c>
      <c r="K1168" t="s">
        <v>41</v>
      </c>
      <c r="L1168" t="s">
        <v>325</v>
      </c>
      <c r="M1168" t="s">
        <v>204</v>
      </c>
      <c r="N1168">
        <v>41.524092000000003</v>
      </c>
      <c r="O1168">
        <v>-111.165869</v>
      </c>
      <c r="P1168">
        <v>6293.8172320000003</v>
      </c>
      <c r="Q1168">
        <v>1349</v>
      </c>
      <c r="R1168">
        <v>0</v>
      </c>
    </row>
    <row r="1169" spans="1:18" x14ac:dyDescent="0.25">
      <c r="A1169">
        <v>1168</v>
      </c>
      <c r="B1169">
        <v>94</v>
      </c>
      <c r="C1169">
        <v>28695816</v>
      </c>
      <c r="D1169" t="s">
        <v>142</v>
      </c>
      <c r="E1169">
        <v>67.668999999999997</v>
      </c>
      <c r="F1169" t="s">
        <v>21</v>
      </c>
      <c r="G1169" t="s">
        <v>20</v>
      </c>
      <c r="H1169" t="s">
        <v>21</v>
      </c>
      <c r="I1169" t="s">
        <v>20</v>
      </c>
      <c r="J1169" t="s">
        <v>20</v>
      </c>
      <c r="K1169" t="s">
        <v>27</v>
      </c>
      <c r="L1169" t="s">
        <v>143</v>
      </c>
      <c r="M1169" t="s">
        <v>106</v>
      </c>
      <c r="N1169">
        <v>38.442152999999998</v>
      </c>
      <c r="O1169">
        <v>-113.170103</v>
      </c>
      <c r="P1169">
        <v>5642.2837730000001</v>
      </c>
      <c r="Q1169">
        <v>305</v>
      </c>
      <c r="R1169">
        <v>0</v>
      </c>
    </row>
    <row r="1170" spans="1:18" x14ac:dyDescent="0.25">
      <c r="A1170">
        <v>1169</v>
      </c>
      <c r="B1170">
        <v>94</v>
      </c>
      <c r="C1170">
        <v>31714532</v>
      </c>
      <c r="D1170" t="s">
        <v>244</v>
      </c>
      <c r="E1170">
        <v>67.682000000000002</v>
      </c>
      <c r="F1170" t="s">
        <v>21</v>
      </c>
      <c r="G1170" t="s">
        <v>20</v>
      </c>
      <c r="H1170" t="s">
        <v>21</v>
      </c>
      <c r="I1170" t="s">
        <v>20</v>
      </c>
      <c r="J1170" t="s">
        <v>20</v>
      </c>
      <c r="K1170" t="s">
        <v>27</v>
      </c>
      <c r="L1170" t="s">
        <v>266</v>
      </c>
      <c r="M1170" t="s">
        <v>386</v>
      </c>
      <c r="N1170">
        <v>38.299106000000002</v>
      </c>
      <c r="O1170">
        <v>-111.43613499999999</v>
      </c>
      <c r="P1170">
        <v>6789.7876249999999</v>
      </c>
      <c r="Q1170">
        <v>1340</v>
      </c>
      <c r="R1170">
        <v>0</v>
      </c>
    </row>
    <row r="1171" spans="1:18" x14ac:dyDescent="0.25">
      <c r="A1171">
        <v>1170</v>
      </c>
      <c r="B1171">
        <v>94</v>
      </c>
      <c r="C1171">
        <v>31767745</v>
      </c>
      <c r="D1171" t="s">
        <v>118</v>
      </c>
      <c r="E1171">
        <v>67.715000000000003</v>
      </c>
      <c r="F1171" t="s">
        <v>21</v>
      </c>
      <c r="G1171" t="s">
        <v>26</v>
      </c>
      <c r="H1171" t="s">
        <v>21</v>
      </c>
      <c r="I1171" t="s">
        <v>20</v>
      </c>
      <c r="J1171" t="s">
        <v>20</v>
      </c>
      <c r="K1171" t="s">
        <v>22</v>
      </c>
      <c r="L1171" t="s">
        <v>168</v>
      </c>
      <c r="M1171" t="s">
        <v>120</v>
      </c>
      <c r="N1171">
        <v>40.208084999999997</v>
      </c>
      <c r="O1171">
        <v>-110.740955</v>
      </c>
      <c r="P1171">
        <v>6580.9642219999996</v>
      </c>
      <c r="Q1171">
        <v>310</v>
      </c>
      <c r="R1171">
        <v>0</v>
      </c>
    </row>
    <row r="1172" spans="1:18" x14ac:dyDescent="0.25">
      <c r="A1172">
        <v>1171</v>
      </c>
      <c r="B1172">
        <v>94</v>
      </c>
      <c r="C1172">
        <v>31330765</v>
      </c>
      <c r="D1172" t="s">
        <v>241</v>
      </c>
      <c r="E1172">
        <v>67.721000000000004</v>
      </c>
      <c r="F1172" t="s">
        <v>21</v>
      </c>
      <c r="G1172" t="s">
        <v>26</v>
      </c>
      <c r="H1172" t="s">
        <v>21</v>
      </c>
      <c r="I1172" t="s">
        <v>20</v>
      </c>
      <c r="J1172" t="s">
        <v>20</v>
      </c>
      <c r="K1172" t="s">
        <v>27</v>
      </c>
      <c r="L1172" t="s">
        <v>158</v>
      </c>
      <c r="M1172" t="s">
        <v>243</v>
      </c>
      <c r="N1172">
        <v>39.585334000000003</v>
      </c>
      <c r="O1172">
        <v>-110.81339800000001</v>
      </c>
      <c r="P1172">
        <v>5460.4255199999998</v>
      </c>
      <c r="Q1172">
        <v>1327</v>
      </c>
      <c r="R1172">
        <v>0</v>
      </c>
    </row>
    <row r="1173" spans="1:18" x14ac:dyDescent="0.25">
      <c r="A1173">
        <v>1172</v>
      </c>
      <c r="B1173">
        <v>94</v>
      </c>
      <c r="C1173">
        <v>31314545</v>
      </c>
      <c r="D1173" t="s">
        <v>203</v>
      </c>
      <c r="E1173">
        <v>67.742000000000004</v>
      </c>
      <c r="F1173" t="s">
        <v>21</v>
      </c>
      <c r="G1173" t="s">
        <v>26</v>
      </c>
      <c r="H1173" t="s">
        <v>19</v>
      </c>
      <c r="I1173">
        <v>16</v>
      </c>
      <c r="J1173" t="s">
        <v>20</v>
      </c>
      <c r="K1173" t="s">
        <v>41</v>
      </c>
      <c r="L1173" t="s">
        <v>325</v>
      </c>
      <c r="M1173" t="s">
        <v>204</v>
      </c>
      <c r="N1173">
        <v>41.524071999999997</v>
      </c>
      <c r="O1173">
        <v>-111.16291200000001</v>
      </c>
      <c r="P1173">
        <v>6289.7601459999996</v>
      </c>
      <c r="Q1173">
        <v>1349</v>
      </c>
      <c r="R1173">
        <v>0</v>
      </c>
    </row>
    <row r="1174" spans="1:18" x14ac:dyDescent="0.25">
      <c r="A1174">
        <v>1173</v>
      </c>
      <c r="B1174">
        <v>94</v>
      </c>
      <c r="C1174">
        <v>28695827</v>
      </c>
      <c r="D1174" t="s">
        <v>142</v>
      </c>
      <c r="E1174">
        <v>67.745000000000005</v>
      </c>
      <c r="F1174" t="s">
        <v>21</v>
      </c>
      <c r="G1174" t="s">
        <v>20</v>
      </c>
      <c r="H1174" t="s">
        <v>21</v>
      </c>
      <c r="I1174" t="s">
        <v>20</v>
      </c>
      <c r="J1174" t="s">
        <v>20</v>
      </c>
      <c r="K1174" t="s">
        <v>27</v>
      </c>
      <c r="L1174" t="s">
        <v>143</v>
      </c>
      <c r="M1174" t="s">
        <v>106</v>
      </c>
      <c r="N1174">
        <v>38.441851</v>
      </c>
      <c r="O1174">
        <v>-113.168747</v>
      </c>
      <c r="P1174">
        <v>5630.4762950000004</v>
      </c>
      <c r="Q1174">
        <v>305</v>
      </c>
      <c r="R1174">
        <v>0</v>
      </c>
    </row>
    <row r="1175" spans="1:18" x14ac:dyDescent="0.25">
      <c r="A1175">
        <v>1174</v>
      </c>
      <c r="B1175">
        <v>94</v>
      </c>
      <c r="C1175">
        <v>31357124</v>
      </c>
      <c r="D1175" t="s">
        <v>288</v>
      </c>
      <c r="E1175">
        <v>67.849999999999994</v>
      </c>
      <c r="F1175" t="s">
        <v>21</v>
      </c>
      <c r="G1175" t="s">
        <v>20</v>
      </c>
      <c r="H1175" t="s">
        <v>21</v>
      </c>
      <c r="I1175" t="s">
        <v>20</v>
      </c>
      <c r="J1175" t="s">
        <v>20</v>
      </c>
      <c r="K1175" t="s">
        <v>27</v>
      </c>
      <c r="L1175" t="s">
        <v>146</v>
      </c>
      <c r="M1175" t="s">
        <v>147</v>
      </c>
      <c r="N1175">
        <v>37.815967999999998</v>
      </c>
      <c r="O1175">
        <v>-109.336958</v>
      </c>
      <c r="P1175">
        <v>7004.770055</v>
      </c>
      <c r="Q1175">
        <v>350</v>
      </c>
      <c r="R1175">
        <v>0</v>
      </c>
    </row>
    <row r="1176" spans="1:18" x14ac:dyDescent="0.25">
      <c r="A1176">
        <v>1175</v>
      </c>
      <c r="B1176">
        <v>94</v>
      </c>
      <c r="C1176">
        <v>31412259</v>
      </c>
      <c r="D1176" t="s">
        <v>224</v>
      </c>
      <c r="E1176">
        <v>9.7650000000000006</v>
      </c>
      <c r="F1176" t="s">
        <v>21</v>
      </c>
      <c r="G1176" t="s">
        <v>26</v>
      </c>
      <c r="H1176" t="s">
        <v>21</v>
      </c>
      <c r="I1176" t="s">
        <v>20</v>
      </c>
      <c r="J1176" t="s">
        <v>20</v>
      </c>
      <c r="K1176" t="s">
        <v>22</v>
      </c>
      <c r="L1176" t="s">
        <v>198</v>
      </c>
      <c r="M1176" t="s">
        <v>194</v>
      </c>
      <c r="N1176">
        <v>40.069505999999997</v>
      </c>
      <c r="O1176">
        <v>-111.66390800000001</v>
      </c>
      <c r="P1176">
        <v>4545.7584649999999</v>
      </c>
      <c r="Q1176">
        <v>408</v>
      </c>
      <c r="R1176">
        <v>0</v>
      </c>
    </row>
    <row r="1177" spans="1:18" x14ac:dyDescent="0.25">
      <c r="A1177">
        <v>1176</v>
      </c>
      <c r="B1177">
        <v>94</v>
      </c>
      <c r="C1177">
        <v>31404656</v>
      </c>
      <c r="D1177" t="s">
        <v>309</v>
      </c>
      <c r="E1177">
        <v>9.7680000000000007</v>
      </c>
      <c r="F1177" t="s">
        <v>21</v>
      </c>
      <c r="G1177" t="s">
        <v>26</v>
      </c>
      <c r="H1177" t="s">
        <v>21</v>
      </c>
      <c r="I1177" t="s">
        <v>20</v>
      </c>
      <c r="J1177" t="s">
        <v>20</v>
      </c>
      <c r="K1177" t="s">
        <v>22</v>
      </c>
      <c r="L1177" t="s">
        <v>140</v>
      </c>
      <c r="M1177" t="s">
        <v>125</v>
      </c>
      <c r="N1177">
        <v>40.114825000000003</v>
      </c>
      <c r="O1177">
        <v>-111.698779</v>
      </c>
      <c r="P1177">
        <v>4488.4152640000002</v>
      </c>
      <c r="Q1177">
        <v>339</v>
      </c>
      <c r="R1177">
        <v>0</v>
      </c>
    </row>
    <row r="1178" spans="1:18" x14ac:dyDescent="0.25">
      <c r="A1178">
        <v>1177</v>
      </c>
      <c r="B1178">
        <v>94</v>
      </c>
      <c r="C1178">
        <v>31634865</v>
      </c>
      <c r="D1178" t="s">
        <v>227</v>
      </c>
      <c r="E1178">
        <v>9.7690000000000001</v>
      </c>
      <c r="F1178" t="s">
        <v>21</v>
      </c>
      <c r="G1178" t="s">
        <v>26</v>
      </c>
      <c r="H1178" t="s">
        <v>21</v>
      </c>
      <c r="I1178" t="s">
        <v>20</v>
      </c>
      <c r="J1178" t="s">
        <v>20</v>
      </c>
      <c r="K1178" t="s">
        <v>27</v>
      </c>
      <c r="L1178" t="s">
        <v>158</v>
      </c>
      <c r="M1178" t="s">
        <v>190</v>
      </c>
      <c r="N1178">
        <v>39.549494000000003</v>
      </c>
      <c r="O1178">
        <v>-110.397175</v>
      </c>
      <c r="P1178">
        <v>6375.6200950000002</v>
      </c>
      <c r="Q1178">
        <v>1407</v>
      </c>
      <c r="R1178">
        <v>0</v>
      </c>
    </row>
    <row r="1179" spans="1:18" x14ac:dyDescent="0.25">
      <c r="A1179">
        <v>1178</v>
      </c>
      <c r="B1179">
        <v>94</v>
      </c>
      <c r="C1179">
        <v>818230</v>
      </c>
      <c r="D1179" t="s">
        <v>236</v>
      </c>
      <c r="E1179">
        <v>9.7710000000000008</v>
      </c>
      <c r="F1179" t="s">
        <v>21</v>
      </c>
      <c r="G1179" t="s">
        <v>26</v>
      </c>
      <c r="H1179" t="s">
        <v>21</v>
      </c>
      <c r="I1179" t="s">
        <v>20</v>
      </c>
      <c r="J1179" t="s">
        <v>20</v>
      </c>
      <c r="K1179" t="s">
        <v>31</v>
      </c>
      <c r="L1179" t="s">
        <v>78</v>
      </c>
      <c r="M1179" t="s">
        <v>79</v>
      </c>
      <c r="N1179">
        <v>40.706173999999997</v>
      </c>
      <c r="O1179">
        <v>-112.09183</v>
      </c>
      <c r="P1179">
        <v>4248.7163879999998</v>
      </c>
      <c r="Q1179">
        <v>1398</v>
      </c>
      <c r="R1179">
        <v>0</v>
      </c>
    </row>
    <row r="1180" spans="1:18" x14ac:dyDescent="0.25">
      <c r="A1180">
        <v>1179</v>
      </c>
      <c r="B1180">
        <v>94</v>
      </c>
      <c r="C1180">
        <v>27868994</v>
      </c>
      <c r="D1180" t="s">
        <v>91</v>
      </c>
      <c r="E1180">
        <v>9.7739999999999991</v>
      </c>
      <c r="F1180" t="s">
        <v>21</v>
      </c>
      <c r="G1180" t="s">
        <v>26</v>
      </c>
      <c r="H1180" t="s">
        <v>21</v>
      </c>
      <c r="I1180" t="s">
        <v>20</v>
      </c>
      <c r="J1180" t="s">
        <v>20</v>
      </c>
      <c r="K1180" t="s">
        <v>41</v>
      </c>
      <c r="L1180" t="s">
        <v>42</v>
      </c>
      <c r="M1180" t="s">
        <v>73</v>
      </c>
      <c r="N1180">
        <v>41.746529000000002</v>
      </c>
      <c r="O1180">
        <v>-111.979371</v>
      </c>
      <c r="P1180">
        <v>4447.9747049999996</v>
      </c>
      <c r="Q1180">
        <v>1339</v>
      </c>
      <c r="R1180">
        <v>0</v>
      </c>
    </row>
    <row r="1181" spans="1:18" x14ac:dyDescent="0.25">
      <c r="A1181">
        <v>1180</v>
      </c>
      <c r="B1181">
        <v>94</v>
      </c>
      <c r="C1181">
        <v>31390344</v>
      </c>
      <c r="D1181" t="s">
        <v>184</v>
      </c>
      <c r="E1181">
        <v>9.7750000000000004</v>
      </c>
      <c r="F1181" t="s">
        <v>21</v>
      </c>
      <c r="G1181" t="s">
        <v>26</v>
      </c>
      <c r="H1181" t="s">
        <v>21</v>
      </c>
      <c r="I1181" t="s">
        <v>20</v>
      </c>
      <c r="J1181" t="s">
        <v>20</v>
      </c>
      <c r="K1181" t="s">
        <v>27</v>
      </c>
      <c r="L1181" t="s">
        <v>54</v>
      </c>
      <c r="M1181" t="s">
        <v>55</v>
      </c>
      <c r="N1181">
        <v>37.779339</v>
      </c>
      <c r="O1181">
        <v>-113.05524699999999</v>
      </c>
      <c r="P1181">
        <v>5400.3424960000002</v>
      </c>
      <c r="Q1181">
        <v>1410</v>
      </c>
      <c r="R1181">
        <v>0</v>
      </c>
    </row>
    <row r="1182" spans="1:18" x14ac:dyDescent="0.25">
      <c r="A1182">
        <v>1181</v>
      </c>
      <c r="B1182">
        <v>94</v>
      </c>
      <c r="C1182">
        <v>27875580</v>
      </c>
      <c r="D1182" t="s">
        <v>136</v>
      </c>
      <c r="E1182">
        <v>9.7769999999999992</v>
      </c>
      <c r="F1182" t="s">
        <v>21</v>
      </c>
      <c r="G1182" t="s">
        <v>26</v>
      </c>
      <c r="H1182" t="s">
        <v>21</v>
      </c>
      <c r="I1182" t="s">
        <v>20</v>
      </c>
      <c r="J1182" t="s">
        <v>20</v>
      </c>
      <c r="K1182" t="s">
        <v>41</v>
      </c>
      <c r="L1182" t="s">
        <v>137</v>
      </c>
      <c r="M1182" t="s">
        <v>138</v>
      </c>
      <c r="N1182">
        <v>40.995538000000003</v>
      </c>
      <c r="O1182">
        <v>-111.682154</v>
      </c>
      <c r="P1182">
        <v>5092.8875029999999</v>
      </c>
      <c r="Q1182">
        <v>317</v>
      </c>
      <c r="R1182">
        <v>0</v>
      </c>
    </row>
    <row r="1183" spans="1:18" x14ac:dyDescent="0.25">
      <c r="A1183">
        <v>1182</v>
      </c>
      <c r="B1183">
        <v>94</v>
      </c>
      <c r="C1183">
        <v>31272712</v>
      </c>
      <c r="D1183" t="s">
        <v>303</v>
      </c>
      <c r="E1183">
        <v>9.7769999999999992</v>
      </c>
      <c r="F1183" t="s">
        <v>19</v>
      </c>
      <c r="G1183" t="s">
        <v>20</v>
      </c>
      <c r="H1183" t="s">
        <v>19</v>
      </c>
      <c r="I1183">
        <v>59</v>
      </c>
      <c r="J1183" t="s">
        <v>20</v>
      </c>
      <c r="K1183" t="s">
        <v>27</v>
      </c>
      <c r="L1183" t="s">
        <v>72</v>
      </c>
      <c r="M1183" t="s">
        <v>73</v>
      </c>
      <c r="N1183">
        <v>37.176560000000002</v>
      </c>
      <c r="O1183">
        <v>-113.288117</v>
      </c>
      <c r="P1183">
        <v>3160.843891</v>
      </c>
      <c r="Q1183">
        <v>1326</v>
      </c>
      <c r="R1183">
        <v>0</v>
      </c>
    </row>
    <row r="1184" spans="1:18" x14ac:dyDescent="0.25">
      <c r="A1184">
        <v>1183</v>
      </c>
      <c r="B1184">
        <v>94</v>
      </c>
      <c r="C1184">
        <v>31193603</v>
      </c>
      <c r="D1184" t="s">
        <v>339</v>
      </c>
      <c r="E1184">
        <v>9.7780000000000005</v>
      </c>
      <c r="F1184" t="s">
        <v>21</v>
      </c>
      <c r="G1184" t="s">
        <v>26</v>
      </c>
      <c r="H1184" t="s">
        <v>19</v>
      </c>
      <c r="I1184">
        <v>23</v>
      </c>
      <c r="J1184" t="s">
        <v>20</v>
      </c>
      <c r="K1184" t="s">
        <v>41</v>
      </c>
      <c r="L1184" t="s">
        <v>95</v>
      </c>
      <c r="M1184" t="s">
        <v>73</v>
      </c>
      <c r="N1184">
        <v>41.917588000000002</v>
      </c>
      <c r="O1184">
        <v>-111.952844</v>
      </c>
      <c r="P1184">
        <v>4406.216872</v>
      </c>
      <c r="Q1184">
        <v>1417</v>
      </c>
      <c r="R1184">
        <v>0</v>
      </c>
    </row>
    <row r="1185" spans="1:18" x14ac:dyDescent="0.25">
      <c r="A1185">
        <v>1184</v>
      </c>
      <c r="B1185">
        <v>94</v>
      </c>
      <c r="C1185">
        <v>31367588</v>
      </c>
      <c r="D1185" t="s">
        <v>229</v>
      </c>
      <c r="E1185">
        <v>9.7810000000000006</v>
      </c>
      <c r="F1185" t="s">
        <v>21</v>
      </c>
      <c r="G1185" t="s">
        <v>26</v>
      </c>
      <c r="H1185" t="s">
        <v>21</v>
      </c>
      <c r="I1185" t="s">
        <v>20</v>
      </c>
      <c r="J1185" t="s">
        <v>20</v>
      </c>
      <c r="K1185" t="s">
        <v>27</v>
      </c>
      <c r="L1185" t="s">
        <v>230</v>
      </c>
      <c r="M1185" t="s">
        <v>82</v>
      </c>
      <c r="N1185">
        <v>39.499102999999998</v>
      </c>
      <c r="O1185">
        <v>-111.48985999999999</v>
      </c>
      <c r="P1185">
        <v>5745.9355059999998</v>
      </c>
      <c r="Q1185">
        <v>331</v>
      </c>
      <c r="R1185">
        <v>0</v>
      </c>
    </row>
    <row r="1186" spans="1:18" x14ac:dyDescent="0.25">
      <c r="A1186">
        <v>1185</v>
      </c>
      <c r="B1186">
        <v>94</v>
      </c>
      <c r="C1186">
        <v>31859634</v>
      </c>
      <c r="D1186" t="s">
        <v>115</v>
      </c>
      <c r="E1186">
        <v>9.7919999999999998</v>
      </c>
      <c r="F1186" t="s">
        <v>21</v>
      </c>
      <c r="G1186" t="s">
        <v>26</v>
      </c>
      <c r="H1186" t="s">
        <v>21</v>
      </c>
      <c r="I1186" t="s">
        <v>20</v>
      </c>
      <c r="J1186" t="s">
        <v>20</v>
      </c>
      <c r="K1186" t="s">
        <v>31</v>
      </c>
      <c r="L1186" t="s">
        <v>69</v>
      </c>
      <c r="M1186" t="s">
        <v>70</v>
      </c>
      <c r="N1186">
        <v>40.655957000000001</v>
      </c>
      <c r="O1186">
        <v>-111.891194</v>
      </c>
      <c r="P1186">
        <v>4261.8709010000002</v>
      </c>
      <c r="Q1186">
        <v>1437</v>
      </c>
      <c r="R1186">
        <v>0</v>
      </c>
    </row>
    <row r="1187" spans="1:18" x14ac:dyDescent="0.25">
      <c r="A1187">
        <v>1186</v>
      </c>
      <c r="B1187">
        <v>94</v>
      </c>
      <c r="C1187">
        <v>31523394</v>
      </c>
      <c r="D1187" t="s">
        <v>390</v>
      </c>
      <c r="E1187">
        <v>5.6689999999999996</v>
      </c>
      <c r="F1187" t="s">
        <v>21</v>
      </c>
      <c r="G1187" t="s">
        <v>26</v>
      </c>
      <c r="H1187" t="s">
        <v>21</v>
      </c>
      <c r="I1187" t="s">
        <v>20</v>
      </c>
      <c r="J1187" t="s">
        <v>20</v>
      </c>
      <c r="K1187" t="s">
        <v>22</v>
      </c>
      <c r="L1187" t="s">
        <v>84</v>
      </c>
      <c r="M1187" t="s">
        <v>335</v>
      </c>
      <c r="N1187">
        <v>40.431911999999997</v>
      </c>
      <c r="O1187">
        <v>-111.78822599999999</v>
      </c>
      <c r="P1187">
        <v>4844.186541</v>
      </c>
      <c r="Q1187">
        <v>1386</v>
      </c>
      <c r="R1187">
        <v>0</v>
      </c>
    </row>
    <row r="1188" spans="1:18" x14ac:dyDescent="0.25">
      <c r="A1188">
        <v>1187</v>
      </c>
      <c r="B1188">
        <v>94</v>
      </c>
      <c r="C1188">
        <v>31394557</v>
      </c>
      <c r="D1188" t="s">
        <v>114</v>
      </c>
      <c r="E1188">
        <v>5.6710000000000003</v>
      </c>
      <c r="F1188" t="s">
        <v>21</v>
      </c>
      <c r="G1188" t="s">
        <v>26</v>
      </c>
      <c r="H1188" t="s">
        <v>21</v>
      </c>
      <c r="I1188" t="s">
        <v>20</v>
      </c>
      <c r="J1188" t="s">
        <v>20</v>
      </c>
      <c r="K1188" t="s">
        <v>41</v>
      </c>
      <c r="L1188" t="s">
        <v>87</v>
      </c>
      <c r="M1188" t="s">
        <v>82</v>
      </c>
      <c r="N1188">
        <v>41.103493</v>
      </c>
      <c r="O1188">
        <v>-111.959912</v>
      </c>
      <c r="P1188">
        <v>4718.5968309999998</v>
      </c>
      <c r="Q1188">
        <v>405</v>
      </c>
      <c r="R1188">
        <v>0</v>
      </c>
    </row>
    <row r="1189" spans="1:18" x14ac:dyDescent="0.25">
      <c r="A1189">
        <v>1188</v>
      </c>
      <c r="B1189">
        <v>94</v>
      </c>
      <c r="C1189">
        <v>2837413</v>
      </c>
      <c r="D1189" t="s">
        <v>113</v>
      </c>
      <c r="E1189">
        <v>5.6740000000000004</v>
      </c>
      <c r="F1189" t="s">
        <v>21</v>
      </c>
      <c r="G1189" t="s">
        <v>26</v>
      </c>
      <c r="H1189" t="s">
        <v>21</v>
      </c>
      <c r="I1189" t="s">
        <v>20</v>
      </c>
      <c r="J1189" t="s">
        <v>20</v>
      </c>
      <c r="K1189" t="s">
        <v>41</v>
      </c>
      <c r="L1189" t="s">
        <v>87</v>
      </c>
      <c r="M1189" t="s">
        <v>58</v>
      </c>
      <c r="N1189">
        <v>41.132508000000001</v>
      </c>
      <c r="O1189">
        <v>-111.93559999999999</v>
      </c>
      <c r="P1189">
        <v>4454.4952279999998</v>
      </c>
      <c r="Q1189">
        <v>1363</v>
      </c>
      <c r="R1189">
        <v>0</v>
      </c>
    </row>
    <row r="1190" spans="1:18" x14ac:dyDescent="0.25">
      <c r="A1190">
        <v>1189</v>
      </c>
      <c r="B1190">
        <v>94</v>
      </c>
      <c r="C1190">
        <v>1736117</v>
      </c>
      <c r="D1190" t="s">
        <v>128</v>
      </c>
      <c r="E1190">
        <v>5.6749999999999998</v>
      </c>
      <c r="F1190" t="s">
        <v>21</v>
      </c>
      <c r="G1190" t="s">
        <v>26</v>
      </c>
      <c r="H1190" t="s">
        <v>21</v>
      </c>
      <c r="I1190" t="s">
        <v>20</v>
      </c>
      <c r="J1190" t="s">
        <v>20</v>
      </c>
      <c r="K1190" t="s">
        <v>41</v>
      </c>
      <c r="L1190" t="s">
        <v>95</v>
      </c>
      <c r="M1190" t="s">
        <v>73</v>
      </c>
      <c r="N1190">
        <v>41.778019</v>
      </c>
      <c r="O1190">
        <v>-111.855912</v>
      </c>
      <c r="P1190">
        <v>4399.4746519999999</v>
      </c>
      <c r="Q1190">
        <v>5943</v>
      </c>
      <c r="R1190">
        <v>0</v>
      </c>
    </row>
    <row r="1191" spans="1:18" x14ac:dyDescent="0.25">
      <c r="A1191">
        <v>1190</v>
      </c>
      <c r="B1191">
        <v>94</v>
      </c>
      <c r="C1191">
        <v>31366801</v>
      </c>
      <c r="D1191" t="s">
        <v>229</v>
      </c>
      <c r="E1191">
        <v>5.6790000000000003</v>
      </c>
      <c r="F1191" t="s">
        <v>21</v>
      </c>
      <c r="G1191" t="s">
        <v>26</v>
      </c>
      <c r="H1191" t="s">
        <v>21</v>
      </c>
      <c r="I1191" t="s">
        <v>20</v>
      </c>
      <c r="J1191" t="s">
        <v>20</v>
      </c>
      <c r="K1191" t="s">
        <v>27</v>
      </c>
      <c r="L1191" t="s">
        <v>230</v>
      </c>
      <c r="M1191" t="s">
        <v>82</v>
      </c>
      <c r="N1191">
        <v>39.477964</v>
      </c>
      <c r="O1191">
        <v>-111.548783</v>
      </c>
      <c r="P1191">
        <v>5490.6145820000002</v>
      </c>
      <c r="Q1191">
        <v>331</v>
      </c>
      <c r="R1191">
        <v>0</v>
      </c>
    </row>
    <row r="1192" spans="1:18" x14ac:dyDescent="0.25">
      <c r="A1192">
        <v>1191</v>
      </c>
      <c r="B1192">
        <v>94</v>
      </c>
      <c r="C1192">
        <v>31522008</v>
      </c>
      <c r="D1192" t="s">
        <v>231</v>
      </c>
      <c r="E1192">
        <v>5.6820000000000004</v>
      </c>
      <c r="F1192" t="s">
        <v>21</v>
      </c>
      <c r="G1192" t="s">
        <v>26</v>
      </c>
      <c r="H1192" t="s">
        <v>21</v>
      </c>
      <c r="I1192" t="s">
        <v>20</v>
      </c>
      <c r="J1192" t="s">
        <v>20</v>
      </c>
      <c r="K1192" t="s">
        <v>41</v>
      </c>
      <c r="L1192" t="s">
        <v>57</v>
      </c>
      <c r="M1192" t="s">
        <v>93</v>
      </c>
      <c r="N1192">
        <v>41.117134999999998</v>
      </c>
      <c r="O1192">
        <v>-112.02606</v>
      </c>
      <c r="P1192">
        <v>4458.3846059999996</v>
      </c>
      <c r="Q1192">
        <v>1409</v>
      </c>
      <c r="R1192">
        <v>0</v>
      </c>
    </row>
    <row r="1193" spans="1:18" x14ac:dyDescent="0.25">
      <c r="A1193">
        <v>1192</v>
      </c>
      <c r="B1193">
        <v>94</v>
      </c>
      <c r="C1193">
        <v>31191830</v>
      </c>
      <c r="D1193" t="s">
        <v>339</v>
      </c>
      <c r="E1193">
        <v>5.6849999999999996</v>
      </c>
      <c r="F1193" t="s">
        <v>21</v>
      </c>
      <c r="G1193" t="s">
        <v>26</v>
      </c>
      <c r="H1193" t="s">
        <v>21</v>
      </c>
      <c r="I1193" t="s">
        <v>20</v>
      </c>
      <c r="J1193" t="s">
        <v>20</v>
      </c>
      <c r="K1193" t="s">
        <v>41</v>
      </c>
      <c r="L1193" t="s">
        <v>95</v>
      </c>
      <c r="M1193" t="s">
        <v>73</v>
      </c>
      <c r="N1193">
        <v>41.919713999999999</v>
      </c>
      <c r="O1193">
        <v>-112.03161299999999</v>
      </c>
      <c r="P1193">
        <v>4752.1961799999999</v>
      </c>
      <c r="Q1193">
        <v>1417</v>
      </c>
      <c r="R1193">
        <v>0</v>
      </c>
    </row>
    <row r="1194" spans="1:18" x14ac:dyDescent="0.25">
      <c r="A1194">
        <v>1193</v>
      </c>
      <c r="B1194">
        <v>94</v>
      </c>
      <c r="C1194" t="s">
        <v>411</v>
      </c>
      <c r="D1194" t="s">
        <v>115</v>
      </c>
      <c r="E1194">
        <v>5.6879999999999997</v>
      </c>
      <c r="F1194" t="s">
        <v>21</v>
      </c>
      <c r="G1194" t="s">
        <v>26</v>
      </c>
      <c r="H1194" t="s">
        <v>21</v>
      </c>
      <c r="I1194" t="s">
        <v>20</v>
      </c>
      <c r="J1194" t="s">
        <v>20</v>
      </c>
      <c r="K1194" t="s">
        <v>31</v>
      </c>
      <c r="L1194" t="s">
        <v>48</v>
      </c>
      <c r="M1194" t="s">
        <v>70</v>
      </c>
      <c r="N1194">
        <v>40.653072999999999</v>
      </c>
      <c r="O1194">
        <v>-111.96889299999999</v>
      </c>
      <c r="P1194">
        <v>4416.748251</v>
      </c>
      <c r="Q1194">
        <v>1437</v>
      </c>
      <c r="R1194">
        <v>0</v>
      </c>
    </row>
    <row r="1195" spans="1:18" x14ac:dyDescent="0.25">
      <c r="A1195">
        <v>1194</v>
      </c>
      <c r="B1195">
        <v>94</v>
      </c>
      <c r="C1195" t="e">
        <f>-JYlNKssINHSNZuhCPQqkF</f>
        <v>#NAME?</v>
      </c>
      <c r="D1195" t="s">
        <v>129</v>
      </c>
      <c r="E1195">
        <v>5.6950000000000003</v>
      </c>
      <c r="F1195" t="s">
        <v>21</v>
      </c>
      <c r="G1195" t="s">
        <v>20</v>
      </c>
      <c r="H1195" t="s">
        <v>21</v>
      </c>
      <c r="I1195" t="s">
        <v>20</v>
      </c>
      <c r="J1195" t="s">
        <v>20</v>
      </c>
      <c r="K1195" t="s">
        <v>31</v>
      </c>
      <c r="L1195" t="s">
        <v>130</v>
      </c>
      <c r="M1195" t="s">
        <v>131</v>
      </c>
      <c r="N1195">
        <v>40.630839000000002</v>
      </c>
      <c r="O1195">
        <v>-111.194225</v>
      </c>
      <c r="P1195">
        <v>6950.872883</v>
      </c>
      <c r="Q1195">
        <v>340</v>
      </c>
      <c r="R1195">
        <v>0</v>
      </c>
    </row>
    <row r="1196" spans="1:18" x14ac:dyDescent="0.25">
      <c r="A1196">
        <v>1195</v>
      </c>
      <c r="B1196">
        <v>94</v>
      </c>
      <c r="C1196">
        <v>990299</v>
      </c>
      <c r="D1196" t="s">
        <v>65</v>
      </c>
      <c r="E1196">
        <v>5.702</v>
      </c>
      <c r="F1196" t="s">
        <v>19</v>
      </c>
      <c r="G1196" t="s">
        <v>20</v>
      </c>
      <c r="H1196" t="s">
        <v>21</v>
      </c>
      <c r="I1196" t="s">
        <v>20</v>
      </c>
      <c r="J1196" t="s">
        <v>20</v>
      </c>
      <c r="K1196" t="s">
        <v>31</v>
      </c>
      <c r="L1196" t="s">
        <v>188</v>
      </c>
      <c r="M1196" t="s">
        <v>67</v>
      </c>
      <c r="N1196">
        <v>40.755128999999997</v>
      </c>
      <c r="O1196">
        <v>-111.83377</v>
      </c>
      <c r="P1196">
        <v>4711.6655799999999</v>
      </c>
      <c r="Q1196">
        <v>402</v>
      </c>
      <c r="R1196">
        <v>0</v>
      </c>
    </row>
    <row r="1197" spans="1:18" x14ac:dyDescent="0.25">
      <c r="A1197">
        <v>1196</v>
      </c>
      <c r="B1197">
        <v>94</v>
      </c>
      <c r="C1197">
        <v>2363523</v>
      </c>
      <c r="D1197" t="s">
        <v>113</v>
      </c>
      <c r="E1197">
        <v>5.7130000000000001</v>
      </c>
      <c r="F1197" t="s">
        <v>21</v>
      </c>
      <c r="G1197" t="s">
        <v>26</v>
      </c>
      <c r="H1197" t="s">
        <v>21</v>
      </c>
      <c r="I1197" t="s">
        <v>20</v>
      </c>
      <c r="J1197" t="s">
        <v>20</v>
      </c>
      <c r="K1197" t="s">
        <v>41</v>
      </c>
      <c r="L1197" t="s">
        <v>87</v>
      </c>
      <c r="M1197" t="s">
        <v>58</v>
      </c>
      <c r="N1197">
        <v>41.132502000000002</v>
      </c>
      <c r="O1197">
        <v>-111.93485200000001</v>
      </c>
      <c r="P1197">
        <v>4456.0507859999998</v>
      </c>
      <c r="Q1197">
        <v>1363</v>
      </c>
      <c r="R1197">
        <v>0</v>
      </c>
    </row>
    <row r="1198" spans="1:18" x14ac:dyDescent="0.25">
      <c r="A1198">
        <v>1197</v>
      </c>
      <c r="B1198">
        <v>94</v>
      </c>
      <c r="C1198">
        <v>31509824</v>
      </c>
      <c r="D1198" t="s">
        <v>132</v>
      </c>
      <c r="E1198">
        <v>5.7160000000000002</v>
      </c>
      <c r="F1198" t="s">
        <v>21</v>
      </c>
      <c r="G1198" t="s">
        <v>20</v>
      </c>
      <c r="H1198" t="s">
        <v>21</v>
      </c>
      <c r="I1198" t="s">
        <v>20</v>
      </c>
      <c r="J1198" t="s">
        <v>20</v>
      </c>
      <c r="K1198" t="s">
        <v>22</v>
      </c>
      <c r="L1198" t="s">
        <v>133</v>
      </c>
      <c r="M1198" t="s">
        <v>134</v>
      </c>
      <c r="N1198">
        <v>40.371012</v>
      </c>
      <c r="O1198">
        <v>-110.02967099999999</v>
      </c>
      <c r="P1198">
        <v>5526.5839290000004</v>
      </c>
      <c r="Q1198">
        <v>1405</v>
      </c>
      <c r="R1198">
        <v>0</v>
      </c>
    </row>
    <row r="1199" spans="1:18" x14ac:dyDescent="0.25">
      <c r="A1199">
        <v>1198</v>
      </c>
      <c r="B1199">
        <v>94</v>
      </c>
      <c r="C1199">
        <v>816295</v>
      </c>
      <c r="D1199" t="s">
        <v>68</v>
      </c>
      <c r="E1199">
        <v>5.7169999999999996</v>
      </c>
      <c r="F1199" t="s">
        <v>21</v>
      </c>
      <c r="G1199" t="s">
        <v>26</v>
      </c>
      <c r="H1199" t="s">
        <v>21</v>
      </c>
      <c r="I1199" t="s">
        <v>20</v>
      </c>
      <c r="J1199" t="s">
        <v>20</v>
      </c>
      <c r="K1199" t="s">
        <v>31</v>
      </c>
      <c r="L1199" t="s">
        <v>32</v>
      </c>
      <c r="M1199" t="s">
        <v>70</v>
      </c>
      <c r="N1199">
        <v>40.674286000000002</v>
      </c>
      <c r="O1199">
        <v>-111.846852</v>
      </c>
      <c r="P1199">
        <v>4279.1402740000003</v>
      </c>
      <c r="Q1199">
        <v>431</v>
      </c>
      <c r="R1199">
        <v>0</v>
      </c>
    </row>
    <row r="1200" spans="1:18" x14ac:dyDescent="0.25">
      <c r="A1200">
        <v>1199</v>
      </c>
      <c r="B1200">
        <v>94</v>
      </c>
      <c r="C1200">
        <v>534729</v>
      </c>
      <c r="D1200" t="s">
        <v>44</v>
      </c>
      <c r="E1200">
        <v>5.9610000000000003</v>
      </c>
      <c r="F1200" t="s">
        <v>21</v>
      </c>
      <c r="G1200" t="s">
        <v>26</v>
      </c>
      <c r="H1200" t="s">
        <v>21</v>
      </c>
      <c r="I1200" t="s">
        <v>20</v>
      </c>
      <c r="J1200" t="s">
        <v>20</v>
      </c>
      <c r="K1200" t="s">
        <v>41</v>
      </c>
      <c r="L1200" t="s">
        <v>45</v>
      </c>
      <c r="M1200" t="s">
        <v>46</v>
      </c>
      <c r="N1200">
        <v>40.963366999999998</v>
      </c>
      <c r="O1200">
        <v>-111.88334999999999</v>
      </c>
      <c r="P1200">
        <v>4278.6607949999998</v>
      </c>
      <c r="Q1200">
        <v>1395</v>
      </c>
      <c r="R1200">
        <v>0</v>
      </c>
    </row>
    <row r="1201" spans="1:18" x14ac:dyDescent="0.25">
      <c r="A1201">
        <v>1200</v>
      </c>
      <c r="B1201">
        <v>94</v>
      </c>
      <c r="C1201">
        <v>31808054</v>
      </c>
      <c r="D1201" t="s">
        <v>61</v>
      </c>
      <c r="E1201">
        <v>5.9649999999999999</v>
      </c>
      <c r="F1201" t="s">
        <v>19</v>
      </c>
      <c r="G1201" t="s">
        <v>20</v>
      </c>
      <c r="H1201" t="s">
        <v>21</v>
      </c>
      <c r="I1201" t="s">
        <v>20</v>
      </c>
      <c r="J1201" t="s">
        <v>20</v>
      </c>
      <c r="K1201" t="s">
        <v>22</v>
      </c>
      <c r="L1201" t="s">
        <v>60</v>
      </c>
      <c r="M1201" t="s">
        <v>62</v>
      </c>
      <c r="N1201">
        <v>40.292155999999999</v>
      </c>
      <c r="O1201">
        <v>-111.658188</v>
      </c>
      <c r="P1201">
        <v>4680.3491670000003</v>
      </c>
      <c r="Q1201">
        <v>403</v>
      </c>
      <c r="R1201">
        <v>0</v>
      </c>
    </row>
    <row r="1202" spans="1:18" x14ac:dyDescent="0.25">
      <c r="A1202">
        <v>1201</v>
      </c>
      <c r="B1202">
        <v>94</v>
      </c>
      <c r="C1202">
        <v>31405375</v>
      </c>
      <c r="D1202" t="s">
        <v>224</v>
      </c>
      <c r="E1202">
        <v>5.9649999999999999</v>
      </c>
      <c r="F1202" t="s">
        <v>21</v>
      </c>
      <c r="G1202" t="s">
        <v>26</v>
      </c>
      <c r="H1202" t="s">
        <v>21</v>
      </c>
      <c r="I1202" t="s">
        <v>20</v>
      </c>
      <c r="J1202" t="s">
        <v>20</v>
      </c>
      <c r="K1202" t="s">
        <v>22</v>
      </c>
      <c r="L1202" t="s">
        <v>198</v>
      </c>
      <c r="M1202" t="s">
        <v>194</v>
      </c>
      <c r="N1202">
        <v>40.044508</v>
      </c>
      <c r="O1202">
        <v>-111.721469</v>
      </c>
      <c r="P1202">
        <v>4608.5670559999999</v>
      </c>
      <c r="Q1202">
        <v>408</v>
      </c>
      <c r="R1202">
        <v>0</v>
      </c>
    </row>
    <row r="1203" spans="1:18" x14ac:dyDescent="0.25">
      <c r="A1203">
        <v>1202</v>
      </c>
      <c r="B1203">
        <v>94</v>
      </c>
      <c r="C1203">
        <v>31694456</v>
      </c>
      <c r="D1203" t="s">
        <v>96</v>
      </c>
      <c r="E1203">
        <v>5.9660000000000002</v>
      </c>
      <c r="F1203" t="s">
        <v>21</v>
      </c>
      <c r="G1203" t="s">
        <v>20</v>
      </c>
      <c r="H1203" t="s">
        <v>21</v>
      </c>
      <c r="I1203" t="s">
        <v>20</v>
      </c>
      <c r="J1203" t="s">
        <v>20</v>
      </c>
      <c r="K1203" t="s">
        <v>22</v>
      </c>
      <c r="L1203" t="s">
        <v>97</v>
      </c>
      <c r="M1203" t="s">
        <v>98</v>
      </c>
      <c r="N1203">
        <v>40.977204</v>
      </c>
      <c r="O1203">
        <v>-109.754918</v>
      </c>
      <c r="P1203">
        <v>6633.6535679999997</v>
      </c>
      <c r="Q1203">
        <v>311</v>
      </c>
      <c r="R1203">
        <v>0</v>
      </c>
    </row>
    <row r="1204" spans="1:18" x14ac:dyDescent="0.25">
      <c r="A1204">
        <v>1203</v>
      </c>
      <c r="B1204">
        <v>94</v>
      </c>
      <c r="C1204">
        <v>2363544</v>
      </c>
      <c r="D1204" t="s">
        <v>113</v>
      </c>
      <c r="E1204">
        <v>5.9660000000000002</v>
      </c>
      <c r="F1204" t="s">
        <v>21</v>
      </c>
      <c r="G1204" t="s">
        <v>26</v>
      </c>
      <c r="H1204" t="s">
        <v>21</v>
      </c>
      <c r="I1204" t="s">
        <v>20</v>
      </c>
      <c r="J1204" t="s">
        <v>20</v>
      </c>
      <c r="K1204" t="s">
        <v>41</v>
      </c>
      <c r="L1204" t="s">
        <v>87</v>
      </c>
      <c r="M1204" t="s">
        <v>58</v>
      </c>
      <c r="N1204">
        <v>41.132491999999999</v>
      </c>
      <c r="O1204">
        <v>-111.930002</v>
      </c>
      <c r="P1204">
        <v>4455.5871299999999</v>
      </c>
      <c r="Q1204">
        <v>1363</v>
      </c>
      <c r="R1204">
        <v>0</v>
      </c>
    </row>
    <row r="1205" spans="1:18" x14ac:dyDescent="0.25">
      <c r="A1205">
        <v>1204</v>
      </c>
      <c r="B1205">
        <v>94</v>
      </c>
      <c r="C1205">
        <v>31504506</v>
      </c>
      <c r="D1205" t="s">
        <v>292</v>
      </c>
      <c r="E1205">
        <v>5.9710000000000001</v>
      </c>
      <c r="F1205" t="s">
        <v>21</v>
      </c>
      <c r="G1205" t="s">
        <v>26</v>
      </c>
      <c r="H1205" t="s">
        <v>21</v>
      </c>
      <c r="I1205" t="s">
        <v>20</v>
      </c>
      <c r="J1205" t="s">
        <v>20</v>
      </c>
      <c r="K1205" t="s">
        <v>22</v>
      </c>
      <c r="L1205" t="s">
        <v>253</v>
      </c>
      <c r="M1205" t="s">
        <v>134</v>
      </c>
      <c r="N1205">
        <v>40.248173000000001</v>
      </c>
      <c r="O1205">
        <v>-110.38686199999999</v>
      </c>
      <c r="P1205">
        <v>5945.5360449999998</v>
      </c>
      <c r="Q1205">
        <v>323</v>
      </c>
      <c r="R1205">
        <v>0</v>
      </c>
    </row>
    <row r="1206" spans="1:18" x14ac:dyDescent="0.25">
      <c r="A1206">
        <v>1205</v>
      </c>
      <c r="B1206">
        <v>94</v>
      </c>
      <c r="C1206">
        <v>27948731</v>
      </c>
      <c r="D1206" t="s">
        <v>281</v>
      </c>
      <c r="E1206">
        <v>5.9729999999999999</v>
      </c>
      <c r="F1206" t="s">
        <v>21</v>
      </c>
      <c r="G1206" t="s">
        <v>26</v>
      </c>
      <c r="H1206" t="s">
        <v>21</v>
      </c>
      <c r="I1206" t="s">
        <v>20</v>
      </c>
      <c r="J1206" t="s">
        <v>20</v>
      </c>
      <c r="K1206" t="s">
        <v>22</v>
      </c>
      <c r="L1206" t="s">
        <v>193</v>
      </c>
      <c r="M1206" t="s">
        <v>174</v>
      </c>
      <c r="N1206">
        <v>39.955365</v>
      </c>
      <c r="O1206">
        <v>-112.24133999999999</v>
      </c>
      <c r="P1206">
        <v>6028.6081899999999</v>
      </c>
      <c r="Q1206">
        <v>1347</v>
      </c>
      <c r="R1206">
        <v>0</v>
      </c>
    </row>
    <row r="1207" spans="1:18" x14ac:dyDescent="0.25">
      <c r="A1207">
        <v>1206</v>
      </c>
      <c r="B1207">
        <v>94</v>
      </c>
      <c r="C1207">
        <v>1743204</v>
      </c>
      <c r="D1207" t="s">
        <v>197</v>
      </c>
      <c r="E1207">
        <v>5.9740000000000002</v>
      </c>
      <c r="F1207" t="s">
        <v>21</v>
      </c>
      <c r="G1207" t="s">
        <v>26</v>
      </c>
      <c r="H1207" t="s">
        <v>21</v>
      </c>
      <c r="I1207" t="s">
        <v>20</v>
      </c>
      <c r="J1207" t="s">
        <v>20</v>
      </c>
      <c r="K1207" t="s">
        <v>22</v>
      </c>
      <c r="L1207" t="s">
        <v>198</v>
      </c>
      <c r="M1207" t="s">
        <v>125</v>
      </c>
      <c r="N1207">
        <v>40.031585</v>
      </c>
      <c r="O1207">
        <v>-111.78715699999999</v>
      </c>
      <c r="P1207">
        <v>4573.9702710000001</v>
      </c>
      <c r="Q1207">
        <v>1416</v>
      </c>
      <c r="R1207">
        <v>0</v>
      </c>
    </row>
    <row r="1208" spans="1:18" x14ac:dyDescent="0.25">
      <c r="A1208">
        <v>1207</v>
      </c>
      <c r="B1208">
        <v>94</v>
      </c>
      <c r="C1208">
        <v>31364577</v>
      </c>
      <c r="D1208" t="s">
        <v>343</v>
      </c>
      <c r="E1208">
        <v>5.9770000000000003</v>
      </c>
      <c r="F1208" t="s">
        <v>21</v>
      </c>
      <c r="G1208" t="s">
        <v>26</v>
      </c>
      <c r="H1208" t="s">
        <v>21</v>
      </c>
      <c r="I1208" t="s">
        <v>20</v>
      </c>
      <c r="J1208" t="s">
        <v>20</v>
      </c>
      <c r="K1208" t="s">
        <v>27</v>
      </c>
      <c r="L1208" t="s">
        <v>230</v>
      </c>
      <c r="M1208" t="s">
        <v>82</v>
      </c>
      <c r="N1208">
        <v>39.546759000000002</v>
      </c>
      <c r="O1208">
        <v>-111.47560799999999</v>
      </c>
      <c r="P1208">
        <v>5726.6238039999998</v>
      </c>
      <c r="Q1208">
        <v>1402</v>
      </c>
      <c r="R1208">
        <v>0</v>
      </c>
    </row>
    <row r="1209" spans="1:18" x14ac:dyDescent="0.25">
      <c r="A1209">
        <v>1208</v>
      </c>
      <c r="B1209">
        <v>94</v>
      </c>
      <c r="C1209">
        <v>1012763</v>
      </c>
      <c r="D1209" t="s">
        <v>65</v>
      </c>
      <c r="E1209">
        <v>6.9290000000000003</v>
      </c>
      <c r="F1209" t="s">
        <v>19</v>
      </c>
      <c r="G1209" t="s">
        <v>20</v>
      </c>
      <c r="H1209" t="s">
        <v>21</v>
      </c>
      <c r="I1209" t="s">
        <v>20</v>
      </c>
      <c r="J1209" t="s">
        <v>20</v>
      </c>
      <c r="K1209" t="s">
        <v>31</v>
      </c>
      <c r="L1209" t="s">
        <v>188</v>
      </c>
      <c r="M1209" t="s">
        <v>67</v>
      </c>
      <c r="N1209">
        <v>40.739078999999997</v>
      </c>
      <c r="O1209">
        <v>-111.825113</v>
      </c>
      <c r="P1209">
        <v>4671.9390810000004</v>
      </c>
      <c r="Q1209">
        <v>402</v>
      </c>
      <c r="R1209">
        <v>0</v>
      </c>
    </row>
    <row r="1210" spans="1:18" x14ac:dyDescent="0.25">
      <c r="A1210">
        <v>1209</v>
      </c>
      <c r="B1210">
        <v>94</v>
      </c>
      <c r="C1210">
        <v>28650854</v>
      </c>
      <c r="D1210" t="s">
        <v>192</v>
      </c>
      <c r="E1210">
        <v>6.9409999999999998</v>
      </c>
      <c r="F1210" t="s">
        <v>21</v>
      </c>
      <c r="G1210" t="s">
        <v>26</v>
      </c>
      <c r="H1210" t="s">
        <v>21</v>
      </c>
      <c r="I1210" t="s">
        <v>20</v>
      </c>
      <c r="J1210" t="s">
        <v>20</v>
      </c>
      <c r="K1210" t="s">
        <v>22</v>
      </c>
      <c r="L1210" t="s">
        <v>140</v>
      </c>
      <c r="M1210" t="s">
        <v>125</v>
      </c>
      <c r="N1210">
        <v>40.161279999999998</v>
      </c>
      <c r="O1210">
        <v>-111.651078</v>
      </c>
      <c r="P1210">
        <v>4449.3113569999996</v>
      </c>
      <c r="Q1210">
        <v>1375</v>
      </c>
      <c r="R1210">
        <v>0</v>
      </c>
    </row>
    <row r="1211" spans="1:18" x14ac:dyDescent="0.25">
      <c r="A1211">
        <v>1210</v>
      </c>
      <c r="B1211">
        <v>94</v>
      </c>
      <c r="C1211">
        <v>31301234</v>
      </c>
      <c r="D1211" t="s">
        <v>203</v>
      </c>
      <c r="E1211">
        <v>6.9429999999999996</v>
      </c>
      <c r="F1211" t="s">
        <v>21</v>
      </c>
      <c r="G1211" t="s">
        <v>26</v>
      </c>
      <c r="H1211" t="s">
        <v>21</v>
      </c>
      <c r="I1211" t="s">
        <v>20</v>
      </c>
      <c r="J1211" t="s">
        <v>20</v>
      </c>
      <c r="K1211" t="s">
        <v>41</v>
      </c>
      <c r="L1211" t="s">
        <v>81</v>
      </c>
      <c r="M1211" t="s">
        <v>204</v>
      </c>
      <c r="N1211">
        <v>41.244166</v>
      </c>
      <c r="O1211">
        <v>-111.95941000000001</v>
      </c>
      <c r="P1211">
        <v>4266.1647569999996</v>
      </c>
      <c r="Q1211">
        <v>1349</v>
      </c>
      <c r="R1211">
        <v>0</v>
      </c>
    </row>
    <row r="1212" spans="1:18" x14ac:dyDescent="0.25">
      <c r="A1212">
        <v>1211</v>
      </c>
      <c r="B1212">
        <v>94</v>
      </c>
      <c r="C1212">
        <v>28123911</v>
      </c>
      <c r="D1212" t="s">
        <v>239</v>
      </c>
      <c r="E1212">
        <v>7.1429999999999998</v>
      </c>
      <c r="F1212" t="s">
        <v>21</v>
      </c>
      <c r="G1212" t="s">
        <v>26</v>
      </c>
      <c r="H1212" t="s">
        <v>21</v>
      </c>
      <c r="I1212" t="s">
        <v>20</v>
      </c>
      <c r="J1212" t="s">
        <v>20</v>
      </c>
      <c r="K1212" t="s">
        <v>41</v>
      </c>
      <c r="L1212" t="s">
        <v>181</v>
      </c>
      <c r="M1212" t="s">
        <v>178</v>
      </c>
      <c r="N1212">
        <v>41.673304999999999</v>
      </c>
      <c r="O1212">
        <v>-112.296665</v>
      </c>
      <c r="P1212">
        <v>4258.5336100000004</v>
      </c>
      <c r="Q1212">
        <v>1392</v>
      </c>
      <c r="R1212">
        <v>0</v>
      </c>
    </row>
    <row r="1213" spans="1:18" x14ac:dyDescent="0.25">
      <c r="A1213">
        <v>1212</v>
      </c>
      <c r="B1213">
        <v>94</v>
      </c>
      <c r="C1213">
        <v>1012947</v>
      </c>
      <c r="D1213" t="s">
        <v>65</v>
      </c>
      <c r="E1213">
        <v>7.149</v>
      </c>
      <c r="F1213" t="s">
        <v>21</v>
      </c>
      <c r="G1213" t="s">
        <v>26</v>
      </c>
      <c r="H1213" t="s">
        <v>21</v>
      </c>
      <c r="I1213" t="s">
        <v>20</v>
      </c>
      <c r="J1213" t="s">
        <v>20</v>
      </c>
      <c r="K1213" t="s">
        <v>31</v>
      </c>
      <c r="L1213" t="s">
        <v>188</v>
      </c>
      <c r="M1213" t="s">
        <v>67</v>
      </c>
      <c r="N1213">
        <v>40.736412999999999</v>
      </c>
      <c r="O1213">
        <v>-111.822782</v>
      </c>
      <c r="P1213">
        <v>4686.7759219999998</v>
      </c>
      <c r="Q1213">
        <v>402</v>
      </c>
      <c r="R1213">
        <v>0</v>
      </c>
    </row>
    <row r="1214" spans="1:18" x14ac:dyDescent="0.25">
      <c r="A1214">
        <v>1213</v>
      </c>
      <c r="B1214">
        <v>94</v>
      </c>
      <c r="C1214">
        <v>838276</v>
      </c>
      <c r="D1214" t="s">
        <v>68</v>
      </c>
      <c r="E1214">
        <v>7.1550000000000002</v>
      </c>
      <c r="F1214" t="s">
        <v>21</v>
      </c>
      <c r="G1214" t="s">
        <v>26</v>
      </c>
      <c r="H1214" t="s">
        <v>21</v>
      </c>
      <c r="I1214" t="s">
        <v>20</v>
      </c>
      <c r="J1214" t="s">
        <v>20</v>
      </c>
      <c r="K1214" t="s">
        <v>31</v>
      </c>
      <c r="L1214" t="s">
        <v>32</v>
      </c>
      <c r="M1214" t="s">
        <v>70</v>
      </c>
      <c r="N1214">
        <v>40.675120999999997</v>
      </c>
      <c r="O1214">
        <v>-111.819739</v>
      </c>
      <c r="P1214">
        <v>4512.0993550000003</v>
      </c>
      <c r="Q1214">
        <v>431</v>
      </c>
      <c r="R1214">
        <v>0</v>
      </c>
    </row>
    <row r="1215" spans="1:18" x14ac:dyDescent="0.25">
      <c r="A1215">
        <v>1214</v>
      </c>
      <c r="B1215">
        <v>94</v>
      </c>
      <c r="C1215">
        <v>31796956</v>
      </c>
      <c r="D1215" t="s">
        <v>192</v>
      </c>
      <c r="E1215">
        <v>7.1609999999999996</v>
      </c>
      <c r="F1215" t="s">
        <v>19</v>
      </c>
      <c r="G1215" t="s">
        <v>20</v>
      </c>
      <c r="H1215" t="s">
        <v>21</v>
      </c>
      <c r="I1215" t="s">
        <v>20</v>
      </c>
      <c r="J1215" t="s">
        <v>20</v>
      </c>
      <c r="K1215" t="s">
        <v>22</v>
      </c>
      <c r="L1215" t="s">
        <v>140</v>
      </c>
      <c r="M1215" t="s">
        <v>125</v>
      </c>
      <c r="N1215">
        <v>40.161310999999998</v>
      </c>
      <c r="O1215">
        <v>-111.646918</v>
      </c>
      <c r="P1215">
        <v>4479.2708910000001</v>
      </c>
      <c r="Q1215">
        <v>1375</v>
      </c>
      <c r="R1215">
        <v>0</v>
      </c>
    </row>
    <row r="1216" spans="1:18" x14ac:dyDescent="0.25">
      <c r="A1216">
        <v>1215</v>
      </c>
      <c r="B1216">
        <v>94</v>
      </c>
      <c r="C1216">
        <v>31408470</v>
      </c>
      <c r="D1216" t="s">
        <v>224</v>
      </c>
      <c r="E1216">
        <v>7.1609999999999996</v>
      </c>
      <c r="F1216" t="s">
        <v>21</v>
      </c>
      <c r="G1216" t="s">
        <v>26</v>
      </c>
      <c r="H1216" t="s">
        <v>21</v>
      </c>
      <c r="I1216" t="s">
        <v>20</v>
      </c>
      <c r="J1216" t="s">
        <v>20</v>
      </c>
      <c r="K1216" t="s">
        <v>22</v>
      </c>
      <c r="L1216" t="s">
        <v>198</v>
      </c>
      <c r="M1216" t="s">
        <v>194</v>
      </c>
      <c r="N1216">
        <v>40.047342999999998</v>
      </c>
      <c r="O1216">
        <v>-111.69934000000001</v>
      </c>
      <c r="P1216">
        <v>4526.3277870000002</v>
      </c>
      <c r="Q1216">
        <v>408</v>
      </c>
      <c r="R1216">
        <v>0</v>
      </c>
    </row>
    <row r="1217" spans="1:18" x14ac:dyDescent="0.25">
      <c r="A1217">
        <v>1216</v>
      </c>
      <c r="B1217">
        <v>94</v>
      </c>
      <c r="C1217">
        <v>31532644</v>
      </c>
      <c r="D1217" t="s">
        <v>412</v>
      </c>
      <c r="E1217">
        <v>7.165</v>
      </c>
      <c r="F1217" t="s">
        <v>21</v>
      </c>
      <c r="G1217" t="s">
        <v>26</v>
      </c>
      <c r="H1217" t="s">
        <v>21</v>
      </c>
      <c r="I1217" t="s">
        <v>20</v>
      </c>
      <c r="J1217" t="s">
        <v>20</v>
      </c>
      <c r="K1217" t="s">
        <v>27</v>
      </c>
      <c r="L1217" t="s">
        <v>173</v>
      </c>
      <c r="M1217" t="s">
        <v>267</v>
      </c>
      <c r="N1217">
        <v>39.355494</v>
      </c>
      <c r="O1217">
        <v>-112.36282799999999</v>
      </c>
      <c r="P1217">
        <v>4980.4455710000002</v>
      </c>
      <c r="Q1217">
        <v>1408</v>
      </c>
      <c r="R1217">
        <v>0</v>
      </c>
    </row>
    <row r="1218" spans="1:18" x14ac:dyDescent="0.25">
      <c r="A1218">
        <v>1217</v>
      </c>
      <c r="B1218">
        <v>94</v>
      </c>
      <c r="C1218">
        <v>539106</v>
      </c>
      <c r="D1218" t="s">
        <v>44</v>
      </c>
      <c r="E1218">
        <v>7.1680000000000001</v>
      </c>
      <c r="F1218" t="s">
        <v>21</v>
      </c>
      <c r="G1218" t="s">
        <v>26</v>
      </c>
      <c r="H1218" t="s">
        <v>21</v>
      </c>
      <c r="I1218" t="s">
        <v>20</v>
      </c>
      <c r="J1218" t="s">
        <v>20</v>
      </c>
      <c r="K1218" t="s">
        <v>41</v>
      </c>
      <c r="L1218" t="s">
        <v>87</v>
      </c>
      <c r="M1218" t="s">
        <v>46</v>
      </c>
      <c r="N1218">
        <v>40.980328999999998</v>
      </c>
      <c r="O1218">
        <v>-111.88526400000001</v>
      </c>
      <c r="P1218">
        <v>4261.2390379999997</v>
      </c>
      <c r="Q1218">
        <v>1395</v>
      </c>
      <c r="R1218">
        <v>0</v>
      </c>
    </row>
    <row r="1219" spans="1:18" x14ac:dyDescent="0.25">
      <c r="A1219">
        <v>1218</v>
      </c>
      <c r="B1219">
        <v>94</v>
      </c>
      <c r="C1219" t="e">
        <f>-JSTcirjFa98KHWhDBah9F</f>
        <v>#NAME?</v>
      </c>
      <c r="D1219" t="s">
        <v>136</v>
      </c>
      <c r="E1219">
        <v>7.1790000000000003</v>
      </c>
      <c r="F1219" t="s">
        <v>21</v>
      </c>
      <c r="G1219" t="s">
        <v>20</v>
      </c>
      <c r="H1219" t="s">
        <v>21</v>
      </c>
      <c r="I1219" t="s">
        <v>20</v>
      </c>
      <c r="J1219" t="s">
        <v>20</v>
      </c>
      <c r="K1219" t="s">
        <v>41</v>
      </c>
      <c r="L1219" t="s">
        <v>137</v>
      </c>
      <c r="M1219" t="s">
        <v>138</v>
      </c>
      <c r="N1219">
        <v>40.960788999999998</v>
      </c>
      <c r="O1219">
        <v>-111.66822500000001</v>
      </c>
      <c r="P1219">
        <v>5199.1272760000002</v>
      </c>
      <c r="Q1219">
        <v>317</v>
      </c>
      <c r="R1219">
        <v>0</v>
      </c>
    </row>
    <row r="1220" spans="1:18" x14ac:dyDescent="0.25">
      <c r="A1220">
        <v>1219</v>
      </c>
      <c r="B1220">
        <v>94</v>
      </c>
      <c r="C1220">
        <v>31322573</v>
      </c>
      <c r="D1220" t="s">
        <v>413</v>
      </c>
      <c r="E1220">
        <v>7.18</v>
      </c>
      <c r="F1220" t="s">
        <v>19</v>
      </c>
      <c r="G1220" t="s">
        <v>361</v>
      </c>
      <c r="H1220" t="s">
        <v>19</v>
      </c>
      <c r="I1220">
        <v>111</v>
      </c>
      <c r="J1220" t="s">
        <v>20</v>
      </c>
      <c r="K1220" t="s">
        <v>31</v>
      </c>
      <c r="L1220" t="s">
        <v>78</v>
      </c>
      <c r="M1220" t="s">
        <v>206</v>
      </c>
      <c r="N1220">
        <v>40.717260000000003</v>
      </c>
      <c r="O1220">
        <v>-112.091792</v>
      </c>
      <c r="P1220">
        <v>4186.6482910000004</v>
      </c>
      <c r="Q1220">
        <v>411</v>
      </c>
      <c r="R1220">
        <v>0</v>
      </c>
    </row>
    <row r="1221" spans="1:18" x14ac:dyDescent="0.25">
      <c r="A1221">
        <v>1220</v>
      </c>
      <c r="B1221">
        <v>94</v>
      </c>
      <c r="C1221">
        <v>31195479</v>
      </c>
      <c r="D1221" t="s">
        <v>395</v>
      </c>
      <c r="E1221">
        <v>7.181</v>
      </c>
      <c r="F1221" t="s">
        <v>21</v>
      </c>
      <c r="G1221" t="s">
        <v>26</v>
      </c>
      <c r="H1221" t="s">
        <v>21</v>
      </c>
      <c r="I1221" t="s">
        <v>20</v>
      </c>
      <c r="J1221" t="s">
        <v>20</v>
      </c>
      <c r="K1221" t="s">
        <v>27</v>
      </c>
      <c r="L1221" t="s">
        <v>165</v>
      </c>
      <c r="M1221" t="s">
        <v>166</v>
      </c>
      <c r="N1221">
        <v>38.894759999999998</v>
      </c>
      <c r="O1221">
        <v>-112.41183599999999</v>
      </c>
      <c r="P1221">
        <v>4756.5380050000003</v>
      </c>
      <c r="Q1221">
        <v>335</v>
      </c>
      <c r="R1221">
        <v>0</v>
      </c>
    </row>
    <row r="1222" spans="1:18" x14ac:dyDescent="0.25">
      <c r="A1222">
        <v>1221</v>
      </c>
      <c r="B1222">
        <v>94</v>
      </c>
      <c r="C1222">
        <v>31291223</v>
      </c>
      <c r="D1222" t="s">
        <v>126</v>
      </c>
      <c r="E1222">
        <v>7.1820000000000004</v>
      </c>
      <c r="F1222" t="s">
        <v>21</v>
      </c>
      <c r="G1222" t="s">
        <v>26</v>
      </c>
      <c r="H1222" t="s">
        <v>21</v>
      </c>
      <c r="I1222" t="s">
        <v>20</v>
      </c>
      <c r="J1222" t="s">
        <v>20</v>
      </c>
      <c r="K1222" t="s">
        <v>41</v>
      </c>
      <c r="L1222" t="s">
        <v>57</v>
      </c>
      <c r="M1222" t="s">
        <v>93</v>
      </c>
      <c r="N1222">
        <v>41.29522</v>
      </c>
      <c r="O1222">
        <v>-112.092342</v>
      </c>
      <c r="P1222">
        <v>4185.9792260000004</v>
      </c>
      <c r="Q1222">
        <v>1412</v>
      </c>
      <c r="R1222">
        <v>0</v>
      </c>
    </row>
    <row r="1223" spans="1:18" x14ac:dyDescent="0.25">
      <c r="A1223">
        <v>1222</v>
      </c>
      <c r="B1223">
        <v>94</v>
      </c>
      <c r="C1223">
        <v>31391620</v>
      </c>
      <c r="D1223" t="s">
        <v>203</v>
      </c>
      <c r="E1223">
        <v>7.194</v>
      </c>
      <c r="F1223" t="s">
        <v>21</v>
      </c>
      <c r="G1223" t="s">
        <v>26</v>
      </c>
      <c r="H1223" t="s">
        <v>21</v>
      </c>
      <c r="I1223" t="s">
        <v>20</v>
      </c>
      <c r="J1223" t="s">
        <v>20</v>
      </c>
      <c r="K1223" t="s">
        <v>41</v>
      </c>
      <c r="L1223" t="s">
        <v>81</v>
      </c>
      <c r="M1223" t="s">
        <v>204</v>
      </c>
      <c r="N1223">
        <v>41.244129000000001</v>
      </c>
      <c r="O1223">
        <v>-111.95457399999999</v>
      </c>
      <c r="P1223">
        <v>4279.4221619999998</v>
      </c>
      <c r="Q1223">
        <v>1349</v>
      </c>
      <c r="R1223">
        <v>0</v>
      </c>
    </row>
    <row r="1224" spans="1:18" x14ac:dyDescent="0.25">
      <c r="A1224">
        <v>1223</v>
      </c>
      <c r="B1224">
        <v>94</v>
      </c>
      <c r="C1224">
        <v>31661997</v>
      </c>
      <c r="D1224" t="s">
        <v>306</v>
      </c>
      <c r="E1224">
        <v>7.1950000000000003</v>
      </c>
      <c r="F1224" t="s">
        <v>21</v>
      </c>
      <c r="G1224" t="s">
        <v>20</v>
      </c>
      <c r="H1224" t="s">
        <v>21</v>
      </c>
      <c r="I1224" t="s">
        <v>20</v>
      </c>
      <c r="J1224" t="s">
        <v>20</v>
      </c>
      <c r="K1224" t="s">
        <v>27</v>
      </c>
      <c r="L1224" t="s">
        <v>307</v>
      </c>
      <c r="M1224" t="s">
        <v>82</v>
      </c>
      <c r="N1224">
        <v>39.662736000000002</v>
      </c>
      <c r="O1224">
        <v>-111.243465</v>
      </c>
      <c r="P1224">
        <v>8588.2100530000007</v>
      </c>
      <c r="Q1224">
        <v>430</v>
      </c>
      <c r="R1224">
        <v>0</v>
      </c>
    </row>
    <row r="1225" spans="1:18" x14ac:dyDescent="0.25">
      <c r="A1225">
        <v>1224</v>
      </c>
      <c r="B1225">
        <v>94</v>
      </c>
      <c r="C1225">
        <v>31654758</v>
      </c>
      <c r="D1225" t="s">
        <v>109</v>
      </c>
      <c r="E1225">
        <v>7.1959999999999997</v>
      </c>
      <c r="F1225" t="s">
        <v>21</v>
      </c>
      <c r="G1225" t="s">
        <v>26</v>
      </c>
      <c r="H1225" t="s">
        <v>21</v>
      </c>
      <c r="I1225" t="s">
        <v>20</v>
      </c>
      <c r="J1225" t="s">
        <v>20</v>
      </c>
      <c r="K1225" t="s">
        <v>41</v>
      </c>
      <c r="L1225" t="s">
        <v>42</v>
      </c>
      <c r="M1225" t="s">
        <v>73</v>
      </c>
      <c r="N1225">
        <v>41.666480999999997</v>
      </c>
      <c r="O1225">
        <v>-111.83361499999999</v>
      </c>
      <c r="P1225">
        <v>4527.3318149999996</v>
      </c>
      <c r="Q1225">
        <v>345</v>
      </c>
      <c r="R1225">
        <v>0</v>
      </c>
    </row>
    <row r="1226" spans="1:18" x14ac:dyDescent="0.25">
      <c r="A1226">
        <v>1225</v>
      </c>
      <c r="B1226">
        <v>94</v>
      </c>
      <c r="C1226">
        <v>27378199</v>
      </c>
      <c r="D1226" t="s">
        <v>185</v>
      </c>
      <c r="E1226">
        <v>7.2050000000000001</v>
      </c>
      <c r="F1226" t="s">
        <v>21</v>
      </c>
      <c r="G1226" t="s">
        <v>26</v>
      </c>
      <c r="H1226" t="s">
        <v>21</v>
      </c>
      <c r="I1226" t="s">
        <v>20</v>
      </c>
      <c r="J1226" t="s">
        <v>20</v>
      </c>
      <c r="K1226" t="s">
        <v>41</v>
      </c>
      <c r="L1226" t="s">
        <v>57</v>
      </c>
      <c r="M1226" t="s">
        <v>58</v>
      </c>
      <c r="N1226">
        <v>41.171399000000001</v>
      </c>
      <c r="O1226">
        <v>-112.12267199999999</v>
      </c>
      <c r="P1226">
        <v>4184.3912929999997</v>
      </c>
      <c r="Q1226">
        <v>309</v>
      </c>
      <c r="R1226">
        <v>0</v>
      </c>
    </row>
    <row r="1227" spans="1:18" x14ac:dyDescent="0.25">
      <c r="A1227">
        <v>1226</v>
      </c>
      <c r="B1227">
        <v>94</v>
      </c>
      <c r="C1227">
        <v>1012973</v>
      </c>
      <c r="D1227" t="s">
        <v>65</v>
      </c>
      <c r="E1227">
        <v>7.2069999999999999</v>
      </c>
      <c r="F1227" t="s">
        <v>21</v>
      </c>
      <c r="G1227" t="s">
        <v>26</v>
      </c>
      <c r="H1227" t="s">
        <v>21</v>
      </c>
      <c r="I1227" t="s">
        <v>20</v>
      </c>
      <c r="J1227" t="s">
        <v>20</v>
      </c>
      <c r="K1227" t="s">
        <v>31</v>
      </c>
      <c r="L1227" t="s">
        <v>188</v>
      </c>
      <c r="M1227" t="s">
        <v>67</v>
      </c>
      <c r="N1227">
        <v>40.735697000000002</v>
      </c>
      <c r="O1227">
        <v>-111.822152</v>
      </c>
      <c r="P1227">
        <v>4687.144378</v>
      </c>
      <c r="Q1227">
        <v>402</v>
      </c>
      <c r="R1227">
        <v>0</v>
      </c>
    </row>
    <row r="1228" spans="1:18" x14ac:dyDescent="0.25">
      <c r="A1228">
        <v>1227</v>
      </c>
      <c r="B1228">
        <v>94</v>
      </c>
      <c r="C1228">
        <v>1492547</v>
      </c>
      <c r="D1228" t="s">
        <v>88</v>
      </c>
      <c r="E1228">
        <v>7.21</v>
      </c>
      <c r="F1228" t="s">
        <v>19</v>
      </c>
      <c r="G1228" t="s">
        <v>20</v>
      </c>
      <c r="H1228" t="s">
        <v>21</v>
      </c>
      <c r="I1228" t="s">
        <v>20</v>
      </c>
      <c r="J1228" t="s">
        <v>20</v>
      </c>
      <c r="K1228" t="s">
        <v>31</v>
      </c>
      <c r="L1228" t="s">
        <v>89</v>
      </c>
      <c r="M1228" t="s">
        <v>90</v>
      </c>
      <c r="N1228">
        <v>40.544277000000001</v>
      </c>
      <c r="O1228">
        <v>-111.872055</v>
      </c>
      <c r="P1228">
        <v>4476.6028820000001</v>
      </c>
      <c r="Q1228">
        <v>318</v>
      </c>
      <c r="R1228">
        <v>0</v>
      </c>
    </row>
    <row r="1229" spans="1:18" x14ac:dyDescent="0.25">
      <c r="A1229">
        <v>1228</v>
      </c>
      <c r="B1229">
        <v>94</v>
      </c>
      <c r="C1229">
        <v>2366506</v>
      </c>
      <c r="D1229" t="s">
        <v>113</v>
      </c>
      <c r="E1229">
        <v>7.21</v>
      </c>
      <c r="F1229" t="s">
        <v>21</v>
      </c>
      <c r="G1229" t="s">
        <v>26</v>
      </c>
      <c r="H1229" t="s">
        <v>21</v>
      </c>
      <c r="I1229" t="s">
        <v>20</v>
      </c>
      <c r="J1229" t="s">
        <v>20</v>
      </c>
      <c r="K1229" t="s">
        <v>41</v>
      </c>
      <c r="L1229" t="s">
        <v>87</v>
      </c>
      <c r="M1229" t="s">
        <v>58</v>
      </c>
      <c r="N1229">
        <v>41.127741</v>
      </c>
      <c r="O1229">
        <v>-111.91083399999999</v>
      </c>
      <c r="P1229">
        <v>4498.0376839999999</v>
      </c>
      <c r="Q1229">
        <v>1363</v>
      </c>
      <c r="R1229">
        <v>0</v>
      </c>
    </row>
    <row r="1230" spans="1:18" x14ac:dyDescent="0.25">
      <c r="A1230">
        <v>1229</v>
      </c>
      <c r="B1230">
        <v>94</v>
      </c>
      <c r="C1230">
        <v>31191883</v>
      </c>
      <c r="D1230" t="s">
        <v>414</v>
      </c>
      <c r="E1230">
        <v>7.4749999999999996</v>
      </c>
      <c r="F1230" t="s">
        <v>21</v>
      </c>
      <c r="G1230" t="s">
        <v>26</v>
      </c>
      <c r="H1230" t="s">
        <v>21</v>
      </c>
      <c r="I1230" t="s">
        <v>20</v>
      </c>
      <c r="J1230" t="s">
        <v>20</v>
      </c>
      <c r="K1230" t="s">
        <v>27</v>
      </c>
      <c r="L1230" t="s">
        <v>350</v>
      </c>
      <c r="M1230" t="s">
        <v>58</v>
      </c>
      <c r="N1230">
        <v>39.115665</v>
      </c>
      <c r="O1230">
        <v>-111.70875599999999</v>
      </c>
      <c r="P1230">
        <v>5501.4075400000002</v>
      </c>
      <c r="Q1230">
        <v>336</v>
      </c>
      <c r="R1230">
        <v>0</v>
      </c>
    </row>
    <row r="1231" spans="1:18" x14ac:dyDescent="0.25">
      <c r="A1231">
        <v>1230</v>
      </c>
      <c r="B1231">
        <v>94</v>
      </c>
      <c r="C1231">
        <v>31510150</v>
      </c>
      <c r="D1231" t="s">
        <v>124</v>
      </c>
      <c r="E1231">
        <v>60.246000000000002</v>
      </c>
      <c r="F1231" t="s">
        <v>21</v>
      </c>
      <c r="G1231" t="s">
        <v>26</v>
      </c>
      <c r="H1231" t="s">
        <v>21</v>
      </c>
      <c r="I1231" t="s">
        <v>20</v>
      </c>
      <c r="J1231" t="s">
        <v>20</v>
      </c>
      <c r="K1231" t="s">
        <v>31</v>
      </c>
      <c r="L1231" t="s">
        <v>362</v>
      </c>
      <c r="M1231" t="s">
        <v>365</v>
      </c>
      <c r="N1231">
        <v>40.782899</v>
      </c>
      <c r="O1231">
        <v>-111.93939</v>
      </c>
      <c r="P1231">
        <v>4162.1481110000004</v>
      </c>
      <c r="Q1231">
        <v>1368</v>
      </c>
      <c r="R1231">
        <v>0</v>
      </c>
    </row>
    <row r="1232" spans="1:18" x14ac:dyDescent="0.25">
      <c r="A1232">
        <v>1231</v>
      </c>
      <c r="B1232">
        <v>94</v>
      </c>
      <c r="C1232">
        <v>31510311</v>
      </c>
      <c r="D1232" t="s">
        <v>124</v>
      </c>
      <c r="E1232">
        <v>60.258000000000003</v>
      </c>
      <c r="F1232" t="s">
        <v>21</v>
      </c>
      <c r="G1232" t="s">
        <v>20</v>
      </c>
      <c r="H1232" t="s">
        <v>21</v>
      </c>
      <c r="I1232" t="s">
        <v>20</v>
      </c>
      <c r="J1232" t="s">
        <v>20</v>
      </c>
      <c r="K1232" t="s">
        <v>31</v>
      </c>
      <c r="L1232" t="s">
        <v>362</v>
      </c>
      <c r="M1232" t="s">
        <v>365</v>
      </c>
      <c r="N1232">
        <v>40.783079999999998</v>
      </c>
      <c r="O1232">
        <v>-111.93936600000001</v>
      </c>
      <c r="P1232">
        <v>4161.8725020000002</v>
      </c>
      <c r="Q1232">
        <v>1368</v>
      </c>
      <c r="R1232">
        <v>0</v>
      </c>
    </row>
    <row r="1233" spans="1:18" x14ac:dyDescent="0.25">
      <c r="A1233">
        <v>1232</v>
      </c>
      <c r="B1233">
        <v>94</v>
      </c>
      <c r="C1233">
        <v>31711173</v>
      </c>
      <c r="D1233" t="s">
        <v>244</v>
      </c>
      <c r="E1233">
        <v>60.287999999999997</v>
      </c>
      <c r="F1233" t="s">
        <v>21</v>
      </c>
      <c r="G1233" t="s">
        <v>26</v>
      </c>
      <c r="H1233" t="s">
        <v>21</v>
      </c>
      <c r="I1233" t="s">
        <v>20</v>
      </c>
      <c r="J1233" t="s">
        <v>20</v>
      </c>
      <c r="K1233" t="s">
        <v>27</v>
      </c>
      <c r="L1233" t="s">
        <v>266</v>
      </c>
      <c r="M1233" t="s">
        <v>386</v>
      </c>
      <c r="N1233">
        <v>38.340603000000002</v>
      </c>
      <c r="O1233">
        <v>-111.547881</v>
      </c>
      <c r="P1233">
        <v>7027.7981049999999</v>
      </c>
      <c r="Q1233">
        <v>1340</v>
      </c>
      <c r="R1233">
        <v>0</v>
      </c>
    </row>
    <row r="1234" spans="1:18" x14ac:dyDescent="0.25">
      <c r="A1234">
        <v>1233</v>
      </c>
      <c r="B1234">
        <v>94</v>
      </c>
      <c r="C1234">
        <v>31510322</v>
      </c>
      <c r="D1234" t="s">
        <v>124</v>
      </c>
      <c r="E1234">
        <v>60.311999999999998</v>
      </c>
      <c r="F1234" t="s">
        <v>21</v>
      </c>
      <c r="G1234" t="s">
        <v>20</v>
      </c>
      <c r="H1234" t="s">
        <v>21</v>
      </c>
      <c r="I1234" t="s">
        <v>20</v>
      </c>
      <c r="J1234" t="s">
        <v>20</v>
      </c>
      <c r="K1234" t="s">
        <v>31</v>
      </c>
      <c r="L1234" t="s">
        <v>362</v>
      </c>
      <c r="M1234" t="s">
        <v>365</v>
      </c>
      <c r="N1234">
        <v>40.783858000000002</v>
      </c>
      <c r="O1234">
        <v>-111.939386</v>
      </c>
      <c r="P1234">
        <v>4161.659936</v>
      </c>
      <c r="Q1234">
        <v>1368</v>
      </c>
      <c r="R1234">
        <v>0</v>
      </c>
    </row>
    <row r="1235" spans="1:18" x14ac:dyDescent="0.25">
      <c r="A1235">
        <v>1234</v>
      </c>
      <c r="B1235">
        <v>94</v>
      </c>
      <c r="C1235">
        <v>31537795</v>
      </c>
      <c r="D1235" t="s">
        <v>348</v>
      </c>
      <c r="E1235">
        <v>60.317</v>
      </c>
      <c r="F1235" t="s">
        <v>21</v>
      </c>
      <c r="G1235" t="s">
        <v>20</v>
      </c>
      <c r="H1235" t="s">
        <v>21</v>
      </c>
      <c r="I1235" t="s">
        <v>20</v>
      </c>
      <c r="J1235" t="s">
        <v>20</v>
      </c>
      <c r="K1235" t="s">
        <v>27</v>
      </c>
      <c r="L1235" t="s">
        <v>327</v>
      </c>
      <c r="M1235" t="s">
        <v>123</v>
      </c>
      <c r="N1235">
        <v>37.750678000000001</v>
      </c>
      <c r="O1235">
        <v>-110.280101</v>
      </c>
      <c r="P1235">
        <v>4617.8074130000005</v>
      </c>
      <c r="Q1235">
        <v>1388</v>
      </c>
      <c r="R1235">
        <v>0</v>
      </c>
    </row>
    <row r="1236" spans="1:18" x14ac:dyDescent="0.25">
      <c r="A1236">
        <v>1235</v>
      </c>
      <c r="B1236">
        <v>94</v>
      </c>
      <c r="C1236">
        <v>31584499</v>
      </c>
      <c r="D1236" t="s">
        <v>172</v>
      </c>
      <c r="E1236">
        <v>60.317999999999998</v>
      </c>
      <c r="F1236" t="s">
        <v>21</v>
      </c>
      <c r="G1236" t="s">
        <v>26</v>
      </c>
      <c r="H1236" t="s">
        <v>21</v>
      </c>
      <c r="I1236" t="s">
        <v>20</v>
      </c>
      <c r="J1236" t="s">
        <v>20</v>
      </c>
      <c r="K1236" t="s">
        <v>27</v>
      </c>
      <c r="L1236" t="s">
        <v>230</v>
      </c>
      <c r="M1236" t="s">
        <v>174</v>
      </c>
      <c r="N1236">
        <v>39.461455999999998</v>
      </c>
      <c r="O1236">
        <v>-111.56267200000001</v>
      </c>
      <c r="P1236">
        <v>5431.0410419999998</v>
      </c>
      <c r="Q1236">
        <v>1411</v>
      </c>
      <c r="R1236">
        <v>0</v>
      </c>
    </row>
    <row r="1237" spans="1:18" x14ac:dyDescent="0.25">
      <c r="A1237">
        <v>1236</v>
      </c>
      <c r="B1237">
        <v>94</v>
      </c>
      <c r="C1237">
        <v>31478906</v>
      </c>
      <c r="D1237" t="s">
        <v>319</v>
      </c>
      <c r="E1237">
        <v>60.347000000000001</v>
      </c>
      <c r="F1237" t="s">
        <v>21</v>
      </c>
      <c r="G1237" t="s">
        <v>26</v>
      </c>
      <c r="H1237" t="s">
        <v>21</v>
      </c>
      <c r="I1237" t="s">
        <v>20</v>
      </c>
      <c r="J1237" t="s">
        <v>20</v>
      </c>
      <c r="K1237" t="s">
        <v>27</v>
      </c>
      <c r="L1237" t="s">
        <v>54</v>
      </c>
      <c r="M1237" t="s">
        <v>55</v>
      </c>
      <c r="N1237">
        <v>37.680815000000003</v>
      </c>
      <c r="O1237">
        <v>-113.082897</v>
      </c>
      <c r="P1237">
        <v>5666.4136909999997</v>
      </c>
      <c r="Q1237">
        <v>314</v>
      </c>
      <c r="R1237">
        <v>0</v>
      </c>
    </row>
    <row r="1238" spans="1:18" x14ac:dyDescent="0.25">
      <c r="A1238">
        <v>1237</v>
      </c>
      <c r="B1238">
        <v>94</v>
      </c>
      <c r="C1238">
        <v>31510333</v>
      </c>
      <c r="D1238" t="s">
        <v>124</v>
      </c>
      <c r="E1238">
        <v>60.374000000000002</v>
      </c>
      <c r="F1238" t="s">
        <v>19</v>
      </c>
      <c r="G1238" t="s">
        <v>20</v>
      </c>
      <c r="H1238" t="s">
        <v>21</v>
      </c>
      <c r="I1238" t="s">
        <v>20</v>
      </c>
      <c r="J1238" t="s">
        <v>20</v>
      </c>
      <c r="K1238" t="s">
        <v>31</v>
      </c>
      <c r="L1238" t="s">
        <v>362</v>
      </c>
      <c r="M1238" t="s">
        <v>365</v>
      </c>
      <c r="N1238">
        <v>40.784753000000002</v>
      </c>
      <c r="O1238">
        <v>-111.939398</v>
      </c>
      <c r="P1238">
        <v>4161.0383140000004</v>
      </c>
      <c r="Q1238">
        <v>1368</v>
      </c>
      <c r="R1238">
        <v>0</v>
      </c>
    </row>
    <row r="1239" spans="1:18" x14ac:dyDescent="0.25">
      <c r="A1239">
        <v>1238</v>
      </c>
      <c r="B1239">
        <v>94</v>
      </c>
      <c r="C1239">
        <v>31711184</v>
      </c>
      <c r="D1239" t="s">
        <v>244</v>
      </c>
      <c r="E1239">
        <v>60.384999999999998</v>
      </c>
      <c r="F1239" t="s">
        <v>21</v>
      </c>
      <c r="G1239" t="s">
        <v>26</v>
      </c>
      <c r="H1239" t="s">
        <v>21</v>
      </c>
      <c r="I1239" t="s">
        <v>20</v>
      </c>
      <c r="J1239" t="s">
        <v>20</v>
      </c>
      <c r="K1239" t="s">
        <v>27</v>
      </c>
      <c r="L1239" t="s">
        <v>266</v>
      </c>
      <c r="M1239" t="s">
        <v>386</v>
      </c>
      <c r="N1239">
        <v>38.340600999999999</v>
      </c>
      <c r="O1239">
        <v>-111.546097</v>
      </c>
      <c r="P1239">
        <v>7045.8529559999997</v>
      </c>
      <c r="Q1239">
        <v>1340</v>
      </c>
      <c r="R1239">
        <v>0</v>
      </c>
    </row>
    <row r="1240" spans="1:18" x14ac:dyDescent="0.25">
      <c r="A1240">
        <v>1239</v>
      </c>
      <c r="B1240">
        <v>94</v>
      </c>
      <c r="C1240">
        <v>28223507</v>
      </c>
      <c r="D1240" t="s">
        <v>220</v>
      </c>
      <c r="E1240">
        <v>60.401000000000003</v>
      </c>
      <c r="F1240" t="s">
        <v>21</v>
      </c>
      <c r="G1240" t="s">
        <v>26</v>
      </c>
      <c r="H1240" t="s">
        <v>21</v>
      </c>
      <c r="I1240" t="s">
        <v>20</v>
      </c>
      <c r="J1240" t="s">
        <v>20</v>
      </c>
      <c r="K1240" t="s">
        <v>27</v>
      </c>
      <c r="L1240" t="s">
        <v>28</v>
      </c>
      <c r="M1240" t="s">
        <v>366</v>
      </c>
      <c r="N1240">
        <v>37.764803999999998</v>
      </c>
      <c r="O1240">
        <v>-111.58596</v>
      </c>
      <c r="P1240">
        <v>5736.6183870000004</v>
      </c>
      <c r="Q1240">
        <v>1328</v>
      </c>
      <c r="R1240">
        <v>0</v>
      </c>
    </row>
    <row r="1241" spans="1:18" x14ac:dyDescent="0.25">
      <c r="A1241">
        <v>1240</v>
      </c>
      <c r="B1241">
        <v>94</v>
      </c>
      <c r="C1241">
        <v>31478928</v>
      </c>
      <c r="D1241" t="s">
        <v>319</v>
      </c>
      <c r="E1241">
        <v>60.405000000000001</v>
      </c>
      <c r="F1241" t="s">
        <v>21</v>
      </c>
      <c r="G1241" t="s">
        <v>26</v>
      </c>
      <c r="H1241" t="s">
        <v>21</v>
      </c>
      <c r="I1241" t="s">
        <v>20</v>
      </c>
      <c r="J1241" t="s">
        <v>20</v>
      </c>
      <c r="K1241" t="s">
        <v>27</v>
      </c>
      <c r="L1241" t="s">
        <v>54</v>
      </c>
      <c r="M1241" t="s">
        <v>55</v>
      </c>
      <c r="N1241">
        <v>37.680875</v>
      </c>
      <c r="O1241">
        <v>-113.08184900000001</v>
      </c>
      <c r="P1241">
        <v>5667.4175619999996</v>
      </c>
      <c r="Q1241">
        <v>314</v>
      </c>
      <c r="R1241">
        <v>0</v>
      </c>
    </row>
    <row r="1242" spans="1:18" x14ac:dyDescent="0.25">
      <c r="A1242">
        <v>1241</v>
      </c>
      <c r="B1242">
        <v>94</v>
      </c>
      <c r="C1242">
        <v>31478939</v>
      </c>
      <c r="D1242" t="s">
        <v>319</v>
      </c>
      <c r="E1242">
        <v>60.436999999999998</v>
      </c>
      <c r="F1242" t="s">
        <v>19</v>
      </c>
      <c r="G1242" t="s">
        <v>20</v>
      </c>
      <c r="H1242" t="s">
        <v>21</v>
      </c>
      <c r="I1242" t="s">
        <v>20</v>
      </c>
      <c r="J1242" t="s">
        <v>20</v>
      </c>
      <c r="K1242" t="s">
        <v>27</v>
      </c>
      <c r="L1242" t="s">
        <v>54</v>
      </c>
      <c r="M1242" t="s">
        <v>55</v>
      </c>
      <c r="N1242">
        <v>37.680799999999998</v>
      </c>
      <c r="O1242">
        <v>-113.08126799999999</v>
      </c>
      <c r="P1242">
        <v>5669.4634660000002</v>
      </c>
      <c r="Q1242">
        <v>314</v>
      </c>
      <c r="R1242">
        <v>0</v>
      </c>
    </row>
    <row r="1243" spans="1:18" x14ac:dyDescent="0.25">
      <c r="A1243">
        <v>1242</v>
      </c>
      <c r="B1243">
        <v>94</v>
      </c>
      <c r="C1243">
        <v>31711195</v>
      </c>
      <c r="D1243" t="s">
        <v>244</v>
      </c>
      <c r="E1243">
        <v>60.484999999999999</v>
      </c>
      <c r="F1243" t="s">
        <v>21</v>
      </c>
      <c r="G1243" t="s">
        <v>26</v>
      </c>
      <c r="H1243" t="s">
        <v>21</v>
      </c>
      <c r="I1243" t="s">
        <v>20</v>
      </c>
      <c r="J1243" t="s">
        <v>20</v>
      </c>
      <c r="K1243" t="s">
        <v>27</v>
      </c>
      <c r="L1243" t="s">
        <v>266</v>
      </c>
      <c r="M1243" t="s">
        <v>386</v>
      </c>
      <c r="N1243">
        <v>38.340597000000002</v>
      </c>
      <c r="O1243">
        <v>-111.544242</v>
      </c>
      <c r="P1243">
        <v>7058.6422920000005</v>
      </c>
      <c r="Q1243">
        <v>1340</v>
      </c>
      <c r="R1243">
        <v>0</v>
      </c>
    </row>
    <row r="1244" spans="1:18" x14ac:dyDescent="0.25">
      <c r="A1244">
        <v>1243</v>
      </c>
      <c r="B1244">
        <v>94</v>
      </c>
      <c r="C1244">
        <v>31733898</v>
      </c>
      <c r="D1244" t="s">
        <v>118</v>
      </c>
      <c r="E1244">
        <v>60.506</v>
      </c>
      <c r="F1244" t="s">
        <v>21</v>
      </c>
      <c r="G1244" t="s">
        <v>26</v>
      </c>
      <c r="H1244" t="s">
        <v>21</v>
      </c>
      <c r="I1244" t="s">
        <v>20</v>
      </c>
      <c r="J1244" t="s">
        <v>20</v>
      </c>
      <c r="K1244" t="s">
        <v>22</v>
      </c>
      <c r="L1244" t="s">
        <v>168</v>
      </c>
      <c r="M1244" t="s">
        <v>120</v>
      </c>
      <c r="N1244">
        <v>40.210371000000002</v>
      </c>
      <c r="O1244">
        <v>-110.867682</v>
      </c>
      <c r="P1244">
        <v>6640.2922269999999</v>
      </c>
      <c r="Q1244">
        <v>310</v>
      </c>
      <c r="R1244">
        <v>0</v>
      </c>
    </row>
    <row r="1245" spans="1:18" x14ac:dyDescent="0.25">
      <c r="A1245">
        <v>1244</v>
      </c>
      <c r="B1245">
        <v>94</v>
      </c>
      <c r="C1245">
        <v>31776584</v>
      </c>
      <c r="D1245" t="s">
        <v>118</v>
      </c>
      <c r="E1245">
        <v>86.704999999999998</v>
      </c>
      <c r="F1245" t="s">
        <v>21</v>
      </c>
      <c r="G1245" t="s">
        <v>26</v>
      </c>
      <c r="H1245" t="s">
        <v>21</v>
      </c>
      <c r="I1245" t="s">
        <v>20</v>
      </c>
      <c r="J1245" t="s">
        <v>20</v>
      </c>
      <c r="K1245" t="s">
        <v>22</v>
      </c>
      <c r="L1245" t="s">
        <v>253</v>
      </c>
      <c r="M1245" t="s">
        <v>169</v>
      </c>
      <c r="N1245">
        <v>40.163381999999999</v>
      </c>
      <c r="O1245">
        <v>-110.39793299999999</v>
      </c>
      <c r="P1245">
        <v>5452.7617380000002</v>
      </c>
      <c r="Q1245">
        <v>310</v>
      </c>
      <c r="R1245">
        <v>0</v>
      </c>
    </row>
    <row r="1246" spans="1:18" x14ac:dyDescent="0.25">
      <c r="A1246">
        <v>1245</v>
      </c>
      <c r="B1246">
        <v>94</v>
      </c>
      <c r="C1246" t="e">
        <f>-JQsf4HdIoe_eC_YfEFlZk</f>
        <v>#NAME?</v>
      </c>
      <c r="D1246" t="s">
        <v>272</v>
      </c>
      <c r="E1246">
        <v>86.754000000000005</v>
      </c>
      <c r="F1246" t="s">
        <v>21</v>
      </c>
      <c r="G1246" t="s">
        <v>20</v>
      </c>
      <c r="H1246" t="s">
        <v>21</v>
      </c>
      <c r="I1246" t="s">
        <v>20</v>
      </c>
      <c r="J1246" t="s">
        <v>20</v>
      </c>
      <c r="K1246" t="s">
        <v>27</v>
      </c>
      <c r="L1246" t="s">
        <v>279</v>
      </c>
      <c r="M1246" t="s">
        <v>214</v>
      </c>
      <c r="N1246">
        <v>37.283290999999998</v>
      </c>
      <c r="O1246">
        <v>-112.624011</v>
      </c>
      <c r="P1246">
        <v>5457.6995610000004</v>
      </c>
      <c r="Q1246">
        <v>1384</v>
      </c>
      <c r="R1246">
        <v>0</v>
      </c>
    </row>
    <row r="1247" spans="1:18" x14ac:dyDescent="0.25">
      <c r="A1247">
        <v>1246</v>
      </c>
      <c r="B1247">
        <v>94</v>
      </c>
      <c r="C1247">
        <v>31776595</v>
      </c>
      <c r="D1247" t="s">
        <v>118</v>
      </c>
      <c r="E1247">
        <v>86.795000000000002</v>
      </c>
      <c r="F1247" t="s">
        <v>21</v>
      </c>
      <c r="G1247" t="s">
        <v>26</v>
      </c>
      <c r="H1247" t="s">
        <v>21</v>
      </c>
      <c r="I1247" t="s">
        <v>20</v>
      </c>
      <c r="J1247" t="s">
        <v>20</v>
      </c>
      <c r="K1247" t="s">
        <v>22</v>
      </c>
      <c r="L1247" t="s">
        <v>253</v>
      </c>
      <c r="M1247" t="s">
        <v>169</v>
      </c>
      <c r="N1247">
        <v>40.163383000000003</v>
      </c>
      <c r="O1247">
        <v>-110.396236</v>
      </c>
      <c r="P1247">
        <v>5450.7710829999996</v>
      </c>
      <c r="Q1247">
        <v>310</v>
      </c>
      <c r="R1247">
        <v>0</v>
      </c>
    </row>
    <row r="1248" spans="1:18" x14ac:dyDescent="0.25">
      <c r="A1248">
        <v>1247</v>
      </c>
      <c r="B1248">
        <v>94</v>
      </c>
      <c r="C1248">
        <v>28244158</v>
      </c>
      <c r="D1248" t="s">
        <v>220</v>
      </c>
      <c r="E1248">
        <v>86.832999999999998</v>
      </c>
      <c r="F1248" t="s">
        <v>21</v>
      </c>
      <c r="G1248" t="s">
        <v>26</v>
      </c>
      <c r="H1248" t="s">
        <v>21</v>
      </c>
      <c r="I1248" t="s">
        <v>20</v>
      </c>
      <c r="J1248" t="s">
        <v>20</v>
      </c>
      <c r="K1248" t="s">
        <v>27</v>
      </c>
      <c r="L1248" t="s">
        <v>28</v>
      </c>
      <c r="M1248" t="s">
        <v>366</v>
      </c>
      <c r="N1248">
        <v>37.908104000000002</v>
      </c>
      <c r="O1248">
        <v>-111.42427000000001</v>
      </c>
      <c r="P1248">
        <v>6641.5050469999996</v>
      </c>
      <c r="Q1248">
        <v>1328</v>
      </c>
      <c r="R1248">
        <v>0</v>
      </c>
    </row>
    <row r="1249" spans="1:18" x14ac:dyDescent="0.25">
      <c r="A1249">
        <v>1248</v>
      </c>
      <c r="B1249">
        <v>94</v>
      </c>
      <c r="C1249">
        <v>31777456</v>
      </c>
      <c r="D1249" t="s">
        <v>118</v>
      </c>
      <c r="E1249">
        <v>86.841999999999999</v>
      </c>
      <c r="F1249" t="s">
        <v>21</v>
      </c>
      <c r="G1249" t="s">
        <v>20</v>
      </c>
      <c r="H1249" t="s">
        <v>21</v>
      </c>
      <c r="I1249" t="s">
        <v>20</v>
      </c>
      <c r="J1249" t="s">
        <v>20</v>
      </c>
      <c r="K1249" t="s">
        <v>22</v>
      </c>
      <c r="L1249" t="s">
        <v>253</v>
      </c>
      <c r="M1249" t="s">
        <v>169</v>
      </c>
      <c r="N1249">
        <v>40.163291000000001</v>
      </c>
      <c r="O1249">
        <v>-110.395371</v>
      </c>
      <c r="P1249">
        <v>5450.192943</v>
      </c>
      <c r="Q1249">
        <v>310</v>
      </c>
      <c r="R1249">
        <v>0</v>
      </c>
    </row>
    <row r="1250" spans="1:18" x14ac:dyDescent="0.25">
      <c r="A1250">
        <v>1249</v>
      </c>
      <c r="B1250">
        <v>94</v>
      </c>
      <c r="C1250">
        <v>31844385</v>
      </c>
      <c r="D1250" t="s">
        <v>290</v>
      </c>
      <c r="E1250">
        <v>86.894999999999996</v>
      </c>
      <c r="F1250" t="s">
        <v>21</v>
      </c>
      <c r="G1250" t="s">
        <v>20</v>
      </c>
      <c r="H1250" t="s">
        <v>21</v>
      </c>
      <c r="I1250" t="s">
        <v>20</v>
      </c>
      <c r="J1250" t="s">
        <v>20</v>
      </c>
      <c r="K1250" t="s">
        <v>41</v>
      </c>
      <c r="L1250" t="s">
        <v>291</v>
      </c>
      <c r="M1250" t="s">
        <v>238</v>
      </c>
      <c r="N1250">
        <v>41.967371</v>
      </c>
      <c r="O1250">
        <v>-112.82381700000001</v>
      </c>
      <c r="P1250">
        <v>4379.2328539999999</v>
      </c>
      <c r="Q1250">
        <v>1343</v>
      </c>
      <c r="R1250">
        <v>0</v>
      </c>
    </row>
    <row r="1251" spans="1:18" x14ac:dyDescent="0.25">
      <c r="A1251">
        <v>1250</v>
      </c>
      <c r="B1251">
        <v>94</v>
      </c>
      <c r="C1251">
        <v>31777467</v>
      </c>
      <c r="D1251" t="s">
        <v>118</v>
      </c>
      <c r="E1251">
        <v>86.902000000000001</v>
      </c>
      <c r="F1251" t="s">
        <v>21</v>
      </c>
      <c r="G1251" t="s">
        <v>26</v>
      </c>
      <c r="H1251" t="s">
        <v>21</v>
      </c>
      <c r="I1251" t="s">
        <v>20</v>
      </c>
      <c r="J1251" t="s">
        <v>20</v>
      </c>
      <c r="K1251" t="s">
        <v>22</v>
      </c>
      <c r="L1251" t="s">
        <v>253</v>
      </c>
      <c r="M1251" t="s">
        <v>169</v>
      </c>
      <c r="N1251">
        <v>40.163015000000001</v>
      </c>
      <c r="O1251">
        <v>-110.394301</v>
      </c>
      <c r="P1251">
        <v>5449.4010760000001</v>
      </c>
      <c r="Q1251">
        <v>310</v>
      </c>
      <c r="R1251">
        <v>0</v>
      </c>
    </row>
    <row r="1252" spans="1:18" x14ac:dyDescent="0.25">
      <c r="A1252">
        <v>1251</v>
      </c>
      <c r="B1252">
        <v>94</v>
      </c>
      <c r="C1252">
        <v>28244169</v>
      </c>
      <c r="D1252" t="s">
        <v>220</v>
      </c>
      <c r="E1252">
        <v>86.956000000000003</v>
      </c>
      <c r="F1252" t="s">
        <v>21</v>
      </c>
      <c r="G1252" t="s">
        <v>26</v>
      </c>
      <c r="H1252" t="s">
        <v>21</v>
      </c>
      <c r="I1252" t="s">
        <v>20</v>
      </c>
      <c r="J1252" t="s">
        <v>20</v>
      </c>
      <c r="K1252" t="s">
        <v>27</v>
      </c>
      <c r="L1252" t="s">
        <v>28</v>
      </c>
      <c r="M1252" t="s">
        <v>366</v>
      </c>
      <c r="N1252">
        <v>37.909889999999997</v>
      </c>
      <c r="O1252">
        <v>-111.42427499999999</v>
      </c>
      <c r="P1252">
        <v>6662.1710009999997</v>
      </c>
      <c r="Q1252">
        <v>1328</v>
      </c>
      <c r="R1252">
        <v>0</v>
      </c>
    </row>
    <row r="1253" spans="1:18" x14ac:dyDescent="0.25">
      <c r="A1253">
        <v>1252</v>
      </c>
      <c r="B1253">
        <v>94</v>
      </c>
      <c r="C1253">
        <v>1047179</v>
      </c>
      <c r="D1253" t="s">
        <v>171</v>
      </c>
      <c r="E1253">
        <v>9.8239999999999998</v>
      </c>
      <c r="F1253" t="s">
        <v>19</v>
      </c>
      <c r="G1253" t="s">
        <v>20</v>
      </c>
      <c r="H1253" t="s">
        <v>21</v>
      </c>
      <c r="I1253" t="s">
        <v>20</v>
      </c>
      <c r="J1253" t="s">
        <v>20</v>
      </c>
      <c r="K1253" t="s">
        <v>31</v>
      </c>
      <c r="L1253" t="s">
        <v>69</v>
      </c>
      <c r="M1253" t="s">
        <v>79</v>
      </c>
      <c r="N1253">
        <v>40.699798999999999</v>
      </c>
      <c r="O1253">
        <v>-111.905513</v>
      </c>
      <c r="P1253">
        <v>4176.6927900000001</v>
      </c>
      <c r="Q1253">
        <v>346</v>
      </c>
      <c r="R1253">
        <v>0</v>
      </c>
    </row>
    <row r="1254" spans="1:18" x14ac:dyDescent="0.25">
      <c r="A1254">
        <v>1253</v>
      </c>
      <c r="B1254">
        <v>94</v>
      </c>
      <c r="C1254" t="e">
        <f>-JYmJhpkI1uTZF2I1bm7pV</f>
        <v>#NAME?</v>
      </c>
      <c r="D1254" t="s">
        <v>336</v>
      </c>
      <c r="E1254">
        <v>9.8290000000000006</v>
      </c>
      <c r="F1254" t="s">
        <v>21</v>
      </c>
      <c r="G1254" t="s">
        <v>20</v>
      </c>
      <c r="H1254" t="s">
        <v>21</v>
      </c>
      <c r="I1254" t="s">
        <v>20</v>
      </c>
      <c r="J1254" t="s">
        <v>20</v>
      </c>
      <c r="K1254" t="s">
        <v>31</v>
      </c>
      <c r="L1254" t="s">
        <v>32</v>
      </c>
      <c r="M1254" t="s">
        <v>33</v>
      </c>
      <c r="N1254">
        <v>40.647230999999998</v>
      </c>
      <c r="O1254">
        <v>-111.66501</v>
      </c>
      <c r="P1254">
        <v>7038.7830729999996</v>
      </c>
      <c r="Q1254">
        <v>404</v>
      </c>
      <c r="R1254">
        <v>0</v>
      </c>
    </row>
    <row r="1255" spans="1:18" x14ac:dyDescent="0.25">
      <c r="A1255">
        <v>1254</v>
      </c>
      <c r="B1255">
        <v>94</v>
      </c>
      <c r="C1255">
        <v>31314832</v>
      </c>
      <c r="D1255" t="s">
        <v>215</v>
      </c>
      <c r="E1255">
        <v>9.83</v>
      </c>
      <c r="F1255" t="s">
        <v>21</v>
      </c>
      <c r="G1255" t="s">
        <v>26</v>
      </c>
      <c r="H1255" t="s">
        <v>21</v>
      </c>
      <c r="I1255" t="s">
        <v>20</v>
      </c>
      <c r="J1255" t="s">
        <v>20</v>
      </c>
      <c r="K1255" t="s">
        <v>22</v>
      </c>
      <c r="L1255" t="s">
        <v>23</v>
      </c>
      <c r="M1255" t="s">
        <v>85</v>
      </c>
      <c r="N1255">
        <v>40.344078000000003</v>
      </c>
      <c r="O1255">
        <v>-111.740571</v>
      </c>
      <c r="P1255">
        <v>4478.0853450000004</v>
      </c>
      <c r="Q1255">
        <v>330</v>
      </c>
      <c r="R1255">
        <v>0</v>
      </c>
    </row>
    <row r="1256" spans="1:18" x14ac:dyDescent="0.25">
      <c r="A1256">
        <v>1255</v>
      </c>
      <c r="B1256">
        <v>94</v>
      </c>
      <c r="C1256">
        <v>1393707</v>
      </c>
      <c r="D1256" t="s">
        <v>100</v>
      </c>
      <c r="E1256">
        <v>9.83</v>
      </c>
      <c r="F1256" t="s">
        <v>21</v>
      </c>
      <c r="G1256" t="s">
        <v>26</v>
      </c>
      <c r="H1256" t="s">
        <v>21</v>
      </c>
      <c r="I1256" t="s">
        <v>20</v>
      </c>
      <c r="J1256" t="s">
        <v>20</v>
      </c>
      <c r="K1256" t="s">
        <v>41</v>
      </c>
      <c r="L1256" t="s">
        <v>57</v>
      </c>
      <c r="M1256" t="s">
        <v>46</v>
      </c>
      <c r="N1256">
        <v>41.173454999999997</v>
      </c>
      <c r="O1256">
        <v>-112.064426</v>
      </c>
      <c r="P1256">
        <v>4234.8094229999997</v>
      </c>
      <c r="Q1256">
        <v>1396</v>
      </c>
      <c r="R1256">
        <v>0</v>
      </c>
    </row>
    <row r="1257" spans="1:18" x14ac:dyDescent="0.25">
      <c r="A1257">
        <v>1256</v>
      </c>
      <c r="B1257">
        <v>94</v>
      </c>
      <c r="C1257">
        <v>28355819</v>
      </c>
      <c r="D1257" t="s">
        <v>323</v>
      </c>
      <c r="E1257">
        <v>9.8309999999999995</v>
      </c>
      <c r="F1257" t="s">
        <v>21</v>
      </c>
      <c r="G1257" t="s">
        <v>26</v>
      </c>
      <c r="H1257" t="s">
        <v>21</v>
      </c>
      <c r="I1257" t="s">
        <v>20</v>
      </c>
      <c r="J1257" t="s">
        <v>20</v>
      </c>
      <c r="K1257" t="s">
        <v>31</v>
      </c>
      <c r="L1257" t="s">
        <v>130</v>
      </c>
      <c r="M1257" t="s">
        <v>131</v>
      </c>
      <c r="N1257">
        <v>40.610956000000002</v>
      </c>
      <c r="O1257">
        <v>-111.291506</v>
      </c>
      <c r="P1257">
        <v>6352.6289340000003</v>
      </c>
      <c r="Q1257">
        <v>1345</v>
      </c>
      <c r="R1257">
        <v>0</v>
      </c>
    </row>
    <row r="1258" spans="1:18" x14ac:dyDescent="0.25">
      <c r="A1258">
        <v>1257</v>
      </c>
      <c r="B1258">
        <v>94</v>
      </c>
      <c r="C1258">
        <v>31367599</v>
      </c>
      <c r="D1258" t="s">
        <v>229</v>
      </c>
      <c r="E1258">
        <v>9.8480000000000008</v>
      </c>
      <c r="F1258" t="s">
        <v>21</v>
      </c>
      <c r="G1258" t="s">
        <v>20</v>
      </c>
      <c r="H1258" t="s">
        <v>21</v>
      </c>
      <c r="I1258" t="s">
        <v>20</v>
      </c>
      <c r="J1258" t="s">
        <v>20</v>
      </c>
      <c r="K1258" t="s">
        <v>27</v>
      </c>
      <c r="L1258" t="s">
        <v>230</v>
      </c>
      <c r="M1258" t="s">
        <v>82</v>
      </c>
      <c r="N1258">
        <v>39.499934000000003</v>
      </c>
      <c r="O1258">
        <v>-111.48922899999999</v>
      </c>
      <c r="P1258">
        <v>5748.7373289999996</v>
      </c>
      <c r="Q1258">
        <v>331</v>
      </c>
      <c r="R1258">
        <v>0</v>
      </c>
    </row>
    <row r="1259" spans="1:18" x14ac:dyDescent="0.25">
      <c r="A1259">
        <v>1258</v>
      </c>
      <c r="B1259">
        <v>94</v>
      </c>
      <c r="C1259">
        <v>31528066</v>
      </c>
      <c r="D1259" t="s">
        <v>231</v>
      </c>
      <c r="E1259">
        <v>9.8559999999999999</v>
      </c>
      <c r="F1259" t="s">
        <v>21</v>
      </c>
      <c r="G1259" t="s">
        <v>26</v>
      </c>
      <c r="H1259" t="s">
        <v>21</v>
      </c>
      <c r="I1259" t="s">
        <v>20</v>
      </c>
      <c r="J1259" t="s">
        <v>20</v>
      </c>
      <c r="K1259" t="s">
        <v>41</v>
      </c>
      <c r="L1259" t="s">
        <v>57</v>
      </c>
      <c r="M1259" t="s">
        <v>93</v>
      </c>
      <c r="N1259">
        <v>41.177999999999997</v>
      </c>
      <c r="O1259">
        <v>-112.025981</v>
      </c>
      <c r="P1259">
        <v>4460.7141659999998</v>
      </c>
      <c r="Q1259">
        <v>1409</v>
      </c>
      <c r="R1259">
        <v>0</v>
      </c>
    </row>
    <row r="1260" spans="1:18" x14ac:dyDescent="0.25">
      <c r="A1260">
        <v>1259</v>
      </c>
      <c r="B1260">
        <v>94</v>
      </c>
      <c r="C1260">
        <v>818245</v>
      </c>
      <c r="D1260" t="s">
        <v>236</v>
      </c>
      <c r="E1260">
        <v>9.8559999999999999</v>
      </c>
      <c r="F1260" t="s">
        <v>21</v>
      </c>
      <c r="G1260" t="s">
        <v>20</v>
      </c>
      <c r="H1260" t="s">
        <v>21</v>
      </c>
      <c r="I1260" t="s">
        <v>20</v>
      </c>
      <c r="J1260" t="s">
        <v>20</v>
      </c>
      <c r="K1260" t="s">
        <v>31</v>
      </c>
      <c r="L1260" t="s">
        <v>78</v>
      </c>
      <c r="M1260" t="s">
        <v>79</v>
      </c>
      <c r="N1260">
        <v>40.707397</v>
      </c>
      <c r="O1260">
        <v>-112.09182</v>
      </c>
      <c r="P1260">
        <v>4237.2305999999999</v>
      </c>
      <c r="Q1260">
        <v>1398</v>
      </c>
      <c r="R1260">
        <v>0</v>
      </c>
    </row>
    <row r="1261" spans="1:18" x14ac:dyDescent="0.25">
      <c r="A1261">
        <v>1260</v>
      </c>
      <c r="B1261">
        <v>94</v>
      </c>
      <c r="C1261">
        <v>780201</v>
      </c>
      <c r="D1261" t="s">
        <v>236</v>
      </c>
      <c r="E1261">
        <v>8.9420000000000002</v>
      </c>
      <c r="F1261" t="s">
        <v>21</v>
      </c>
      <c r="G1261" t="s">
        <v>26</v>
      </c>
      <c r="H1261" t="s">
        <v>21</v>
      </c>
      <c r="I1261" t="s">
        <v>20</v>
      </c>
      <c r="J1261" t="s">
        <v>20</v>
      </c>
      <c r="K1261" t="s">
        <v>31</v>
      </c>
      <c r="L1261" t="s">
        <v>78</v>
      </c>
      <c r="M1261" t="s">
        <v>79</v>
      </c>
      <c r="N1261">
        <v>40.69415</v>
      </c>
      <c r="O1261">
        <v>-112.09183</v>
      </c>
      <c r="P1261">
        <v>4376.6509589999996</v>
      </c>
      <c r="Q1261">
        <v>1398</v>
      </c>
      <c r="R1261">
        <v>0</v>
      </c>
    </row>
    <row r="1262" spans="1:18" x14ac:dyDescent="0.25">
      <c r="A1262">
        <v>1261</v>
      </c>
      <c r="B1262">
        <v>94</v>
      </c>
      <c r="C1262">
        <v>31367394</v>
      </c>
      <c r="D1262" t="s">
        <v>229</v>
      </c>
      <c r="E1262">
        <v>8.9499999999999993</v>
      </c>
      <c r="F1262" t="s">
        <v>21</v>
      </c>
      <c r="G1262" t="s">
        <v>26</v>
      </c>
      <c r="H1262" t="s">
        <v>21</v>
      </c>
      <c r="I1262" t="s">
        <v>20</v>
      </c>
      <c r="J1262" t="s">
        <v>20</v>
      </c>
      <c r="K1262" t="s">
        <v>27</v>
      </c>
      <c r="L1262" t="s">
        <v>230</v>
      </c>
      <c r="M1262" t="s">
        <v>82</v>
      </c>
      <c r="N1262">
        <v>39.488276999999997</v>
      </c>
      <c r="O1262">
        <v>-111.49607899999999</v>
      </c>
      <c r="P1262">
        <v>5738.4481290000003</v>
      </c>
      <c r="Q1262">
        <v>331</v>
      </c>
      <c r="R1262">
        <v>0</v>
      </c>
    </row>
    <row r="1263" spans="1:18" x14ac:dyDescent="0.25">
      <c r="A1263">
        <v>1262</v>
      </c>
      <c r="B1263">
        <v>94</v>
      </c>
      <c r="C1263" t="s">
        <v>415</v>
      </c>
      <c r="D1263" t="s">
        <v>132</v>
      </c>
      <c r="E1263">
        <v>8.9629999999999992</v>
      </c>
      <c r="F1263" t="s">
        <v>21</v>
      </c>
      <c r="G1263" t="s">
        <v>26</v>
      </c>
      <c r="H1263" t="s">
        <v>21</v>
      </c>
      <c r="I1263" t="s">
        <v>20</v>
      </c>
      <c r="J1263" t="s">
        <v>20</v>
      </c>
      <c r="K1263" t="s">
        <v>22</v>
      </c>
      <c r="L1263" t="s">
        <v>133</v>
      </c>
      <c r="M1263" t="s">
        <v>134</v>
      </c>
      <c r="N1263">
        <v>40.418011999999997</v>
      </c>
      <c r="O1263">
        <v>-110.029933</v>
      </c>
      <c r="P1263">
        <v>5841.9211489999998</v>
      </c>
      <c r="Q1263">
        <v>1405</v>
      </c>
      <c r="R1263">
        <v>0</v>
      </c>
    </row>
    <row r="1264" spans="1:18" x14ac:dyDescent="0.25">
      <c r="A1264">
        <v>1263</v>
      </c>
      <c r="B1264">
        <v>94</v>
      </c>
      <c r="C1264">
        <v>31555474</v>
      </c>
      <c r="D1264" t="s">
        <v>213</v>
      </c>
      <c r="E1264">
        <v>89.863</v>
      </c>
      <c r="F1264" t="s">
        <v>21</v>
      </c>
      <c r="G1264" t="s">
        <v>26</v>
      </c>
      <c r="H1264" t="s">
        <v>21</v>
      </c>
      <c r="I1264" t="s">
        <v>20</v>
      </c>
      <c r="J1264" t="s">
        <v>20</v>
      </c>
      <c r="K1264" t="s">
        <v>27</v>
      </c>
      <c r="L1264" t="s">
        <v>173</v>
      </c>
      <c r="M1264" t="s">
        <v>214</v>
      </c>
      <c r="N1264">
        <v>39.357539000000003</v>
      </c>
      <c r="O1264">
        <v>-112.558717</v>
      </c>
      <c r="P1264">
        <v>4569.9820559999998</v>
      </c>
      <c r="Q1264">
        <v>1332</v>
      </c>
      <c r="R1264">
        <v>0</v>
      </c>
    </row>
    <row r="1265" spans="1:18" x14ac:dyDescent="0.25">
      <c r="A1265">
        <v>1264</v>
      </c>
      <c r="B1265">
        <v>94</v>
      </c>
      <c r="C1265" t="s">
        <v>416</v>
      </c>
      <c r="D1265" t="s">
        <v>244</v>
      </c>
      <c r="E1265">
        <v>89.909000000000006</v>
      </c>
      <c r="F1265" t="s">
        <v>21</v>
      </c>
      <c r="G1265" t="s">
        <v>26</v>
      </c>
      <c r="H1265" t="s">
        <v>21</v>
      </c>
      <c r="I1265" t="s">
        <v>20</v>
      </c>
      <c r="J1265" t="s">
        <v>20</v>
      </c>
      <c r="K1265" t="s">
        <v>27</v>
      </c>
      <c r="L1265" t="s">
        <v>266</v>
      </c>
      <c r="M1265" t="s">
        <v>270</v>
      </c>
      <c r="N1265">
        <v>38.276366000000003</v>
      </c>
      <c r="O1265">
        <v>-111.10757700000001</v>
      </c>
      <c r="P1265">
        <v>4819.2902190000004</v>
      </c>
      <c r="Q1265">
        <v>1340</v>
      </c>
      <c r="R1265">
        <v>0</v>
      </c>
    </row>
    <row r="1266" spans="1:18" x14ac:dyDescent="0.25">
      <c r="A1266">
        <v>1265</v>
      </c>
      <c r="B1266">
        <v>94</v>
      </c>
      <c r="C1266">
        <v>31474441</v>
      </c>
      <c r="D1266" t="s">
        <v>320</v>
      </c>
      <c r="E1266">
        <v>89.912000000000006</v>
      </c>
      <c r="F1266" t="s">
        <v>21</v>
      </c>
      <c r="G1266" t="s">
        <v>26</v>
      </c>
      <c r="H1266" t="s">
        <v>21</v>
      </c>
      <c r="I1266" t="s">
        <v>20</v>
      </c>
      <c r="J1266" t="s">
        <v>20</v>
      </c>
      <c r="K1266" t="s">
        <v>27</v>
      </c>
      <c r="L1266" t="s">
        <v>173</v>
      </c>
      <c r="M1266" t="s">
        <v>166</v>
      </c>
      <c r="N1266">
        <v>39.352575999999999</v>
      </c>
      <c r="O1266">
        <v>-112.55411700000001</v>
      </c>
      <c r="P1266">
        <v>4565.9115609999999</v>
      </c>
      <c r="Q1266">
        <v>1356</v>
      </c>
      <c r="R1266">
        <v>0</v>
      </c>
    </row>
    <row r="1267" spans="1:18" x14ac:dyDescent="0.25">
      <c r="A1267">
        <v>1266</v>
      </c>
      <c r="B1267">
        <v>94</v>
      </c>
      <c r="C1267">
        <v>31900065</v>
      </c>
      <c r="D1267" t="s">
        <v>272</v>
      </c>
      <c r="E1267">
        <v>89.924000000000007</v>
      </c>
      <c r="F1267" t="s">
        <v>21</v>
      </c>
      <c r="G1267" t="s">
        <v>26</v>
      </c>
      <c r="H1267" t="s">
        <v>21</v>
      </c>
      <c r="I1267" t="s">
        <v>20</v>
      </c>
      <c r="J1267" t="s">
        <v>20</v>
      </c>
      <c r="K1267" t="s">
        <v>27</v>
      </c>
      <c r="L1267" t="s">
        <v>279</v>
      </c>
      <c r="M1267" t="s">
        <v>214</v>
      </c>
      <c r="N1267">
        <v>37.321098999999997</v>
      </c>
      <c r="O1267">
        <v>-112.597561</v>
      </c>
      <c r="P1267">
        <v>5738.8331129999997</v>
      </c>
      <c r="Q1267">
        <v>1384</v>
      </c>
      <c r="R1267">
        <v>0</v>
      </c>
    </row>
    <row r="1268" spans="1:18" x14ac:dyDescent="0.25">
      <c r="A1268">
        <v>1267</v>
      </c>
      <c r="B1268">
        <v>94</v>
      </c>
      <c r="C1268">
        <v>31555485</v>
      </c>
      <c r="D1268" t="s">
        <v>213</v>
      </c>
      <c r="E1268">
        <v>89.959000000000003</v>
      </c>
      <c r="F1268" t="s">
        <v>21</v>
      </c>
      <c r="G1268" t="s">
        <v>26</v>
      </c>
      <c r="H1268" t="s">
        <v>21</v>
      </c>
      <c r="I1268" t="s">
        <v>20</v>
      </c>
      <c r="J1268" t="s">
        <v>20</v>
      </c>
      <c r="K1268" t="s">
        <v>27</v>
      </c>
      <c r="L1268" t="s">
        <v>173</v>
      </c>
      <c r="M1268" t="s">
        <v>214</v>
      </c>
      <c r="N1268">
        <v>39.358480999999998</v>
      </c>
      <c r="O1268">
        <v>-112.55737000000001</v>
      </c>
      <c r="P1268">
        <v>4572.174489</v>
      </c>
      <c r="Q1268">
        <v>1332</v>
      </c>
      <c r="R1268">
        <v>0</v>
      </c>
    </row>
    <row r="1269" spans="1:18" x14ac:dyDescent="0.25">
      <c r="A1269">
        <v>1268</v>
      </c>
      <c r="B1269">
        <v>94</v>
      </c>
      <c r="C1269">
        <v>31771416</v>
      </c>
      <c r="D1269" t="s">
        <v>290</v>
      </c>
      <c r="E1269">
        <v>89.962000000000003</v>
      </c>
      <c r="F1269" t="s">
        <v>21</v>
      </c>
      <c r="G1269" t="s">
        <v>20</v>
      </c>
      <c r="H1269" t="s">
        <v>21</v>
      </c>
      <c r="I1269" t="s">
        <v>20</v>
      </c>
      <c r="J1269" t="s">
        <v>20</v>
      </c>
      <c r="K1269" t="s">
        <v>41</v>
      </c>
      <c r="L1269" t="s">
        <v>291</v>
      </c>
      <c r="M1269" t="s">
        <v>238</v>
      </c>
      <c r="N1269">
        <v>41.964390000000002</v>
      </c>
      <c r="O1269">
        <v>-112.765142</v>
      </c>
      <c r="P1269">
        <v>4467.8447230000002</v>
      </c>
      <c r="Q1269">
        <v>1343</v>
      </c>
      <c r="R1269">
        <v>0</v>
      </c>
    </row>
    <row r="1270" spans="1:18" x14ac:dyDescent="0.25">
      <c r="A1270">
        <v>1269</v>
      </c>
      <c r="B1270">
        <v>94</v>
      </c>
      <c r="C1270">
        <v>1220060</v>
      </c>
      <c r="D1270" t="s">
        <v>100</v>
      </c>
      <c r="E1270">
        <v>9.0079999999999991</v>
      </c>
      <c r="F1270" t="s">
        <v>19</v>
      </c>
      <c r="G1270" t="s">
        <v>20</v>
      </c>
      <c r="H1270" t="s">
        <v>19</v>
      </c>
      <c r="I1270">
        <v>97</v>
      </c>
      <c r="J1270" t="s">
        <v>20</v>
      </c>
      <c r="K1270" t="s">
        <v>41</v>
      </c>
      <c r="L1270" t="s">
        <v>57</v>
      </c>
      <c r="M1270" t="s">
        <v>46</v>
      </c>
      <c r="N1270">
        <v>41.161577999999999</v>
      </c>
      <c r="O1270">
        <v>-112.06446800000001</v>
      </c>
      <c r="P1270">
        <v>4251.6615160000001</v>
      </c>
      <c r="Q1270">
        <v>1396</v>
      </c>
      <c r="R1270">
        <v>0</v>
      </c>
    </row>
    <row r="1271" spans="1:18" x14ac:dyDescent="0.25">
      <c r="A1271">
        <v>1270</v>
      </c>
      <c r="B1271">
        <v>94</v>
      </c>
      <c r="C1271">
        <v>554499</v>
      </c>
      <c r="D1271" t="s">
        <v>77</v>
      </c>
      <c r="E1271">
        <v>9.0090000000000003</v>
      </c>
      <c r="F1271" t="s">
        <v>19</v>
      </c>
      <c r="G1271" t="s">
        <v>20</v>
      </c>
      <c r="H1271" t="s">
        <v>21</v>
      </c>
      <c r="I1271" t="s">
        <v>20</v>
      </c>
      <c r="J1271" t="s">
        <v>20</v>
      </c>
      <c r="K1271" t="s">
        <v>31</v>
      </c>
      <c r="L1271" t="s">
        <v>78</v>
      </c>
      <c r="M1271" t="s">
        <v>79</v>
      </c>
      <c r="N1271">
        <v>40.769153000000003</v>
      </c>
      <c r="O1271">
        <v>-112.02502200000001</v>
      </c>
      <c r="P1271">
        <v>4206.287206</v>
      </c>
      <c r="Q1271">
        <v>1436</v>
      </c>
      <c r="R1271">
        <v>0</v>
      </c>
    </row>
    <row r="1272" spans="1:18" x14ac:dyDescent="0.25">
      <c r="A1272">
        <v>1271</v>
      </c>
      <c r="B1272">
        <v>94</v>
      </c>
      <c r="C1272" t="e">
        <f>-JMIhHW0IoPGx_SFSNRoEF</f>
        <v>#NAME?</v>
      </c>
      <c r="D1272" t="s">
        <v>417</v>
      </c>
      <c r="E1272">
        <v>9.0109999999999992</v>
      </c>
      <c r="F1272" t="s">
        <v>19</v>
      </c>
      <c r="G1272" t="s">
        <v>20</v>
      </c>
      <c r="H1272" t="s">
        <v>21</v>
      </c>
      <c r="I1272" t="s">
        <v>20</v>
      </c>
      <c r="J1272" t="s">
        <v>20</v>
      </c>
      <c r="K1272" t="s">
        <v>31</v>
      </c>
      <c r="L1272" t="s">
        <v>84</v>
      </c>
      <c r="M1272" t="s">
        <v>24</v>
      </c>
      <c r="N1272">
        <v>40.522534</v>
      </c>
      <c r="O1272">
        <v>-112.00600799999999</v>
      </c>
      <c r="P1272">
        <v>4723.4037159999998</v>
      </c>
      <c r="Q1272">
        <v>6765</v>
      </c>
      <c r="R1272">
        <v>0</v>
      </c>
    </row>
    <row r="1273" spans="1:18" x14ac:dyDescent="0.25">
      <c r="A1273">
        <v>1272</v>
      </c>
      <c r="B1273">
        <v>94</v>
      </c>
      <c r="C1273">
        <v>31633649</v>
      </c>
      <c r="D1273" t="s">
        <v>227</v>
      </c>
      <c r="E1273">
        <v>9.0150000000000006</v>
      </c>
      <c r="F1273" t="s">
        <v>21</v>
      </c>
      <c r="G1273" t="s">
        <v>26</v>
      </c>
      <c r="H1273" t="s">
        <v>21</v>
      </c>
      <c r="I1273" t="s">
        <v>20</v>
      </c>
      <c r="J1273" t="s">
        <v>20</v>
      </c>
      <c r="K1273" t="s">
        <v>27</v>
      </c>
      <c r="L1273" t="s">
        <v>158</v>
      </c>
      <c r="M1273" t="s">
        <v>190</v>
      </c>
      <c r="N1273">
        <v>39.544223000000002</v>
      </c>
      <c r="O1273">
        <v>-110.40868500000001</v>
      </c>
      <c r="P1273">
        <v>6291.88429</v>
      </c>
      <c r="Q1273">
        <v>1407</v>
      </c>
      <c r="R1273">
        <v>0</v>
      </c>
    </row>
    <row r="1274" spans="1:18" x14ac:dyDescent="0.25">
      <c r="A1274">
        <v>1273</v>
      </c>
      <c r="B1274">
        <v>94</v>
      </c>
      <c r="C1274">
        <v>31505733</v>
      </c>
      <c r="D1274" t="s">
        <v>292</v>
      </c>
      <c r="E1274">
        <v>9.0169999999999995</v>
      </c>
      <c r="F1274" t="s">
        <v>21</v>
      </c>
      <c r="G1274" t="s">
        <v>20</v>
      </c>
      <c r="H1274" t="s">
        <v>21</v>
      </c>
      <c r="I1274" t="s">
        <v>20</v>
      </c>
      <c r="J1274" t="s">
        <v>20</v>
      </c>
      <c r="K1274" t="s">
        <v>22</v>
      </c>
      <c r="L1274" t="s">
        <v>253</v>
      </c>
      <c r="M1274" t="s">
        <v>134</v>
      </c>
      <c r="N1274">
        <v>40.291381999999999</v>
      </c>
      <c r="O1274">
        <v>-110.37558900000001</v>
      </c>
      <c r="P1274">
        <v>6247.8975179999998</v>
      </c>
      <c r="Q1274">
        <v>323</v>
      </c>
      <c r="R1274">
        <v>0</v>
      </c>
    </row>
    <row r="1275" spans="1:18" x14ac:dyDescent="0.25">
      <c r="A1275">
        <v>1274</v>
      </c>
      <c r="B1275">
        <v>94</v>
      </c>
      <c r="C1275">
        <v>31323300</v>
      </c>
      <c r="D1275" t="s">
        <v>160</v>
      </c>
      <c r="E1275">
        <v>5.9809999999999999</v>
      </c>
      <c r="F1275" t="s">
        <v>21</v>
      </c>
      <c r="G1275" t="s">
        <v>26</v>
      </c>
      <c r="H1275" t="s">
        <v>21</v>
      </c>
      <c r="I1275" t="s">
        <v>20</v>
      </c>
      <c r="J1275" t="s">
        <v>20</v>
      </c>
      <c r="K1275" t="s">
        <v>27</v>
      </c>
      <c r="L1275" t="s">
        <v>72</v>
      </c>
      <c r="M1275" t="s">
        <v>73</v>
      </c>
      <c r="N1275">
        <v>37.283385000000003</v>
      </c>
      <c r="O1275">
        <v>-113.305874</v>
      </c>
      <c r="P1275">
        <v>3734.0353100000002</v>
      </c>
      <c r="Q1275">
        <v>1335</v>
      </c>
      <c r="R1275">
        <v>0</v>
      </c>
    </row>
    <row r="1276" spans="1:18" x14ac:dyDescent="0.25">
      <c r="A1276">
        <v>1275</v>
      </c>
      <c r="B1276">
        <v>94</v>
      </c>
      <c r="C1276">
        <v>31394579</v>
      </c>
      <c r="D1276" t="s">
        <v>114</v>
      </c>
      <c r="E1276">
        <v>5.9820000000000002</v>
      </c>
      <c r="F1276" t="s">
        <v>21</v>
      </c>
      <c r="G1276" t="s">
        <v>26</v>
      </c>
      <c r="H1276" t="s">
        <v>21</v>
      </c>
      <c r="I1276" t="s">
        <v>20</v>
      </c>
      <c r="J1276" t="s">
        <v>20</v>
      </c>
      <c r="K1276" t="s">
        <v>41</v>
      </c>
      <c r="L1276" t="s">
        <v>87</v>
      </c>
      <c r="M1276" t="s">
        <v>82</v>
      </c>
      <c r="N1276">
        <v>41.103039000000003</v>
      </c>
      <c r="O1276">
        <v>-111.953973</v>
      </c>
      <c r="P1276">
        <v>4726.1631230000003</v>
      </c>
      <c r="Q1276">
        <v>405</v>
      </c>
      <c r="R1276">
        <v>0</v>
      </c>
    </row>
    <row r="1277" spans="1:18" x14ac:dyDescent="0.25">
      <c r="A1277">
        <v>1276</v>
      </c>
      <c r="B1277">
        <v>94</v>
      </c>
      <c r="C1277">
        <v>27599834</v>
      </c>
      <c r="D1277" t="s">
        <v>110</v>
      </c>
      <c r="E1277">
        <v>5.992</v>
      </c>
      <c r="F1277" t="s">
        <v>21</v>
      </c>
      <c r="G1277" t="s">
        <v>26</v>
      </c>
      <c r="H1277" t="s">
        <v>21</v>
      </c>
      <c r="I1277" t="s">
        <v>20</v>
      </c>
      <c r="J1277" t="s">
        <v>20</v>
      </c>
      <c r="K1277" t="s">
        <v>27</v>
      </c>
      <c r="L1277" t="s">
        <v>111</v>
      </c>
      <c r="M1277" t="s">
        <v>112</v>
      </c>
      <c r="N1277">
        <v>39.245643999999999</v>
      </c>
      <c r="O1277">
        <v>-111.092387</v>
      </c>
      <c r="P1277">
        <v>5920.8468249999996</v>
      </c>
      <c r="Q1277">
        <v>1361</v>
      </c>
      <c r="R1277">
        <v>0</v>
      </c>
    </row>
    <row r="1278" spans="1:18" x14ac:dyDescent="0.25">
      <c r="A1278">
        <v>1277</v>
      </c>
      <c r="B1278">
        <v>94</v>
      </c>
      <c r="C1278">
        <v>818927</v>
      </c>
      <c r="D1278" t="s">
        <v>68</v>
      </c>
      <c r="E1278">
        <v>5.9930000000000003</v>
      </c>
      <c r="F1278" t="s">
        <v>19</v>
      </c>
      <c r="G1278" t="s">
        <v>20</v>
      </c>
      <c r="H1278" t="s">
        <v>21</v>
      </c>
      <c r="I1278" t="s">
        <v>20</v>
      </c>
      <c r="J1278" t="s">
        <v>20</v>
      </c>
      <c r="K1278" t="s">
        <v>31</v>
      </c>
      <c r="L1278" t="s">
        <v>32</v>
      </c>
      <c r="M1278" t="s">
        <v>70</v>
      </c>
      <c r="N1278">
        <v>40.674261000000001</v>
      </c>
      <c r="O1278">
        <v>-111.841611</v>
      </c>
      <c r="P1278">
        <v>4324.9782750000004</v>
      </c>
      <c r="Q1278">
        <v>431</v>
      </c>
      <c r="R1278">
        <v>0</v>
      </c>
    </row>
    <row r="1279" spans="1:18" x14ac:dyDescent="0.25">
      <c r="A1279">
        <v>1278</v>
      </c>
      <c r="B1279">
        <v>94</v>
      </c>
      <c r="C1279">
        <v>31388992</v>
      </c>
      <c r="D1279" t="s">
        <v>364</v>
      </c>
      <c r="E1279">
        <v>5.9939999999999998</v>
      </c>
      <c r="F1279" t="s">
        <v>21</v>
      </c>
      <c r="G1279" t="s">
        <v>26</v>
      </c>
      <c r="H1279" t="s">
        <v>21</v>
      </c>
      <c r="I1279" t="s">
        <v>20</v>
      </c>
      <c r="J1279" t="s">
        <v>20</v>
      </c>
      <c r="K1279" t="s">
        <v>22</v>
      </c>
      <c r="L1279" t="s">
        <v>140</v>
      </c>
      <c r="M1279" t="s">
        <v>85</v>
      </c>
      <c r="N1279">
        <v>40.098362999999999</v>
      </c>
      <c r="O1279">
        <v>-111.687442</v>
      </c>
      <c r="P1279">
        <v>4519.4288109999998</v>
      </c>
      <c r="Q1279">
        <v>1401</v>
      </c>
      <c r="R1279">
        <v>0</v>
      </c>
    </row>
    <row r="1280" spans="1:18" x14ac:dyDescent="0.25">
      <c r="A1280">
        <v>1279</v>
      </c>
      <c r="B1280">
        <v>94</v>
      </c>
      <c r="C1280">
        <v>31694467</v>
      </c>
      <c r="D1280" t="s">
        <v>96</v>
      </c>
      <c r="E1280">
        <v>5.9950000000000001</v>
      </c>
      <c r="F1280" t="s">
        <v>21</v>
      </c>
      <c r="G1280" t="s">
        <v>20</v>
      </c>
      <c r="H1280" t="s">
        <v>21</v>
      </c>
      <c r="I1280" t="s">
        <v>20</v>
      </c>
      <c r="J1280" t="s">
        <v>20</v>
      </c>
      <c r="K1280" t="s">
        <v>22</v>
      </c>
      <c r="L1280" t="s">
        <v>97</v>
      </c>
      <c r="M1280" t="s">
        <v>98</v>
      </c>
      <c r="N1280">
        <v>40.977209999999999</v>
      </c>
      <c r="O1280">
        <v>-109.754356</v>
      </c>
      <c r="P1280">
        <v>6628.9736110000003</v>
      </c>
      <c r="Q1280">
        <v>311</v>
      </c>
      <c r="R1280">
        <v>0</v>
      </c>
    </row>
    <row r="1281" spans="1:18" x14ac:dyDescent="0.25">
      <c r="A1281">
        <v>1280</v>
      </c>
      <c r="B1281">
        <v>94</v>
      </c>
      <c r="C1281" t="e">
        <f>-Iov-Rp1H1mFDlo3kf52aV</f>
        <v>#NAME?</v>
      </c>
      <c r="D1281" t="s">
        <v>176</v>
      </c>
      <c r="E1281">
        <v>5.9960000000000004</v>
      </c>
      <c r="F1281" t="s">
        <v>21</v>
      </c>
      <c r="G1281" t="s">
        <v>26</v>
      </c>
      <c r="H1281" t="s">
        <v>21</v>
      </c>
      <c r="I1281" t="s">
        <v>20</v>
      </c>
      <c r="J1281" t="s">
        <v>20</v>
      </c>
      <c r="K1281" t="s">
        <v>41</v>
      </c>
      <c r="L1281" t="s">
        <v>177</v>
      </c>
      <c r="M1281" t="s">
        <v>178</v>
      </c>
      <c r="N1281">
        <v>41.537100000000002</v>
      </c>
      <c r="O1281">
        <v>-112.073926</v>
      </c>
      <c r="P1281">
        <v>4175.1618609999996</v>
      </c>
      <c r="Q1281">
        <v>1329</v>
      </c>
      <c r="R1281">
        <v>0</v>
      </c>
    </row>
    <row r="1282" spans="1:18" x14ac:dyDescent="0.25">
      <c r="A1282">
        <v>1281</v>
      </c>
      <c r="B1282">
        <v>94</v>
      </c>
      <c r="C1282">
        <v>31336280</v>
      </c>
      <c r="D1282" t="s">
        <v>288</v>
      </c>
      <c r="E1282">
        <v>50.03</v>
      </c>
      <c r="F1282" t="s">
        <v>21</v>
      </c>
      <c r="G1282" t="s">
        <v>26</v>
      </c>
      <c r="H1282" t="s">
        <v>21</v>
      </c>
      <c r="I1282" t="s">
        <v>20</v>
      </c>
      <c r="J1282" t="s">
        <v>20</v>
      </c>
      <c r="K1282" t="s">
        <v>27</v>
      </c>
      <c r="L1282" t="s">
        <v>327</v>
      </c>
      <c r="M1282" t="s">
        <v>147</v>
      </c>
      <c r="N1282">
        <v>37.608150000000002</v>
      </c>
      <c r="O1282">
        <v>-109.47890599999999</v>
      </c>
      <c r="P1282">
        <v>5912.1481199999998</v>
      </c>
      <c r="Q1282">
        <v>350</v>
      </c>
      <c r="R1282">
        <v>0</v>
      </c>
    </row>
    <row r="1283" spans="1:18" x14ac:dyDescent="0.25">
      <c r="A1283">
        <v>1282</v>
      </c>
      <c r="B1283">
        <v>94</v>
      </c>
      <c r="C1283">
        <v>31408843</v>
      </c>
      <c r="D1283" t="s">
        <v>124</v>
      </c>
      <c r="E1283">
        <v>50.039000000000001</v>
      </c>
      <c r="F1283" t="s">
        <v>21</v>
      </c>
      <c r="G1283" t="s">
        <v>26</v>
      </c>
      <c r="H1283" t="s">
        <v>21</v>
      </c>
      <c r="I1283" t="s">
        <v>20</v>
      </c>
      <c r="J1283" t="s">
        <v>20</v>
      </c>
      <c r="K1283" t="s">
        <v>31</v>
      </c>
      <c r="L1283" t="s">
        <v>48</v>
      </c>
      <c r="M1283" t="s">
        <v>125</v>
      </c>
      <c r="N1283">
        <v>40.634621000000003</v>
      </c>
      <c r="O1283">
        <v>-111.938805</v>
      </c>
      <c r="P1283">
        <v>4350.5916610000004</v>
      </c>
      <c r="Q1283">
        <v>1368</v>
      </c>
      <c r="R1283">
        <v>0</v>
      </c>
    </row>
    <row r="1284" spans="1:18" x14ac:dyDescent="0.25">
      <c r="A1284">
        <v>1283</v>
      </c>
      <c r="B1284">
        <v>94</v>
      </c>
      <c r="C1284">
        <v>31747054</v>
      </c>
      <c r="D1284" t="s">
        <v>290</v>
      </c>
      <c r="E1284">
        <v>50.045000000000002</v>
      </c>
      <c r="F1284" t="s">
        <v>21</v>
      </c>
      <c r="G1284" t="s">
        <v>20</v>
      </c>
      <c r="H1284" t="s">
        <v>21</v>
      </c>
      <c r="I1284" t="s">
        <v>20</v>
      </c>
      <c r="J1284" t="s">
        <v>20</v>
      </c>
      <c r="K1284" t="s">
        <v>41</v>
      </c>
      <c r="L1284" t="s">
        <v>291</v>
      </c>
      <c r="M1284" t="s">
        <v>238</v>
      </c>
      <c r="N1284">
        <v>41.819915999999999</v>
      </c>
      <c r="O1284">
        <v>-113.422878</v>
      </c>
      <c r="P1284">
        <v>5668.1772639999999</v>
      </c>
      <c r="Q1284">
        <v>1343</v>
      </c>
      <c r="R1284">
        <v>0</v>
      </c>
    </row>
    <row r="1285" spans="1:18" x14ac:dyDescent="0.25">
      <c r="A1285">
        <v>1284</v>
      </c>
      <c r="B1285">
        <v>94</v>
      </c>
      <c r="C1285">
        <v>28217386</v>
      </c>
      <c r="D1285" t="s">
        <v>220</v>
      </c>
      <c r="E1285">
        <v>59.387</v>
      </c>
      <c r="F1285" t="s">
        <v>21</v>
      </c>
      <c r="G1285" t="s">
        <v>26</v>
      </c>
      <c r="H1285" t="s">
        <v>21</v>
      </c>
      <c r="I1285" t="s">
        <v>20</v>
      </c>
      <c r="J1285" t="s">
        <v>20</v>
      </c>
      <c r="K1285" t="s">
        <v>27</v>
      </c>
      <c r="L1285" t="s">
        <v>28</v>
      </c>
      <c r="M1285" t="s">
        <v>366</v>
      </c>
      <c r="N1285">
        <v>37.770356</v>
      </c>
      <c r="O1285">
        <v>-111.602234</v>
      </c>
      <c r="P1285">
        <v>5746.8541880000002</v>
      </c>
      <c r="Q1285">
        <v>1328</v>
      </c>
      <c r="R1285">
        <v>0</v>
      </c>
    </row>
    <row r="1286" spans="1:18" x14ac:dyDescent="0.25">
      <c r="A1286">
        <v>1285</v>
      </c>
      <c r="B1286">
        <v>94</v>
      </c>
      <c r="C1286">
        <v>31584477</v>
      </c>
      <c r="D1286" t="s">
        <v>172</v>
      </c>
      <c r="E1286">
        <v>59.398000000000003</v>
      </c>
      <c r="F1286" t="s">
        <v>21</v>
      </c>
      <c r="G1286" t="s">
        <v>26</v>
      </c>
      <c r="H1286" t="s">
        <v>21</v>
      </c>
      <c r="I1286" t="s">
        <v>20</v>
      </c>
      <c r="J1286" t="s">
        <v>20</v>
      </c>
      <c r="K1286" t="s">
        <v>27</v>
      </c>
      <c r="L1286" t="s">
        <v>230</v>
      </c>
      <c r="M1286" t="s">
        <v>174</v>
      </c>
      <c r="N1286">
        <v>39.47484</v>
      </c>
      <c r="O1286">
        <v>-111.562878</v>
      </c>
      <c r="P1286">
        <v>5451.6485599999996</v>
      </c>
      <c r="Q1286">
        <v>1411</v>
      </c>
      <c r="R1286">
        <v>0</v>
      </c>
    </row>
    <row r="1287" spans="1:18" x14ac:dyDescent="0.25">
      <c r="A1287">
        <v>1286</v>
      </c>
      <c r="B1287">
        <v>94</v>
      </c>
      <c r="C1287" t="e">
        <f>-JQ84QBNH0L5r_nZq0Cl2F</f>
        <v>#NAME?</v>
      </c>
      <c r="D1287" t="s">
        <v>233</v>
      </c>
      <c r="E1287">
        <v>21.56</v>
      </c>
      <c r="F1287" t="s">
        <v>21</v>
      </c>
      <c r="G1287" t="s">
        <v>26</v>
      </c>
      <c r="H1287" t="s">
        <v>21</v>
      </c>
      <c r="I1287" t="s">
        <v>20</v>
      </c>
      <c r="J1287" t="s">
        <v>20</v>
      </c>
      <c r="K1287" t="s">
        <v>22</v>
      </c>
      <c r="L1287" t="s">
        <v>234</v>
      </c>
      <c r="M1287" t="s">
        <v>235</v>
      </c>
      <c r="N1287">
        <v>40.20176</v>
      </c>
      <c r="O1287">
        <v>-109.351147</v>
      </c>
      <c r="P1287">
        <v>5530.5559579999999</v>
      </c>
      <c r="Q1287">
        <v>1354</v>
      </c>
      <c r="R1287">
        <v>0</v>
      </c>
    </row>
    <row r="1288" spans="1:18" x14ac:dyDescent="0.25">
      <c r="A1288">
        <v>1287</v>
      </c>
      <c r="B1288">
        <v>94</v>
      </c>
      <c r="C1288" t="e">
        <f>-Ip5Zk8gIQLmgtBLSNAhGF</f>
        <v>#NAME?</v>
      </c>
      <c r="D1288" t="s">
        <v>346</v>
      </c>
      <c r="E1288">
        <v>21.568000000000001</v>
      </c>
      <c r="F1288" t="s">
        <v>21</v>
      </c>
      <c r="G1288" t="s">
        <v>20</v>
      </c>
      <c r="H1288" t="s">
        <v>21</v>
      </c>
      <c r="I1288" t="s">
        <v>20</v>
      </c>
      <c r="J1288" t="s">
        <v>20</v>
      </c>
      <c r="K1288" t="s">
        <v>27</v>
      </c>
      <c r="L1288" t="s">
        <v>307</v>
      </c>
      <c r="M1288" t="s">
        <v>159</v>
      </c>
      <c r="N1288">
        <v>39.859169999999999</v>
      </c>
      <c r="O1288">
        <v>-111.048384</v>
      </c>
      <c r="P1288">
        <v>7358.6742439999998</v>
      </c>
      <c r="Q1288">
        <v>1389</v>
      </c>
      <c r="R1288">
        <v>0</v>
      </c>
    </row>
    <row r="1289" spans="1:18" x14ac:dyDescent="0.25">
      <c r="A1289">
        <v>1288</v>
      </c>
      <c r="B1289">
        <v>94</v>
      </c>
      <c r="C1289">
        <v>31500022</v>
      </c>
      <c r="D1289" t="s">
        <v>317</v>
      </c>
      <c r="E1289">
        <v>21.585999999999999</v>
      </c>
      <c r="F1289" t="s">
        <v>21</v>
      </c>
      <c r="G1289" t="s">
        <v>20</v>
      </c>
      <c r="H1289" t="s">
        <v>21</v>
      </c>
      <c r="I1289" t="s">
        <v>20</v>
      </c>
      <c r="J1289" t="s">
        <v>20</v>
      </c>
      <c r="K1289" t="s">
        <v>27</v>
      </c>
      <c r="L1289" t="s">
        <v>211</v>
      </c>
      <c r="M1289" t="s">
        <v>212</v>
      </c>
      <c r="N1289">
        <v>37.149768999999999</v>
      </c>
      <c r="O1289">
        <v>-109.858023</v>
      </c>
      <c r="P1289">
        <v>4110.0809239999999</v>
      </c>
      <c r="Q1289">
        <v>1432</v>
      </c>
      <c r="R1289">
        <v>0</v>
      </c>
    </row>
    <row r="1290" spans="1:18" x14ac:dyDescent="0.25">
      <c r="A1290">
        <v>1289</v>
      </c>
      <c r="B1290">
        <v>94</v>
      </c>
      <c r="C1290">
        <v>31652123</v>
      </c>
      <c r="D1290" t="s">
        <v>418</v>
      </c>
      <c r="E1290">
        <v>21.6</v>
      </c>
      <c r="F1290" t="s">
        <v>21</v>
      </c>
      <c r="G1290" t="s">
        <v>20</v>
      </c>
      <c r="H1290" t="s">
        <v>21</v>
      </c>
      <c r="I1290" t="s">
        <v>20</v>
      </c>
      <c r="J1290" t="s">
        <v>20</v>
      </c>
      <c r="K1290" t="s">
        <v>27</v>
      </c>
      <c r="L1290" t="s">
        <v>211</v>
      </c>
      <c r="M1290" t="s">
        <v>212</v>
      </c>
      <c r="N1290">
        <v>37.275486000000001</v>
      </c>
      <c r="O1290">
        <v>-109.297552</v>
      </c>
      <c r="P1290">
        <v>4581.7382740000003</v>
      </c>
      <c r="Q1290">
        <v>361</v>
      </c>
      <c r="R1290">
        <v>0</v>
      </c>
    </row>
    <row r="1291" spans="1:18" x14ac:dyDescent="0.25">
      <c r="A1291">
        <v>1290</v>
      </c>
      <c r="B1291">
        <v>94</v>
      </c>
      <c r="C1291">
        <v>1566424</v>
      </c>
      <c r="D1291" t="s">
        <v>88</v>
      </c>
      <c r="E1291">
        <v>21.603000000000002</v>
      </c>
      <c r="F1291" t="s">
        <v>21</v>
      </c>
      <c r="G1291" t="s">
        <v>20</v>
      </c>
      <c r="H1291" t="s">
        <v>21</v>
      </c>
      <c r="I1291" t="s">
        <v>20</v>
      </c>
      <c r="J1291" t="s">
        <v>20</v>
      </c>
      <c r="K1291" t="s">
        <v>31</v>
      </c>
      <c r="L1291" t="s">
        <v>66</v>
      </c>
      <c r="M1291" t="s">
        <v>90</v>
      </c>
      <c r="N1291">
        <v>40.748027999999998</v>
      </c>
      <c r="O1291">
        <v>-111.871082</v>
      </c>
      <c r="P1291">
        <v>4222.3033880000003</v>
      </c>
      <c r="Q1291">
        <v>318</v>
      </c>
      <c r="R1291">
        <v>0</v>
      </c>
    </row>
    <row r="1292" spans="1:18" x14ac:dyDescent="0.25">
      <c r="A1292">
        <v>1291</v>
      </c>
      <c r="B1292">
        <v>94</v>
      </c>
      <c r="C1292">
        <v>27716957</v>
      </c>
      <c r="D1292" t="s">
        <v>217</v>
      </c>
      <c r="E1292">
        <v>21.631</v>
      </c>
      <c r="F1292" t="s">
        <v>21</v>
      </c>
      <c r="G1292" t="s">
        <v>26</v>
      </c>
      <c r="H1292" t="s">
        <v>21</v>
      </c>
      <c r="I1292" t="s">
        <v>20</v>
      </c>
      <c r="J1292" t="s">
        <v>20</v>
      </c>
      <c r="K1292" t="s">
        <v>27</v>
      </c>
      <c r="L1292" t="s">
        <v>162</v>
      </c>
      <c r="M1292" t="s">
        <v>163</v>
      </c>
      <c r="N1292">
        <v>37.355733999999998</v>
      </c>
      <c r="O1292">
        <v>-113.680848</v>
      </c>
      <c r="P1292">
        <v>4695.3995910000003</v>
      </c>
      <c r="Q1292">
        <v>304</v>
      </c>
      <c r="R1292">
        <v>0</v>
      </c>
    </row>
    <row r="1293" spans="1:18" x14ac:dyDescent="0.25">
      <c r="A1293">
        <v>1292</v>
      </c>
      <c r="B1293">
        <v>94</v>
      </c>
      <c r="C1293" t="e">
        <f>-JODoiG7Fa9b84MREB1o6k</f>
        <v>#NAME?</v>
      </c>
      <c r="D1293" t="s">
        <v>210</v>
      </c>
      <c r="E1293">
        <v>21.655999999999999</v>
      </c>
      <c r="F1293" t="s">
        <v>21</v>
      </c>
      <c r="G1293" t="s">
        <v>20</v>
      </c>
      <c r="H1293" t="s">
        <v>21</v>
      </c>
      <c r="I1293" t="s">
        <v>20</v>
      </c>
      <c r="J1293" t="s">
        <v>20</v>
      </c>
      <c r="K1293" t="s">
        <v>27</v>
      </c>
      <c r="L1293" t="s">
        <v>211</v>
      </c>
      <c r="M1293" t="s">
        <v>212</v>
      </c>
      <c r="N1293">
        <v>37.219856999999998</v>
      </c>
      <c r="O1293">
        <v>-109.19712800000001</v>
      </c>
      <c r="P1293">
        <v>4404.7327720000003</v>
      </c>
      <c r="Q1293">
        <v>344</v>
      </c>
      <c r="R1293">
        <v>0</v>
      </c>
    </row>
    <row r="1294" spans="1:18" x14ac:dyDescent="0.25">
      <c r="A1294">
        <v>1293</v>
      </c>
      <c r="B1294">
        <v>94</v>
      </c>
      <c r="C1294" t="s">
        <v>419</v>
      </c>
      <c r="D1294" t="s">
        <v>272</v>
      </c>
      <c r="E1294">
        <v>21.667000000000002</v>
      </c>
      <c r="F1294" t="s">
        <v>21</v>
      </c>
      <c r="G1294" t="s">
        <v>26</v>
      </c>
      <c r="H1294" t="s">
        <v>21</v>
      </c>
      <c r="I1294" t="s">
        <v>20</v>
      </c>
      <c r="J1294" t="s">
        <v>20</v>
      </c>
      <c r="K1294" t="s">
        <v>27</v>
      </c>
      <c r="L1294" t="s">
        <v>259</v>
      </c>
      <c r="M1294" t="s">
        <v>214</v>
      </c>
      <c r="N1294">
        <v>37.108952000000002</v>
      </c>
      <c r="O1294">
        <v>-111.915584</v>
      </c>
      <c r="P1294">
        <v>4316.012917</v>
      </c>
      <c r="Q1294">
        <v>1384</v>
      </c>
      <c r="R1294">
        <v>0</v>
      </c>
    </row>
    <row r="1295" spans="1:18" x14ac:dyDescent="0.25">
      <c r="A1295">
        <v>1294</v>
      </c>
      <c r="B1295">
        <v>94</v>
      </c>
      <c r="C1295">
        <v>28139193</v>
      </c>
      <c r="D1295" t="s">
        <v>220</v>
      </c>
      <c r="E1295">
        <v>21.678999999999998</v>
      </c>
      <c r="F1295" t="s">
        <v>21</v>
      </c>
      <c r="G1295" t="s">
        <v>26</v>
      </c>
      <c r="H1295" t="s">
        <v>21</v>
      </c>
      <c r="I1295" t="s">
        <v>20</v>
      </c>
      <c r="J1295" t="s">
        <v>20</v>
      </c>
      <c r="K1295" t="s">
        <v>27</v>
      </c>
      <c r="L1295" t="s">
        <v>28</v>
      </c>
      <c r="M1295" t="s">
        <v>29</v>
      </c>
      <c r="N1295">
        <v>37.616759999999999</v>
      </c>
      <c r="O1295">
        <v>-112.076649</v>
      </c>
      <c r="P1295">
        <v>6183.6398090000002</v>
      </c>
      <c r="Q1295">
        <v>1328</v>
      </c>
      <c r="R1295">
        <v>0</v>
      </c>
    </row>
    <row r="1296" spans="1:18" x14ac:dyDescent="0.25">
      <c r="A1296">
        <v>1295</v>
      </c>
      <c r="B1296">
        <v>94</v>
      </c>
      <c r="C1296">
        <v>31720961</v>
      </c>
      <c r="D1296" t="s">
        <v>118</v>
      </c>
      <c r="E1296">
        <v>21.696000000000002</v>
      </c>
      <c r="F1296" t="s">
        <v>21</v>
      </c>
      <c r="G1296" t="s">
        <v>26</v>
      </c>
      <c r="H1296" t="s">
        <v>21</v>
      </c>
      <c r="I1296" t="s">
        <v>20</v>
      </c>
      <c r="J1296" t="s">
        <v>20</v>
      </c>
      <c r="K1296" t="s">
        <v>22</v>
      </c>
      <c r="L1296" t="s">
        <v>119</v>
      </c>
      <c r="M1296" t="s">
        <v>120</v>
      </c>
      <c r="N1296">
        <v>40.449826000000002</v>
      </c>
      <c r="O1296">
        <v>-111.36931199999999</v>
      </c>
      <c r="P1296">
        <v>5976.4858459999996</v>
      </c>
      <c r="Q1296">
        <v>310</v>
      </c>
      <c r="R1296">
        <v>0</v>
      </c>
    </row>
    <row r="1297" spans="1:18" x14ac:dyDescent="0.25">
      <c r="A1297">
        <v>1296</v>
      </c>
      <c r="B1297">
        <v>94</v>
      </c>
      <c r="C1297">
        <v>31722204</v>
      </c>
      <c r="D1297" t="s">
        <v>245</v>
      </c>
      <c r="E1297">
        <v>21.706</v>
      </c>
      <c r="F1297" t="s">
        <v>21</v>
      </c>
      <c r="G1297" t="s">
        <v>20</v>
      </c>
      <c r="H1297" t="s">
        <v>21</v>
      </c>
      <c r="I1297" t="s">
        <v>20</v>
      </c>
      <c r="J1297" t="s">
        <v>20</v>
      </c>
      <c r="K1297" t="s">
        <v>22</v>
      </c>
      <c r="L1297" t="s">
        <v>97</v>
      </c>
      <c r="M1297" t="s">
        <v>98</v>
      </c>
      <c r="N1297">
        <v>40.925846</v>
      </c>
      <c r="O1297">
        <v>-109.71602300000001</v>
      </c>
      <c r="P1297">
        <v>6114.3442599999998</v>
      </c>
      <c r="Q1297">
        <v>1353</v>
      </c>
      <c r="R1297">
        <v>0</v>
      </c>
    </row>
    <row r="1298" spans="1:18" x14ac:dyDescent="0.25">
      <c r="A1298">
        <v>1297</v>
      </c>
      <c r="B1298">
        <v>94</v>
      </c>
      <c r="C1298">
        <v>31391565</v>
      </c>
      <c r="D1298" t="s">
        <v>124</v>
      </c>
      <c r="E1298">
        <v>21.709</v>
      </c>
      <c r="F1298" t="s">
        <v>21</v>
      </c>
      <c r="G1298" t="s">
        <v>20</v>
      </c>
      <c r="H1298" t="s">
        <v>21</v>
      </c>
      <c r="I1298" t="s">
        <v>20</v>
      </c>
      <c r="J1298" t="s">
        <v>20</v>
      </c>
      <c r="K1298" t="s">
        <v>22</v>
      </c>
      <c r="L1298" t="s">
        <v>193</v>
      </c>
      <c r="M1298" t="s">
        <v>194</v>
      </c>
      <c r="N1298">
        <v>40.239106999999997</v>
      </c>
      <c r="O1298">
        <v>-111.86732600000001</v>
      </c>
      <c r="P1298">
        <v>4519.0781429999997</v>
      </c>
      <c r="Q1298">
        <v>1368</v>
      </c>
      <c r="R1298">
        <v>0</v>
      </c>
    </row>
    <row r="1299" spans="1:18" x14ac:dyDescent="0.25">
      <c r="A1299">
        <v>1298</v>
      </c>
      <c r="B1299">
        <v>94</v>
      </c>
      <c r="C1299" t="e">
        <f>-IoXKmqnICL1Eb6_0jmJ8F</f>
        <v>#NAME?</v>
      </c>
      <c r="D1299" t="s">
        <v>272</v>
      </c>
      <c r="E1299">
        <v>340.03399999999999</v>
      </c>
      <c r="F1299" t="s">
        <v>21</v>
      </c>
      <c r="G1299" t="s">
        <v>26</v>
      </c>
      <c r="H1299" t="s">
        <v>21</v>
      </c>
      <c r="I1299" t="s">
        <v>20</v>
      </c>
      <c r="J1299" t="s">
        <v>20</v>
      </c>
      <c r="K1299" t="s">
        <v>22</v>
      </c>
      <c r="L1299" t="s">
        <v>23</v>
      </c>
      <c r="M1299" t="s">
        <v>125</v>
      </c>
      <c r="N1299">
        <v>40.302688000000003</v>
      </c>
      <c r="O1299">
        <v>-111.697418</v>
      </c>
      <c r="P1299">
        <v>4714.9816259999998</v>
      </c>
      <c r="Q1299">
        <v>1384</v>
      </c>
      <c r="R1299">
        <v>0</v>
      </c>
    </row>
    <row r="1300" spans="1:18" x14ac:dyDescent="0.25">
      <c r="A1300">
        <v>1299</v>
      </c>
      <c r="B1300">
        <v>94</v>
      </c>
      <c r="C1300" t="e">
        <f>-IoqA5kZHA9c1gZ9D5yhSF</f>
        <v>#NAME?</v>
      </c>
      <c r="D1300" t="s">
        <v>272</v>
      </c>
      <c r="E1300">
        <v>349.86099999999999</v>
      </c>
      <c r="F1300" t="s">
        <v>21</v>
      </c>
      <c r="G1300" t="s">
        <v>26</v>
      </c>
      <c r="H1300" t="s">
        <v>21</v>
      </c>
      <c r="I1300" t="s">
        <v>20</v>
      </c>
      <c r="J1300" t="s">
        <v>20</v>
      </c>
      <c r="K1300" t="s">
        <v>22</v>
      </c>
      <c r="L1300" t="s">
        <v>84</v>
      </c>
      <c r="M1300" t="s">
        <v>125</v>
      </c>
      <c r="N1300">
        <v>40.387571999999999</v>
      </c>
      <c r="O1300">
        <v>-111.823643</v>
      </c>
      <c r="P1300">
        <v>4496.1848060000002</v>
      </c>
      <c r="Q1300">
        <v>1384</v>
      </c>
      <c r="R1300">
        <v>0</v>
      </c>
    </row>
    <row r="1301" spans="1:18" x14ac:dyDescent="0.25">
      <c r="A1301">
        <v>1300</v>
      </c>
      <c r="B1301">
        <v>94</v>
      </c>
      <c r="C1301" t="e">
        <f>-IoqAJ5rIh1F_Kc1DnmHFF</f>
        <v>#NAME?</v>
      </c>
      <c r="D1301" t="s">
        <v>272</v>
      </c>
      <c r="E1301">
        <v>349.92899999999997</v>
      </c>
      <c r="F1301" t="s">
        <v>21</v>
      </c>
      <c r="G1301" t="s">
        <v>26</v>
      </c>
      <c r="H1301" t="s">
        <v>21</v>
      </c>
      <c r="I1301" t="s">
        <v>20</v>
      </c>
      <c r="J1301" t="s">
        <v>20</v>
      </c>
      <c r="K1301" t="s">
        <v>22</v>
      </c>
      <c r="L1301" t="s">
        <v>84</v>
      </c>
      <c r="M1301" t="s">
        <v>125</v>
      </c>
      <c r="N1301">
        <v>40.388010999999999</v>
      </c>
      <c r="O1301">
        <v>-111.824783</v>
      </c>
      <c r="P1301">
        <v>4498.3141420000002</v>
      </c>
      <c r="Q1301">
        <v>1384</v>
      </c>
      <c r="R1301">
        <v>0</v>
      </c>
    </row>
    <row r="1302" spans="1:18" x14ac:dyDescent="0.25">
      <c r="A1302">
        <v>1301</v>
      </c>
      <c r="B1302">
        <v>94</v>
      </c>
      <c r="C1302">
        <v>31430665</v>
      </c>
      <c r="D1302" t="s">
        <v>221</v>
      </c>
      <c r="E1302">
        <v>35.012999999999998</v>
      </c>
      <c r="F1302" t="s">
        <v>21</v>
      </c>
      <c r="G1302" t="s">
        <v>26</v>
      </c>
      <c r="H1302" t="s">
        <v>21</v>
      </c>
      <c r="I1302" t="s">
        <v>20</v>
      </c>
      <c r="J1302" t="s">
        <v>20</v>
      </c>
      <c r="K1302" t="s">
        <v>22</v>
      </c>
      <c r="L1302" t="s">
        <v>155</v>
      </c>
      <c r="M1302" t="s">
        <v>174</v>
      </c>
      <c r="N1302">
        <v>39.631252000000003</v>
      </c>
      <c r="O1302">
        <v>-111.861664</v>
      </c>
      <c r="P1302">
        <v>5282.1527619999997</v>
      </c>
      <c r="Q1302">
        <v>1342</v>
      </c>
      <c r="R1302">
        <v>0</v>
      </c>
    </row>
    <row r="1303" spans="1:18" x14ac:dyDescent="0.25">
      <c r="A1303">
        <v>1302</v>
      </c>
      <c r="B1303">
        <v>94</v>
      </c>
      <c r="C1303">
        <v>31383346</v>
      </c>
      <c r="D1303" t="s">
        <v>116</v>
      </c>
      <c r="E1303">
        <v>35.020000000000003</v>
      </c>
      <c r="F1303" t="s">
        <v>21</v>
      </c>
      <c r="G1303" t="s">
        <v>26</v>
      </c>
      <c r="H1303" t="s">
        <v>21</v>
      </c>
      <c r="I1303" t="s">
        <v>20</v>
      </c>
      <c r="J1303" t="s">
        <v>20</v>
      </c>
      <c r="K1303" t="s">
        <v>41</v>
      </c>
      <c r="L1303" t="s">
        <v>95</v>
      </c>
      <c r="M1303" t="s">
        <v>117</v>
      </c>
      <c r="N1303">
        <v>41.853008000000003</v>
      </c>
      <c r="O1303">
        <v>-111.831805</v>
      </c>
      <c r="P1303">
        <v>4568.748611</v>
      </c>
      <c r="Q1303">
        <v>324</v>
      </c>
      <c r="R1303">
        <v>0</v>
      </c>
    </row>
    <row r="1304" spans="1:18" x14ac:dyDescent="0.25">
      <c r="A1304">
        <v>1303</v>
      </c>
      <c r="B1304">
        <v>94</v>
      </c>
      <c r="C1304">
        <v>31396693</v>
      </c>
      <c r="D1304" t="s">
        <v>124</v>
      </c>
      <c r="E1304">
        <v>35.051000000000002</v>
      </c>
      <c r="F1304" t="s">
        <v>19</v>
      </c>
      <c r="G1304" t="s">
        <v>20</v>
      </c>
      <c r="H1304" t="s">
        <v>21</v>
      </c>
      <c r="I1304" t="s">
        <v>20</v>
      </c>
      <c r="J1304" t="s">
        <v>20</v>
      </c>
      <c r="K1304" t="s">
        <v>22</v>
      </c>
      <c r="L1304" t="s">
        <v>84</v>
      </c>
      <c r="M1304" t="s">
        <v>125</v>
      </c>
      <c r="N1304">
        <v>40.420468</v>
      </c>
      <c r="O1304">
        <v>-111.925256</v>
      </c>
      <c r="P1304">
        <v>4639.5745740000002</v>
      </c>
      <c r="Q1304">
        <v>1368</v>
      </c>
      <c r="R1304">
        <v>0</v>
      </c>
    </row>
    <row r="1305" spans="1:18" x14ac:dyDescent="0.25">
      <c r="A1305">
        <v>1304</v>
      </c>
      <c r="B1305">
        <v>94</v>
      </c>
      <c r="C1305">
        <v>31520481</v>
      </c>
      <c r="D1305" t="s">
        <v>132</v>
      </c>
      <c r="E1305">
        <v>35.061</v>
      </c>
      <c r="F1305" t="s">
        <v>21</v>
      </c>
      <c r="G1305" t="s">
        <v>20</v>
      </c>
      <c r="H1305" t="s">
        <v>21</v>
      </c>
      <c r="I1305" t="s">
        <v>20</v>
      </c>
      <c r="J1305" t="s">
        <v>20</v>
      </c>
      <c r="K1305" t="s">
        <v>22</v>
      </c>
      <c r="L1305" t="s">
        <v>234</v>
      </c>
      <c r="M1305" t="s">
        <v>277</v>
      </c>
      <c r="N1305">
        <v>40.452178000000004</v>
      </c>
      <c r="O1305">
        <v>-109.621971</v>
      </c>
      <c r="P1305">
        <v>5813.1758229999996</v>
      </c>
      <c r="Q1305">
        <v>1405</v>
      </c>
      <c r="R1305">
        <v>0</v>
      </c>
    </row>
    <row r="1306" spans="1:18" x14ac:dyDescent="0.25">
      <c r="A1306">
        <v>1305</v>
      </c>
      <c r="B1306">
        <v>94</v>
      </c>
      <c r="C1306" t="s">
        <v>420</v>
      </c>
      <c r="D1306" t="s">
        <v>284</v>
      </c>
      <c r="E1306">
        <v>35.078000000000003</v>
      </c>
      <c r="F1306" t="s">
        <v>21</v>
      </c>
      <c r="G1306" t="s">
        <v>20</v>
      </c>
      <c r="H1306" t="s">
        <v>21</v>
      </c>
      <c r="I1306" t="s">
        <v>20</v>
      </c>
      <c r="J1306" t="s">
        <v>20</v>
      </c>
      <c r="K1306" t="s">
        <v>31</v>
      </c>
      <c r="L1306" t="s">
        <v>285</v>
      </c>
      <c r="M1306" t="s">
        <v>206</v>
      </c>
      <c r="N1306">
        <v>40.720548999999998</v>
      </c>
      <c r="O1306">
        <v>-112.660237</v>
      </c>
      <c r="P1306">
        <v>4169.6008860000002</v>
      </c>
      <c r="Q1306">
        <v>407</v>
      </c>
      <c r="R1306">
        <v>0</v>
      </c>
    </row>
    <row r="1307" spans="1:18" x14ac:dyDescent="0.25">
      <c r="A1307">
        <v>1306</v>
      </c>
      <c r="B1307">
        <v>94</v>
      </c>
      <c r="C1307">
        <v>31284024</v>
      </c>
      <c r="D1307" t="s">
        <v>241</v>
      </c>
      <c r="E1307">
        <v>35.268999999999998</v>
      </c>
      <c r="F1307" t="s">
        <v>21</v>
      </c>
      <c r="G1307" t="s">
        <v>26</v>
      </c>
      <c r="H1307" t="s">
        <v>21</v>
      </c>
      <c r="I1307" t="s">
        <v>20</v>
      </c>
      <c r="J1307" t="s">
        <v>20</v>
      </c>
      <c r="K1307" t="s">
        <v>27</v>
      </c>
      <c r="L1307" t="s">
        <v>111</v>
      </c>
      <c r="M1307" t="s">
        <v>243</v>
      </c>
      <c r="N1307">
        <v>39.181503999999997</v>
      </c>
      <c r="O1307">
        <v>-111.038859</v>
      </c>
      <c r="P1307">
        <v>5626.2437799999998</v>
      </c>
      <c r="Q1307">
        <v>1327</v>
      </c>
      <c r="R1307">
        <v>0</v>
      </c>
    </row>
    <row r="1308" spans="1:18" x14ac:dyDescent="0.25">
      <c r="A1308">
        <v>1307</v>
      </c>
      <c r="B1308">
        <v>94</v>
      </c>
      <c r="C1308">
        <v>31383507</v>
      </c>
      <c r="D1308" t="s">
        <v>116</v>
      </c>
      <c r="E1308">
        <v>35.268999999999998</v>
      </c>
      <c r="F1308" t="s">
        <v>21</v>
      </c>
      <c r="G1308" t="s">
        <v>20</v>
      </c>
      <c r="H1308" t="s">
        <v>21</v>
      </c>
      <c r="I1308" t="s">
        <v>20</v>
      </c>
      <c r="J1308" t="s">
        <v>20</v>
      </c>
      <c r="K1308" t="s">
        <v>41</v>
      </c>
      <c r="L1308" t="s">
        <v>95</v>
      </c>
      <c r="M1308" t="s">
        <v>117</v>
      </c>
      <c r="N1308">
        <v>41.856599000000003</v>
      </c>
      <c r="O1308">
        <v>-111.831295</v>
      </c>
      <c r="P1308">
        <v>4568.3541640000003</v>
      </c>
      <c r="Q1308">
        <v>324</v>
      </c>
      <c r="R1308">
        <v>0</v>
      </c>
    </row>
    <row r="1309" spans="1:18" x14ac:dyDescent="0.25">
      <c r="A1309">
        <v>1308</v>
      </c>
      <c r="B1309">
        <v>94</v>
      </c>
      <c r="C1309" t="s">
        <v>421</v>
      </c>
      <c r="D1309" t="s">
        <v>124</v>
      </c>
      <c r="E1309">
        <v>35.313000000000002</v>
      </c>
      <c r="F1309" t="s">
        <v>21</v>
      </c>
      <c r="G1309" t="s">
        <v>20</v>
      </c>
      <c r="H1309" t="s">
        <v>21</v>
      </c>
      <c r="I1309" t="s">
        <v>20</v>
      </c>
      <c r="J1309" t="s">
        <v>20</v>
      </c>
      <c r="K1309" t="s">
        <v>22</v>
      </c>
      <c r="L1309" t="s">
        <v>84</v>
      </c>
      <c r="M1309" t="s">
        <v>125</v>
      </c>
      <c r="N1309">
        <v>40.424171000000001</v>
      </c>
      <c r="O1309">
        <v>-111.926321</v>
      </c>
      <c r="P1309">
        <v>4669.0776390000001</v>
      </c>
      <c r="Q1309">
        <v>1368</v>
      </c>
      <c r="R1309">
        <v>0</v>
      </c>
    </row>
    <row r="1310" spans="1:18" x14ac:dyDescent="0.25">
      <c r="A1310">
        <v>1309</v>
      </c>
      <c r="B1310">
        <v>94</v>
      </c>
      <c r="C1310">
        <v>31761198</v>
      </c>
      <c r="D1310" t="s">
        <v>265</v>
      </c>
      <c r="E1310">
        <v>35.329000000000001</v>
      </c>
      <c r="F1310" t="s">
        <v>21</v>
      </c>
      <c r="G1310" t="s">
        <v>26</v>
      </c>
      <c r="H1310" t="s">
        <v>21</v>
      </c>
      <c r="I1310" t="s">
        <v>20</v>
      </c>
      <c r="J1310" t="s">
        <v>20</v>
      </c>
      <c r="K1310" t="s">
        <v>27</v>
      </c>
      <c r="L1310" t="s">
        <v>183</v>
      </c>
      <c r="M1310" t="s">
        <v>267</v>
      </c>
      <c r="N1310">
        <v>38.764431999999999</v>
      </c>
      <c r="O1310">
        <v>-111.349721</v>
      </c>
      <c r="P1310">
        <v>6472.1663200000003</v>
      </c>
      <c r="Q1310">
        <v>1371</v>
      </c>
      <c r="R1310">
        <v>0</v>
      </c>
    </row>
    <row r="1311" spans="1:18" x14ac:dyDescent="0.25">
      <c r="A1311">
        <v>1310</v>
      </c>
      <c r="B1311">
        <v>94</v>
      </c>
      <c r="C1311">
        <v>31321634</v>
      </c>
      <c r="D1311" t="s">
        <v>288</v>
      </c>
      <c r="E1311">
        <v>35.366999999999997</v>
      </c>
      <c r="F1311" t="s">
        <v>21</v>
      </c>
      <c r="G1311" t="s">
        <v>26</v>
      </c>
      <c r="H1311" t="s">
        <v>21</v>
      </c>
      <c r="I1311" t="s">
        <v>20</v>
      </c>
      <c r="J1311" t="s">
        <v>20</v>
      </c>
      <c r="K1311" t="s">
        <v>27</v>
      </c>
      <c r="L1311" t="s">
        <v>211</v>
      </c>
      <c r="M1311" t="s">
        <v>318</v>
      </c>
      <c r="N1311">
        <v>37.411279999999998</v>
      </c>
      <c r="O1311">
        <v>-109.48629099999999</v>
      </c>
      <c r="P1311">
        <v>4916.4043060000004</v>
      </c>
      <c r="Q1311">
        <v>350</v>
      </c>
      <c r="R1311">
        <v>0</v>
      </c>
    </row>
    <row r="1312" spans="1:18" x14ac:dyDescent="0.25">
      <c r="A1312">
        <v>1311</v>
      </c>
      <c r="B1312">
        <v>94</v>
      </c>
      <c r="C1312">
        <v>31804523</v>
      </c>
      <c r="D1312" t="s">
        <v>272</v>
      </c>
      <c r="E1312">
        <v>35.395000000000003</v>
      </c>
      <c r="F1312" t="s">
        <v>21</v>
      </c>
      <c r="G1312" t="s">
        <v>26</v>
      </c>
      <c r="H1312" t="s">
        <v>21</v>
      </c>
      <c r="I1312" t="s">
        <v>20</v>
      </c>
      <c r="J1312" t="s">
        <v>20</v>
      </c>
      <c r="K1312" t="s">
        <v>27</v>
      </c>
      <c r="L1312" t="s">
        <v>259</v>
      </c>
      <c r="M1312" t="s">
        <v>214</v>
      </c>
      <c r="N1312">
        <v>37.146768999999999</v>
      </c>
      <c r="O1312">
        <v>-112.06688</v>
      </c>
      <c r="P1312">
        <v>5342.2426320000004</v>
      </c>
      <c r="Q1312">
        <v>1384</v>
      </c>
      <c r="R1312">
        <v>0</v>
      </c>
    </row>
    <row r="1313" spans="1:18" x14ac:dyDescent="0.25">
      <c r="A1313">
        <v>1312</v>
      </c>
      <c r="B1313">
        <v>94</v>
      </c>
      <c r="C1313" t="e">
        <f>-IovtTJ1FzPNmND8Lm0T4V</f>
        <v>#NAME?</v>
      </c>
      <c r="D1313" t="s">
        <v>316</v>
      </c>
      <c r="E1313">
        <v>35.404000000000003</v>
      </c>
      <c r="F1313" t="s">
        <v>21</v>
      </c>
      <c r="G1313" t="s">
        <v>20</v>
      </c>
      <c r="H1313" t="s">
        <v>21</v>
      </c>
      <c r="I1313" t="s">
        <v>20</v>
      </c>
      <c r="J1313" t="s">
        <v>20</v>
      </c>
      <c r="K1313" t="s">
        <v>22</v>
      </c>
      <c r="L1313" t="s">
        <v>168</v>
      </c>
      <c r="M1313" t="s">
        <v>302</v>
      </c>
      <c r="N1313">
        <v>40.424830999999998</v>
      </c>
      <c r="O1313">
        <v>-110.79933</v>
      </c>
      <c r="P1313">
        <v>6804.6000709999998</v>
      </c>
      <c r="Q1313">
        <v>1346</v>
      </c>
      <c r="R1313">
        <v>0</v>
      </c>
    </row>
    <row r="1314" spans="1:18" x14ac:dyDescent="0.25">
      <c r="A1314">
        <v>1313</v>
      </c>
      <c r="B1314">
        <v>94</v>
      </c>
      <c r="C1314">
        <v>31621115</v>
      </c>
      <c r="D1314" t="s">
        <v>50</v>
      </c>
      <c r="E1314">
        <v>35.423000000000002</v>
      </c>
      <c r="F1314" t="s">
        <v>21</v>
      </c>
      <c r="G1314" t="s">
        <v>26</v>
      </c>
      <c r="H1314" t="s">
        <v>21</v>
      </c>
      <c r="I1314" t="s">
        <v>20</v>
      </c>
      <c r="J1314" t="s">
        <v>20</v>
      </c>
      <c r="K1314" t="s">
        <v>27</v>
      </c>
      <c r="L1314" t="s">
        <v>247</v>
      </c>
      <c r="M1314" t="s">
        <v>52</v>
      </c>
      <c r="N1314">
        <v>37.723495</v>
      </c>
      <c r="O1314">
        <v>-112.624798</v>
      </c>
      <c r="P1314">
        <v>8178.2793160000001</v>
      </c>
      <c r="Q1314">
        <v>1418</v>
      </c>
      <c r="R1314">
        <v>0</v>
      </c>
    </row>
    <row r="1315" spans="1:18" x14ac:dyDescent="0.25">
      <c r="A1315">
        <v>1314</v>
      </c>
      <c r="B1315">
        <v>94</v>
      </c>
      <c r="C1315">
        <v>31286434</v>
      </c>
      <c r="D1315" t="s">
        <v>241</v>
      </c>
      <c r="E1315">
        <v>38.252000000000002</v>
      </c>
      <c r="F1315" t="s">
        <v>21</v>
      </c>
      <c r="G1315" t="s">
        <v>26</v>
      </c>
      <c r="H1315" t="s">
        <v>21</v>
      </c>
      <c r="I1315" t="s">
        <v>20</v>
      </c>
      <c r="J1315" t="s">
        <v>20</v>
      </c>
      <c r="K1315" t="s">
        <v>27</v>
      </c>
      <c r="L1315" t="s">
        <v>111</v>
      </c>
      <c r="M1315" t="s">
        <v>243</v>
      </c>
      <c r="N1315">
        <v>39.211750000000002</v>
      </c>
      <c r="O1315">
        <v>-111.012226</v>
      </c>
      <c r="P1315">
        <v>5583.2599200000004</v>
      </c>
      <c r="Q1315">
        <v>1327</v>
      </c>
      <c r="R1315">
        <v>0</v>
      </c>
    </row>
    <row r="1316" spans="1:18" x14ac:dyDescent="0.25">
      <c r="A1316">
        <v>1315</v>
      </c>
      <c r="B1316">
        <v>94</v>
      </c>
      <c r="C1316">
        <v>31502882</v>
      </c>
      <c r="D1316" t="s">
        <v>317</v>
      </c>
      <c r="E1316">
        <v>38.267000000000003</v>
      </c>
      <c r="F1316" t="s">
        <v>21</v>
      </c>
      <c r="G1316" t="s">
        <v>20</v>
      </c>
      <c r="H1316" t="s">
        <v>21</v>
      </c>
      <c r="I1316" t="s">
        <v>20</v>
      </c>
      <c r="J1316" t="s">
        <v>20</v>
      </c>
      <c r="K1316" t="s">
        <v>27</v>
      </c>
      <c r="L1316" t="s">
        <v>211</v>
      </c>
      <c r="M1316" t="s">
        <v>212</v>
      </c>
      <c r="N1316">
        <v>37.266294000000002</v>
      </c>
      <c r="O1316">
        <v>-109.67416900000001</v>
      </c>
      <c r="P1316">
        <v>4289.3797940000004</v>
      </c>
      <c r="Q1316">
        <v>1432</v>
      </c>
      <c r="R1316">
        <v>0</v>
      </c>
    </row>
    <row r="1317" spans="1:18" x14ac:dyDescent="0.25">
      <c r="A1317">
        <v>1316</v>
      </c>
      <c r="B1317">
        <v>94</v>
      </c>
      <c r="C1317">
        <v>31397542</v>
      </c>
      <c r="D1317" t="s">
        <v>124</v>
      </c>
      <c r="E1317">
        <v>38.271000000000001</v>
      </c>
      <c r="F1317" t="s">
        <v>21</v>
      </c>
      <c r="G1317" t="s">
        <v>26</v>
      </c>
      <c r="H1317" t="s">
        <v>21</v>
      </c>
      <c r="I1317" t="s">
        <v>20</v>
      </c>
      <c r="J1317" t="s">
        <v>20</v>
      </c>
      <c r="K1317" t="s">
        <v>31</v>
      </c>
      <c r="L1317" t="s">
        <v>89</v>
      </c>
      <c r="M1317" t="s">
        <v>125</v>
      </c>
      <c r="N1317">
        <v>40.464888000000002</v>
      </c>
      <c r="O1317">
        <v>-111.943887</v>
      </c>
      <c r="P1317">
        <v>4580.8828190000004</v>
      </c>
      <c r="Q1317">
        <v>1368</v>
      </c>
      <c r="R1317">
        <v>0</v>
      </c>
    </row>
    <row r="1318" spans="1:18" x14ac:dyDescent="0.25">
      <c r="A1318">
        <v>1317</v>
      </c>
      <c r="B1318">
        <v>94</v>
      </c>
      <c r="C1318">
        <v>31412219</v>
      </c>
      <c r="D1318" t="s">
        <v>63</v>
      </c>
      <c r="E1318">
        <v>38.28</v>
      </c>
      <c r="F1318" t="s">
        <v>21</v>
      </c>
      <c r="G1318" t="s">
        <v>26</v>
      </c>
      <c r="H1318" t="s">
        <v>21</v>
      </c>
      <c r="I1318" t="s">
        <v>20</v>
      </c>
      <c r="J1318" t="s">
        <v>20</v>
      </c>
      <c r="K1318" t="s">
        <v>27</v>
      </c>
      <c r="L1318" t="s">
        <v>266</v>
      </c>
      <c r="M1318" t="s">
        <v>29</v>
      </c>
      <c r="N1318">
        <v>38.516595000000002</v>
      </c>
      <c r="O1318">
        <v>-111.881379</v>
      </c>
      <c r="P1318">
        <v>6884.1078889999999</v>
      </c>
      <c r="Q1318">
        <v>1365</v>
      </c>
      <c r="R1318">
        <v>0</v>
      </c>
    </row>
    <row r="1319" spans="1:18" x14ac:dyDescent="0.25">
      <c r="A1319">
        <v>1318</v>
      </c>
      <c r="B1319">
        <v>94</v>
      </c>
      <c r="C1319" t="e">
        <f>-JST25iiFfPWosR5bKajPF</f>
        <v>#NAME?</v>
      </c>
      <c r="D1319" t="s">
        <v>118</v>
      </c>
      <c r="E1319">
        <v>38.295000000000002</v>
      </c>
      <c r="F1319" t="s">
        <v>21</v>
      </c>
      <c r="G1319" t="s">
        <v>20</v>
      </c>
      <c r="H1319" t="s">
        <v>21</v>
      </c>
      <c r="I1319" t="s">
        <v>20</v>
      </c>
      <c r="J1319" t="s">
        <v>20</v>
      </c>
      <c r="K1319" t="s">
        <v>22</v>
      </c>
      <c r="L1319" t="s">
        <v>119</v>
      </c>
      <c r="M1319" t="s">
        <v>120</v>
      </c>
      <c r="N1319">
        <v>40.262281000000002</v>
      </c>
      <c r="O1319">
        <v>-111.207869</v>
      </c>
      <c r="P1319">
        <v>7630.6906179999996</v>
      </c>
      <c r="Q1319">
        <v>310</v>
      </c>
      <c r="R1319">
        <v>0</v>
      </c>
    </row>
    <row r="1320" spans="1:18" x14ac:dyDescent="0.25">
      <c r="A1320">
        <v>1319</v>
      </c>
      <c r="B1320">
        <v>94</v>
      </c>
      <c r="C1320">
        <v>31432209</v>
      </c>
      <c r="D1320" t="s">
        <v>221</v>
      </c>
      <c r="E1320">
        <v>38.308999999999997</v>
      </c>
      <c r="F1320" t="s">
        <v>21</v>
      </c>
      <c r="G1320" t="s">
        <v>26</v>
      </c>
      <c r="H1320" t="s">
        <v>21</v>
      </c>
      <c r="I1320" t="s">
        <v>20</v>
      </c>
      <c r="J1320" t="s">
        <v>20</v>
      </c>
      <c r="K1320" t="s">
        <v>22</v>
      </c>
      <c r="L1320" t="s">
        <v>155</v>
      </c>
      <c r="M1320" t="s">
        <v>174</v>
      </c>
      <c r="N1320">
        <v>39.675227999999997</v>
      </c>
      <c r="O1320">
        <v>-111.84241400000001</v>
      </c>
      <c r="P1320">
        <v>5075.0556729999998</v>
      </c>
      <c r="Q1320">
        <v>1342</v>
      </c>
      <c r="R1320">
        <v>0</v>
      </c>
    </row>
    <row r="1321" spans="1:18" x14ac:dyDescent="0.25">
      <c r="A1321">
        <v>1320</v>
      </c>
      <c r="B1321">
        <v>94</v>
      </c>
      <c r="C1321">
        <v>31504038</v>
      </c>
      <c r="D1321" t="s">
        <v>224</v>
      </c>
      <c r="E1321">
        <v>13.874000000000001</v>
      </c>
      <c r="F1321" t="s">
        <v>21</v>
      </c>
      <c r="G1321" t="s">
        <v>26</v>
      </c>
      <c r="H1321" t="s">
        <v>21</v>
      </c>
      <c r="I1321" t="s">
        <v>20</v>
      </c>
      <c r="J1321" t="s">
        <v>20</v>
      </c>
      <c r="K1321" t="s">
        <v>22</v>
      </c>
      <c r="L1321" t="s">
        <v>140</v>
      </c>
      <c r="M1321" t="s">
        <v>194</v>
      </c>
      <c r="N1321">
        <v>40.099342</v>
      </c>
      <c r="O1321">
        <v>-111.628027</v>
      </c>
      <c r="P1321">
        <v>4670.895133</v>
      </c>
      <c r="Q1321">
        <v>408</v>
      </c>
      <c r="R1321">
        <v>0</v>
      </c>
    </row>
    <row r="1322" spans="1:18" x14ac:dyDescent="0.25">
      <c r="A1322">
        <v>1321</v>
      </c>
      <c r="B1322">
        <v>94</v>
      </c>
      <c r="C1322">
        <v>31752000</v>
      </c>
      <c r="D1322" t="s">
        <v>231</v>
      </c>
      <c r="E1322">
        <v>13.878</v>
      </c>
      <c r="F1322" t="s">
        <v>21</v>
      </c>
      <c r="G1322" t="s">
        <v>26</v>
      </c>
      <c r="H1322" t="s">
        <v>21</v>
      </c>
      <c r="I1322" t="s">
        <v>20</v>
      </c>
      <c r="J1322" t="s">
        <v>20</v>
      </c>
      <c r="K1322" t="s">
        <v>41</v>
      </c>
      <c r="L1322" t="s">
        <v>57</v>
      </c>
      <c r="M1322" t="s">
        <v>93</v>
      </c>
      <c r="N1322">
        <v>41.236499999999999</v>
      </c>
      <c r="O1322">
        <v>-112.025485</v>
      </c>
      <c r="P1322">
        <v>4203.5301239999999</v>
      </c>
      <c r="Q1322">
        <v>1409</v>
      </c>
      <c r="R1322">
        <v>0</v>
      </c>
    </row>
    <row r="1323" spans="1:18" x14ac:dyDescent="0.25">
      <c r="A1323">
        <v>1322</v>
      </c>
      <c r="B1323">
        <v>94</v>
      </c>
      <c r="C1323">
        <v>31491087</v>
      </c>
      <c r="D1323" t="s">
        <v>353</v>
      </c>
      <c r="E1323">
        <v>13.88</v>
      </c>
      <c r="F1323" t="s">
        <v>21</v>
      </c>
      <c r="G1323" t="s">
        <v>26</v>
      </c>
      <c r="H1323" t="s">
        <v>21</v>
      </c>
      <c r="I1323" t="s">
        <v>20</v>
      </c>
      <c r="J1323" t="s">
        <v>20</v>
      </c>
      <c r="K1323" t="s">
        <v>41</v>
      </c>
      <c r="L1323" t="s">
        <v>137</v>
      </c>
      <c r="M1323" t="s">
        <v>138</v>
      </c>
      <c r="N1323">
        <v>40.856675000000003</v>
      </c>
      <c r="O1323">
        <v>-111.589508</v>
      </c>
      <c r="P1323">
        <v>5758.4250970000003</v>
      </c>
      <c r="Q1323">
        <v>1367</v>
      </c>
      <c r="R1323">
        <v>0</v>
      </c>
    </row>
    <row r="1324" spans="1:18" x14ac:dyDescent="0.25">
      <c r="A1324">
        <v>1323</v>
      </c>
      <c r="B1324">
        <v>94</v>
      </c>
      <c r="C1324">
        <v>31344256</v>
      </c>
      <c r="D1324" t="s">
        <v>333</v>
      </c>
      <c r="E1324">
        <v>13.885</v>
      </c>
      <c r="F1324" t="s">
        <v>19</v>
      </c>
      <c r="G1324" t="s">
        <v>20</v>
      </c>
      <c r="H1324" t="s">
        <v>21</v>
      </c>
      <c r="I1324" t="s">
        <v>20</v>
      </c>
      <c r="J1324" t="s">
        <v>20</v>
      </c>
      <c r="K1324" t="s">
        <v>31</v>
      </c>
      <c r="L1324" t="s">
        <v>48</v>
      </c>
      <c r="M1324" t="s">
        <v>49</v>
      </c>
      <c r="N1324">
        <v>40.624003000000002</v>
      </c>
      <c r="O1324">
        <v>-111.97637</v>
      </c>
      <c r="P1324">
        <v>4454.7484969999996</v>
      </c>
      <c r="Q1324">
        <v>1426</v>
      </c>
      <c r="R1324">
        <v>0</v>
      </c>
    </row>
    <row r="1325" spans="1:18" x14ac:dyDescent="0.25">
      <c r="A1325">
        <v>1324</v>
      </c>
      <c r="B1325">
        <v>94</v>
      </c>
      <c r="C1325">
        <v>27843747</v>
      </c>
      <c r="D1325" t="s">
        <v>245</v>
      </c>
      <c r="E1325">
        <v>13.893000000000001</v>
      </c>
      <c r="F1325" t="s">
        <v>21</v>
      </c>
      <c r="G1325" t="s">
        <v>26</v>
      </c>
      <c r="H1325" t="s">
        <v>21</v>
      </c>
      <c r="I1325" t="s">
        <v>20</v>
      </c>
      <c r="J1325" t="s">
        <v>20</v>
      </c>
      <c r="K1325" t="s">
        <v>22</v>
      </c>
      <c r="L1325" t="s">
        <v>97</v>
      </c>
      <c r="M1325" t="s">
        <v>98</v>
      </c>
      <c r="N1325">
        <v>40.882190999999999</v>
      </c>
      <c r="O1325">
        <v>-109.69321100000001</v>
      </c>
      <c r="P1325">
        <v>7470.8578969999999</v>
      </c>
      <c r="Q1325">
        <v>1353</v>
      </c>
      <c r="R1325">
        <v>0</v>
      </c>
    </row>
    <row r="1326" spans="1:18" x14ac:dyDescent="0.25">
      <c r="A1326">
        <v>1325</v>
      </c>
      <c r="B1326">
        <v>94</v>
      </c>
      <c r="C1326">
        <v>31574392</v>
      </c>
      <c r="D1326" t="s">
        <v>213</v>
      </c>
      <c r="E1326">
        <v>130.18</v>
      </c>
      <c r="F1326" t="s">
        <v>21</v>
      </c>
      <c r="G1326" t="s">
        <v>20</v>
      </c>
      <c r="H1326" t="s">
        <v>21</v>
      </c>
      <c r="I1326" t="s">
        <v>20</v>
      </c>
      <c r="J1326" t="s">
        <v>20</v>
      </c>
      <c r="K1326" t="s">
        <v>22</v>
      </c>
      <c r="L1326" t="s">
        <v>193</v>
      </c>
      <c r="M1326" t="s">
        <v>214</v>
      </c>
      <c r="N1326">
        <v>39.825809</v>
      </c>
      <c r="O1326">
        <v>-112.14025100000001</v>
      </c>
      <c r="P1326">
        <v>5793.411102</v>
      </c>
      <c r="Q1326">
        <v>1332</v>
      </c>
      <c r="R1326">
        <v>0</v>
      </c>
    </row>
    <row r="1327" spans="1:18" x14ac:dyDescent="0.25">
      <c r="A1327">
        <v>1326</v>
      </c>
      <c r="B1327">
        <v>94</v>
      </c>
      <c r="C1327" t="e">
        <f>-Iow-niLFoTiqybArQB1AV</f>
        <v>#NAME?</v>
      </c>
      <c r="D1327" t="s">
        <v>290</v>
      </c>
      <c r="E1327">
        <v>130.19499999999999</v>
      </c>
      <c r="F1327" t="s">
        <v>21</v>
      </c>
      <c r="G1327" t="s">
        <v>26</v>
      </c>
      <c r="H1327" t="s">
        <v>21</v>
      </c>
      <c r="I1327" t="s">
        <v>20</v>
      </c>
      <c r="J1327" t="s">
        <v>20</v>
      </c>
      <c r="K1327" t="s">
        <v>41</v>
      </c>
      <c r="L1327" t="s">
        <v>325</v>
      </c>
      <c r="M1327" t="s">
        <v>280</v>
      </c>
      <c r="N1327">
        <v>41.769877999999999</v>
      </c>
      <c r="O1327">
        <v>-111.15066</v>
      </c>
      <c r="P1327">
        <v>6283.3100839999997</v>
      </c>
      <c r="Q1327">
        <v>1343</v>
      </c>
      <c r="R1327">
        <v>0</v>
      </c>
    </row>
    <row r="1328" spans="1:18" x14ac:dyDescent="0.25">
      <c r="A1328">
        <v>1327</v>
      </c>
      <c r="B1328">
        <v>94</v>
      </c>
      <c r="C1328">
        <v>31576103</v>
      </c>
      <c r="D1328" t="s">
        <v>213</v>
      </c>
      <c r="E1328">
        <v>130.245</v>
      </c>
      <c r="F1328" t="s">
        <v>21</v>
      </c>
      <c r="G1328" t="s">
        <v>26</v>
      </c>
      <c r="H1328" t="s">
        <v>21</v>
      </c>
      <c r="I1328" t="s">
        <v>20</v>
      </c>
      <c r="J1328" t="s">
        <v>20</v>
      </c>
      <c r="K1328" t="s">
        <v>22</v>
      </c>
      <c r="L1328" t="s">
        <v>193</v>
      </c>
      <c r="M1328" t="s">
        <v>214</v>
      </c>
      <c r="N1328">
        <v>39.826737000000001</v>
      </c>
      <c r="O1328">
        <v>-112.140064</v>
      </c>
      <c r="P1328">
        <v>5790.6884149999996</v>
      </c>
      <c r="Q1328">
        <v>1332</v>
      </c>
      <c r="R1328">
        <v>0</v>
      </c>
    </row>
    <row r="1329" spans="1:18" x14ac:dyDescent="0.25">
      <c r="A1329">
        <v>1328</v>
      </c>
      <c r="B1329">
        <v>94</v>
      </c>
      <c r="C1329">
        <v>31491938</v>
      </c>
      <c r="D1329" t="s">
        <v>320</v>
      </c>
      <c r="E1329">
        <v>130.25</v>
      </c>
      <c r="F1329" t="s">
        <v>21</v>
      </c>
      <c r="G1329" t="s">
        <v>26</v>
      </c>
      <c r="H1329" t="s">
        <v>21</v>
      </c>
      <c r="I1329" t="s">
        <v>20</v>
      </c>
      <c r="J1329" t="s">
        <v>20</v>
      </c>
      <c r="K1329" t="s">
        <v>27</v>
      </c>
      <c r="L1329" t="s">
        <v>202</v>
      </c>
      <c r="M1329" t="s">
        <v>76</v>
      </c>
      <c r="N1329">
        <v>39.251586000000003</v>
      </c>
      <c r="O1329">
        <v>-112.108198</v>
      </c>
      <c r="P1329">
        <v>5226.953152</v>
      </c>
      <c r="Q1329">
        <v>1356</v>
      </c>
      <c r="R1329">
        <v>0</v>
      </c>
    </row>
    <row r="1330" spans="1:18" x14ac:dyDescent="0.25">
      <c r="A1330">
        <v>1329</v>
      </c>
      <c r="B1330">
        <v>94</v>
      </c>
      <c r="C1330">
        <v>28153346</v>
      </c>
      <c r="D1330" t="s">
        <v>239</v>
      </c>
      <c r="E1330">
        <v>15.497999999999999</v>
      </c>
      <c r="F1330" t="s">
        <v>19</v>
      </c>
      <c r="G1330" t="s">
        <v>20</v>
      </c>
      <c r="H1330" t="s">
        <v>21</v>
      </c>
      <c r="I1330" t="s">
        <v>20</v>
      </c>
      <c r="J1330" t="s">
        <v>20</v>
      </c>
      <c r="K1330" t="s">
        <v>41</v>
      </c>
      <c r="L1330" t="s">
        <v>181</v>
      </c>
      <c r="M1330" t="s">
        <v>178</v>
      </c>
      <c r="N1330">
        <v>41.711314000000002</v>
      </c>
      <c r="O1330">
        <v>-112.180992</v>
      </c>
      <c r="P1330">
        <v>4273.3605859999998</v>
      </c>
      <c r="Q1330">
        <v>1392</v>
      </c>
      <c r="R1330">
        <v>0</v>
      </c>
    </row>
    <row r="1331" spans="1:18" x14ac:dyDescent="0.25">
      <c r="A1331">
        <v>1330</v>
      </c>
      <c r="B1331">
        <v>94</v>
      </c>
      <c r="C1331">
        <v>1129675</v>
      </c>
      <c r="D1331" t="s">
        <v>171</v>
      </c>
      <c r="E1331">
        <v>15.5</v>
      </c>
      <c r="F1331" t="s">
        <v>21</v>
      </c>
      <c r="G1331" t="s">
        <v>26</v>
      </c>
      <c r="H1331" t="s">
        <v>21</v>
      </c>
      <c r="I1331" t="s">
        <v>20</v>
      </c>
      <c r="J1331" t="s">
        <v>20</v>
      </c>
      <c r="K1331" t="s">
        <v>31</v>
      </c>
      <c r="L1331" t="s">
        <v>188</v>
      </c>
      <c r="M1331" t="s">
        <v>79</v>
      </c>
      <c r="N1331">
        <v>40.699843999999999</v>
      </c>
      <c r="O1331">
        <v>-111.797701</v>
      </c>
      <c r="P1331">
        <v>4847.0602609999996</v>
      </c>
      <c r="Q1331">
        <v>346</v>
      </c>
      <c r="R1331">
        <v>0</v>
      </c>
    </row>
    <row r="1332" spans="1:18" x14ac:dyDescent="0.25">
      <c r="A1332">
        <v>1331</v>
      </c>
      <c r="B1332">
        <v>94</v>
      </c>
      <c r="C1332">
        <v>31494081</v>
      </c>
      <c r="D1332" t="s">
        <v>353</v>
      </c>
      <c r="E1332">
        <v>15.503</v>
      </c>
      <c r="F1332" t="s">
        <v>21</v>
      </c>
      <c r="G1332" t="s">
        <v>26</v>
      </c>
      <c r="H1332" t="s">
        <v>21</v>
      </c>
      <c r="I1332" t="s">
        <v>20</v>
      </c>
      <c r="J1332" t="s">
        <v>20</v>
      </c>
      <c r="K1332" t="s">
        <v>41</v>
      </c>
      <c r="L1332" t="s">
        <v>137</v>
      </c>
      <c r="M1332" t="s">
        <v>138</v>
      </c>
      <c r="N1332">
        <v>40.878874000000003</v>
      </c>
      <c r="O1332">
        <v>-111.579787</v>
      </c>
      <c r="P1332">
        <v>5691.0655470000002</v>
      </c>
      <c r="Q1332">
        <v>1367</v>
      </c>
      <c r="R1332">
        <v>0</v>
      </c>
    </row>
    <row r="1333" spans="1:18" x14ac:dyDescent="0.25">
      <c r="A1333">
        <v>1332</v>
      </c>
      <c r="B1333">
        <v>94</v>
      </c>
      <c r="C1333">
        <v>31588525</v>
      </c>
      <c r="D1333" t="s">
        <v>271</v>
      </c>
      <c r="E1333">
        <v>15.506</v>
      </c>
      <c r="F1333" t="s">
        <v>21</v>
      </c>
      <c r="G1333" t="s">
        <v>26</v>
      </c>
      <c r="H1333" t="s">
        <v>21</v>
      </c>
      <c r="I1333" t="s">
        <v>20</v>
      </c>
      <c r="J1333" t="s">
        <v>20</v>
      </c>
      <c r="K1333" t="s">
        <v>31</v>
      </c>
      <c r="L1333" t="s">
        <v>282</v>
      </c>
      <c r="M1333" t="s">
        <v>24</v>
      </c>
      <c r="N1333">
        <v>40.230938999999999</v>
      </c>
      <c r="O1333">
        <v>-112.18407500000001</v>
      </c>
      <c r="P1333">
        <v>5234.3894309999996</v>
      </c>
      <c r="Q1333">
        <v>1372</v>
      </c>
      <c r="R1333">
        <v>0</v>
      </c>
    </row>
    <row r="1334" spans="1:18" x14ac:dyDescent="0.25">
      <c r="A1334">
        <v>1333</v>
      </c>
      <c r="B1334">
        <v>94</v>
      </c>
      <c r="C1334">
        <v>1534640</v>
      </c>
      <c r="D1334" t="s">
        <v>88</v>
      </c>
      <c r="E1334">
        <v>15.523999999999999</v>
      </c>
      <c r="F1334" t="s">
        <v>21</v>
      </c>
      <c r="G1334" t="s">
        <v>26</v>
      </c>
      <c r="H1334" t="s">
        <v>21</v>
      </c>
      <c r="I1334" t="s">
        <v>20</v>
      </c>
      <c r="J1334" t="s">
        <v>20</v>
      </c>
      <c r="K1334" t="s">
        <v>31</v>
      </c>
      <c r="L1334" t="s">
        <v>32</v>
      </c>
      <c r="M1334" t="s">
        <v>90</v>
      </c>
      <c r="N1334">
        <v>40.663038</v>
      </c>
      <c r="O1334">
        <v>-111.86457299999999</v>
      </c>
      <c r="P1334">
        <v>4281.5888169999998</v>
      </c>
      <c r="Q1334">
        <v>318</v>
      </c>
      <c r="R1334">
        <v>0</v>
      </c>
    </row>
    <row r="1335" spans="1:18" x14ac:dyDescent="0.25">
      <c r="A1335">
        <v>1334</v>
      </c>
      <c r="B1335">
        <v>94</v>
      </c>
      <c r="C1335">
        <v>31591306</v>
      </c>
      <c r="D1335" t="s">
        <v>271</v>
      </c>
      <c r="E1335">
        <v>20.850999999999999</v>
      </c>
      <c r="F1335" t="s">
        <v>21</v>
      </c>
      <c r="G1335" t="s">
        <v>20</v>
      </c>
      <c r="H1335" t="s">
        <v>21</v>
      </c>
      <c r="I1335" t="s">
        <v>20</v>
      </c>
      <c r="J1335" t="s">
        <v>20</v>
      </c>
      <c r="K1335" t="s">
        <v>22</v>
      </c>
      <c r="L1335" t="s">
        <v>263</v>
      </c>
      <c r="M1335" t="s">
        <v>24</v>
      </c>
      <c r="N1335">
        <v>40.263316000000003</v>
      </c>
      <c r="O1335">
        <v>-112.09440499999999</v>
      </c>
      <c r="P1335">
        <v>4825.2380519999997</v>
      </c>
      <c r="Q1335">
        <v>1372</v>
      </c>
      <c r="R1335">
        <v>0</v>
      </c>
    </row>
    <row r="1336" spans="1:18" x14ac:dyDescent="0.25">
      <c r="A1336">
        <v>1335</v>
      </c>
      <c r="B1336">
        <v>94</v>
      </c>
      <c r="C1336">
        <v>1563237</v>
      </c>
      <c r="D1336" t="s">
        <v>88</v>
      </c>
      <c r="E1336">
        <v>20.852</v>
      </c>
      <c r="F1336" t="s">
        <v>21</v>
      </c>
      <c r="G1336" t="s">
        <v>26</v>
      </c>
      <c r="H1336" t="s">
        <v>21</v>
      </c>
      <c r="I1336" t="s">
        <v>20</v>
      </c>
      <c r="J1336" t="s">
        <v>20</v>
      </c>
      <c r="K1336" t="s">
        <v>31</v>
      </c>
      <c r="L1336" t="s">
        <v>66</v>
      </c>
      <c r="M1336" t="s">
        <v>90</v>
      </c>
      <c r="N1336">
        <v>40.737186000000001</v>
      </c>
      <c r="O1336">
        <v>-111.871098</v>
      </c>
      <c r="P1336">
        <v>4223.6279969999996</v>
      </c>
      <c r="Q1336">
        <v>318</v>
      </c>
      <c r="R1336">
        <v>0</v>
      </c>
    </row>
    <row r="1337" spans="1:18" x14ac:dyDescent="0.25">
      <c r="A1337">
        <v>1336</v>
      </c>
      <c r="B1337">
        <v>94</v>
      </c>
      <c r="C1337">
        <v>28137973</v>
      </c>
      <c r="D1337" t="s">
        <v>220</v>
      </c>
      <c r="E1337">
        <v>20.867000000000001</v>
      </c>
      <c r="F1337" t="s">
        <v>21</v>
      </c>
      <c r="G1337" t="s">
        <v>26</v>
      </c>
      <c r="H1337" t="s">
        <v>21</v>
      </c>
      <c r="I1337" t="s">
        <v>20</v>
      </c>
      <c r="J1337" t="s">
        <v>20</v>
      </c>
      <c r="K1337" t="s">
        <v>27</v>
      </c>
      <c r="L1337" t="s">
        <v>28</v>
      </c>
      <c r="M1337" t="s">
        <v>29</v>
      </c>
      <c r="N1337">
        <v>37.626924000000002</v>
      </c>
      <c r="O1337">
        <v>-112.08183699999999</v>
      </c>
      <c r="P1337">
        <v>6235.2544710000002</v>
      </c>
      <c r="Q1337">
        <v>1328</v>
      </c>
      <c r="R1337">
        <v>0</v>
      </c>
    </row>
    <row r="1338" spans="1:18" x14ac:dyDescent="0.25">
      <c r="A1338">
        <v>1337</v>
      </c>
      <c r="B1338">
        <v>94</v>
      </c>
      <c r="C1338">
        <v>31316822</v>
      </c>
      <c r="D1338" t="s">
        <v>347</v>
      </c>
      <c r="E1338">
        <v>20.876000000000001</v>
      </c>
      <c r="F1338" t="s">
        <v>21</v>
      </c>
      <c r="G1338" t="s">
        <v>26</v>
      </c>
      <c r="H1338" t="s">
        <v>21</v>
      </c>
      <c r="I1338" t="s">
        <v>20</v>
      </c>
      <c r="J1338" t="s">
        <v>20</v>
      </c>
      <c r="K1338" t="s">
        <v>41</v>
      </c>
      <c r="L1338" t="s">
        <v>325</v>
      </c>
      <c r="M1338" t="s">
        <v>204</v>
      </c>
      <c r="N1338">
        <v>41.667661000000003</v>
      </c>
      <c r="O1338">
        <v>-111.184968</v>
      </c>
      <c r="P1338">
        <v>6239.4043549999997</v>
      </c>
      <c r="Q1338">
        <v>1334</v>
      </c>
      <c r="R1338">
        <v>0</v>
      </c>
    </row>
    <row r="1339" spans="1:18" x14ac:dyDescent="0.25">
      <c r="A1339">
        <v>1338</v>
      </c>
      <c r="B1339">
        <v>94</v>
      </c>
      <c r="C1339">
        <v>1563322</v>
      </c>
      <c r="D1339" t="s">
        <v>88</v>
      </c>
      <c r="E1339">
        <v>20.905000000000001</v>
      </c>
      <c r="F1339" t="s">
        <v>21</v>
      </c>
      <c r="G1339" t="s">
        <v>26</v>
      </c>
      <c r="H1339" t="s">
        <v>21</v>
      </c>
      <c r="I1339" t="s">
        <v>20</v>
      </c>
      <c r="J1339" t="s">
        <v>20</v>
      </c>
      <c r="K1339" t="s">
        <v>31</v>
      </c>
      <c r="L1339" t="s">
        <v>66</v>
      </c>
      <c r="M1339" t="s">
        <v>90</v>
      </c>
      <c r="N1339">
        <v>40.737960000000001</v>
      </c>
      <c r="O1339">
        <v>-111.871183</v>
      </c>
      <c r="P1339">
        <v>4222.7334039999996</v>
      </c>
      <c r="Q1339">
        <v>318</v>
      </c>
      <c r="R1339">
        <v>0</v>
      </c>
    </row>
    <row r="1340" spans="1:18" x14ac:dyDescent="0.25">
      <c r="A1340">
        <v>1339</v>
      </c>
      <c r="B1340">
        <v>94</v>
      </c>
      <c r="C1340">
        <v>28566097</v>
      </c>
      <c r="D1340" t="s">
        <v>323</v>
      </c>
      <c r="E1340">
        <v>20.923999999999999</v>
      </c>
      <c r="F1340" t="s">
        <v>21</v>
      </c>
      <c r="G1340" t="s">
        <v>26</v>
      </c>
      <c r="H1340" t="s">
        <v>21</v>
      </c>
      <c r="I1340" t="s">
        <v>20</v>
      </c>
      <c r="J1340" t="s">
        <v>20</v>
      </c>
      <c r="K1340" t="s">
        <v>31</v>
      </c>
      <c r="L1340" t="s">
        <v>130</v>
      </c>
      <c r="M1340" t="s">
        <v>131</v>
      </c>
      <c r="N1340">
        <v>40.724946000000003</v>
      </c>
      <c r="O1340">
        <v>-111.341588</v>
      </c>
      <c r="P1340">
        <v>6144.3059080000003</v>
      </c>
      <c r="Q1340">
        <v>1345</v>
      </c>
      <c r="R1340">
        <v>0</v>
      </c>
    </row>
    <row r="1341" spans="1:18" x14ac:dyDescent="0.25">
      <c r="A1341">
        <v>1340</v>
      </c>
      <c r="B1341">
        <v>94</v>
      </c>
      <c r="C1341">
        <v>31330004</v>
      </c>
      <c r="D1341" t="s">
        <v>303</v>
      </c>
      <c r="E1341">
        <v>27.998999999999999</v>
      </c>
      <c r="F1341" t="s">
        <v>21</v>
      </c>
      <c r="G1341" t="s">
        <v>20</v>
      </c>
      <c r="H1341" t="s">
        <v>21</v>
      </c>
      <c r="I1341" t="s">
        <v>20</v>
      </c>
      <c r="J1341" t="s">
        <v>20</v>
      </c>
      <c r="K1341" t="s">
        <v>27</v>
      </c>
      <c r="L1341" t="s">
        <v>72</v>
      </c>
      <c r="M1341" t="s">
        <v>73</v>
      </c>
      <c r="N1341">
        <v>37.161163999999999</v>
      </c>
      <c r="O1341">
        <v>-113.039582</v>
      </c>
      <c r="P1341">
        <v>3663.708779</v>
      </c>
      <c r="Q1341">
        <v>1326</v>
      </c>
      <c r="R1341">
        <v>0</v>
      </c>
    </row>
    <row r="1342" spans="1:18" x14ac:dyDescent="0.25">
      <c r="A1342">
        <v>1341</v>
      </c>
      <c r="B1342">
        <v>94</v>
      </c>
      <c r="C1342" t="e">
        <f>-IoMY4nXGoTzg5w5In4eZk</f>
        <v>#NAME?</v>
      </c>
      <c r="D1342" t="s">
        <v>272</v>
      </c>
      <c r="E1342">
        <v>270.34399999999999</v>
      </c>
      <c r="F1342" t="s">
        <v>21</v>
      </c>
      <c r="G1342" t="s">
        <v>26</v>
      </c>
      <c r="H1342" t="s">
        <v>21</v>
      </c>
      <c r="I1342" t="s">
        <v>20</v>
      </c>
      <c r="J1342" t="s">
        <v>20</v>
      </c>
      <c r="K1342" t="s">
        <v>27</v>
      </c>
      <c r="L1342" t="s">
        <v>230</v>
      </c>
      <c r="M1342" t="s">
        <v>174</v>
      </c>
      <c r="N1342">
        <v>39.461767999999999</v>
      </c>
      <c r="O1342">
        <v>-111.53663400000001</v>
      </c>
      <c r="P1342">
        <v>5572.8566330000003</v>
      </c>
      <c r="Q1342">
        <v>1384</v>
      </c>
      <c r="R1342">
        <v>0</v>
      </c>
    </row>
    <row r="1343" spans="1:18" x14ac:dyDescent="0.25">
      <c r="A1343">
        <v>1342</v>
      </c>
      <c r="B1343">
        <v>94</v>
      </c>
      <c r="C1343">
        <v>31718834</v>
      </c>
      <c r="D1343" t="s">
        <v>213</v>
      </c>
      <c r="E1343">
        <v>270.512</v>
      </c>
      <c r="F1343" t="s">
        <v>21</v>
      </c>
      <c r="G1343" t="s">
        <v>26</v>
      </c>
      <c r="H1343" t="s">
        <v>21</v>
      </c>
      <c r="I1343" t="s">
        <v>20</v>
      </c>
      <c r="J1343" t="s">
        <v>20</v>
      </c>
      <c r="K1343" t="s">
        <v>27</v>
      </c>
      <c r="L1343" t="s">
        <v>158</v>
      </c>
      <c r="M1343" t="s">
        <v>422</v>
      </c>
      <c r="N1343">
        <v>39.369933000000003</v>
      </c>
      <c r="O1343">
        <v>-110.396756</v>
      </c>
      <c r="P1343">
        <v>4943.1897600000002</v>
      </c>
      <c r="Q1343">
        <v>1332</v>
      </c>
      <c r="R1343">
        <v>0</v>
      </c>
    </row>
    <row r="1344" spans="1:18" x14ac:dyDescent="0.25">
      <c r="A1344">
        <v>1343</v>
      </c>
      <c r="B1344">
        <v>94</v>
      </c>
      <c r="C1344">
        <v>31301873</v>
      </c>
      <c r="D1344" t="s">
        <v>339</v>
      </c>
      <c r="E1344">
        <v>2.6379999999999999</v>
      </c>
      <c r="F1344" t="s">
        <v>21</v>
      </c>
      <c r="G1344" t="s">
        <v>20</v>
      </c>
      <c r="H1344" t="s">
        <v>21</v>
      </c>
      <c r="I1344" t="s">
        <v>20</v>
      </c>
      <c r="J1344" t="s">
        <v>20</v>
      </c>
      <c r="K1344" t="s">
        <v>41</v>
      </c>
      <c r="L1344" t="s">
        <v>95</v>
      </c>
      <c r="M1344" t="s">
        <v>73</v>
      </c>
      <c r="N1344">
        <v>41.888072999999999</v>
      </c>
      <c r="O1344">
        <v>-112.036433</v>
      </c>
      <c r="P1344">
        <v>4812.9975180000001</v>
      </c>
      <c r="Q1344">
        <v>1417</v>
      </c>
      <c r="R1344">
        <v>0</v>
      </c>
    </row>
    <row r="1345" spans="1:18" x14ac:dyDescent="0.25">
      <c r="A1345">
        <v>1344</v>
      </c>
      <c r="B1345">
        <v>94</v>
      </c>
      <c r="C1345">
        <v>31487962</v>
      </c>
      <c r="D1345" t="s">
        <v>164</v>
      </c>
      <c r="E1345">
        <v>2.6389999999999998</v>
      </c>
      <c r="F1345" t="s">
        <v>21</v>
      </c>
      <c r="G1345" t="s">
        <v>26</v>
      </c>
      <c r="H1345" t="s">
        <v>21</v>
      </c>
      <c r="I1345" t="s">
        <v>20</v>
      </c>
      <c r="J1345" t="s">
        <v>20</v>
      </c>
      <c r="K1345" t="s">
        <v>27</v>
      </c>
      <c r="L1345" t="s">
        <v>165</v>
      </c>
      <c r="M1345" t="s">
        <v>166</v>
      </c>
      <c r="N1345">
        <v>38.971083999999998</v>
      </c>
      <c r="O1345">
        <v>-112.32368099999999</v>
      </c>
      <c r="P1345">
        <v>5056.84321</v>
      </c>
      <c r="Q1345">
        <v>1390</v>
      </c>
      <c r="R1345">
        <v>0</v>
      </c>
    </row>
    <row r="1346" spans="1:18" x14ac:dyDescent="0.25">
      <c r="A1346">
        <v>1345</v>
      </c>
      <c r="B1346">
        <v>94</v>
      </c>
      <c r="C1346">
        <v>523733</v>
      </c>
      <c r="D1346" t="s">
        <v>44</v>
      </c>
      <c r="E1346">
        <v>2.64</v>
      </c>
      <c r="F1346" t="s">
        <v>21</v>
      </c>
      <c r="G1346" t="s">
        <v>26</v>
      </c>
      <c r="H1346" t="s">
        <v>21</v>
      </c>
      <c r="I1346" t="s">
        <v>20</v>
      </c>
      <c r="J1346" t="s">
        <v>20</v>
      </c>
      <c r="K1346" t="s">
        <v>41</v>
      </c>
      <c r="L1346" t="s">
        <v>45</v>
      </c>
      <c r="M1346" t="s">
        <v>46</v>
      </c>
      <c r="N1346">
        <v>40.915652999999999</v>
      </c>
      <c r="O1346">
        <v>-111.878968</v>
      </c>
      <c r="P1346">
        <v>4239.6080789999996</v>
      </c>
      <c r="Q1346">
        <v>1395</v>
      </c>
      <c r="R1346">
        <v>0</v>
      </c>
    </row>
    <row r="1347" spans="1:18" x14ac:dyDescent="0.25">
      <c r="A1347">
        <v>1346</v>
      </c>
      <c r="B1347">
        <v>94</v>
      </c>
      <c r="C1347">
        <v>31514642</v>
      </c>
      <c r="D1347" t="s">
        <v>231</v>
      </c>
      <c r="E1347">
        <v>2.6440000000000001</v>
      </c>
      <c r="F1347" t="s">
        <v>21</v>
      </c>
      <c r="G1347" t="s">
        <v>26</v>
      </c>
      <c r="H1347" t="s">
        <v>21</v>
      </c>
      <c r="I1347" t="s">
        <v>20</v>
      </c>
      <c r="J1347" t="s">
        <v>20</v>
      </c>
      <c r="K1347" t="s">
        <v>41</v>
      </c>
      <c r="L1347" t="s">
        <v>57</v>
      </c>
      <c r="M1347" t="s">
        <v>93</v>
      </c>
      <c r="N1347">
        <v>41.081982000000004</v>
      </c>
      <c r="O1347">
        <v>-111.992176</v>
      </c>
      <c r="P1347">
        <v>4380.8425420000003</v>
      </c>
      <c r="Q1347">
        <v>1409</v>
      </c>
      <c r="R1347">
        <v>0</v>
      </c>
    </row>
    <row r="1348" spans="1:18" x14ac:dyDescent="0.25">
      <c r="A1348">
        <v>1347</v>
      </c>
      <c r="B1348">
        <v>94</v>
      </c>
      <c r="C1348">
        <v>31458660</v>
      </c>
      <c r="D1348" t="s">
        <v>331</v>
      </c>
      <c r="E1348">
        <v>2.6440000000000001</v>
      </c>
      <c r="F1348" t="s">
        <v>21</v>
      </c>
      <c r="G1348" t="s">
        <v>20</v>
      </c>
      <c r="H1348" t="s">
        <v>21</v>
      </c>
      <c r="I1348" t="s">
        <v>20</v>
      </c>
      <c r="J1348" t="s">
        <v>20</v>
      </c>
      <c r="K1348" t="s">
        <v>27</v>
      </c>
      <c r="L1348" t="s">
        <v>111</v>
      </c>
      <c r="M1348" t="s">
        <v>112</v>
      </c>
      <c r="N1348">
        <v>39.345547000000003</v>
      </c>
      <c r="O1348">
        <v>-110.88933299999999</v>
      </c>
      <c r="P1348">
        <v>5703.4197720000002</v>
      </c>
      <c r="Q1348">
        <v>1427</v>
      </c>
      <c r="R1348">
        <v>0</v>
      </c>
    </row>
    <row r="1349" spans="1:18" x14ac:dyDescent="0.25">
      <c r="A1349">
        <v>1348</v>
      </c>
      <c r="B1349">
        <v>94</v>
      </c>
      <c r="C1349">
        <v>31792907</v>
      </c>
      <c r="D1349" t="s">
        <v>61</v>
      </c>
      <c r="E1349">
        <v>2.6440000000000001</v>
      </c>
      <c r="F1349" t="s">
        <v>19</v>
      </c>
      <c r="G1349" t="s">
        <v>20</v>
      </c>
      <c r="H1349" t="s">
        <v>21</v>
      </c>
      <c r="I1349" t="s">
        <v>20</v>
      </c>
      <c r="J1349" t="s">
        <v>20</v>
      </c>
      <c r="K1349" t="s">
        <v>22</v>
      </c>
      <c r="L1349" t="s">
        <v>23</v>
      </c>
      <c r="M1349" t="s">
        <v>62</v>
      </c>
      <c r="N1349">
        <v>40.244343999999998</v>
      </c>
      <c r="O1349">
        <v>-111.658646</v>
      </c>
      <c r="P1349">
        <v>4517.3229789999996</v>
      </c>
      <c r="Q1349">
        <v>403</v>
      </c>
      <c r="R1349">
        <v>0</v>
      </c>
    </row>
    <row r="1350" spans="1:18" x14ac:dyDescent="0.25">
      <c r="A1350">
        <v>1349</v>
      </c>
      <c r="B1350">
        <v>94</v>
      </c>
      <c r="C1350">
        <v>1007383</v>
      </c>
      <c r="D1350" t="s">
        <v>171</v>
      </c>
      <c r="E1350">
        <v>2.6469999999999998</v>
      </c>
      <c r="F1350" t="s">
        <v>21</v>
      </c>
      <c r="G1350" t="s">
        <v>26</v>
      </c>
      <c r="H1350" t="s">
        <v>21</v>
      </c>
      <c r="I1350" t="s">
        <v>20</v>
      </c>
      <c r="J1350" t="s">
        <v>20</v>
      </c>
      <c r="K1350" t="s">
        <v>31</v>
      </c>
      <c r="L1350" t="s">
        <v>78</v>
      </c>
      <c r="M1350" t="s">
        <v>79</v>
      </c>
      <c r="N1350">
        <v>40.696536000000002</v>
      </c>
      <c r="O1350">
        <v>-112.041263</v>
      </c>
      <c r="P1350">
        <v>4259.1350599999996</v>
      </c>
      <c r="Q1350">
        <v>346</v>
      </c>
      <c r="R1350">
        <v>0</v>
      </c>
    </row>
    <row r="1351" spans="1:18" x14ac:dyDescent="0.25">
      <c r="A1351">
        <v>1350</v>
      </c>
      <c r="B1351">
        <v>94</v>
      </c>
      <c r="C1351">
        <v>31599106</v>
      </c>
      <c r="D1351" t="s">
        <v>50</v>
      </c>
      <c r="E1351">
        <v>2.6480000000000001</v>
      </c>
      <c r="F1351" t="s">
        <v>21</v>
      </c>
      <c r="G1351" t="s">
        <v>26</v>
      </c>
      <c r="H1351" t="s">
        <v>19</v>
      </c>
      <c r="I1351">
        <v>274</v>
      </c>
      <c r="J1351" t="s">
        <v>20</v>
      </c>
      <c r="K1351" t="s">
        <v>27</v>
      </c>
      <c r="L1351" t="s">
        <v>51</v>
      </c>
      <c r="M1351" t="s">
        <v>52</v>
      </c>
      <c r="N1351">
        <v>37.842188999999998</v>
      </c>
      <c r="O1351">
        <v>-112.82759</v>
      </c>
      <c r="P1351">
        <v>5946.8045460000003</v>
      </c>
      <c r="Q1351">
        <v>1418</v>
      </c>
      <c r="R1351">
        <v>0</v>
      </c>
    </row>
    <row r="1352" spans="1:18" x14ac:dyDescent="0.25">
      <c r="A1352">
        <v>1351</v>
      </c>
      <c r="B1352">
        <v>94</v>
      </c>
      <c r="C1352">
        <v>31567941</v>
      </c>
      <c r="D1352" t="s">
        <v>80</v>
      </c>
      <c r="E1352">
        <v>2.6520000000000001</v>
      </c>
      <c r="F1352" t="s">
        <v>21</v>
      </c>
      <c r="G1352" t="s">
        <v>26</v>
      </c>
      <c r="H1352" t="s">
        <v>21</v>
      </c>
      <c r="I1352" t="s">
        <v>20</v>
      </c>
      <c r="J1352" t="s">
        <v>20</v>
      </c>
      <c r="K1352" t="s">
        <v>41</v>
      </c>
      <c r="L1352" t="s">
        <v>81</v>
      </c>
      <c r="M1352" t="s">
        <v>46</v>
      </c>
      <c r="N1352">
        <v>41.230974000000003</v>
      </c>
      <c r="O1352">
        <v>-111.981849</v>
      </c>
      <c r="P1352">
        <v>4234.2959090000004</v>
      </c>
      <c r="Q1352">
        <v>1393</v>
      </c>
      <c r="R1352">
        <v>0</v>
      </c>
    </row>
    <row r="1353" spans="1:18" x14ac:dyDescent="0.25">
      <c r="A1353">
        <v>1352</v>
      </c>
      <c r="B1353">
        <v>94</v>
      </c>
      <c r="C1353">
        <v>967582</v>
      </c>
      <c r="D1353" t="s">
        <v>65</v>
      </c>
      <c r="E1353">
        <v>2.6560000000000001</v>
      </c>
      <c r="F1353" t="s">
        <v>19</v>
      </c>
      <c r="G1353" t="s">
        <v>20</v>
      </c>
      <c r="H1353" t="s">
        <v>19</v>
      </c>
      <c r="I1353">
        <v>89</v>
      </c>
      <c r="J1353">
        <v>270</v>
      </c>
      <c r="K1353" t="s">
        <v>31</v>
      </c>
      <c r="L1353" t="s">
        <v>66</v>
      </c>
      <c r="M1353" t="s">
        <v>67</v>
      </c>
      <c r="N1353">
        <v>40.760660999999999</v>
      </c>
      <c r="O1353">
        <v>-111.888206</v>
      </c>
      <c r="P1353">
        <v>4205.6245900000004</v>
      </c>
      <c r="Q1353">
        <v>402</v>
      </c>
      <c r="R1353">
        <v>0</v>
      </c>
    </row>
    <row r="1354" spans="1:18" x14ac:dyDescent="0.25">
      <c r="A1354">
        <v>1353</v>
      </c>
      <c r="B1354">
        <v>94</v>
      </c>
      <c r="C1354">
        <v>31749785</v>
      </c>
      <c r="D1354" t="s">
        <v>156</v>
      </c>
      <c r="E1354">
        <v>2.6560000000000001</v>
      </c>
      <c r="F1354" t="s">
        <v>21</v>
      </c>
      <c r="G1354" t="s">
        <v>26</v>
      </c>
      <c r="H1354" t="s">
        <v>21</v>
      </c>
      <c r="I1354" t="s">
        <v>20</v>
      </c>
      <c r="J1354" t="s">
        <v>20</v>
      </c>
      <c r="K1354" t="s">
        <v>41</v>
      </c>
      <c r="L1354" t="s">
        <v>81</v>
      </c>
      <c r="M1354" t="s">
        <v>93</v>
      </c>
      <c r="N1354">
        <v>41.297910000000002</v>
      </c>
      <c r="O1354">
        <v>-111.968895</v>
      </c>
      <c r="P1354">
        <v>4310.0678939999998</v>
      </c>
      <c r="Q1354">
        <v>424</v>
      </c>
      <c r="R1354">
        <v>0</v>
      </c>
    </row>
    <row r="1355" spans="1:18" x14ac:dyDescent="0.25">
      <c r="A1355">
        <v>1354</v>
      </c>
      <c r="B1355">
        <v>94</v>
      </c>
      <c r="C1355">
        <v>28600421</v>
      </c>
      <c r="D1355" t="s">
        <v>148</v>
      </c>
      <c r="E1355">
        <v>2.657</v>
      </c>
      <c r="F1355" t="s">
        <v>21</v>
      </c>
      <c r="G1355" t="s">
        <v>26</v>
      </c>
      <c r="H1355" t="s">
        <v>21</v>
      </c>
      <c r="I1355" t="s">
        <v>20</v>
      </c>
      <c r="J1355" t="s">
        <v>20</v>
      </c>
      <c r="K1355" t="s">
        <v>31</v>
      </c>
      <c r="L1355" t="s">
        <v>149</v>
      </c>
      <c r="M1355" t="s">
        <v>131</v>
      </c>
      <c r="N1355">
        <v>40.776231000000003</v>
      </c>
      <c r="O1355">
        <v>-111.388181</v>
      </c>
      <c r="P1355">
        <v>6013.8956010000002</v>
      </c>
      <c r="Q1355">
        <v>263</v>
      </c>
      <c r="R1355">
        <v>0</v>
      </c>
    </row>
    <row r="1356" spans="1:18" x14ac:dyDescent="0.25">
      <c r="A1356">
        <v>1355</v>
      </c>
      <c r="B1356">
        <v>94</v>
      </c>
      <c r="C1356">
        <v>31759262</v>
      </c>
      <c r="D1356" t="s">
        <v>77</v>
      </c>
      <c r="E1356">
        <v>2.6579999999999999</v>
      </c>
      <c r="F1356" t="s">
        <v>21</v>
      </c>
      <c r="G1356" t="s">
        <v>26</v>
      </c>
      <c r="H1356" t="s">
        <v>21</v>
      </c>
      <c r="I1356" t="s">
        <v>20</v>
      </c>
      <c r="J1356" t="s">
        <v>20</v>
      </c>
      <c r="K1356" t="s">
        <v>31</v>
      </c>
      <c r="L1356" t="s">
        <v>78</v>
      </c>
      <c r="M1356" t="s">
        <v>79</v>
      </c>
      <c r="N1356">
        <v>40.677199999999999</v>
      </c>
      <c r="O1356">
        <v>-112.024743</v>
      </c>
      <c r="P1356">
        <v>4430.0191290000002</v>
      </c>
      <c r="Q1356">
        <v>1436</v>
      </c>
      <c r="R1356">
        <v>0</v>
      </c>
    </row>
    <row r="1357" spans="1:18" x14ac:dyDescent="0.25">
      <c r="A1357">
        <v>1356</v>
      </c>
      <c r="B1357">
        <v>94</v>
      </c>
      <c r="C1357" t="s">
        <v>423</v>
      </c>
      <c r="D1357" t="s">
        <v>129</v>
      </c>
      <c r="E1357">
        <v>30.721</v>
      </c>
      <c r="F1357" t="s">
        <v>21</v>
      </c>
      <c r="G1357" t="s">
        <v>20</v>
      </c>
      <c r="H1357" t="s">
        <v>21</v>
      </c>
      <c r="I1357" t="s">
        <v>20</v>
      </c>
      <c r="J1357" t="s">
        <v>20</v>
      </c>
      <c r="K1357" t="s">
        <v>31</v>
      </c>
      <c r="L1357" t="s">
        <v>130</v>
      </c>
      <c r="M1357" t="s">
        <v>302</v>
      </c>
      <c r="N1357">
        <v>40.695284999999998</v>
      </c>
      <c r="O1357">
        <v>-110.890995</v>
      </c>
      <c r="P1357">
        <v>10314.740448</v>
      </c>
      <c r="Q1357">
        <v>340</v>
      </c>
      <c r="R1357">
        <v>0</v>
      </c>
    </row>
    <row r="1358" spans="1:18" x14ac:dyDescent="0.25">
      <c r="A1358">
        <v>1357</v>
      </c>
      <c r="B1358">
        <v>94</v>
      </c>
      <c r="C1358" t="e">
        <f>-Ip5JKp2H2LOkvWts3tmQk</f>
        <v>#NAME?</v>
      </c>
      <c r="D1358" t="s">
        <v>124</v>
      </c>
      <c r="E1358">
        <v>32.484999999999999</v>
      </c>
      <c r="F1358" t="s">
        <v>21</v>
      </c>
      <c r="G1358" t="s">
        <v>26</v>
      </c>
      <c r="H1358" t="s">
        <v>21</v>
      </c>
      <c r="I1358" t="s">
        <v>20</v>
      </c>
      <c r="J1358" t="s">
        <v>20</v>
      </c>
      <c r="K1358" t="s">
        <v>22</v>
      </c>
      <c r="L1358" t="s">
        <v>84</v>
      </c>
      <c r="M1358" t="s">
        <v>125</v>
      </c>
      <c r="N1358">
        <v>40.383955999999998</v>
      </c>
      <c r="O1358">
        <v>-111.916399</v>
      </c>
      <c r="P1358">
        <v>4476.1159420000004</v>
      </c>
      <c r="Q1358">
        <v>1368</v>
      </c>
      <c r="R1358">
        <v>0</v>
      </c>
    </row>
    <row r="1359" spans="1:18" x14ac:dyDescent="0.25">
      <c r="A1359">
        <v>1358</v>
      </c>
      <c r="B1359">
        <v>94</v>
      </c>
      <c r="C1359">
        <v>28188739</v>
      </c>
      <c r="D1359" t="s">
        <v>233</v>
      </c>
      <c r="E1359">
        <v>32.505000000000003</v>
      </c>
      <c r="F1359" t="s">
        <v>21</v>
      </c>
      <c r="G1359" t="s">
        <v>20</v>
      </c>
      <c r="H1359" t="s">
        <v>21</v>
      </c>
      <c r="I1359" t="s">
        <v>20</v>
      </c>
      <c r="J1359" t="s">
        <v>20</v>
      </c>
      <c r="K1359" t="s">
        <v>22</v>
      </c>
      <c r="L1359" t="s">
        <v>234</v>
      </c>
      <c r="M1359" t="s">
        <v>235</v>
      </c>
      <c r="N1359">
        <v>40.310074999999998</v>
      </c>
      <c r="O1359">
        <v>-109.481461</v>
      </c>
      <c r="P1359">
        <v>4672.2988100000002</v>
      </c>
      <c r="Q1359">
        <v>1354</v>
      </c>
      <c r="R1359">
        <v>0</v>
      </c>
    </row>
    <row r="1360" spans="1:18" x14ac:dyDescent="0.25">
      <c r="A1360">
        <v>1359</v>
      </c>
      <c r="B1360">
        <v>94</v>
      </c>
      <c r="C1360" t="e">
        <f>-IovFNBZG7eAbxN6heLcCF</f>
        <v>#NAME?</v>
      </c>
      <c r="D1360" t="s">
        <v>176</v>
      </c>
      <c r="E1360">
        <v>32.518999999999998</v>
      </c>
      <c r="F1360" t="s">
        <v>21</v>
      </c>
      <c r="G1360" t="s">
        <v>26</v>
      </c>
      <c r="H1360" t="s">
        <v>21</v>
      </c>
      <c r="I1360" t="s">
        <v>20</v>
      </c>
      <c r="J1360" t="s">
        <v>20</v>
      </c>
      <c r="K1360" t="s">
        <v>41</v>
      </c>
      <c r="L1360" t="s">
        <v>223</v>
      </c>
      <c r="M1360" t="s">
        <v>178</v>
      </c>
      <c r="N1360">
        <v>41.886454000000001</v>
      </c>
      <c r="O1360">
        <v>-112.160411</v>
      </c>
      <c r="P1360">
        <v>4514.5240629999998</v>
      </c>
      <c r="Q1360">
        <v>1329</v>
      </c>
      <c r="R1360">
        <v>0</v>
      </c>
    </row>
    <row r="1361" spans="1:18" x14ac:dyDescent="0.25">
      <c r="A1361">
        <v>1360</v>
      </c>
      <c r="B1361">
        <v>94</v>
      </c>
      <c r="C1361">
        <v>2628701</v>
      </c>
      <c r="D1361" t="s">
        <v>176</v>
      </c>
      <c r="E1361">
        <v>32.524999999999999</v>
      </c>
      <c r="F1361" t="s">
        <v>21</v>
      </c>
      <c r="G1361" t="s">
        <v>361</v>
      </c>
      <c r="H1361" t="s">
        <v>21</v>
      </c>
      <c r="I1361" t="s">
        <v>20</v>
      </c>
      <c r="J1361" t="s">
        <v>20</v>
      </c>
      <c r="K1361" t="s">
        <v>41</v>
      </c>
      <c r="L1361" t="s">
        <v>223</v>
      </c>
      <c r="M1361" t="s">
        <v>178</v>
      </c>
      <c r="N1361">
        <v>41.886544000000001</v>
      </c>
      <c r="O1361">
        <v>-112.16050199999999</v>
      </c>
      <c r="P1361">
        <v>4515.3619049999998</v>
      </c>
      <c r="Q1361">
        <v>1329</v>
      </c>
      <c r="R1361">
        <v>0</v>
      </c>
    </row>
    <row r="1362" spans="1:18" x14ac:dyDescent="0.25">
      <c r="A1362">
        <v>1361</v>
      </c>
      <c r="B1362">
        <v>94</v>
      </c>
      <c r="C1362" t="e">
        <f>-Ip5JmYjFl91ea8nk1r33V</f>
        <v>#NAME?</v>
      </c>
      <c r="D1362" t="s">
        <v>124</v>
      </c>
      <c r="E1362">
        <v>32.546999999999997</v>
      </c>
      <c r="F1362" t="s">
        <v>21</v>
      </c>
      <c r="G1362" t="s">
        <v>26</v>
      </c>
      <c r="H1362" t="s">
        <v>21</v>
      </c>
      <c r="I1362" t="s">
        <v>20</v>
      </c>
      <c r="J1362" t="s">
        <v>20</v>
      </c>
      <c r="K1362" t="s">
        <v>22</v>
      </c>
      <c r="L1362" t="s">
        <v>84</v>
      </c>
      <c r="M1362" t="s">
        <v>125</v>
      </c>
      <c r="N1362">
        <v>40.384850999999998</v>
      </c>
      <c r="O1362">
        <v>-111.916348</v>
      </c>
      <c r="P1362">
        <v>4478.8651680000003</v>
      </c>
      <c r="Q1362">
        <v>1368</v>
      </c>
      <c r="R1362">
        <v>0</v>
      </c>
    </row>
    <row r="1363" spans="1:18" x14ac:dyDescent="0.25">
      <c r="A1363">
        <v>1362</v>
      </c>
      <c r="B1363">
        <v>94</v>
      </c>
      <c r="C1363">
        <v>31301184</v>
      </c>
      <c r="D1363" t="s">
        <v>316</v>
      </c>
      <c r="E1363">
        <v>32.567</v>
      </c>
      <c r="F1363" t="s">
        <v>21</v>
      </c>
      <c r="G1363" t="s">
        <v>26</v>
      </c>
      <c r="H1363" t="s">
        <v>21</v>
      </c>
      <c r="I1363" t="s">
        <v>20</v>
      </c>
      <c r="J1363" t="s">
        <v>20</v>
      </c>
      <c r="K1363" t="s">
        <v>22</v>
      </c>
      <c r="L1363" t="s">
        <v>168</v>
      </c>
      <c r="M1363" t="s">
        <v>302</v>
      </c>
      <c r="N1363">
        <v>40.458539000000002</v>
      </c>
      <c r="O1363">
        <v>-110.824287</v>
      </c>
      <c r="P1363">
        <v>6957.9434250000004</v>
      </c>
      <c r="Q1363">
        <v>1346</v>
      </c>
      <c r="R1363">
        <v>0</v>
      </c>
    </row>
    <row r="1364" spans="1:18" x14ac:dyDescent="0.25">
      <c r="A1364">
        <v>1363</v>
      </c>
      <c r="B1364">
        <v>94</v>
      </c>
      <c r="C1364">
        <v>31442602</v>
      </c>
      <c r="D1364" t="s">
        <v>319</v>
      </c>
      <c r="E1364">
        <v>32.612000000000002</v>
      </c>
      <c r="F1364" t="s">
        <v>21</v>
      </c>
      <c r="G1364" t="s">
        <v>20</v>
      </c>
      <c r="H1364" t="s">
        <v>21</v>
      </c>
      <c r="I1364" t="s">
        <v>20</v>
      </c>
      <c r="J1364" t="s">
        <v>20</v>
      </c>
      <c r="K1364" t="s">
        <v>27</v>
      </c>
      <c r="L1364" t="s">
        <v>162</v>
      </c>
      <c r="M1364" t="s">
        <v>55</v>
      </c>
      <c r="N1364">
        <v>37.674106999999999</v>
      </c>
      <c r="O1364">
        <v>-113.52951299999999</v>
      </c>
      <c r="P1364">
        <v>5272.4511350000002</v>
      </c>
      <c r="Q1364">
        <v>314</v>
      </c>
      <c r="R1364">
        <v>0</v>
      </c>
    </row>
    <row r="1365" spans="1:18" x14ac:dyDescent="0.25">
      <c r="A1365">
        <v>1364</v>
      </c>
      <c r="B1365">
        <v>94</v>
      </c>
      <c r="C1365" t="s">
        <v>424</v>
      </c>
      <c r="D1365" t="s">
        <v>326</v>
      </c>
      <c r="E1365">
        <v>32.621000000000002</v>
      </c>
      <c r="F1365" t="s">
        <v>21</v>
      </c>
      <c r="G1365" t="s">
        <v>20</v>
      </c>
      <c r="H1365" t="s">
        <v>21</v>
      </c>
      <c r="I1365" t="s">
        <v>20</v>
      </c>
      <c r="J1365" t="s">
        <v>20</v>
      </c>
      <c r="K1365" t="s">
        <v>27</v>
      </c>
      <c r="L1365" t="s">
        <v>327</v>
      </c>
      <c r="M1365" t="s">
        <v>318</v>
      </c>
      <c r="N1365">
        <v>37.578671999999997</v>
      </c>
      <c r="O1365">
        <v>-109.886982</v>
      </c>
      <c r="P1365">
        <v>6814.9418939999996</v>
      </c>
      <c r="Q1365">
        <v>256</v>
      </c>
      <c r="R1365">
        <v>0</v>
      </c>
    </row>
    <row r="1366" spans="1:18" x14ac:dyDescent="0.25">
      <c r="A1366">
        <v>1365</v>
      </c>
      <c r="B1366">
        <v>94</v>
      </c>
      <c r="C1366">
        <v>31532919</v>
      </c>
      <c r="D1366" t="s">
        <v>326</v>
      </c>
      <c r="E1366">
        <v>32.686999999999998</v>
      </c>
      <c r="F1366" t="s">
        <v>21</v>
      </c>
      <c r="G1366" t="s">
        <v>26</v>
      </c>
      <c r="H1366" t="s">
        <v>19</v>
      </c>
      <c r="I1366">
        <v>95</v>
      </c>
      <c r="J1366" t="s">
        <v>20</v>
      </c>
      <c r="K1366" t="s">
        <v>27</v>
      </c>
      <c r="L1366" t="s">
        <v>327</v>
      </c>
      <c r="M1366" t="s">
        <v>318</v>
      </c>
      <c r="N1366">
        <v>37.579456</v>
      </c>
      <c r="O1366">
        <v>-109.88622700000001</v>
      </c>
      <c r="P1366">
        <v>6817.7929590000003</v>
      </c>
      <c r="Q1366">
        <v>256</v>
      </c>
      <c r="R1366">
        <v>0</v>
      </c>
    </row>
    <row r="1367" spans="1:18" x14ac:dyDescent="0.25">
      <c r="A1367">
        <v>1366</v>
      </c>
      <c r="B1367">
        <v>94</v>
      </c>
      <c r="C1367">
        <v>31394782</v>
      </c>
      <c r="D1367" t="s">
        <v>124</v>
      </c>
      <c r="E1367">
        <v>32.726999999999997</v>
      </c>
      <c r="F1367" t="s">
        <v>19</v>
      </c>
      <c r="G1367" t="s">
        <v>20</v>
      </c>
      <c r="H1367" t="s">
        <v>19</v>
      </c>
      <c r="I1367">
        <v>73</v>
      </c>
      <c r="J1367" t="s">
        <v>20</v>
      </c>
      <c r="K1367" t="s">
        <v>22</v>
      </c>
      <c r="L1367" t="s">
        <v>84</v>
      </c>
      <c r="M1367" t="s">
        <v>125</v>
      </c>
      <c r="N1367">
        <v>40.387472000000002</v>
      </c>
      <c r="O1367">
        <v>-111.916331</v>
      </c>
      <c r="P1367">
        <v>4490.6871659999997</v>
      </c>
      <c r="Q1367">
        <v>1368</v>
      </c>
      <c r="R1367">
        <v>0</v>
      </c>
    </row>
    <row r="1368" spans="1:18" x14ac:dyDescent="0.25">
      <c r="A1368">
        <v>1367</v>
      </c>
      <c r="B1368">
        <v>94</v>
      </c>
      <c r="C1368">
        <v>31381523</v>
      </c>
      <c r="D1368" t="s">
        <v>116</v>
      </c>
      <c r="E1368">
        <v>32.758000000000003</v>
      </c>
      <c r="F1368" t="s">
        <v>21</v>
      </c>
      <c r="G1368" t="s">
        <v>26</v>
      </c>
      <c r="H1368" t="s">
        <v>21</v>
      </c>
      <c r="I1368" t="s">
        <v>20</v>
      </c>
      <c r="J1368" t="s">
        <v>20</v>
      </c>
      <c r="K1368" t="s">
        <v>41</v>
      </c>
      <c r="L1368" t="s">
        <v>95</v>
      </c>
      <c r="M1368" t="s">
        <v>117</v>
      </c>
      <c r="N1368">
        <v>41.820306000000002</v>
      </c>
      <c r="O1368">
        <v>-111.833068</v>
      </c>
      <c r="P1368">
        <v>4475.9498869999998</v>
      </c>
      <c r="Q1368">
        <v>324</v>
      </c>
      <c r="R1368">
        <v>0</v>
      </c>
    </row>
    <row r="1369" spans="1:18" x14ac:dyDescent="0.25">
      <c r="A1369">
        <v>1368</v>
      </c>
      <c r="B1369">
        <v>94</v>
      </c>
      <c r="C1369">
        <v>31517728</v>
      </c>
      <c r="D1369" t="s">
        <v>292</v>
      </c>
      <c r="E1369">
        <v>32.777999999999999</v>
      </c>
      <c r="F1369" t="s">
        <v>21</v>
      </c>
      <c r="G1369" t="s">
        <v>20</v>
      </c>
      <c r="H1369" t="s">
        <v>21</v>
      </c>
      <c r="I1369" t="s">
        <v>20</v>
      </c>
      <c r="J1369" t="s">
        <v>20</v>
      </c>
      <c r="K1369" t="s">
        <v>22</v>
      </c>
      <c r="L1369" t="s">
        <v>133</v>
      </c>
      <c r="M1369" t="s">
        <v>134</v>
      </c>
      <c r="N1369">
        <v>40.257989000000002</v>
      </c>
      <c r="O1369">
        <v>-110.16190400000001</v>
      </c>
      <c r="P1369">
        <v>5469.3047829999996</v>
      </c>
      <c r="Q1369">
        <v>323</v>
      </c>
      <c r="R1369">
        <v>0</v>
      </c>
    </row>
    <row r="1370" spans="1:18" x14ac:dyDescent="0.25">
      <c r="A1370">
        <v>1369</v>
      </c>
      <c r="B1370">
        <v>94</v>
      </c>
      <c r="C1370" t="e">
        <f>-IozvZW7IqXyOBtTCy6X6V</f>
        <v>#NAME?</v>
      </c>
      <c r="D1370" t="s">
        <v>203</v>
      </c>
      <c r="E1370">
        <v>32.802999999999997</v>
      </c>
      <c r="F1370" t="s">
        <v>21</v>
      </c>
      <c r="G1370" t="s">
        <v>20</v>
      </c>
      <c r="H1370" t="s">
        <v>21</v>
      </c>
      <c r="I1370" t="s">
        <v>20</v>
      </c>
      <c r="J1370" t="s">
        <v>20</v>
      </c>
      <c r="K1370" t="s">
        <v>41</v>
      </c>
      <c r="L1370" t="s">
        <v>255</v>
      </c>
      <c r="M1370" t="s">
        <v>204</v>
      </c>
      <c r="N1370">
        <v>41.363948999999998</v>
      </c>
      <c r="O1370">
        <v>-111.591785</v>
      </c>
      <c r="P1370">
        <v>6287.7691180000002</v>
      </c>
      <c r="Q1370">
        <v>1349</v>
      </c>
      <c r="R1370">
        <v>0</v>
      </c>
    </row>
    <row r="1371" spans="1:18" x14ac:dyDescent="0.25">
      <c r="A1371">
        <v>1370</v>
      </c>
      <c r="B1371">
        <v>94</v>
      </c>
      <c r="C1371">
        <v>31571238</v>
      </c>
      <c r="D1371" t="s">
        <v>172</v>
      </c>
      <c r="E1371">
        <v>32.81</v>
      </c>
      <c r="F1371" t="s">
        <v>21</v>
      </c>
      <c r="G1371" t="s">
        <v>26</v>
      </c>
      <c r="H1371" t="s">
        <v>21</v>
      </c>
      <c r="I1371" t="s">
        <v>20</v>
      </c>
      <c r="J1371" t="s">
        <v>20</v>
      </c>
      <c r="K1371" t="s">
        <v>22</v>
      </c>
      <c r="L1371" t="s">
        <v>155</v>
      </c>
      <c r="M1371" t="s">
        <v>174</v>
      </c>
      <c r="N1371">
        <v>39.710009999999997</v>
      </c>
      <c r="O1371">
        <v>-111.843914</v>
      </c>
      <c r="P1371">
        <v>5044.9025789999996</v>
      </c>
      <c r="Q1371">
        <v>1411</v>
      </c>
      <c r="R1371">
        <v>0</v>
      </c>
    </row>
    <row r="1372" spans="1:18" x14ac:dyDescent="0.25">
      <c r="A1372">
        <v>1371</v>
      </c>
      <c r="B1372">
        <v>94</v>
      </c>
      <c r="C1372" t="e">
        <f>-JNPHU7yInDkkmRdbqWLlF</f>
        <v>#NAME?</v>
      </c>
      <c r="D1372" t="s">
        <v>124</v>
      </c>
      <c r="E1372">
        <v>32.816000000000003</v>
      </c>
      <c r="F1372" t="s">
        <v>21</v>
      </c>
      <c r="G1372" t="s">
        <v>26</v>
      </c>
      <c r="H1372" t="s">
        <v>21</v>
      </c>
      <c r="I1372" t="s">
        <v>20</v>
      </c>
      <c r="J1372" t="s">
        <v>20</v>
      </c>
      <c r="K1372" t="s">
        <v>22</v>
      </c>
      <c r="L1372" t="s">
        <v>84</v>
      </c>
      <c r="M1372" t="s">
        <v>125</v>
      </c>
      <c r="N1372">
        <v>40.388753999999999</v>
      </c>
      <c r="O1372">
        <v>-111.91627800000001</v>
      </c>
      <c r="P1372">
        <v>4496.0054330000003</v>
      </c>
      <c r="Q1372">
        <v>1368</v>
      </c>
      <c r="R1372">
        <v>0</v>
      </c>
    </row>
    <row r="1373" spans="1:18" x14ac:dyDescent="0.25">
      <c r="A1373">
        <v>1372</v>
      </c>
      <c r="B1373">
        <v>94</v>
      </c>
      <c r="C1373" t="e">
        <f>-Ioq0HrYIT9-F7z6X9g2qV</f>
        <v>#NAME?</v>
      </c>
      <c r="D1373" t="s">
        <v>272</v>
      </c>
      <c r="E1373">
        <v>349.02600000000001</v>
      </c>
      <c r="F1373" t="s">
        <v>21</v>
      </c>
      <c r="G1373" t="s">
        <v>26</v>
      </c>
      <c r="H1373" t="s">
        <v>21</v>
      </c>
      <c r="I1373" t="s">
        <v>20</v>
      </c>
      <c r="J1373" t="s">
        <v>20</v>
      </c>
      <c r="K1373" t="s">
        <v>22</v>
      </c>
      <c r="L1373" t="s">
        <v>84</v>
      </c>
      <c r="M1373" t="s">
        <v>125</v>
      </c>
      <c r="N1373">
        <v>40.379613999999997</v>
      </c>
      <c r="O1373">
        <v>-111.813361</v>
      </c>
      <c r="P1373">
        <v>4505.4060900000004</v>
      </c>
      <c r="Q1373">
        <v>1384</v>
      </c>
      <c r="R1373">
        <v>0</v>
      </c>
    </row>
    <row r="1374" spans="1:18" x14ac:dyDescent="0.25">
      <c r="A1374">
        <v>1373</v>
      </c>
      <c r="B1374">
        <v>94</v>
      </c>
      <c r="C1374" t="s">
        <v>425</v>
      </c>
      <c r="D1374" t="s">
        <v>272</v>
      </c>
      <c r="E1374">
        <v>349.11</v>
      </c>
      <c r="F1374" t="s">
        <v>21</v>
      </c>
      <c r="G1374" t="s">
        <v>26</v>
      </c>
      <c r="H1374" t="s">
        <v>21</v>
      </c>
      <c r="I1374" t="s">
        <v>20</v>
      </c>
      <c r="J1374" t="s">
        <v>20</v>
      </c>
      <c r="K1374" t="s">
        <v>22</v>
      </c>
      <c r="L1374" t="s">
        <v>84</v>
      </c>
      <c r="M1374" t="s">
        <v>125</v>
      </c>
      <c r="N1374">
        <v>40.380788000000003</v>
      </c>
      <c r="O1374">
        <v>-111.81373499999999</v>
      </c>
      <c r="P1374">
        <v>4503.3389870000001</v>
      </c>
      <c r="Q1374">
        <v>1384</v>
      </c>
      <c r="R1374">
        <v>0</v>
      </c>
    </row>
    <row r="1375" spans="1:18" x14ac:dyDescent="0.25">
      <c r="A1375">
        <v>1374</v>
      </c>
      <c r="B1375">
        <v>94</v>
      </c>
      <c r="C1375" t="s">
        <v>426</v>
      </c>
      <c r="D1375" t="s">
        <v>272</v>
      </c>
      <c r="E1375">
        <v>349.16699999999997</v>
      </c>
      <c r="F1375" t="s">
        <v>21</v>
      </c>
      <c r="G1375" t="s">
        <v>26</v>
      </c>
      <c r="H1375" t="s">
        <v>21</v>
      </c>
      <c r="I1375" t="s">
        <v>20</v>
      </c>
      <c r="J1375" t="s">
        <v>20</v>
      </c>
      <c r="K1375" t="s">
        <v>22</v>
      </c>
      <c r="L1375" t="s">
        <v>84</v>
      </c>
      <c r="M1375" t="s">
        <v>125</v>
      </c>
      <c r="N1375">
        <v>40.381583999999997</v>
      </c>
      <c r="O1375">
        <v>-111.813959</v>
      </c>
      <c r="P1375">
        <v>4503.4600849999997</v>
      </c>
      <c r="Q1375">
        <v>1384</v>
      </c>
      <c r="R1375">
        <v>0</v>
      </c>
    </row>
    <row r="1376" spans="1:18" x14ac:dyDescent="0.25">
      <c r="A1376">
        <v>1375</v>
      </c>
      <c r="B1376">
        <v>94</v>
      </c>
      <c r="C1376">
        <v>31501695</v>
      </c>
      <c r="D1376" t="s">
        <v>37</v>
      </c>
      <c r="E1376">
        <v>20.954999999999998</v>
      </c>
      <c r="F1376" t="s">
        <v>21</v>
      </c>
      <c r="G1376" t="s">
        <v>26</v>
      </c>
      <c r="H1376" t="s">
        <v>21</v>
      </c>
      <c r="I1376" t="s">
        <v>20</v>
      </c>
      <c r="J1376" t="s">
        <v>20</v>
      </c>
      <c r="K1376" t="s">
        <v>27</v>
      </c>
      <c r="L1376" t="s">
        <v>38</v>
      </c>
      <c r="M1376" t="s">
        <v>39</v>
      </c>
      <c r="N1376">
        <v>38.732256999999997</v>
      </c>
      <c r="O1376">
        <v>-109.34530100000001</v>
      </c>
      <c r="P1376">
        <v>4103.6933650000001</v>
      </c>
      <c r="Q1376">
        <v>1319</v>
      </c>
      <c r="R1376">
        <v>0</v>
      </c>
    </row>
    <row r="1377" spans="1:18" x14ac:dyDescent="0.25">
      <c r="A1377">
        <v>1376</v>
      </c>
      <c r="B1377">
        <v>94</v>
      </c>
      <c r="C1377">
        <v>31755180</v>
      </c>
      <c r="D1377" t="s">
        <v>88</v>
      </c>
      <c r="E1377">
        <v>20.962</v>
      </c>
      <c r="F1377" t="s">
        <v>21</v>
      </c>
      <c r="G1377" t="s">
        <v>26</v>
      </c>
      <c r="H1377" t="s">
        <v>21</v>
      </c>
      <c r="I1377" t="s">
        <v>20</v>
      </c>
      <c r="J1377" t="s">
        <v>20</v>
      </c>
      <c r="K1377" t="s">
        <v>31</v>
      </c>
      <c r="L1377" t="s">
        <v>66</v>
      </c>
      <c r="M1377" t="s">
        <v>49</v>
      </c>
      <c r="N1377">
        <v>40.738776000000001</v>
      </c>
      <c r="O1377">
        <v>-111.87127</v>
      </c>
      <c r="P1377">
        <v>4219.761974</v>
      </c>
      <c r="Q1377">
        <v>318</v>
      </c>
      <c r="R1377">
        <v>0</v>
      </c>
    </row>
    <row r="1378" spans="1:18" x14ac:dyDescent="0.25">
      <c r="A1378">
        <v>1377</v>
      </c>
      <c r="B1378">
        <v>94</v>
      </c>
      <c r="C1378">
        <v>1563415</v>
      </c>
      <c r="D1378" t="s">
        <v>88</v>
      </c>
      <c r="E1378">
        <v>20.962</v>
      </c>
      <c r="F1378" t="s">
        <v>21</v>
      </c>
      <c r="G1378" t="s">
        <v>26</v>
      </c>
      <c r="H1378" t="s">
        <v>21</v>
      </c>
      <c r="I1378" t="s">
        <v>20</v>
      </c>
      <c r="J1378" t="s">
        <v>20</v>
      </c>
      <c r="K1378" t="s">
        <v>31</v>
      </c>
      <c r="L1378" t="s">
        <v>66</v>
      </c>
      <c r="M1378" t="s">
        <v>90</v>
      </c>
      <c r="N1378">
        <v>40.738776999999999</v>
      </c>
      <c r="O1378">
        <v>-111.871098</v>
      </c>
      <c r="P1378">
        <v>4221.3504460000004</v>
      </c>
      <c r="Q1378">
        <v>318</v>
      </c>
      <c r="R1378">
        <v>0</v>
      </c>
    </row>
    <row r="1379" spans="1:18" x14ac:dyDescent="0.25">
      <c r="A1379">
        <v>1378</v>
      </c>
      <c r="B1379">
        <v>94</v>
      </c>
      <c r="C1379">
        <v>28137984</v>
      </c>
      <c r="D1379" t="s">
        <v>220</v>
      </c>
      <c r="E1379">
        <v>20.972999999999999</v>
      </c>
      <c r="F1379" t="s">
        <v>21</v>
      </c>
      <c r="G1379" t="s">
        <v>26</v>
      </c>
      <c r="H1379" t="s">
        <v>21</v>
      </c>
      <c r="I1379" t="s">
        <v>20</v>
      </c>
      <c r="J1379" t="s">
        <v>20</v>
      </c>
      <c r="K1379" t="s">
        <v>27</v>
      </c>
      <c r="L1379" t="s">
        <v>28</v>
      </c>
      <c r="M1379" t="s">
        <v>29</v>
      </c>
      <c r="N1379">
        <v>37.625371999999999</v>
      </c>
      <c r="O1379">
        <v>-112.081808</v>
      </c>
      <c r="P1379">
        <v>6232.7334659999997</v>
      </c>
      <c r="Q1379">
        <v>1328</v>
      </c>
      <c r="R1379">
        <v>0</v>
      </c>
    </row>
    <row r="1380" spans="1:18" x14ac:dyDescent="0.25">
      <c r="A1380">
        <v>1379</v>
      </c>
      <c r="B1380">
        <v>94</v>
      </c>
      <c r="C1380">
        <v>27714885</v>
      </c>
      <c r="D1380" t="s">
        <v>217</v>
      </c>
      <c r="E1380">
        <v>20.974</v>
      </c>
      <c r="F1380" t="s">
        <v>21</v>
      </c>
      <c r="G1380" t="s">
        <v>26</v>
      </c>
      <c r="H1380" t="s">
        <v>21</v>
      </c>
      <c r="I1380" t="s">
        <v>20</v>
      </c>
      <c r="J1380" t="s">
        <v>20</v>
      </c>
      <c r="K1380" t="s">
        <v>27</v>
      </c>
      <c r="L1380" t="s">
        <v>162</v>
      </c>
      <c r="M1380" t="s">
        <v>163</v>
      </c>
      <c r="N1380">
        <v>37.349062000000004</v>
      </c>
      <c r="O1380">
        <v>-113.689369</v>
      </c>
      <c r="P1380">
        <v>4552.4150559999998</v>
      </c>
      <c r="Q1380">
        <v>304</v>
      </c>
      <c r="R1380">
        <v>0</v>
      </c>
    </row>
    <row r="1381" spans="1:18" x14ac:dyDescent="0.25">
      <c r="A1381">
        <v>1380</v>
      </c>
      <c r="B1381">
        <v>94</v>
      </c>
      <c r="C1381">
        <v>31421923</v>
      </c>
      <c r="D1381" t="s">
        <v>221</v>
      </c>
      <c r="E1381">
        <v>24.016999999999999</v>
      </c>
      <c r="F1381" t="s">
        <v>21</v>
      </c>
      <c r="G1381" t="s">
        <v>26</v>
      </c>
      <c r="H1381" t="s">
        <v>21</v>
      </c>
      <c r="I1381" t="s">
        <v>20</v>
      </c>
      <c r="J1381" t="s">
        <v>20</v>
      </c>
      <c r="K1381" t="s">
        <v>22</v>
      </c>
      <c r="L1381" t="s">
        <v>155</v>
      </c>
      <c r="M1381" t="s">
        <v>174</v>
      </c>
      <c r="N1381">
        <v>39.477348999999997</v>
      </c>
      <c r="O1381">
        <v>-111.891644</v>
      </c>
      <c r="P1381">
        <v>5166.3394520000002</v>
      </c>
      <c r="Q1381">
        <v>1342</v>
      </c>
      <c r="R1381">
        <v>0</v>
      </c>
    </row>
    <row r="1382" spans="1:18" x14ac:dyDescent="0.25">
      <c r="A1382">
        <v>1381</v>
      </c>
      <c r="B1382">
        <v>94</v>
      </c>
      <c r="C1382">
        <v>31306178</v>
      </c>
      <c r="D1382" t="s">
        <v>116</v>
      </c>
      <c r="E1382">
        <v>24.021000000000001</v>
      </c>
      <c r="F1382" t="s">
        <v>21</v>
      </c>
      <c r="G1382" t="s">
        <v>26</v>
      </c>
      <c r="H1382" t="s">
        <v>21</v>
      </c>
      <c r="I1382" t="s">
        <v>20</v>
      </c>
      <c r="J1382" t="s">
        <v>20</v>
      </c>
      <c r="K1382" t="s">
        <v>41</v>
      </c>
      <c r="L1382" t="s">
        <v>42</v>
      </c>
      <c r="M1382" t="s">
        <v>43</v>
      </c>
      <c r="N1382">
        <v>41.700035</v>
      </c>
      <c r="O1382">
        <v>-111.85623</v>
      </c>
      <c r="P1382">
        <v>4430.9699760000003</v>
      </c>
      <c r="Q1382">
        <v>324</v>
      </c>
      <c r="R1382">
        <v>0</v>
      </c>
    </row>
    <row r="1383" spans="1:18" x14ac:dyDescent="0.25">
      <c r="A1383">
        <v>1382</v>
      </c>
      <c r="B1383">
        <v>94</v>
      </c>
      <c r="C1383">
        <v>31408038</v>
      </c>
      <c r="D1383" t="s">
        <v>63</v>
      </c>
      <c r="E1383">
        <v>24.033999999999999</v>
      </c>
      <c r="F1383" t="s">
        <v>21</v>
      </c>
      <c r="G1383" t="s">
        <v>20</v>
      </c>
      <c r="H1383" t="s">
        <v>21</v>
      </c>
      <c r="I1383" t="s">
        <v>20</v>
      </c>
      <c r="J1383" t="s">
        <v>20</v>
      </c>
      <c r="K1383" t="s">
        <v>27</v>
      </c>
      <c r="L1383" t="s">
        <v>64</v>
      </c>
      <c r="M1383" t="s">
        <v>29</v>
      </c>
      <c r="N1383">
        <v>38.324496000000003</v>
      </c>
      <c r="O1383">
        <v>-111.961575</v>
      </c>
      <c r="P1383">
        <v>6626.1731929999996</v>
      </c>
      <c r="Q1383">
        <v>1365</v>
      </c>
      <c r="R1383">
        <v>0</v>
      </c>
    </row>
    <row r="1384" spans="1:18" x14ac:dyDescent="0.25">
      <c r="A1384">
        <v>1383</v>
      </c>
      <c r="B1384">
        <v>94</v>
      </c>
      <c r="C1384">
        <v>31532003</v>
      </c>
      <c r="D1384" t="s">
        <v>390</v>
      </c>
      <c r="E1384">
        <v>24.058</v>
      </c>
      <c r="F1384" t="s">
        <v>21</v>
      </c>
      <c r="G1384" t="s">
        <v>20</v>
      </c>
      <c r="H1384" t="s">
        <v>21</v>
      </c>
      <c r="I1384" t="s">
        <v>20</v>
      </c>
      <c r="J1384" t="s">
        <v>20</v>
      </c>
      <c r="K1384" t="s">
        <v>22</v>
      </c>
      <c r="L1384" t="s">
        <v>60</v>
      </c>
      <c r="M1384" t="s">
        <v>335</v>
      </c>
      <c r="N1384">
        <v>40.396493999999997</v>
      </c>
      <c r="O1384">
        <v>-111.586811</v>
      </c>
      <c r="P1384">
        <v>6383.852954</v>
      </c>
      <c r="Q1384">
        <v>1386</v>
      </c>
      <c r="R1384">
        <v>0</v>
      </c>
    </row>
    <row r="1385" spans="1:18" x14ac:dyDescent="0.25">
      <c r="A1385">
        <v>1384</v>
      </c>
      <c r="B1385">
        <v>94</v>
      </c>
      <c r="C1385">
        <v>31306189</v>
      </c>
      <c r="D1385" t="s">
        <v>116</v>
      </c>
      <c r="E1385">
        <v>24.114999999999998</v>
      </c>
      <c r="F1385" t="s">
        <v>21</v>
      </c>
      <c r="G1385" t="s">
        <v>26</v>
      </c>
      <c r="H1385" t="s">
        <v>21</v>
      </c>
      <c r="I1385" t="s">
        <v>20</v>
      </c>
      <c r="J1385" t="s">
        <v>20</v>
      </c>
      <c r="K1385" t="s">
        <v>41</v>
      </c>
      <c r="L1385" t="s">
        <v>42</v>
      </c>
      <c r="M1385" t="s">
        <v>43</v>
      </c>
      <c r="N1385">
        <v>41.700991000000002</v>
      </c>
      <c r="O1385">
        <v>-111.85492000000001</v>
      </c>
      <c r="P1385">
        <v>4428.6435320000001</v>
      </c>
      <c r="Q1385">
        <v>324</v>
      </c>
      <c r="R1385">
        <v>0</v>
      </c>
    </row>
    <row r="1386" spans="1:18" x14ac:dyDescent="0.25">
      <c r="A1386">
        <v>1385</v>
      </c>
      <c r="B1386">
        <v>94</v>
      </c>
      <c r="C1386">
        <v>31434465</v>
      </c>
      <c r="D1386" t="s">
        <v>345</v>
      </c>
      <c r="E1386">
        <v>24.117000000000001</v>
      </c>
      <c r="F1386" t="s">
        <v>21</v>
      </c>
      <c r="G1386" t="s">
        <v>26</v>
      </c>
      <c r="H1386" t="s">
        <v>19</v>
      </c>
      <c r="I1386">
        <v>24</v>
      </c>
      <c r="J1386" t="s">
        <v>20</v>
      </c>
      <c r="K1386" t="s">
        <v>27</v>
      </c>
      <c r="L1386" t="s">
        <v>75</v>
      </c>
      <c r="M1386" t="s">
        <v>76</v>
      </c>
      <c r="N1386">
        <v>38.865647000000003</v>
      </c>
      <c r="O1386">
        <v>-111.965566</v>
      </c>
      <c r="P1386">
        <v>5200.3740809999999</v>
      </c>
      <c r="Q1386">
        <v>1403</v>
      </c>
      <c r="R1386">
        <v>0</v>
      </c>
    </row>
    <row r="1387" spans="1:18" x14ac:dyDescent="0.25">
      <c r="A1387">
        <v>1386</v>
      </c>
      <c r="B1387">
        <v>94</v>
      </c>
      <c r="C1387">
        <v>31613883</v>
      </c>
      <c r="D1387" t="s">
        <v>50</v>
      </c>
      <c r="E1387">
        <v>24.140999999999998</v>
      </c>
      <c r="F1387" t="s">
        <v>21</v>
      </c>
      <c r="G1387" t="s">
        <v>26</v>
      </c>
      <c r="H1387" t="s">
        <v>21</v>
      </c>
      <c r="I1387" t="s">
        <v>20</v>
      </c>
      <c r="J1387" t="s">
        <v>20</v>
      </c>
      <c r="K1387" t="s">
        <v>27</v>
      </c>
      <c r="L1387" t="s">
        <v>51</v>
      </c>
      <c r="M1387" t="s">
        <v>52</v>
      </c>
      <c r="N1387">
        <v>37.659177999999997</v>
      </c>
      <c r="O1387">
        <v>-112.74276</v>
      </c>
      <c r="P1387">
        <v>9549.597033</v>
      </c>
      <c r="Q1387">
        <v>1418</v>
      </c>
      <c r="R1387">
        <v>0</v>
      </c>
    </row>
    <row r="1388" spans="1:18" x14ac:dyDescent="0.25">
      <c r="A1388">
        <v>1387</v>
      </c>
      <c r="B1388">
        <v>94</v>
      </c>
      <c r="C1388">
        <v>31401154</v>
      </c>
      <c r="D1388" t="s">
        <v>210</v>
      </c>
      <c r="E1388">
        <v>24.149000000000001</v>
      </c>
      <c r="F1388" t="s">
        <v>21</v>
      </c>
      <c r="G1388" t="s">
        <v>20</v>
      </c>
      <c r="H1388" t="s">
        <v>21</v>
      </c>
      <c r="I1388" t="s">
        <v>20</v>
      </c>
      <c r="J1388" t="s">
        <v>20</v>
      </c>
      <c r="K1388" t="s">
        <v>27</v>
      </c>
      <c r="L1388" t="s">
        <v>211</v>
      </c>
      <c r="M1388" t="s">
        <v>212</v>
      </c>
      <c r="N1388">
        <v>37.202793999999997</v>
      </c>
      <c r="O1388">
        <v>-109.157972</v>
      </c>
      <c r="P1388">
        <v>4510.8880380000001</v>
      </c>
      <c r="Q1388">
        <v>344</v>
      </c>
      <c r="R1388">
        <v>0</v>
      </c>
    </row>
    <row r="1389" spans="1:18" x14ac:dyDescent="0.25">
      <c r="A1389">
        <v>1388</v>
      </c>
      <c r="B1389">
        <v>94</v>
      </c>
      <c r="C1389">
        <v>31532014</v>
      </c>
      <c r="D1389" t="s">
        <v>390</v>
      </c>
      <c r="E1389">
        <v>24.172000000000001</v>
      </c>
      <c r="F1389" t="s">
        <v>21</v>
      </c>
      <c r="G1389" t="s">
        <v>20</v>
      </c>
      <c r="H1389" t="s">
        <v>21</v>
      </c>
      <c r="I1389" t="s">
        <v>20</v>
      </c>
      <c r="J1389" t="s">
        <v>20</v>
      </c>
      <c r="K1389" t="s">
        <v>22</v>
      </c>
      <c r="L1389" t="s">
        <v>60</v>
      </c>
      <c r="M1389" t="s">
        <v>335</v>
      </c>
      <c r="N1389">
        <v>40.395491</v>
      </c>
      <c r="O1389">
        <v>-111.585123</v>
      </c>
      <c r="P1389">
        <v>6349.0350950000002</v>
      </c>
      <c r="Q1389">
        <v>1386</v>
      </c>
      <c r="R1389">
        <v>0</v>
      </c>
    </row>
    <row r="1390" spans="1:18" x14ac:dyDescent="0.25">
      <c r="A1390">
        <v>1389</v>
      </c>
      <c r="B1390">
        <v>94</v>
      </c>
      <c r="C1390" t="s">
        <v>427</v>
      </c>
      <c r="D1390" t="s">
        <v>272</v>
      </c>
      <c r="E1390">
        <v>334.20600000000002</v>
      </c>
      <c r="F1390" t="s">
        <v>21</v>
      </c>
      <c r="G1390" t="s">
        <v>26</v>
      </c>
      <c r="H1390" t="s">
        <v>21</v>
      </c>
      <c r="I1390" t="s">
        <v>20</v>
      </c>
      <c r="J1390" t="s">
        <v>20</v>
      </c>
      <c r="K1390" t="s">
        <v>22</v>
      </c>
      <c r="L1390" t="s">
        <v>23</v>
      </c>
      <c r="M1390" t="s">
        <v>125</v>
      </c>
      <c r="N1390">
        <v>40.229723999999997</v>
      </c>
      <c r="O1390">
        <v>-111.660532</v>
      </c>
      <c r="P1390">
        <v>4477.8606330000002</v>
      </c>
      <c r="Q1390">
        <v>1384</v>
      </c>
      <c r="R1390">
        <v>0</v>
      </c>
    </row>
    <row r="1391" spans="1:18" x14ac:dyDescent="0.25">
      <c r="A1391">
        <v>1390</v>
      </c>
      <c r="B1391">
        <v>94</v>
      </c>
      <c r="C1391">
        <v>31283358</v>
      </c>
      <c r="D1391" t="s">
        <v>241</v>
      </c>
      <c r="E1391">
        <v>30.722999999999999</v>
      </c>
      <c r="F1391" t="s">
        <v>21</v>
      </c>
      <c r="G1391" t="s">
        <v>26</v>
      </c>
      <c r="H1391" t="s">
        <v>21</v>
      </c>
      <c r="I1391" t="s">
        <v>20</v>
      </c>
      <c r="J1391" t="s">
        <v>20</v>
      </c>
      <c r="K1391" t="s">
        <v>27</v>
      </c>
      <c r="L1391" t="s">
        <v>111</v>
      </c>
      <c r="M1391" t="s">
        <v>243</v>
      </c>
      <c r="N1391">
        <v>39.136527000000001</v>
      </c>
      <c r="O1391">
        <v>-111.09804200000001</v>
      </c>
      <c r="P1391">
        <v>5870.6092410000001</v>
      </c>
      <c r="Q1391">
        <v>1327</v>
      </c>
      <c r="R1391">
        <v>0</v>
      </c>
    </row>
    <row r="1392" spans="1:18" x14ac:dyDescent="0.25">
      <c r="A1392">
        <v>1391</v>
      </c>
      <c r="B1392">
        <v>94</v>
      </c>
      <c r="C1392">
        <v>31312694</v>
      </c>
      <c r="D1392" t="s">
        <v>268</v>
      </c>
      <c r="E1392">
        <v>30.725000000000001</v>
      </c>
      <c r="F1392" t="s">
        <v>21</v>
      </c>
      <c r="G1392" t="s">
        <v>26</v>
      </c>
      <c r="H1392" t="s">
        <v>19</v>
      </c>
      <c r="I1392">
        <v>84</v>
      </c>
      <c r="J1392" t="s">
        <v>20</v>
      </c>
      <c r="K1392" t="s">
        <v>41</v>
      </c>
      <c r="L1392" t="s">
        <v>181</v>
      </c>
      <c r="M1392" t="s">
        <v>43</v>
      </c>
      <c r="N1392">
        <v>41.817546</v>
      </c>
      <c r="O1392">
        <v>-112.411793</v>
      </c>
      <c r="P1392">
        <v>4788.2043789999998</v>
      </c>
      <c r="Q1392">
        <v>1380</v>
      </c>
      <c r="R1392">
        <v>0</v>
      </c>
    </row>
    <row r="1393" spans="1:18" x14ac:dyDescent="0.25">
      <c r="A1393">
        <v>1392</v>
      </c>
      <c r="B1393">
        <v>94</v>
      </c>
      <c r="C1393">
        <v>31429360</v>
      </c>
      <c r="D1393" t="s">
        <v>221</v>
      </c>
      <c r="E1393">
        <v>30.736999999999998</v>
      </c>
      <c r="F1393" t="s">
        <v>21</v>
      </c>
      <c r="G1393" t="s">
        <v>26</v>
      </c>
      <c r="H1393" t="s">
        <v>21</v>
      </c>
      <c r="I1393" t="s">
        <v>20</v>
      </c>
      <c r="J1393" t="s">
        <v>20</v>
      </c>
      <c r="K1393" t="s">
        <v>22</v>
      </c>
      <c r="L1393" t="s">
        <v>155</v>
      </c>
      <c r="M1393" t="s">
        <v>174</v>
      </c>
      <c r="N1393">
        <v>39.569164000000001</v>
      </c>
      <c r="O1393">
        <v>-111.861864</v>
      </c>
      <c r="P1393">
        <v>5242.6960559999998</v>
      </c>
      <c r="Q1393">
        <v>1342</v>
      </c>
      <c r="R1393">
        <v>0</v>
      </c>
    </row>
    <row r="1394" spans="1:18" x14ac:dyDescent="0.25">
      <c r="A1394">
        <v>1393</v>
      </c>
      <c r="B1394">
        <v>94</v>
      </c>
      <c r="C1394">
        <v>31381084</v>
      </c>
      <c r="D1394" t="s">
        <v>116</v>
      </c>
      <c r="E1394">
        <v>30.751999999999999</v>
      </c>
      <c r="F1394" t="s">
        <v>21</v>
      </c>
      <c r="G1394" t="s">
        <v>26</v>
      </c>
      <c r="H1394" t="s">
        <v>21</v>
      </c>
      <c r="I1394" t="s">
        <v>20</v>
      </c>
      <c r="J1394" t="s">
        <v>20</v>
      </c>
      <c r="K1394" t="s">
        <v>41</v>
      </c>
      <c r="L1394" t="s">
        <v>95</v>
      </c>
      <c r="M1394" t="s">
        <v>117</v>
      </c>
      <c r="N1394">
        <v>41.791252999999998</v>
      </c>
      <c r="O1394">
        <v>-111.83368400000001</v>
      </c>
      <c r="P1394">
        <v>4414.916228</v>
      </c>
      <c r="Q1394">
        <v>324</v>
      </c>
      <c r="R1394">
        <v>0</v>
      </c>
    </row>
    <row r="1395" spans="1:18" x14ac:dyDescent="0.25">
      <c r="A1395">
        <v>1394</v>
      </c>
      <c r="B1395">
        <v>94</v>
      </c>
      <c r="C1395" t="e">
        <f>-Ip-FBQ4FZq_vKhllDtEok</f>
        <v>#NAME?</v>
      </c>
      <c r="D1395" t="s">
        <v>63</v>
      </c>
      <c r="E1395">
        <v>30.768999999999998</v>
      </c>
      <c r="F1395" t="s">
        <v>21</v>
      </c>
      <c r="G1395" t="s">
        <v>26</v>
      </c>
      <c r="H1395" t="s">
        <v>21</v>
      </c>
      <c r="I1395" t="s">
        <v>20</v>
      </c>
      <c r="J1395" t="s">
        <v>20</v>
      </c>
      <c r="K1395" t="s">
        <v>27</v>
      </c>
      <c r="L1395" t="s">
        <v>266</v>
      </c>
      <c r="M1395" t="s">
        <v>29</v>
      </c>
      <c r="N1395">
        <v>38.416960000000003</v>
      </c>
      <c r="O1395">
        <v>-111.92439</v>
      </c>
      <c r="P1395">
        <v>6745.6639720000003</v>
      </c>
      <c r="Q1395">
        <v>1365</v>
      </c>
      <c r="R1395">
        <v>0</v>
      </c>
    </row>
    <row r="1396" spans="1:18" x14ac:dyDescent="0.25">
      <c r="A1396">
        <v>1395</v>
      </c>
      <c r="B1396">
        <v>94</v>
      </c>
      <c r="C1396">
        <v>31605132</v>
      </c>
      <c r="D1396" t="s">
        <v>271</v>
      </c>
      <c r="E1396">
        <v>30.779</v>
      </c>
      <c r="F1396" t="s">
        <v>21</v>
      </c>
      <c r="G1396" t="s">
        <v>26</v>
      </c>
      <c r="H1396" t="s">
        <v>21</v>
      </c>
      <c r="I1396" t="s">
        <v>20</v>
      </c>
      <c r="J1396" t="s">
        <v>20</v>
      </c>
      <c r="K1396" t="s">
        <v>22</v>
      </c>
      <c r="L1396" t="s">
        <v>263</v>
      </c>
      <c r="M1396" t="s">
        <v>24</v>
      </c>
      <c r="N1396">
        <v>40.372506999999999</v>
      </c>
      <c r="O1396">
        <v>-112.020804</v>
      </c>
      <c r="P1396">
        <v>4983.4790899999998</v>
      </c>
      <c r="Q1396">
        <v>1372</v>
      </c>
      <c r="R1396">
        <v>0</v>
      </c>
    </row>
    <row r="1397" spans="1:18" x14ac:dyDescent="0.25">
      <c r="A1397">
        <v>1396</v>
      </c>
      <c r="B1397">
        <v>94</v>
      </c>
      <c r="C1397" t="e">
        <f>-JY70vsYFDDBPLmifW0SOV</f>
        <v>#NAME?</v>
      </c>
      <c r="D1397" t="s">
        <v>199</v>
      </c>
      <c r="E1397">
        <v>30.78</v>
      </c>
      <c r="F1397" t="s">
        <v>21</v>
      </c>
      <c r="G1397" t="s">
        <v>20</v>
      </c>
      <c r="H1397" t="s">
        <v>21</v>
      </c>
      <c r="I1397" t="s">
        <v>20</v>
      </c>
      <c r="J1397" t="s">
        <v>20</v>
      </c>
      <c r="K1397" t="s">
        <v>27</v>
      </c>
      <c r="L1397" t="s">
        <v>64</v>
      </c>
      <c r="M1397" t="s">
        <v>200</v>
      </c>
      <c r="N1397">
        <v>38.254572000000003</v>
      </c>
      <c r="O1397">
        <v>-112.332009</v>
      </c>
      <c r="P1397">
        <v>9240.7191679999996</v>
      </c>
      <c r="Q1397">
        <v>341</v>
      </c>
      <c r="R1397">
        <v>0</v>
      </c>
    </row>
    <row r="1398" spans="1:18" x14ac:dyDescent="0.25">
      <c r="A1398">
        <v>1397</v>
      </c>
      <c r="B1398">
        <v>94</v>
      </c>
      <c r="C1398">
        <v>31517706</v>
      </c>
      <c r="D1398" t="s">
        <v>292</v>
      </c>
      <c r="E1398">
        <v>30.795999999999999</v>
      </c>
      <c r="F1398" t="s">
        <v>21</v>
      </c>
      <c r="G1398" t="s">
        <v>26</v>
      </c>
      <c r="H1398" t="s">
        <v>21</v>
      </c>
      <c r="I1398" t="s">
        <v>20</v>
      </c>
      <c r="J1398" t="s">
        <v>20</v>
      </c>
      <c r="K1398" t="s">
        <v>22</v>
      </c>
      <c r="L1398" t="s">
        <v>133</v>
      </c>
      <c r="M1398" t="s">
        <v>134</v>
      </c>
      <c r="N1398">
        <v>40.257964000000001</v>
      </c>
      <c r="O1398">
        <v>-110.199392</v>
      </c>
      <c r="P1398">
        <v>5595.3192099999997</v>
      </c>
      <c r="Q1398">
        <v>323</v>
      </c>
      <c r="R1398">
        <v>0</v>
      </c>
    </row>
    <row r="1399" spans="1:18" x14ac:dyDescent="0.25">
      <c r="A1399">
        <v>1398</v>
      </c>
      <c r="B1399">
        <v>94</v>
      </c>
      <c r="C1399">
        <v>31283369</v>
      </c>
      <c r="D1399" t="s">
        <v>241</v>
      </c>
      <c r="E1399">
        <v>30.832999999999998</v>
      </c>
      <c r="F1399" t="s">
        <v>21</v>
      </c>
      <c r="G1399" t="s">
        <v>26</v>
      </c>
      <c r="H1399" t="s">
        <v>21</v>
      </c>
      <c r="I1399" t="s">
        <v>20</v>
      </c>
      <c r="J1399" t="s">
        <v>20</v>
      </c>
      <c r="K1399" t="s">
        <v>27</v>
      </c>
      <c r="L1399" t="s">
        <v>111</v>
      </c>
      <c r="M1399" t="s">
        <v>243</v>
      </c>
      <c r="N1399">
        <v>39.138001000000003</v>
      </c>
      <c r="O1399">
        <v>-111.097303</v>
      </c>
      <c r="P1399">
        <v>5877.0292470000004</v>
      </c>
      <c r="Q1399">
        <v>1327</v>
      </c>
      <c r="R1399">
        <v>0</v>
      </c>
    </row>
    <row r="1400" spans="1:18" x14ac:dyDescent="0.25">
      <c r="A1400">
        <v>1399</v>
      </c>
      <c r="B1400">
        <v>94</v>
      </c>
      <c r="C1400">
        <v>31393680</v>
      </c>
      <c r="D1400" t="s">
        <v>124</v>
      </c>
      <c r="E1400">
        <v>30.84</v>
      </c>
      <c r="F1400" t="s">
        <v>21</v>
      </c>
      <c r="G1400" t="s">
        <v>20</v>
      </c>
      <c r="H1400" t="s">
        <v>21</v>
      </c>
      <c r="I1400" t="s">
        <v>20</v>
      </c>
      <c r="J1400" t="s">
        <v>20</v>
      </c>
      <c r="K1400" t="s">
        <v>22</v>
      </c>
      <c r="L1400" t="s">
        <v>84</v>
      </c>
      <c r="M1400" t="s">
        <v>194</v>
      </c>
      <c r="N1400">
        <v>40.360076999999997</v>
      </c>
      <c r="O1400">
        <v>-111.91627099999999</v>
      </c>
      <c r="P1400">
        <v>4484.2822109999997</v>
      </c>
      <c r="Q1400">
        <v>1368</v>
      </c>
      <c r="R1400">
        <v>0</v>
      </c>
    </row>
    <row r="1401" spans="1:18" x14ac:dyDescent="0.25">
      <c r="A1401">
        <v>1400</v>
      </c>
      <c r="B1401">
        <v>94</v>
      </c>
      <c r="C1401">
        <v>31321984</v>
      </c>
      <c r="D1401" t="s">
        <v>278</v>
      </c>
      <c r="E1401">
        <v>30.943999999999999</v>
      </c>
      <c r="F1401" t="s">
        <v>21</v>
      </c>
      <c r="G1401" t="s">
        <v>26</v>
      </c>
      <c r="H1401" t="s">
        <v>21</v>
      </c>
      <c r="I1401" t="s">
        <v>20</v>
      </c>
      <c r="J1401" t="s">
        <v>20</v>
      </c>
      <c r="K1401" t="s">
        <v>27</v>
      </c>
      <c r="L1401" t="s">
        <v>279</v>
      </c>
      <c r="M1401" t="s">
        <v>280</v>
      </c>
      <c r="N1401">
        <v>37.521608999999998</v>
      </c>
      <c r="O1401">
        <v>-112.654253</v>
      </c>
      <c r="P1401">
        <v>8347.6843960000006</v>
      </c>
      <c r="Q1401">
        <v>1330</v>
      </c>
      <c r="R1401">
        <v>0</v>
      </c>
    </row>
    <row r="1402" spans="1:18" x14ac:dyDescent="0.25">
      <c r="A1402">
        <v>1401</v>
      </c>
      <c r="B1402">
        <v>94</v>
      </c>
      <c r="C1402">
        <v>31393691</v>
      </c>
      <c r="D1402" t="s">
        <v>124</v>
      </c>
      <c r="E1402">
        <v>30.974</v>
      </c>
      <c r="F1402" t="s">
        <v>19</v>
      </c>
      <c r="G1402" t="s">
        <v>20</v>
      </c>
      <c r="H1402" t="s">
        <v>21</v>
      </c>
      <c r="I1402" t="s">
        <v>20</v>
      </c>
      <c r="J1402" t="s">
        <v>20</v>
      </c>
      <c r="K1402" t="s">
        <v>22</v>
      </c>
      <c r="L1402" t="s">
        <v>84</v>
      </c>
      <c r="M1402" t="s">
        <v>194</v>
      </c>
      <c r="N1402">
        <v>40.362026</v>
      </c>
      <c r="O1402">
        <v>-111.91626100000001</v>
      </c>
      <c r="P1402">
        <v>4480.0336630000002</v>
      </c>
      <c r="Q1402">
        <v>1368</v>
      </c>
      <c r="R1402">
        <v>0</v>
      </c>
    </row>
    <row r="1403" spans="1:18" x14ac:dyDescent="0.25">
      <c r="A1403">
        <v>1402</v>
      </c>
      <c r="B1403">
        <v>94</v>
      </c>
      <c r="C1403" t="s">
        <v>428</v>
      </c>
      <c r="D1403" t="s">
        <v>272</v>
      </c>
      <c r="E1403">
        <v>301.67399999999998</v>
      </c>
      <c r="F1403" t="s">
        <v>21</v>
      </c>
      <c r="G1403" t="s">
        <v>26</v>
      </c>
      <c r="H1403" t="s">
        <v>21</v>
      </c>
      <c r="I1403" t="s">
        <v>20</v>
      </c>
      <c r="J1403" t="s">
        <v>20</v>
      </c>
      <c r="K1403" t="s">
        <v>22</v>
      </c>
      <c r="L1403" t="s">
        <v>140</v>
      </c>
      <c r="M1403" t="s">
        <v>174</v>
      </c>
      <c r="N1403">
        <v>39.873714999999997</v>
      </c>
      <c r="O1403">
        <v>-111.537938</v>
      </c>
      <c r="P1403">
        <v>5650.7385480000003</v>
      </c>
      <c r="Q1403">
        <v>1384</v>
      </c>
      <c r="R1403">
        <v>0</v>
      </c>
    </row>
    <row r="1404" spans="1:18" x14ac:dyDescent="0.25">
      <c r="A1404">
        <v>1403</v>
      </c>
      <c r="B1404">
        <v>94</v>
      </c>
      <c r="C1404" t="e">
        <f>-IoNKl7_Gzmmmq7_Tn4WYk</f>
        <v>#NAME?</v>
      </c>
      <c r="D1404" t="s">
        <v>272</v>
      </c>
      <c r="E1404">
        <v>303.08699999999999</v>
      </c>
      <c r="F1404" t="s">
        <v>21</v>
      </c>
      <c r="G1404" t="s">
        <v>20</v>
      </c>
      <c r="H1404" t="s">
        <v>21</v>
      </c>
      <c r="I1404" t="s">
        <v>20</v>
      </c>
      <c r="J1404" t="s">
        <v>20</v>
      </c>
      <c r="K1404" t="s">
        <v>22</v>
      </c>
      <c r="L1404" t="s">
        <v>140</v>
      </c>
      <c r="M1404" t="s">
        <v>174</v>
      </c>
      <c r="N1404">
        <v>39.892144999999999</v>
      </c>
      <c r="O1404">
        <v>-111.549164</v>
      </c>
      <c r="P1404">
        <v>5580.7671069999997</v>
      </c>
      <c r="Q1404">
        <v>1384</v>
      </c>
      <c r="R1404">
        <v>0</v>
      </c>
    </row>
    <row r="1405" spans="1:18" x14ac:dyDescent="0.25">
      <c r="A1405">
        <v>1404</v>
      </c>
      <c r="B1405">
        <v>94</v>
      </c>
      <c r="C1405" t="e">
        <f>-IpiTqkzIBTH23LY_K_nOk</f>
        <v>#NAME?</v>
      </c>
      <c r="D1405" t="s">
        <v>272</v>
      </c>
      <c r="E1405">
        <v>303.42</v>
      </c>
      <c r="F1405" t="s">
        <v>21</v>
      </c>
      <c r="G1405" t="s">
        <v>20</v>
      </c>
      <c r="H1405" t="s">
        <v>21</v>
      </c>
      <c r="I1405" t="s">
        <v>20</v>
      </c>
      <c r="J1405" t="s">
        <v>20</v>
      </c>
      <c r="K1405" t="s">
        <v>22</v>
      </c>
      <c r="L1405" t="s">
        <v>140</v>
      </c>
      <c r="M1405" t="s">
        <v>174</v>
      </c>
      <c r="N1405">
        <v>39.896903999999999</v>
      </c>
      <c r="O1405">
        <v>-111.55004</v>
      </c>
      <c r="P1405">
        <v>5539.0609919999997</v>
      </c>
      <c r="Q1405">
        <v>1384</v>
      </c>
      <c r="R1405">
        <v>0</v>
      </c>
    </row>
    <row r="1406" spans="1:18" x14ac:dyDescent="0.25">
      <c r="A1406">
        <v>1405</v>
      </c>
      <c r="B1406">
        <v>94</v>
      </c>
      <c r="C1406" t="s">
        <v>429</v>
      </c>
      <c r="D1406" t="s">
        <v>272</v>
      </c>
      <c r="E1406">
        <v>304.65699999999998</v>
      </c>
      <c r="F1406" t="s">
        <v>21</v>
      </c>
      <c r="G1406" t="s">
        <v>20</v>
      </c>
      <c r="H1406" t="s">
        <v>21</v>
      </c>
      <c r="I1406" t="s">
        <v>20</v>
      </c>
      <c r="J1406" t="s">
        <v>20</v>
      </c>
      <c r="K1406" t="s">
        <v>22</v>
      </c>
      <c r="L1406" t="s">
        <v>140</v>
      </c>
      <c r="M1406" t="s">
        <v>174</v>
      </c>
      <c r="N1406">
        <v>39.914786999999997</v>
      </c>
      <c r="O1406">
        <v>-111.55063699999999</v>
      </c>
      <c r="P1406">
        <v>5417.8151010000001</v>
      </c>
      <c r="Q1406">
        <v>1384</v>
      </c>
      <c r="R1406">
        <v>0</v>
      </c>
    </row>
    <row r="1407" spans="1:18" x14ac:dyDescent="0.25">
      <c r="A1407">
        <v>1406</v>
      </c>
      <c r="B1407">
        <v>94</v>
      </c>
      <c r="C1407" t="s">
        <v>430</v>
      </c>
      <c r="D1407" t="s">
        <v>272</v>
      </c>
      <c r="E1407">
        <v>305.39699999999999</v>
      </c>
      <c r="F1407" t="s">
        <v>21</v>
      </c>
      <c r="G1407" t="s">
        <v>26</v>
      </c>
      <c r="H1407" t="s">
        <v>21</v>
      </c>
      <c r="I1407" t="s">
        <v>20</v>
      </c>
      <c r="J1407" t="s">
        <v>20</v>
      </c>
      <c r="K1407" t="s">
        <v>22</v>
      </c>
      <c r="L1407" t="s">
        <v>140</v>
      </c>
      <c r="M1407" t="s">
        <v>174</v>
      </c>
      <c r="N1407">
        <v>39.924245999999997</v>
      </c>
      <c r="O1407">
        <v>-111.54430000000001</v>
      </c>
      <c r="P1407">
        <v>5381.7158330000002</v>
      </c>
      <c r="Q1407">
        <v>1384</v>
      </c>
      <c r="R1407">
        <v>0</v>
      </c>
    </row>
    <row r="1408" spans="1:18" x14ac:dyDescent="0.25">
      <c r="A1408">
        <v>1407</v>
      </c>
      <c r="B1408">
        <v>94</v>
      </c>
      <c r="C1408" t="s">
        <v>431</v>
      </c>
      <c r="D1408" t="s">
        <v>272</v>
      </c>
      <c r="E1408">
        <v>306.77</v>
      </c>
      <c r="F1408" t="s">
        <v>21</v>
      </c>
      <c r="G1408" t="s">
        <v>20</v>
      </c>
      <c r="H1408" t="s">
        <v>21</v>
      </c>
      <c r="I1408" t="s">
        <v>20</v>
      </c>
      <c r="J1408" t="s">
        <v>20</v>
      </c>
      <c r="K1408" t="s">
        <v>22</v>
      </c>
      <c r="L1408" t="s">
        <v>140</v>
      </c>
      <c r="M1408" t="s">
        <v>174</v>
      </c>
      <c r="N1408">
        <v>39.943707000000003</v>
      </c>
      <c r="O1408">
        <v>-111.540372</v>
      </c>
      <c r="P1408">
        <v>5296.7142679999997</v>
      </c>
      <c r="Q1408">
        <v>1384</v>
      </c>
      <c r="R1408">
        <v>0</v>
      </c>
    </row>
    <row r="1409" spans="1:18" x14ac:dyDescent="0.25">
      <c r="A1409">
        <v>1408</v>
      </c>
      <c r="B1409">
        <v>94</v>
      </c>
      <c r="C1409">
        <v>31520470</v>
      </c>
      <c r="D1409" t="s">
        <v>132</v>
      </c>
      <c r="E1409">
        <v>34.966000000000001</v>
      </c>
      <c r="F1409" t="s">
        <v>21</v>
      </c>
      <c r="G1409" t="s">
        <v>20</v>
      </c>
      <c r="H1409" t="s">
        <v>21</v>
      </c>
      <c r="I1409" t="s">
        <v>20</v>
      </c>
      <c r="J1409" t="s">
        <v>20</v>
      </c>
      <c r="K1409" t="s">
        <v>22</v>
      </c>
      <c r="L1409" t="s">
        <v>234</v>
      </c>
      <c r="M1409" t="s">
        <v>277</v>
      </c>
      <c r="N1409">
        <v>40.451087999999999</v>
      </c>
      <c r="O1409">
        <v>-109.62307</v>
      </c>
      <c r="P1409">
        <v>5826.8619849999995</v>
      </c>
      <c r="Q1409">
        <v>1405</v>
      </c>
      <c r="R1409">
        <v>0</v>
      </c>
    </row>
    <row r="1410" spans="1:18" x14ac:dyDescent="0.25">
      <c r="A1410">
        <v>1409</v>
      </c>
      <c r="B1410">
        <v>94</v>
      </c>
      <c r="C1410" t="e">
        <f>-IovtI5eGqa4W_0f2ALjRV</f>
        <v>#NAME?</v>
      </c>
      <c r="D1410" t="s">
        <v>316</v>
      </c>
      <c r="E1410">
        <v>34.966999999999999</v>
      </c>
      <c r="F1410" t="s">
        <v>21</v>
      </c>
      <c r="G1410" t="s">
        <v>20</v>
      </c>
      <c r="H1410" t="s">
        <v>21</v>
      </c>
      <c r="I1410" t="s">
        <v>20</v>
      </c>
      <c r="J1410" t="s">
        <v>20</v>
      </c>
      <c r="K1410" t="s">
        <v>22</v>
      </c>
      <c r="L1410" t="s">
        <v>168</v>
      </c>
      <c r="M1410" t="s">
        <v>302</v>
      </c>
      <c r="N1410">
        <v>40.430287999999997</v>
      </c>
      <c r="O1410">
        <v>-110.802753</v>
      </c>
      <c r="P1410">
        <v>6836.3502760000001</v>
      </c>
      <c r="Q1410">
        <v>1346</v>
      </c>
      <c r="R1410">
        <v>0</v>
      </c>
    </row>
    <row r="1411" spans="1:18" x14ac:dyDescent="0.25">
      <c r="A1411">
        <v>1410</v>
      </c>
      <c r="B1411">
        <v>94</v>
      </c>
      <c r="C1411" t="e">
        <f>-IoM7bbSHXD4C8nMf503nk</f>
        <v>#NAME?</v>
      </c>
      <c r="D1411" t="s">
        <v>272</v>
      </c>
      <c r="E1411">
        <v>230.822</v>
      </c>
      <c r="F1411" t="s">
        <v>21</v>
      </c>
      <c r="G1411" t="s">
        <v>26</v>
      </c>
      <c r="H1411" t="s">
        <v>21</v>
      </c>
      <c r="I1411" t="s">
        <v>20</v>
      </c>
      <c r="J1411" t="s">
        <v>20</v>
      </c>
      <c r="K1411" t="s">
        <v>27</v>
      </c>
      <c r="L1411" t="s">
        <v>183</v>
      </c>
      <c r="M1411" t="s">
        <v>174</v>
      </c>
      <c r="N1411">
        <v>39.007342999999999</v>
      </c>
      <c r="O1411">
        <v>-111.837808</v>
      </c>
      <c r="P1411">
        <v>5053.220593</v>
      </c>
      <c r="Q1411">
        <v>1384</v>
      </c>
      <c r="R1411">
        <v>0</v>
      </c>
    </row>
    <row r="1412" spans="1:18" x14ac:dyDescent="0.25">
      <c r="A1412">
        <v>1411</v>
      </c>
      <c r="B1412">
        <v>94</v>
      </c>
      <c r="C1412">
        <v>31689003</v>
      </c>
      <c r="D1412" t="s">
        <v>213</v>
      </c>
      <c r="E1412">
        <v>231.61500000000001</v>
      </c>
      <c r="F1412" t="s">
        <v>21</v>
      </c>
      <c r="G1412" t="s">
        <v>26</v>
      </c>
      <c r="H1412" t="s">
        <v>21</v>
      </c>
      <c r="I1412" t="s">
        <v>20</v>
      </c>
      <c r="J1412" t="s">
        <v>20</v>
      </c>
      <c r="K1412" t="s">
        <v>27</v>
      </c>
      <c r="L1412" t="s">
        <v>307</v>
      </c>
      <c r="M1412" t="s">
        <v>190</v>
      </c>
      <c r="N1412">
        <v>39.702961000000002</v>
      </c>
      <c r="O1412">
        <v>-110.86882900000001</v>
      </c>
      <c r="P1412">
        <v>5903.4988899999998</v>
      </c>
      <c r="Q1412">
        <v>1332</v>
      </c>
      <c r="R1412">
        <v>0</v>
      </c>
    </row>
    <row r="1413" spans="1:18" x14ac:dyDescent="0.25">
      <c r="A1413">
        <v>1412</v>
      </c>
      <c r="B1413">
        <v>94</v>
      </c>
      <c r="C1413">
        <v>31689014</v>
      </c>
      <c r="D1413" t="s">
        <v>213</v>
      </c>
      <c r="E1413">
        <v>231.67699999999999</v>
      </c>
      <c r="F1413" t="s">
        <v>21</v>
      </c>
      <c r="G1413" t="s">
        <v>26</v>
      </c>
      <c r="H1413" t="s">
        <v>21</v>
      </c>
      <c r="I1413" t="s">
        <v>20</v>
      </c>
      <c r="J1413" t="s">
        <v>20</v>
      </c>
      <c r="K1413" t="s">
        <v>27</v>
      </c>
      <c r="L1413" t="s">
        <v>307</v>
      </c>
      <c r="M1413" t="s">
        <v>190</v>
      </c>
      <c r="N1413">
        <v>39.702063000000003</v>
      </c>
      <c r="O1413">
        <v>-110.868624</v>
      </c>
      <c r="P1413">
        <v>5902.9943499999999</v>
      </c>
      <c r="Q1413">
        <v>1332</v>
      </c>
      <c r="R1413">
        <v>0</v>
      </c>
    </row>
    <row r="1414" spans="1:18" x14ac:dyDescent="0.25">
      <c r="A1414">
        <v>1413</v>
      </c>
      <c r="B1414">
        <v>94</v>
      </c>
      <c r="C1414">
        <v>31689025</v>
      </c>
      <c r="D1414" t="s">
        <v>213</v>
      </c>
      <c r="E1414">
        <v>232.30099999999999</v>
      </c>
      <c r="F1414" t="s">
        <v>21</v>
      </c>
      <c r="G1414" t="s">
        <v>26</v>
      </c>
      <c r="H1414" t="s">
        <v>21</v>
      </c>
      <c r="I1414" t="s">
        <v>20</v>
      </c>
      <c r="J1414" t="s">
        <v>20</v>
      </c>
      <c r="K1414" t="s">
        <v>27</v>
      </c>
      <c r="L1414" t="s">
        <v>307</v>
      </c>
      <c r="M1414" t="s">
        <v>190</v>
      </c>
      <c r="N1414">
        <v>39.694158999999999</v>
      </c>
      <c r="O1414">
        <v>-110.863873</v>
      </c>
      <c r="P1414">
        <v>5827.2479139999996</v>
      </c>
      <c r="Q1414">
        <v>1332</v>
      </c>
      <c r="R1414">
        <v>0</v>
      </c>
    </row>
    <row r="1415" spans="1:18" x14ac:dyDescent="0.25">
      <c r="A1415">
        <v>1414</v>
      </c>
      <c r="B1415">
        <v>94</v>
      </c>
      <c r="C1415">
        <v>31690308</v>
      </c>
      <c r="D1415" t="s">
        <v>213</v>
      </c>
      <c r="E1415">
        <v>233.32900000000001</v>
      </c>
      <c r="F1415" t="s">
        <v>21</v>
      </c>
      <c r="G1415" t="s">
        <v>20</v>
      </c>
      <c r="H1415" t="s">
        <v>21</v>
      </c>
      <c r="I1415" t="s">
        <v>20</v>
      </c>
      <c r="J1415" t="s">
        <v>20</v>
      </c>
      <c r="K1415" t="s">
        <v>27</v>
      </c>
      <c r="L1415" t="s">
        <v>307</v>
      </c>
      <c r="M1415" t="s">
        <v>190</v>
      </c>
      <c r="N1415">
        <v>39.682701000000002</v>
      </c>
      <c r="O1415">
        <v>-110.858529</v>
      </c>
      <c r="P1415">
        <v>5766.6876199999997</v>
      </c>
      <c r="Q1415">
        <v>1332</v>
      </c>
      <c r="R1415">
        <v>0</v>
      </c>
    </row>
    <row r="1416" spans="1:18" x14ac:dyDescent="0.25">
      <c r="A1416">
        <v>1415</v>
      </c>
      <c r="B1416">
        <v>94</v>
      </c>
      <c r="C1416" t="e">
        <f>-IoM99jNFI1v-nSE7piMOF</f>
        <v>#NAME?</v>
      </c>
      <c r="D1416" t="s">
        <v>272</v>
      </c>
      <c r="E1416">
        <v>233.45599999999999</v>
      </c>
      <c r="F1416" t="s">
        <v>21</v>
      </c>
      <c r="G1416" t="s">
        <v>26</v>
      </c>
      <c r="H1416" t="s">
        <v>19</v>
      </c>
      <c r="I1416">
        <v>256</v>
      </c>
      <c r="J1416" t="s">
        <v>20</v>
      </c>
      <c r="K1416" t="s">
        <v>27</v>
      </c>
      <c r="L1416" t="s">
        <v>183</v>
      </c>
      <c r="M1416" t="s">
        <v>174</v>
      </c>
      <c r="N1416">
        <v>39.044396999999996</v>
      </c>
      <c r="O1416">
        <v>-111.825458</v>
      </c>
      <c r="P1416">
        <v>5107.7220360000001</v>
      </c>
      <c r="Q1416">
        <v>1384</v>
      </c>
      <c r="R1416">
        <v>0</v>
      </c>
    </row>
    <row r="1417" spans="1:18" x14ac:dyDescent="0.25">
      <c r="A1417">
        <v>1416</v>
      </c>
      <c r="B1417">
        <v>94</v>
      </c>
      <c r="C1417">
        <v>31428394</v>
      </c>
      <c r="D1417" t="s">
        <v>319</v>
      </c>
      <c r="E1417">
        <v>13.912000000000001</v>
      </c>
      <c r="F1417" t="s">
        <v>21</v>
      </c>
      <c r="G1417" t="s">
        <v>20</v>
      </c>
      <c r="H1417" t="s">
        <v>21</v>
      </c>
      <c r="I1417" t="s">
        <v>20</v>
      </c>
      <c r="J1417" t="s">
        <v>20</v>
      </c>
      <c r="K1417" t="s">
        <v>27</v>
      </c>
      <c r="L1417" t="s">
        <v>162</v>
      </c>
      <c r="M1417" t="s">
        <v>55</v>
      </c>
      <c r="N1417">
        <v>37.775229000000003</v>
      </c>
      <c r="O1417">
        <v>-113.843063</v>
      </c>
      <c r="P1417">
        <v>5215.9751100000003</v>
      </c>
      <c r="Q1417">
        <v>314</v>
      </c>
      <c r="R1417">
        <v>0</v>
      </c>
    </row>
    <row r="1418" spans="1:18" x14ac:dyDescent="0.25">
      <c r="A1418">
        <v>1417</v>
      </c>
      <c r="B1418">
        <v>94</v>
      </c>
      <c r="C1418" t="e">
        <f>-JMD_UnDFEPfz8qpi1CAFF</f>
        <v>#NAME?</v>
      </c>
      <c r="D1418" t="s">
        <v>322</v>
      </c>
      <c r="E1418">
        <v>13.917</v>
      </c>
      <c r="F1418" t="s">
        <v>19</v>
      </c>
      <c r="G1418" t="s">
        <v>20</v>
      </c>
      <c r="H1418" t="s">
        <v>19</v>
      </c>
      <c r="I1418">
        <v>48</v>
      </c>
      <c r="J1418" t="s">
        <v>20</v>
      </c>
      <c r="K1418" t="s">
        <v>31</v>
      </c>
      <c r="L1418" t="s">
        <v>84</v>
      </c>
      <c r="M1418" t="s">
        <v>24</v>
      </c>
      <c r="N1418">
        <v>40.587870000000002</v>
      </c>
      <c r="O1418">
        <v>-112.02780799999999</v>
      </c>
      <c r="P1418">
        <v>4839.9434270000002</v>
      </c>
      <c r="Q1418">
        <v>6660</v>
      </c>
      <c r="R1418">
        <v>0</v>
      </c>
    </row>
    <row r="1419" spans="1:18" x14ac:dyDescent="0.25">
      <c r="A1419">
        <v>1418</v>
      </c>
      <c r="B1419">
        <v>94</v>
      </c>
      <c r="C1419">
        <v>31273849</v>
      </c>
      <c r="D1419" t="s">
        <v>241</v>
      </c>
      <c r="E1419">
        <v>13.925000000000001</v>
      </c>
      <c r="F1419" t="s">
        <v>21</v>
      </c>
      <c r="G1419" t="s">
        <v>26</v>
      </c>
      <c r="H1419" t="s">
        <v>21</v>
      </c>
      <c r="I1419" t="s">
        <v>20</v>
      </c>
      <c r="J1419" t="s">
        <v>20</v>
      </c>
      <c r="K1419" t="s">
        <v>27</v>
      </c>
      <c r="L1419" t="s">
        <v>242</v>
      </c>
      <c r="M1419" t="s">
        <v>243</v>
      </c>
      <c r="N1419">
        <v>38.933677000000003</v>
      </c>
      <c r="O1419">
        <v>-111.23006599999999</v>
      </c>
      <c r="P1419">
        <v>6210.1273190000002</v>
      </c>
      <c r="Q1419">
        <v>1327</v>
      </c>
      <c r="R1419">
        <v>0</v>
      </c>
    </row>
    <row r="1420" spans="1:18" x14ac:dyDescent="0.25">
      <c r="A1420">
        <v>1419</v>
      </c>
      <c r="B1420">
        <v>94</v>
      </c>
      <c r="C1420">
        <v>1530925</v>
      </c>
      <c r="D1420" t="s">
        <v>88</v>
      </c>
      <c r="E1420">
        <v>13.930999999999999</v>
      </c>
      <c r="F1420" t="s">
        <v>21</v>
      </c>
      <c r="G1420" t="s">
        <v>26</v>
      </c>
      <c r="H1420" t="s">
        <v>21</v>
      </c>
      <c r="I1420" t="s">
        <v>20</v>
      </c>
      <c r="J1420" t="s">
        <v>20</v>
      </c>
      <c r="K1420" t="s">
        <v>31</v>
      </c>
      <c r="L1420" t="s">
        <v>32</v>
      </c>
      <c r="M1420" t="s">
        <v>90</v>
      </c>
      <c r="N1420">
        <v>40.640161999999997</v>
      </c>
      <c r="O1420">
        <v>-111.865933</v>
      </c>
      <c r="P1420">
        <v>4314.0674179999996</v>
      </c>
      <c r="Q1420">
        <v>318</v>
      </c>
      <c r="R1420">
        <v>0</v>
      </c>
    </row>
    <row r="1421" spans="1:18" x14ac:dyDescent="0.25">
      <c r="A1421">
        <v>1420</v>
      </c>
      <c r="B1421">
        <v>94</v>
      </c>
      <c r="C1421">
        <v>31417217</v>
      </c>
      <c r="D1421" t="s">
        <v>221</v>
      </c>
      <c r="E1421">
        <v>13.945</v>
      </c>
      <c r="F1421" t="s">
        <v>21</v>
      </c>
      <c r="G1421" t="s">
        <v>20</v>
      </c>
      <c r="H1421" t="s">
        <v>21</v>
      </c>
      <c r="I1421" t="s">
        <v>20</v>
      </c>
      <c r="J1421" t="s">
        <v>20</v>
      </c>
      <c r="K1421" t="s">
        <v>27</v>
      </c>
      <c r="L1421" t="s">
        <v>350</v>
      </c>
      <c r="M1421" t="s">
        <v>174</v>
      </c>
      <c r="N1421">
        <v>39.338707999999997</v>
      </c>
      <c r="O1421">
        <v>-111.92026300000001</v>
      </c>
      <c r="P1421">
        <v>5050.5207920000003</v>
      </c>
      <c r="Q1421">
        <v>1342</v>
      </c>
      <c r="R1421">
        <v>0</v>
      </c>
    </row>
    <row r="1422" spans="1:18" x14ac:dyDescent="0.25">
      <c r="A1422">
        <v>1421</v>
      </c>
      <c r="B1422">
        <v>94</v>
      </c>
      <c r="C1422">
        <v>31406967</v>
      </c>
      <c r="D1422" t="s">
        <v>63</v>
      </c>
      <c r="E1422">
        <v>13.952</v>
      </c>
      <c r="F1422" t="s">
        <v>21</v>
      </c>
      <c r="G1422" t="s">
        <v>26</v>
      </c>
      <c r="H1422" t="s">
        <v>21</v>
      </c>
      <c r="I1422" t="s">
        <v>20</v>
      </c>
      <c r="J1422" t="s">
        <v>20</v>
      </c>
      <c r="K1422" t="s">
        <v>27</v>
      </c>
      <c r="L1422" t="s">
        <v>64</v>
      </c>
      <c r="M1422" t="s">
        <v>29</v>
      </c>
      <c r="N1422">
        <v>38.186210000000003</v>
      </c>
      <c r="O1422">
        <v>-112.014172</v>
      </c>
      <c r="P1422">
        <v>6385.4240600000003</v>
      </c>
      <c r="Q1422">
        <v>1365</v>
      </c>
      <c r="R1422">
        <v>0</v>
      </c>
    </row>
    <row r="1423" spans="1:18" x14ac:dyDescent="0.25">
      <c r="A1423">
        <v>1422</v>
      </c>
      <c r="B1423">
        <v>94</v>
      </c>
      <c r="C1423" t="e">
        <f>-JMEgXC2GFXAR8XiOYpdDF</f>
        <v>#NAME?</v>
      </c>
      <c r="D1423" t="s">
        <v>417</v>
      </c>
      <c r="E1423">
        <v>13.96</v>
      </c>
      <c r="F1423" t="s">
        <v>19</v>
      </c>
      <c r="G1423" t="s">
        <v>20</v>
      </c>
      <c r="H1423" t="s">
        <v>19</v>
      </c>
      <c r="I1423">
        <v>48</v>
      </c>
      <c r="J1423" t="s">
        <v>20</v>
      </c>
      <c r="K1423" t="s">
        <v>31</v>
      </c>
      <c r="L1423" t="s">
        <v>84</v>
      </c>
      <c r="M1423" t="s">
        <v>24</v>
      </c>
      <c r="N1423">
        <v>40.587865000000001</v>
      </c>
      <c r="O1423">
        <v>-112.029293</v>
      </c>
      <c r="P1423">
        <v>4844.1711370000003</v>
      </c>
      <c r="Q1423">
        <v>6765</v>
      </c>
      <c r="R1423">
        <v>0</v>
      </c>
    </row>
    <row r="1424" spans="1:18" x14ac:dyDescent="0.25">
      <c r="A1424">
        <v>1423</v>
      </c>
      <c r="B1424">
        <v>94</v>
      </c>
      <c r="C1424">
        <v>31523998</v>
      </c>
      <c r="D1424" t="s">
        <v>309</v>
      </c>
      <c r="E1424">
        <v>13.965999999999999</v>
      </c>
      <c r="F1424" t="s">
        <v>21</v>
      </c>
      <c r="G1424" t="s">
        <v>26</v>
      </c>
      <c r="H1424" t="s">
        <v>21</v>
      </c>
      <c r="I1424" t="s">
        <v>20</v>
      </c>
      <c r="J1424" t="s">
        <v>20</v>
      </c>
      <c r="K1424" t="s">
        <v>22</v>
      </c>
      <c r="L1424" t="s">
        <v>140</v>
      </c>
      <c r="M1424" t="s">
        <v>125</v>
      </c>
      <c r="N1424">
        <v>40.115400000000001</v>
      </c>
      <c r="O1424">
        <v>-111.620042</v>
      </c>
      <c r="P1424">
        <v>4663.1235800000004</v>
      </c>
      <c r="Q1424">
        <v>339</v>
      </c>
      <c r="R1424">
        <v>0</v>
      </c>
    </row>
    <row r="1425" spans="1:18" x14ac:dyDescent="0.25">
      <c r="A1425">
        <v>1424</v>
      </c>
      <c r="B1425">
        <v>94</v>
      </c>
      <c r="C1425">
        <v>31504049</v>
      </c>
      <c r="D1425" t="s">
        <v>224</v>
      </c>
      <c r="E1425">
        <v>13.984999999999999</v>
      </c>
      <c r="F1425" t="s">
        <v>21</v>
      </c>
      <c r="G1425" t="s">
        <v>26</v>
      </c>
      <c r="H1425" t="s">
        <v>21</v>
      </c>
      <c r="I1425" t="s">
        <v>20</v>
      </c>
      <c r="J1425" t="s">
        <v>20</v>
      </c>
      <c r="K1425" t="s">
        <v>22</v>
      </c>
      <c r="L1425" t="s">
        <v>140</v>
      </c>
      <c r="M1425" t="s">
        <v>194</v>
      </c>
      <c r="N1425">
        <v>40.098801999999999</v>
      </c>
      <c r="O1425">
        <v>-111.62604399999999</v>
      </c>
      <c r="P1425">
        <v>4673.7566059999999</v>
      </c>
      <c r="Q1425">
        <v>408</v>
      </c>
      <c r="R1425">
        <v>0</v>
      </c>
    </row>
    <row r="1426" spans="1:18" x14ac:dyDescent="0.25">
      <c r="A1426">
        <v>1425</v>
      </c>
      <c r="B1426">
        <v>94</v>
      </c>
      <c r="C1426">
        <v>2587533</v>
      </c>
      <c r="D1426" t="s">
        <v>176</v>
      </c>
      <c r="E1426">
        <v>13.996</v>
      </c>
      <c r="F1426" t="s">
        <v>21</v>
      </c>
      <c r="G1426" t="s">
        <v>26</v>
      </c>
      <c r="H1426" t="s">
        <v>21</v>
      </c>
      <c r="I1426" t="s">
        <v>20</v>
      </c>
      <c r="J1426" t="s">
        <v>20</v>
      </c>
      <c r="K1426" t="s">
        <v>41</v>
      </c>
      <c r="L1426" t="s">
        <v>181</v>
      </c>
      <c r="M1426" t="s">
        <v>178</v>
      </c>
      <c r="N1426">
        <v>41.625188000000001</v>
      </c>
      <c r="O1426">
        <v>-112.12677600000001</v>
      </c>
      <c r="P1426">
        <v>4210.2194909999998</v>
      </c>
      <c r="Q1426">
        <v>1329</v>
      </c>
      <c r="R1426">
        <v>0</v>
      </c>
    </row>
    <row r="1427" spans="1:18" x14ac:dyDescent="0.25">
      <c r="A1427">
        <v>1426</v>
      </c>
      <c r="B1427">
        <v>94</v>
      </c>
      <c r="C1427">
        <v>31371060</v>
      </c>
      <c r="D1427" t="s">
        <v>199</v>
      </c>
      <c r="E1427">
        <v>2.7690000000000001</v>
      </c>
      <c r="F1427" t="s">
        <v>21</v>
      </c>
      <c r="G1427" t="s">
        <v>26</v>
      </c>
      <c r="H1427" t="s">
        <v>21</v>
      </c>
      <c r="I1427" t="s">
        <v>20</v>
      </c>
      <c r="J1427" t="s">
        <v>20</v>
      </c>
      <c r="K1427" t="s">
        <v>27</v>
      </c>
      <c r="L1427" t="s">
        <v>103</v>
      </c>
      <c r="M1427" t="s">
        <v>200</v>
      </c>
      <c r="N1427">
        <v>38.281956000000001</v>
      </c>
      <c r="O1427">
        <v>-112.594278</v>
      </c>
      <c r="P1427">
        <v>6052.6919600000001</v>
      </c>
      <c r="Q1427">
        <v>341</v>
      </c>
      <c r="R1427">
        <v>0</v>
      </c>
    </row>
    <row r="1428" spans="1:18" x14ac:dyDescent="0.25">
      <c r="A1428">
        <v>1427</v>
      </c>
      <c r="B1428">
        <v>94</v>
      </c>
      <c r="C1428">
        <v>28397678</v>
      </c>
      <c r="D1428" t="s">
        <v>99</v>
      </c>
      <c r="E1428">
        <v>2.7690000000000001</v>
      </c>
      <c r="F1428" t="s">
        <v>19</v>
      </c>
      <c r="G1428" t="s">
        <v>20</v>
      </c>
      <c r="H1428" t="s">
        <v>21</v>
      </c>
      <c r="I1428" t="s">
        <v>20</v>
      </c>
      <c r="J1428" t="s">
        <v>20</v>
      </c>
      <c r="K1428" t="s">
        <v>41</v>
      </c>
      <c r="L1428" t="s">
        <v>81</v>
      </c>
      <c r="M1428" t="s">
        <v>82</v>
      </c>
      <c r="N1428">
        <v>41.205877999999998</v>
      </c>
      <c r="O1428">
        <v>-111.988829</v>
      </c>
      <c r="P1428">
        <v>4275.9223529999999</v>
      </c>
      <c r="Q1428">
        <v>1376</v>
      </c>
      <c r="R1428">
        <v>0</v>
      </c>
    </row>
    <row r="1429" spans="1:18" x14ac:dyDescent="0.25">
      <c r="A1429">
        <v>1428</v>
      </c>
      <c r="B1429">
        <v>94</v>
      </c>
      <c r="C1429">
        <v>1242258</v>
      </c>
      <c r="D1429" t="s">
        <v>189</v>
      </c>
      <c r="E1429">
        <v>2.7759999999999998</v>
      </c>
      <c r="F1429" t="s">
        <v>19</v>
      </c>
      <c r="G1429" t="s">
        <v>20</v>
      </c>
      <c r="H1429" t="s">
        <v>21</v>
      </c>
      <c r="I1429" t="s">
        <v>20</v>
      </c>
      <c r="J1429" t="s">
        <v>20</v>
      </c>
      <c r="K1429" t="s">
        <v>41</v>
      </c>
      <c r="L1429" t="s">
        <v>81</v>
      </c>
      <c r="M1429" t="s">
        <v>190</v>
      </c>
      <c r="N1429">
        <v>41.193376999999998</v>
      </c>
      <c r="O1429">
        <v>-111.948809</v>
      </c>
      <c r="P1429">
        <v>4549.5822799999996</v>
      </c>
      <c r="Q1429">
        <v>412</v>
      </c>
      <c r="R1429">
        <v>0</v>
      </c>
    </row>
    <row r="1430" spans="1:18" x14ac:dyDescent="0.25">
      <c r="A1430">
        <v>1429</v>
      </c>
      <c r="B1430">
        <v>94</v>
      </c>
      <c r="C1430">
        <v>1007463</v>
      </c>
      <c r="D1430" t="s">
        <v>171</v>
      </c>
      <c r="E1430">
        <v>2.78</v>
      </c>
      <c r="F1430" t="s">
        <v>21</v>
      </c>
      <c r="G1430" t="s">
        <v>26</v>
      </c>
      <c r="H1430" t="s">
        <v>21</v>
      </c>
      <c r="I1430" t="s">
        <v>20</v>
      </c>
      <c r="J1430" t="s">
        <v>20</v>
      </c>
      <c r="K1430" t="s">
        <v>31</v>
      </c>
      <c r="L1430" t="s">
        <v>78</v>
      </c>
      <c r="M1430" t="s">
        <v>79</v>
      </c>
      <c r="N1430">
        <v>40.696539999999999</v>
      </c>
      <c r="O1430">
        <v>-112.03870499999999</v>
      </c>
      <c r="P1430">
        <v>4255.6627259999996</v>
      </c>
      <c r="Q1430">
        <v>346</v>
      </c>
      <c r="R1430">
        <v>0</v>
      </c>
    </row>
    <row r="1431" spans="1:18" x14ac:dyDescent="0.25">
      <c r="A1431">
        <v>1430</v>
      </c>
      <c r="B1431">
        <v>94</v>
      </c>
      <c r="C1431">
        <v>31391782</v>
      </c>
      <c r="D1431" t="s">
        <v>114</v>
      </c>
      <c r="E1431">
        <v>2.782</v>
      </c>
      <c r="F1431" t="s">
        <v>19</v>
      </c>
      <c r="G1431" t="s">
        <v>20</v>
      </c>
      <c r="H1431" t="s">
        <v>19</v>
      </c>
      <c r="I1431">
        <v>126</v>
      </c>
      <c r="J1431" t="s">
        <v>20</v>
      </c>
      <c r="K1431" t="s">
        <v>41</v>
      </c>
      <c r="L1431" t="s">
        <v>87</v>
      </c>
      <c r="M1431" t="s">
        <v>82</v>
      </c>
      <c r="N1431">
        <v>41.103569999999998</v>
      </c>
      <c r="O1431">
        <v>-112.01540199999999</v>
      </c>
      <c r="P1431">
        <v>4430.7987350000003</v>
      </c>
      <c r="Q1431">
        <v>405</v>
      </c>
      <c r="R1431">
        <v>0</v>
      </c>
    </row>
    <row r="1432" spans="1:18" x14ac:dyDescent="0.25">
      <c r="A1432">
        <v>1431</v>
      </c>
      <c r="B1432">
        <v>94</v>
      </c>
      <c r="C1432">
        <v>31678304</v>
      </c>
      <c r="D1432" t="s">
        <v>213</v>
      </c>
      <c r="E1432">
        <v>218.36799999999999</v>
      </c>
      <c r="F1432" t="s">
        <v>21</v>
      </c>
      <c r="G1432" t="s">
        <v>20</v>
      </c>
      <c r="H1432" t="s">
        <v>21</v>
      </c>
      <c r="I1432" t="s">
        <v>20</v>
      </c>
      <c r="J1432" t="s">
        <v>20</v>
      </c>
      <c r="K1432" t="s">
        <v>27</v>
      </c>
      <c r="L1432" t="s">
        <v>307</v>
      </c>
      <c r="M1432" t="s">
        <v>159</v>
      </c>
      <c r="N1432">
        <v>39.843212000000001</v>
      </c>
      <c r="O1432">
        <v>-110.994157</v>
      </c>
      <c r="P1432">
        <v>7137.9416799999999</v>
      </c>
      <c r="Q1432">
        <v>1332</v>
      </c>
      <c r="R1432">
        <v>0</v>
      </c>
    </row>
    <row r="1433" spans="1:18" x14ac:dyDescent="0.25">
      <c r="A1433">
        <v>1432</v>
      </c>
      <c r="B1433">
        <v>94</v>
      </c>
      <c r="C1433">
        <v>31678315</v>
      </c>
      <c r="D1433" t="s">
        <v>213</v>
      </c>
      <c r="E1433">
        <v>218.89400000000001</v>
      </c>
      <c r="F1433" t="s">
        <v>21</v>
      </c>
      <c r="G1433" t="s">
        <v>26</v>
      </c>
      <c r="H1433" t="s">
        <v>21</v>
      </c>
      <c r="I1433" t="s">
        <v>20</v>
      </c>
      <c r="J1433" t="s">
        <v>20</v>
      </c>
      <c r="K1433" t="s">
        <v>27</v>
      </c>
      <c r="L1433" t="s">
        <v>307</v>
      </c>
      <c r="M1433" t="s">
        <v>159</v>
      </c>
      <c r="N1433">
        <v>39.839550000000003</v>
      </c>
      <c r="O1433">
        <v>-110.98545900000001</v>
      </c>
      <c r="P1433">
        <v>7127.037695</v>
      </c>
      <c r="Q1433">
        <v>1332</v>
      </c>
      <c r="R1433">
        <v>0</v>
      </c>
    </row>
    <row r="1434" spans="1:18" x14ac:dyDescent="0.25">
      <c r="A1434">
        <v>1433</v>
      </c>
      <c r="B1434">
        <v>94</v>
      </c>
      <c r="C1434">
        <v>31318021</v>
      </c>
      <c r="D1434" t="s">
        <v>347</v>
      </c>
      <c r="E1434">
        <v>27.266999999999999</v>
      </c>
      <c r="F1434" t="s">
        <v>21</v>
      </c>
      <c r="G1434" t="s">
        <v>20</v>
      </c>
      <c r="H1434" t="s">
        <v>21</v>
      </c>
      <c r="I1434" t="s">
        <v>20</v>
      </c>
      <c r="J1434" t="s">
        <v>20</v>
      </c>
      <c r="K1434" t="s">
        <v>41</v>
      </c>
      <c r="L1434" t="s">
        <v>325</v>
      </c>
      <c r="M1434" t="s">
        <v>204</v>
      </c>
      <c r="N1434">
        <v>41.748997000000003</v>
      </c>
      <c r="O1434">
        <v>-111.145922</v>
      </c>
      <c r="P1434">
        <v>6228.9032399999996</v>
      </c>
      <c r="Q1434">
        <v>1334</v>
      </c>
      <c r="R1434">
        <v>0</v>
      </c>
    </row>
    <row r="1435" spans="1:18" x14ac:dyDescent="0.25">
      <c r="A1435">
        <v>1434</v>
      </c>
      <c r="B1435">
        <v>94</v>
      </c>
      <c r="C1435" t="s">
        <v>432</v>
      </c>
      <c r="D1435" t="s">
        <v>210</v>
      </c>
      <c r="E1435">
        <v>27.268000000000001</v>
      </c>
      <c r="F1435" t="s">
        <v>21</v>
      </c>
      <c r="G1435" t="s">
        <v>20</v>
      </c>
      <c r="H1435" t="s">
        <v>21</v>
      </c>
      <c r="I1435" t="s">
        <v>20</v>
      </c>
      <c r="J1435" t="s">
        <v>20</v>
      </c>
      <c r="K1435" t="s">
        <v>27</v>
      </c>
      <c r="L1435" t="s">
        <v>211</v>
      </c>
      <c r="M1435" t="s">
        <v>212</v>
      </c>
      <c r="N1435">
        <v>37.177945999999999</v>
      </c>
      <c r="O1435">
        <v>-109.118458</v>
      </c>
      <c r="P1435">
        <v>4769.6398330000002</v>
      </c>
      <c r="Q1435">
        <v>344</v>
      </c>
      <c r="R1435">
        <v>0</v>
      </c>
    </row>
    <row r="1436" spans="1:18" x14ac:dyDescent="0.25">
      <c r="A1436">
        <v>1435</v>
      </c>
      <c r="B1436">
        <v>94</v>
      </c>
      <c r="C1436">
        <v>31309985</v>
      </c>
      <c r="D1436" t="s">
        <v>116</v>
      </c>
      <c r="E1436">
        <v>27.277000000000001</v>
      </c>
      <c r="F1436" t="s">
        <v>19</v>
      </c>
      <c r="G1436" t="s">
        <v>20</v>
      </c>
      <c r="H1436" t="s">
        <v>21</v>
      </c>
      <c r="I1436" t="s">
        <v>20</v>
      </c>
      <c r="J1436" t="s">
        <v>20</v>
      </c>
      <c r="K1436" t="s">
        <v>41</v>
      </c>
      <c r="L1436" t="s">
        <v>95</v>
      </c>
      <c r="M1436" t="s">
        <v>43</v>
      </c>
      <c r="N1436">
        <v>41.740935999999998</v>
      </c>
      <c r="O1436">
        <v>-111.834726</v>
      </c>
      <c r="P1436">
        <v>4472.5422900000003</v>
      </c>
      <c r="Q1436">
        <v>324</v>
      </c>
      <c r="R1436">
        <v>0</v>
      </c>
    </row>
    <row r="1437" spans="1:18" x14ac:dyDescent="0.25">
      <c r="A1437">
        <v>1436</v>
      </c>
      <c r="B1437">
        <v>94</v>
      </c>
      <c r="C1437">
        <v>31895853</v>
      </c>
      <c r="D1437" t="s">
        <v>61</v>
      </c>
      <c r="E1437">
        <v>27.288</v>
      </c>
      <c r="F1437" t="s">
        <v>21</v>
      </c>
      <c r="G1437" t="s">
        <v>26</v>
      </c>
      <c r="H1437" t="s">
        <v>21</v>
      </c>
      <c r="I1437" t="s">
        <v>20</v>
      </c>
      <c r="J1437" t="s">
        <v>20</v>
      </c>
      <c r="K1437" t="s">
        <v>22</v>
      </c>
      <c r="L1437" t="s">
        <v>35</v>
      </c>
      <c r="M1437" t="s">
        <v>328</v>
      </c>
      <c r="N1437">
        <v>40.477995</v>
      </c>
      <c r="O1437">
        <v>-111.436584</v>
      </c>
      <c r="P1437">
        <v>5529.0855089999995</v>
      </c>
      <c r="Q1437">
        <v>403</v>
      </c>
      <c r="R1437">
        <v>0</v>
      </c>
    </row>
    <row r="1438" spans="1:18" x14ac:dyDescent="0.25">
      <c r="A1438">
        <v>1437</v>
      </c>
      <c r="B1438">
        <v>94</v>
      </c>
      <c r="C1438">
        <v>31532508</v>
      </c>
      <c r="D1438" t="s">
        <v>390</v>
      </c>
      <c r="E1438">
        <v>27.288</v>
      </c>
      <c r="F1438" t="s">
        <v>21</v>
      </c>
      <c r="G1438" t="s">
        <v>26</v>
      </c>
      <c r="H1438" t="s">
        <v>19</v>
      </c>
      <c r="I1438">
        <v>189</v>
      </c>
      <c r="J1438" t="s">
        <v>20</v>
      </c>
      <c r="K1438" t="s">
        <v>22</v>
      </c>
      <c r="L1438" t="s">
        <v>60</v>
      </c>
      <c r="M1438" t="s">
        <v>335</v>
      </c>
      <c r="N1438">
        <v>40.365617</v>
      </c>
      <c r="O1438">
        <v>-111.555633</v>
      </c>
      <c r="P1438">
        <v>5176.1977829999996</v>
      </c>
      <c r="Q1438">
        <v>1386</v>
      </c>
      <c r="R1438">
        <v>0</v>
      </c>
    </row>
    <row r="1439" spans="1:18" x14ac:dyDescent="0.25">
      <c r="A1439">
        <v>1438</v>
      </c>
      <c r="B1439">
        <v>94</v>
      </c>
      <c r="C1439">
        <v>31476004</v>
      </c>
      <c r="D1439" t="s">
        <v>213</v>
      </c>
      <c r="E1439">
        <v>27.294</v>
      </c>
      <c r="F1439" t="s">
        <v>21</v>
      </c>
      <c r="G1439" t="s">
        <v>20</v>
      </c>
      <c r="H1439" t="s">
        <v>21</v>
      </c>
      <c r="I1439" t="s">
        <v>20</v>
      </c>
      <c r="J1439" t="s">
        <v>20</v>
      </c>
      <c r="K1439" t="s">
        <v>27</v>
      </c>
      <c r="L1439" t="s">
        <v>173</v>
      </c>
      <c r="M1439" t="s">
        <v>214</v>
      </c>
      <c r="N1439">
        <v>39.085771999999999</v>
      </c>
      <c r="O1439">
        <v>-113.562118</v>
      </c>
      <c r="P1439">
        <v>5284.8635789999998</v>
      </c>
      <c r="Q1439">
        <v>1332</v>
      </c>
      <c r="R1439">
        <v>0</v>
      </c>
    </row>
    <row r="1440" spans="1:18" x14ac:dyDescent="0.25">
      <c r="A1440">
        <v>1439</v>
      </c>
      <c r="B1440">
        <v>94</v>
      </c>
      <c r="C1440">
        <v>2614356</v>
      </c>
      <c r="D1440" t="s">
        <v>176</v>
      </c>
      <c r="E1440">
        <v>27.321000000000002</v>
      </c>
      <c r="F1440" t="s">
        <v>21</v>
      </c>
      <c r="G1440" t="s">
        <v>26</v>
      </c>
      <c r="H1440" t="s">
        <v>21</v>
      </c>
      <c r="I1440" t="s">
        <v>20</v>
      </c>
      <c r="J1440" t="s">
        <v>20</v>
      </c>
      <c r="K1440" t="s">
        <v>41</v>
      </c>
      <c r="L1440" t="s">
        <v>223</v>
      </c>
      <c r="M1440" t="s">
        <v>178</v>
      </c>
      <c r="N1440">
        <v>41.814109000000002</v>
      </c>
      <c r="O1440">
        <v>-112.145262</v>
      </c>
      <c r="P1440">
        <v>4321.7143470000001</v>
      </c>
      <c r="Q1440">
        <v>1329</v>
      </c>
      <c r="R1440">
        <v>0</v>
      </c>
    </row>
    <row r="1441" spans="1:18" x14ac:dyDescent="0.25">
      <c r="A1441">
        <v>1440</v>
      </c>
      <c r="B1441">
        <v>94</v>
      </c>
      <c r="C1441">
        <v>31439365</v>
      </c>
      <c r="D1441" t="s">
        <v>319</v>
      </c>
      <c r="E1441">
        <v>27.324000000000002</v>
      </c>
      <c r="F1441" t="s">
        <v>21</v>
      </c>
      <c r="G1441" t="s">
        <v>20</v>
      </c>
      <c r="H1441" t="s">
        <v>21</v>
      </c>
      <c r="I1441" t="s">
        <v>20</v>
      </c>
      <c r="J1441" t="s">
        <v>20</v>
      </c>
      <c r="K1441" t="s">
        <v>27</v>
      </c>
      <c r="L1441" t="s">
        <v>162</v>
      </c>
      <c r="M1441" t="s">
        <v>55</v>
      </c>
      <c r="N1441">
        <v>37.696240000000003</v>
      </c>
      <c r="O1441">
        <v>-113.619398</v>
      </c>
      <c r="P1441">
        <v>5104.4447929999997</v>
      </c>
      <c r="Q1441">
        <v>314</v>
      </c>
      <c r="R1441">
        <v>0</v>
      </c>
    </row>
    <row r="1442" spans="1:18" x14ac:dyDescent="0.25">
      <c r="A1442">
        <v>1441</v>
      </c>
      <c r="B1442">
        <v>94</v>
      </c>
      <c r="C1442" t="e">
        <f>-JMTAUz0Ir9hcIrtCUocbV</f>
        <v>#NAME?</v>
      </c>
      <c r="D1442" t="s">
        <v>308</v>
      </c>
      <c r="E1442">
        <v>27.331</v>
      </c>
      <c r="F1442" t="s">
        <v>21</v>
      </c>
      <c r="G1442" t="s">
        <v>26</v>
      </c>
      <c r="H1442" t="s">
        <v>21</v>
      </c>
      <c r="I1442" t="s">
        <v>20</v>
      </c>
      <c r="J1442" t="s">
        <v>20</v>
      </c>
      <c r="K1442" t="s">
        <v>27</v>
      </c>
      <c r="L1442" t="s">
        <v>111</v>
      </c>
      <c r="M1442" t="s">
        <v>82</v>
      </c>
      <c r="N1442">
        <v>39.538187999999998</v>
      </c>
      <c r="O1442">
        <v>-111.160241</v>
      </c>
      <c r="P1442">
        <v>7966.4555419999997</v>
      </c>
      <c r="Q1442">
        <v>1344</v>
      </c>
      <c r="R1442">
        <v>0</v>
      </c>
    </row>
    <row r="1443" spans="1:18" x14ac:dyDescent="0.25">
      <c r="A1443">
        <v>1442</v>
      </c>
      <c r="B1443">
        <v>94</v>
      </c>
      <c r="C1443">
        <v>31771039</v>
      </c>
      <c r="D1443" t="s">
        <v>353</v>
      </c>
      <c r="E1443">
        <v>27.337</v>
      </c>
      <c r="F1443" t="s">
        <v>21</v>
      </c>
      <c r="G1443" t="s">
        <v>26</v>
      </c>
      <c r="H1443" t="s">
        <v>21</v>
      </c>
      <c r="I1443" t="s">
        <v>20</v>
      </c>
      <c r="J1443" t="s">
        <v>20</v>
      </c>
      <c r="K1443" t="s">
        <v>31</v>
      </c>
      <c r="L1443" t="s">
        <v>433</v>
      </c>
      <c r="M1443" t="s">
        <v>138</v>
      </c>
      <c r="N1443">
        <v>41.019983000000003</v>
      </c>
      <c r="O1443">
        <v>-111.502386</v>
      </c>
      <c r="P1443">
        <v>5294.2551370000001</v>
      </c>
      <c r="Q1443">
        <v>1367</v>
      </c>
      <c r="R1443">
        <v>0</v>
      </c>
    </row>
    <row r="1444" spans="1:18" x14ac:dyDescent="0.25">
      <c r="A1444">
        <v>1443</v>
      </c>
      <c r="B1444">
        <v>94</v>
      </c>
      <c r="C1444">
        <v>518742</v>
      </c>
      <c r="D1444" t="s">
        <v>434</v>
      </c>
      <c r="E1444">
        <v>2.8149999999999999</v>
      </c>
      <c r="F1444" t="s">
        <v>19</v>
      </c>
      <c r="G1444" t="s">
        <v>20</v>
      </c>
      <c r="H1444" t="s">
        <v>21</v>
      </c>
      <c r="I1444" t="s">
        <v>20</v>
      </c>
      <c r="J1444" t="s">
        <v>20</v>
      </c>
      <c r="K1444" t="s">
        <v>31</v>
      </c>
      <c r="L1444" t="s">
        <v>32</v>
      </c>
      <c r="M1444" t="s">
        <v>70</v>
      </c>
      <c r="N1444">
        <v>40.634658000000002</v>
      </c>
      <c r="O1444">
        <v>-111.83428000000001</v>
      </c>
      <c r="P1444">
        <v>4399.185477</v>
      </c>
      <c r="Q1444">
        <v>1424</v>
      </c>
      <c r="R1444">
        <v>0</v>
      </c>
    </row>
    <row r="1445" spans="1:18" x14ac:dyDescent="0.25">
      <c r="A1445">
        <v>1444</v>
      </c>
      <c r="B1445">
        <v>94</v>
      </c>
      <c r="C1445">
        <v>31310921</v>
      </c>
      <c r="D1445" t="s">
        <v>215</v>
      </c>
      <c r="E1445">
        <v>2.8180000000000001</v>
      </c>
      <c r="F1445" t="s">
        <v>21</v>
      </c>
      <c r="G1445" t="s">
        <v>26</v>
      </c>
      <c r="H1445" t="s">
        <v>21</v>
      </c>
      <c r="I1445" t="s">
        <v>20</v>
      </c>
      <c r="J1445" t="s">
        <v>20</v>
      </c>
      <c r="K1445" t="s">
        <v>22</v>
      </c>
      <c r="L1445" t="s">
        <v>23</v>
      </c>
      <c r="M1445" t="s">
        <v>85</v>
      </c>
      <c r="N1445">
        <v>40.250003</v>
      </c>
      <c r="O1445">
        <v>-111.703356</v>
      </c>
      <c r="P1445">
        <v>4477.2594719999997</v>
      </c>
      <c r="Q1445">
        <v>330</v>
      </c>
      <c r="R1445">
        <v>0</v>
      </c>
    </row>
    <row r="1446" spans="1:18" x14ac:dyDescent="0.25">
      <c r="A1446">
        <v>1445</v>
      </c>
      <c r="B1446">
        <v>94</v>
      </c>
      <c r="C1446">
        <v>528742</v>
      </c>
      <c r="D1446" t="s">
        <v>135</v>
      </c>
      <c r="E1446">
        <v>2.8180000000000001</v>
      </c>
      <c r="F1446" t="s">
        <v>21</v>
      </c>
      <c r="G1446" t="s">
        <v>20</v>
      </c>
      <c r="H1446" t="s">
        <v>21</v>
      </c>
      <c r="I1446" t="s">
        <v>20</v>
      </c>
      <c r="J1446" t="s">
        <v>20</v>
      </c>
      <c r="K1446" t="s">
        <v>31</v>
      </c>
      <c r="L1446" t="s">
        <v>89</v>
      </c>
      <c r="M1446" t="s">
        <v>49</v>
      </c>
      <c r="N1446">
        <v>40.561186999999997</v>
      </c>
      <c r="O1446">
        <v>-111.923131</v>
      </c>
      <c r="P1446">
        <v>4344.8096379999997</v>
      </c>
      <c r="Q1446">
        <v>1423</v>
      </c>
      <c r="R1446">
        <v>0</v>
      </c>
    </row>
    <row r="1447" spans="1:18" x14ac:dyDescent="0.25">
      <c r="A1447">
        <v>1446</v>
      </c>
      <c r="B1447">
        <v>94</v>
      </c>
      <c r="C1447">
        <v>31690319</v>
      </c>
      <c r="D1447" t="s">
        <v>213</v>
      </c>
      <c r="E1447">
        <v>233.488</v>
      </c>
      <c r="F1447" t="s">
        <v>21</v>
      </c>
      <c r="G1447" t="s">
        <v>20</v>
      </c>
      <c r="H1447" t="s">
        <v>21</v>
      </c>
      <c r="I1447" t="s">
        <v>20</v>
      </c>
      <c r="J1447" t="s">
        <v>20</v>
      </c>
      <c r="K1447" t="s">
        <v>27</v>
      </c>
      <c r="L1447" t="s">
        <v>307</v>
      </c>
      <c r="M1447" t="s">
        <v>190</v>
      </c>
      <c r="N1447">
        <v>39.680574</v>
      </c>
      <c r="O1447">
        <v>-110.85976599999999</v>
      </c>
      <c r="P1447">
        <v>5748.8704809999999</v>
      </c>
      <c r="Q1447">
        <v>1332</v>
      </c>
      <c r="R1447">
        <v>0</v>
      </c>
    </row>
    <row r="1448" spans="1:18" x14ac:dyDescent="0.25">
      <c r="A1448">
        <v>1447</v>
      </c>
      <c r="B1448">
        <v>94</v>
      </c>
      <c r="C1448" t="e">
        <f>-IoM9Q9YIHaHyDBiX7hSAV</f>
        <v>#NAME?</v>
      </c>
      <c r="D1448" t="s">
        <v>272</v>
      </c>
      <c r="E1448">
        <v>233.56800000000001</v>
      </c>
      <c r="F1448" t="s">
        <v>21</v>
      </c>
      <c r="G1448" t="s">
        <v>26</v>
      </c>
      <c r="H1448" t="s">
        <v>21</v>
      </c>
      <c r="I1448" t="s">
        <v>20</v>
      </c>
      <c r="J1448" t="s">
        <v>20</v>
      </c>
      <c r="K1448" t="s">
        <v>27</v>
      </c>
      <c r="L1448" t="s">
        <v>350</v>
      </c>
      <c r="M1448" t="s">
        <v>174</v>
      </c>
      <c r="N1448">
        <v>39.045977999999998</v>
      </c>
      <c r="O1448">
        <v>-111.824988</v>
      </c>
      <c r="P1448">
        <v>5107.6697130000002</v>
      </c>
      <c r="Q1448">
        <v>1384</v>
      </c>
      <c r="R1448">
        <v>0</v>
      </c>
    </row>
    <row r="1449" spans="1:18" x14ac:dyDescent="0.25">
      <c r="A1449">
        <v>1448</v>
      </c>
      <c r="B1449">
        <v>94</v>
      </c>
      <c r="C1449">
        <v>31690852</v>
      </c>
      <c r="D1449" t="s">
        <v>213</v>
      </c>
      <c r="E1449">
        <v>234.09</v>
      </c>
      <c r="F1449" t="s">
        <v>21</v>
      </c>
      <c r="G1449" t="s">
        <v>20</v>
      </c>
      <c r="H1449" t="s">
        <v>21</v>
      </c>
      <c r="I1449" t="s">
        <v>20</v>
      </c>
      <c r="J1449" t="s">
        <v>20</v>
      </c>
      <c r="K1449" t="s">
        <v>27</v>
      </c>
      <c r="L1449" t="s">
        <v>307</v>
      </c>
      <c r="M1449" t="s">
        <v>190</v>
      </c>
      <c r="N1449">
        <v>39.671976000000001</v>
      </c>
      <c r="O1449">
        <v>-110.861589</v>
      </c>
      <c r="P1449">
        <v>5711.1138460000002</v>
      </c>
      <c r="Q1449">
        <v>1332</v>
      </c>
      <c r="R1449">
        <v>0</v>
      </c>
    </row>
    <row r="1450" spans="1:18" x14ac:dyDescent="0.25">
      <c r="A1450">
        <v>1449</v>
      </c>
      <c r="B1450">
        <v>94</v>
      </c>
      <c r="C1450" t="e">
        <f>-IoM9ngiINyRJlMdd9U6mF</f>
        <v>#NAME?</v>
      </c>
      <c r="D1450" t="s">
        <v>272</v>
      </c>
      <c r="E1450">
        <v>234.22300000000001</v>
      </c>
      <c r="F1450" t="s">
        <v>21</v>
      </c>
      <c r="G1450" t="s">
        <v>26</v>
      </c>
      <c r="H1450" t="s">
        <v>21</v>
      </c>
      <c r="I1450" t="s">
        <v>20</v>
      </c>
      <c r="J1450" t="s">
        <v>20</v>
      </c>
      <c r="K1450" t="s">
        <v>27</v>
      </c>
      <c r="L1450" t="s">
        <v>350</v>
      </c>
      <c r="M1450" t="s">
        <v>174</v>
      </c>
      <c r="N1450">
        <v>39.055176000000003</v>
      </c>
      <c r="O1450">
        <v>-111.821799</v>
      </c>
      <c r="P1450">
        <v>5092.6825470000003</v>
      </c>
      <c r="Q1450">
        <v>1384</v>
      </c>
      <c r="R1450">
        <v>0</v>
      </c>
    </row>
    <row r="1451" spans="1:18" x14ac:dyDescent="0.25">
      <c r="A1451">
        <v>1450</v>
      </c>
      <c r="B1451">
        <v>94</v>
      </c>
      <c r="C1451" t="e">
        <f>-IoMA5FlGDiedwr3ODG_6V</f>
        <v>#NAME?</v>
      </c>
      <c r="D1451" t="s">
        <v>272</v>
      </c>
      <c r="E1451">
        <v>234.73099999999999</v>
      </c>
      <c r="F1451" t="s">
        <v>21</v>
      </c>
      <c r="G1451" t="s">
        <v>26</v>
      </c>
      <c r="H1451" t="s">
        <v>21</v>
      </c>
      <c r="I1451" t="s">
        <v>20</v>
      </c>
      <c r="J1451" t="s">
        <v>20</v>
      </c>
      <c r="K1451" t="s">
        <v>27</v>
      </c>
      <c r="L1451" t="s">
        <v>350</v>
      </c>
      <c r="M1451" t="s">
        <v>174</v>
      </c>
      <c r="N1451">
        <v>39.062480999999998</v>
      </c>
      <c r="O1451">
        <v>-111.82076600000001</v>
      </c>
      <c r="P1451">
        <v>5064.9328180000002</v>
      </c>
      <c r="Q1451">
        <v>1384</v>
      </c>
      <c r="R1451">
        <v>0</v>
      </c>
    </row>
    <row r="1452" spans="1:18" x14ac:dyDescent="0.25">
      <c r="A1452">
        <v>1451</v>
      </c>
      <c r="B1452">
        <v>94</v>
      </c>
      <c r="C1452" t="e">
        <f>-IoMAO8eH2DKLrW1gFjz8k</f>
        <v>#NAME?</v>
      </c>
      <c r="D1452" t="s">
        <v>272</v>
      </c>
      <c r="E1452">
        <v>235.22200000000001</v>
      </c>
      <c r="F1452" t="s">
        <v>21</v>
      </c>
      <c r="G1452" t="s">
        <v>26</v>
      </c>
      <c r="H1452" t="s">
        <v>21</v>
      </c>
      <c r="I1452" t="s">
        <v>20</v>
      </c>
      <c r="J1452" t="s">
        <v>20</v>
      </c>
      <c r="K1452" t="s">
        <v>27</v>
      </c>
      <c r="L1452" t="s">
        <v>350</v>
      </c>
      <c r="M1452" t="s">
        <v>174</v>
      </c>
      <c r="N1452">
        <v>39.06962</v>
      </c>
      <c r="O1452">
        <v>-111.82086200000001</v>
      </c>
      <c r="P1452">
        <v>5048.3167839999996</v>
      </c>
      <c r="Q1452">
        <v>1384</v>
      </c>
      <c r="R1452">
        <v>0</v>
      </c>
    </row>
    <row r="1453" spans="1:18" x14ac:dyDescent="0.25">
      <c r="A1453">
        <v>1452</v>
      </c>
      <c r="B1453">
        <v>94</v>
      </c>
      <c r="C1453">
        <v>31694512</v>
      </c>
      <c r="D1453" t="s">
        <v>213</v>
      </c>
      <c r="E1453">
        <v>235.44499999999999</v>
      </c>
      <c r="F1453" t="s">
        <v>21</v>
      </c>
      <c r="G1453" t="s">
        <v>26</v>
      </c>
      <c r="H1453" t="s">
        <v>21</v>
      </c>
      <c r="I1453" t="s">
        <v>20</v>
      </c>
      <c r="J1453" t="s">
        <v>20</v>
      </c>
      <c r="K1453" t="s">
        <v>27</v>
      </c>
      <c r="L1453" t="s">
        <v>307</v>
      </c>
      <c r="M1453" t="s">
        <v>190</v>
      </c>
      <c r="N1453">
        <v>39.652284000000002</v>
      </c>
      <c r="O1453">
        <v>-110.86032400000001</v>
      </c>
      <c r="P1453">
        <v>5678.0091890000003</v>
      </c>
      <c r="Q1453">
        <v>1332</v>
      </c>
      <c r="R1453">
        <v>0</v>
      </c>
    </row>
    <row r="1454" spans="1:18" x14ac:dyDescent="0.25">
      <c r="A1454">
        <v>1453</v>
      </c>
      <c r="B1454">
        <v>94</v>
      </c>
      <c r="C1454" t="e">
        <f>-IoMA_xRGl55c5m70nF_qV</f>
        <v>#NAME?</v>
      </c>
      <c r="D1454" t="s">
        <v>272</v>
      </c>
      <c r="E1454">
        <v>235.477</v>
      </c>
      <c r="F1454" t="s">
        <v>21</v>
      </c>
      <c r="G1454" t="s">
        <v>26</v>
      </c>
      <c r="H1454" t="s">
        <v>21</v>
      </c>
      <c r="I1454" t="s">
        <v>20</v>
      </c>
      <c r="J1454" t="s">
        <v>20</v>
      </c>
      <c r="K1454" t="s">
        <v>27</v>
      </c>
      <c r="L1454" t="s">
        <v>350</v>
      </c>
      <c r="M1454" t="s">
        <v>174</v>
      </c>
      <c r="N1454">
        <v>39.073341999999997</v>
      </c>
      <c r="O1454">
        <v>-111.82091200000001</v>
      </c>
      <c r="P1454">
        <v>5040.2754940000004</v>
      </c>
      <c r="Q1454">
        <v>1384</v>
      </c>
      <c r="R1454">
        <v>0</v>
      </c>
    </row>
    <row r="1455" spans="1:18" x14ac:dyDescent="0.25">
      <c r="A1455">
        <v>1454</v>
      </c>
      <c r="B1455">
        <v>94</v>
      </c>
      <c r="C1455" t="s">
        <v>435</v>
      </c>
      <c r="D1455" t="s">
        <v>272</v>
      </c>
      <c r="E1455">
        <v>235.72900000000001</v>
      </c>
      <c r="F1455" t="s">
        <v>21</v>
      </c>
      <c r="G1455" t="s">
        <v>26</v>
      </c>
      <c r="H1455" t="s">
        <v>21</v>
      </c>
      <c r="I1455" t="s">
        <v>20</v>
      </c>
      <c r="J1455" t="s">
        <v>20</v>
      </c>
      <c r="K1455" t="s">
        <v>27</v>
      </c>
      <c r="L1455" t="s">
        <v>350</v>
      </c>
      <c r="M1455" t="s">
        <v>174</v>
      </c>
      <c r="N1455">
        <v>39.076991</v>
      </c>
      <c r="O1455">
        <v>-111.820967</v>
      </c>
      <c r="P1455">
        <v>5038.4725879999996</v>
      </c>
      <c r="Q1455">
        <v>1384</v>
      </c>
      <c r="R1455">
        <v>0</v>
      </c>
    </row>
    <row r="1456" spans="1:18" x14ac:dyDescent="0.25">
      <c r="A1456">
        <v>1455</v>
      </c>
      <c r="B1456">
        <v>94</v>
      </c>
      <c r="C1456">
        <v>31398698</v>
      </c>
      <c r="D1456" t="s">
        <v>224</v>
      </c>
      <c r="E1456">
        <v>2.028</v>
      </c>
      <c r="F1456" t="s">
        <v>21</v>
      </c>
      <c r="G1456" t="s">
        <v>26</v>
      </c>
      <c r="H1456" t="s">
        <v>21</v>
      </c>
      <c r="I1456" t="s">
        <v>20</v>
      </c>
      <c r="J1456" t="s">
        <v>20</v>
      </c>
      <c r="K1456" t="s">
        <v>22</v>
      </c>
      <c r="L1456" t="s">
        <v>198</v>
      </c>
      <c r="M1456" t="s">
        <v>194</v>
      </c>
      <c r="N1456">
        <v>39.999645999999998</v>
      </c>
      <c r="O1456">
        <v>-111.751197</v>
      </c>
      <c r="P1456">
        <v>4677.0746079999999</v>
      </c>
      <c r="Q1456">
        <v>408</v>
      </c>
      <c r="R1456">
        <v>0</v>
      </c>
    </row>
    <row r="1457" spans="1:18" x14ac:dyDescent="0.25">
      <c r="A1457">
        <v>1456</v>
      </c>
      <c r="B1457">
        <v>94</v>
      </c>
      <c r="C1457">
        <v>31651962</v>
      </c>
      <c r="D1457" t="s">
        <v>436</v>
      </c>
      <c r="E1457">
        <v>2.028</v>
      </c>
      <c r="F1457" t="s">
        <v>21</v>
      </c>
      <c r="G1457" t="s">
        <v>26</v>
      </c>
      <c r="H1457" t="s">
        <v>19</v>
      </c>
      <c r="I1457">
        <v>191</v>
      </c>
      <c r="J1457" t="s">
        <v>20</v>
      </c>
      <c r="K1457" t="s">
        <v>22</v>
      </c>
      <c r="L1457" t="s">
        <v>234</v>
      </c>
      <c r="M1457" t="s">
        <v>98</v>
      </c>
      <c r="N1457">
        <v>40.533704</v>
      </c>
      <c r="O1457">
        <v>-109.52218499999999</v>
      </c>
      <c r="P1457">
        <v>5479.7253339999997</v>
      </c>
      <c r="Q1457">
        <v>441</v>
      </c>
      <c r="R1457">
        <v>0</v>
      </c>
    </row>
    <row r="1458" spans="1:18" x14ac:dyDescent="0.25">
      <c r="A1458">
        <v>1457</v>
      </c>
      <c r="B1458">
        <v>94</v>
      </c>
      <c r="C1458">
        <v>1374060</v>
      </c>
      <c r="D1458" t="s">
        <v>437</v>
      </c>
      <c r="E1458">
        <v>2.028</v>
      </c>
      <c r="F1458" t="s">
        <v>21</v>
      </c>
      <c r="G1458" t="s">
        <v>26</v>
      </c>
      <c r="H1458" t="s">
        <v>21</v>
      </c>
      <c r="I1458" t="s">
        <v>20</v>
      </c>
      <c r="J1458" t="s">
        <v>20</v>
      </c>
      <c r="K1458" t="s">
        <v>41</v>
      </c>
      <c r="L1458" t="s">
        <v>223</v>
      </c>
      <c r="M1458" t="s">
        <v>43</v>
      </c>
      <c r="N1458">
        <v>41.808010000000003</v>
      </c>
      <c r="O1458">
        <v>-112.11598499999999</v>
      </c>
      <c r="P1458">
        <v>4324.7438060000004</v>
      </c>
      <c r="Q1458">
        <v>1378</v>
      </c>
      <c r="R1458">
        <v>0</v>
      </c>
    </row>
    <row r="1459" spans="1:18" x14ac:dyDescent="0.25">
      <c r="A1459">
        <v>1458</v>
      </c>
      <c r="B1459">
        <v>94</v>
      </c>
      <c r="C1459">
        <v>31474843</v>
      </c>
      <c r="D1459" t="s">
        <v>244</v>
      </c>
      <c r="E1459">
        <v>2.0299999999999998</v>
      </c>
      <c r="F1459" t="s">
        <v>21</v>
      </c>
      <c r="G1459" t="s">
        <v>26</v>
      </c>
      <c r="H1459" t="s">
        <v>21</v>
      </c>
      <c r="I1459" t="s">
        <v>20</v>
      </c>
      <c r="J1459" t="s">
        <v>20</v>
      </c>
      <c r="K1459" t="s">
        <v>27</v>
      </c>
      <c r="L1459" t="s">
        <v>183</v>
      </c>
      <c r="M1459" t="s">
        <v>58</v>
      </c>
      <c r="N1459">
        <v>38.934075</v>
      </c>
      <c r="O1459">
        <v>-111.897929</v>
      </c>
      <c r="P1459">
        <v>5087.3399310000004</v>
      </c>
      <c r="Q1459">
        <v>1340</v>
      </c>
      <c r="R1459">
        <v>0</v>
      </c>
    </row>
    <row r="1460" spans="1:18" x14ac:dyDescent="0.25">
      <c r="A1460">
        <v>1459</v>
      </c>
      <c r="B1460">
        <v>94</v>
      </c>
      <c r="C1460">
        <v>533867</v>
      </c>
      <c r="D1460" t="s">
        <v>47</v>
      </c>
      <c r="E1460">
        <v>2.0339999999999998</v>
      </c>
      <c r="F1460" t="s">
        <v>21</v>
      </c>
      <c r="G1460" t="s">
        <v>26</v>
      </c>
      <c r="H1460" t="s">
        <v>21</v>
      </c>
      <c r="I1460" t="s">
        <v>20</v>
      </c>
      <c r="J1460" t="s">
        <v>20</v>
      </c>
      <c r="K1460" t="s">
        <v>31</v>
      </c>
      <c r="L1460" t="s">
        <v>48</v>
      </c>
      <c r="M1460" t="s">
        <v>49</v>
      </c>
      <c r="N1460">
        <v>40.544155000000003</v>
      </c>
      <c r="O1460">
        <v>-111.945133</v>
      </c>
      <c r="P1460">
        <v>4407.2708169999996</v>
      </c>
      <c r="Q1460">
        <v>6715</v>
      </c>
      <c r="R1460">
        <v>0</v>
      </c>
    </row>
    <row r="1461" spans="1:18" x14ac:dyDescent="0.25">
      <c r="A1461">
        <v>1460</v>
      </c>
      <c r="B1461">
        <v>94</v>
      </c>
      <c r="C1461">
        <v>27647250</v>
      </c>
      <c r="D1461" t="s">
        <v>196</v>
      </c>
      <c r="E1461">
        <v>2.0350000000000001</v>
      </c>
      <c r="F1461" t="s">
        <v>19</v>
      </c>
      <c r="G1461" t="s">
        <v>20</v>
      </c>
      <c r="H1461" t="s">
        <v>21</v>
      </c>
      <c r="I1461" t="s">
        <v>20</v>
      </c>
      <c r="J1461" t="s">
        <v>20</v>
      </c>
      <c r="K1461" t="s">
        <v>27</v>
      </c>
      <c r="L1461" t="s">
        <v>72</v>
      </c>
      <c r="M1461" t="s">
        <v>73</v>
      </c>
      <c r="N1461">
        <v>37.109746999999999</v>
      </c>
      <c r="O1461">
        <v>-113.55670000000001</v>
      </c>
      <c r="P1461">
        <v>2738.3452149999998</v>
      </c>
      <c r="Q1461">
        <v>308</v>
      </c>
      <c r="R1461">
        <v>0</v>
      </c>
    </row>
    <row r="1462" spans="1:18" x14ac:dyDescent="0.25">
      <c r="A1462">
        <v>1461</v>
      </c>
      <c r="B1462">
        <v>94</v>
      </c>
      <c r="C1462">
        <v>31486968</v>
      </c>
      <c r="D1462" t="s">
        <v>164</v>
      </c>
      <c r="E1462">
        <v>2.036</v>
      </c>
      <c r="F1462" t="s">
        <v>21</v>
      </c>
      <c r="G1462" t="s">
        <v>26</v>
      </c>
      <c r="H1462" t="s">
        <v>21</v>
      </c>
      <c r="I1462" t="s">
        <v>20</v>
      </c>
      <c r="J1462" t="s">
        <v>20</v>
      </c>
      <c r="K1462" t="s">
        <v>27</v>
      </c>
      <c r="L1462" t="s">
        <v>165</v>
      </c>
      <c r="M1462" t="s">
        <v>166</v>
      </c>
      <c r="N1462">
        <v>38.962378000000001</v>
      </c>
      <c r="O1462">
        <v>-112.323646</v>
      </c>
      <c r="P1462">
        <v>5090.6968919999999</v>
      </c>
      <c r="Q1462">
        <v>1390</v>
      </c>
      <c r="R1462">
        <v>0</v>
      </c>
    </row>
    <row r="1463" spans="1:18" x14ac:dyDescent="0.25">
      <c r="A1463">
        <v>1462</v>
      </c>
      <c r="B1463">
        <v>94</v>
      </c>
      <c r="C1463" t="e">
        <f>-IoMDCJuH3XUZOBd5S9-HF</f>
        <v>#NAME?</v>
      </c>
      <c r="D1463" t="s">
        <v>272</v>
      </c>
      <c r="E1463">
        <v>238.11</v>
      </c>
      <c r="F1463" t="s">
        <v>21</v>
      </c>
      <c r="G1463" t="s">
        <v>26</v>
      </c>
      <c r="H1463" t="s">
        <v>21</v>
      </c>
      <c r="I1463" t="s">
        <v>20</v>
      </c>
      <c r="J1463" t="s">
        <v>20</v>
      </c>
      <c r="K1463" t="s">
        <v>27</v>
      </c>
      <c r="L1463" t="s">
        <v>350</v>
      </c>
      <c r="M1463" t="s">
        <v>174</v>
      </c>
      <c r="N1463">
        <v>39.111595999999999</v>
      </c>
      <c r="O1463">
        <v>-111.819586</v>
      </c>
      <c r="P1463">
        <v>5048.8992550000003</v>
      </c>
      <c r="Q1463">
        <v>1384</v>
      </c>
      <c r="R1463">
        <v>0</v>
      </c>
    </row>
    <row r="1464" spans="1:18" x14ac:dyDescent="0.25">
      <c r="A1464">
        <v>1463</v>
      </c>
      <c r="B1464">
        <v>94</v>
      </c>
      <c r="C1464" t="e">
        <f>-IoMDVmoGl1cvO4l6Zyuhk</f>
        <v>#NAME?</v>
      </c>
      <c r="D1464" t="s">
        <v>272</v>
      </c>
      <c r="E1464">
        <v>238.364</v>
      </c>
      <c r="F1464" t="s">
        <v>21</v>
      </c>
      <c r="G1464" t="s">
        <v>20</v>
      </c>
      <c r="H1464" t="s">
        <v>21</v>
      </c>
      <c r="I1464" t="s">
        <v>20</v>
      </c>
      <c r="J1464" t="s">
        <v>20</v>
      </c>
      <c r="K1464" t="s">
        <v>27</v>
      </c>
      <c r="L1464" t="s">
        <v>350</v>
      </c>
      <c r="M1464" t="s">
        <v>174</v>
      </c>
      <c r="N1464">
        <v>39.115310999999998</v>
      </c>
      <c r="O1464">
        <v>-111.81950000000001</v>
      </c>
      <c r="P1464">
        <v>5043.7513090000002</v>
      </c>
      <c r="Q1464">
        <v>1384</v>
      </c>
      <c r="R1464">
        <v>0</v>
      </c>
    </row>
    <row r="1465" spans="1:18" x14ac:dyDescent="0.25">
      <c r="A1465">
        <v>1464</v>
      </c>
      <c r="B1465">
        <v>94</v>
      </c>
      <c r="C1465" t="s">
        <v>438</v>
      </c>
      <c r="D1465" t="s">
        <v>272</v>
      </c>
      <c r="E1465">
        <v>238.62</v>
      </c>
      <c r="F1465" t="s">
        <v>21</v>
      </c>
      <c r="G1465" t="s">
        <v>26</v>
      </c>
      <c r="H1465" t="s">
        <v>21</v>
      </c>
      <c r="I1465" t="s">
        <v>20</v>
      </c>
      <c r="J1465" t="s">
        <v>20</v>
      </c>
      <c r="K1465" t="s">
        <v>27</v>
      </c>
      <c r="L1465" t="s">
        <v>350</v>
      </c>
      <c r="M1465" t="s">
        <v>174</v>
      </c>
      <c r="N1465">
        <v>39.119022000000001</v>
      </c>
      <c r="O1465">
        <v>-111.81940899999999</v>
      </c>
      <c r="P1465">
        <v>5038.9304240000001</v>
      </c>
      <c r="Q1465">
        <v>1384</v>
      </c>
      <c r="R1465">
        <v>0</v>
      </c>
    </row>
    <row r="1466" spans="1:18" x14ac:dyDescent="0.25">
      <c r="A1466">
        <v>1465</v>
      </c>
      <c r="B1466">
        <v>94</v>
      </c>
      <c r="C1466" t="s">
        <v>439</v>
      </c>
      <c r="D1466" t="s">
        <v>272</v>
      </c>
      <c r="E1466">
        <v>238.75700000000001</v>
      </c>
      <c r="F1466" t="s">
        <v>21</v>
      </c>
      <c r="G1466" t="s">
        <v>26</v>
      </c>
      <c r="H1466" t="s">
        <v>21</v>
      </c>
      <c r="I1466" t="s">
        <v>20</v>
      </c>
      <c r="J1466" t="s">
        <v>20</v>
      </c>
      <c r="K1466" t="s">
        <v>27</v>
      </c>
      <c r="L1466" t="s">
        <v>350</v>
      </c>
      <c r="M1466" t="s">
        <v>174</v>
      </c>
      <c r="N1466">
        <v>39.121012</v>
      </c>
      <c r="O1466">
        <v>-111.81937000000001</v>
      </c>
      <c r="P1466">
        <v>5037.0309219999999</v>
      </c>
      <c r="Q1466">
        <v>1384</v>
      </c>
      <c r="R1466">
        <v>0</v>
      </c>
    </row>
    <row r="1467" spans="1:18" x14ac:dyDescent="0.25">
      <c r="A1467">
        <v>1466</v>
      </c>
      <c r="B1467">
        <v>94</v>
      </c>
      <c r="C1467" t="e">
        <f>-IoME3XVH4u43jUsZ_61YV</f>
        <v>#NAME?</v>
      </c>
      <c r="D1467" t="s">
        <v>272</v>
      </c>
      <c r="E1467">
        <v>238.88200000000001</v>
      </c>
      <c r="F1467" t="s">
        <v>21</v>
      </c>
      <c r="G1467" t="s">
        <v>26</v>
      </c>
      <c r="H1467" t="s">
        <v>21</v>
      </c>
      <c r="I1467" t="s">
        <v>20</v>
      </c>
      <c r="J1467" t="s">
        <v>20</v>
      </c>
      <c r="K1467" t="s">
        <v>27</v>
      </c>
      <c r="L1467" t="s">
        <v>350</v>
      </c>
      <c r="M1467" t="s">
        <v>174</v>
      </c>
      <c r="N1467">
        <v>39.122841999999999</v>
      </c>
      <c r="O1467">
        <v>-111.819332</v>
      </c>
      <c r="P1467">
        <v>5036.3238600000004</v>
      </c>
      <c r="Q1467">
        <v>1384</v>
      </c>
      <c r="R1467">
        <v>0</v>
      </c>
    </row>
    <row r="1468" spans="1:18" x14ac:dyDescent="0.25">
      <c r="A1468">
        <v>1467</v>
      </c>
      <c r="B1468">
        <v>94</v>
      </c>
      <c r="C1468" t="e">
        <f>-IoMENEeFA5hdubRQu54Yk</f>
        <v>#NAME?</v>
      </c>
      <c r="D1468" t="s">
        <v>272</v>
      </c>
      <c r="E1468">
        <v>239.01400000000001</v>
      </c>
      <c r="F1468" t="s">
        <v>21</v>
      </c>
      <c r="G1468" t="s">
        <v>26</v>
      </c>
      <c r="H1468" t="s">
        <v>21</v>
      </c>
      <c r="I1468" t="s">
        <v>20</v>
      </c>
      <c r="J1468" t="s">
        <v>20</v>
      </c>
      <c r="K1468" t="s">
        <v>27</v>
      </c>
      <c r="L1468" t="s">
        <v>350</v>
      </c>
      <c r="M1468" t="s">
        <v>174</v>
      </c>
      <c r="N1468">
        <v>39.124757000000002</v>
      </c>
      <c r="O1468">
        <v>-111.81929</v>
      </c>
      <c r="P1468">
        <v>5035.0585849999998</v>
      </c>
      <c r="Q1468">
        <v>1384</v>
      </c>
      <c r="R1468">
        <v>0</v>
      </c>
    </row>
    <row r="1469" spans="1:18" x14ac:dyDescent="0.25">
      <c r="A1469">
        <v>1468</v>
      </c>
      <c r="B1469">
        <v>94</v>
      </c>
      <c r="C1469" t="e">
        <f>-IoMEYegGFP52PFPaJM3CF</f>
        <v>#NAME?</v>
      </c>
      <c r="D1469" t="s">
        <v>272</v>
      </c>
      <c r="E1469">
        <v>239.14500000000001</v>
      </c>
      <c r="F1469" t="s">
        <v>21</v>
      </c>
      <c r="G1469" t="s">
        <v>26</v>
      </c>
      <c r="H1469" t="s">
        <v>21</v>
      </c>
      <c r="I1469" t="s">
        <v>20</v>
      </c>
      <c r="J1469" t="s">
        <v>20</v>
      </c>
      <c r="K1469" t="s">
        <v>27</v>
      </c>
      <c r="L1469" t="s">
        <v>350</v>
      </c>
      <c r="M1469" t="s">
        <v>174</v>
      </c>
      <c r="N1469">
        <v>39.126660999999999</v>
      </c>
      <c r="O1469">
        <v>-111.819247</v>
      </c>
      <c r="P1469">
        <v>5036.5838590000003</v>
      </c>
      <c r="Q1469">
        <v>1384</v>
      </c>
      <c r="R1469">
        <v>0</v>
      </c>
    </row>
    <row r="1470" spans="1:18" x14ac:dyDescent="0.25">
      <c r="A1470">
        <v>1469</v>
      </c>
      <c r="B1470">
        <v>94</v>
      </c>
      <c r="C1470" t="s">
        <v>440</v>
      </c>
      <c r="D1470" t="s">
        <v>272</v>
      </c>
      <c r="E1470">
        <v>239.27500000000001</v>
      </c>
      <c r="F1470" t="s">
        <v>21</v>
      </c>
      <c r="G1470" t="s">
        <v>26</v>
      </c>
      <c r="H1470" t="s">
        <v>21</v>
      </c>
      <c r="I1470" t="s">
        <v>20</v>
      </c>
      <c r="J1470" t="s">
        <v>20</v>
      </c>
      <c r="K1470" t="s">
        <v>27</v>
      </c>
      <c r="L1470" t="s">
        <v>350</v>
      </c>
      <c r="M1470" t="s">
        <v>174</v>
      </c>
      <c r="N1470">
        <v>39.128548000000002</v>
      </c>
      <c r="O1470">
        <v>-111.81919499999999</v>
      </c>
      <c r="P1470">
        <v>5036.235412</v>
      </c>
      <c r="Q1470">
        <v>1384</v>
      </c>
      <c r="R1470">
        <v>0</v>
      </c>
    </row>
    <row r="1471" spans="1:18" x14ac:dyDescent="0.25">
      <c r="A1471">
        <v>1470</v>
      </c>
      <c r="B1471">
        <v>94</v>
      </c>
      <c r="C1471" t="e">
        <f>-IoMEqZ4GZqI1chIMqsiaV</f>
        <v>#NAME?</v>
      </c>
      <c r="D1471" t="s">
        <v>272</v>
      </c>
      <c r="E1471">
        <v>239.40700000000001</v>
      </c>
      <c r="F1471" t="s">
        <v>21</v>
      </c>
      <c r="G1471" t="s">
        <v>26</v>
      </c>
      <c r="H1471" t="s">
        <v>21</v>
      </c>
      <c r="I1471" t="s">
        <v>20</v>
      </c>
      <c r="J1471" t="s">
        <v>20</v>
      </c>
      <c r="K1471" t="s">
        <v>27</v>
      </c>
      <c r="L1471" t="s">
        <v>350</v>
      </c>
      <c r="M1471" t="s">
        <v>174</v>
      </c>
      <c r="N1471">
        <v>39.130468999999998</v>
      </c>
      <c r="O1471">
        <v>-111.819157</v>
      </c>
      <c r="P1471">
        <v>5038.3744020000004</v>
      </c>
      <c r="Q1471">
        <v>1384</v>
      </c>
      <c r="R1471">
        <v>0</v>
      </c>
    </row>
    <row r="1472" spans="1:18" x14ac:dyDescent="0.25">
      <c r="A1472">
        <v>1471</v>
      </c>
      <c r="B1472">
        <v>94</v>
      </c>
      <c r="C1472">
        <v>31739795</v>
      </c>
      <c r="D1472" t="s">
        <v>290</v>
      </c>
      <c r="E1472">
        <v>24.77</v>
      </c>
      <c r="F1472" t="s">
        <v>21</v>
      </c>
      <c r="G1472" t="s">
        <v>20</v>
      </c>
      <c r="H1472" t="s">
        <v>21</v>
      </c>
      <c r="I1472" t="s">
        <v>20</v>
      </c>
      <c r="J1472" t="s">
        <v>20</v>
      </c>
      <c r="K1472" t="s">
        <v>41</v>
      </c>
      <c r="L1472" t="s">
        <v>291</v>
      </c>
      <c r="M1472" t="s">
        <v>238</v>
      </c>
      <c r="N1472">
        <v>41.496654999999997</v>
      </c>
      <c r="O1472">
        <v>-113.612155</v>
      </c>
      <c r="P1472">
        <v>4655.6950100000004</v>
      </c>
      <c r="Q1472">
        <v>1343</v>
      </c>
      <c r="R1472">
        <v>0</v>
      </c>
    </row>
    <row r="1473" spans="1:18" x14ac:dyDescent="0.25">
      <c r="A1473">
        <v>1472</v>
      </c>
      <c r="B1473">
        <v>94</v>
      </c>
      <c r="C1473">
        <v>31676233</v>
      </c>
      <c r="D1473" t="s">
        <v>217</v>
      </c>
      <c r="E1473">
        <v>24.785</v>
      </c>
      <c r="F1473" t="s">
        <v>21</v>
      </c>
      <c r="G1473" t="s">
        <v>20</v>
      </c>
      <c r="H1473" t="s">
        <v>21</v>
      </c>
      <c r="I1473" t="s">
        <v>20</v>
      </c>
      <c r="J1473" t="s">
        <v>20</v>
      </c>
      <c r="K1473" t="s">
        <v>27</v>
      </c>
      <c r="L1473" t="s">
        <v>162</v>
      </c>
      <c r="M1473" t="s">
        <v>163</v>
      </c>
      <c r="N1473">
        <v>37.391057000000004</v>
      </c>
      <c r="O1473">
        <v>-113.647149</v>
      </c>
      <c r="P1473">
        <v>5039.543584</v>
      </c>
      <c r="Q1473">
        <v>304</v>
      </c>
      <c r="R1473">
        <v>0</v>
      </c>
    </row>
    <row r="1474" spans="1:18" x14ac:dyDescent="0.25">
      <c r="A1474">
        <v>1473</v>
      </c>
      <c r="B1474">
        <v>94</v>
      </c>
      <c r="C1474">
        <v>31284329</v>
      </c>
      <c r="D1474" t="s">
        <v>288</v>
      </c>
      <c r="E1474">
        <v>24.789000000000001</v>
      </c>
      <c r="F1474" t="s">
        <v>21</v>
      </c>
      <c r="G1474" t="s">
        <v>26</v>
      </c>
      <c r="H1474" t="s">
        <v>21</v>
      </c>
      <c r="I1474" t="s">
        <v>20</v>
      </c>
      <c r="J1474" t="s">
        <v>20</v>
      </c>
      <c r="K1474" t="s">
        <v>27</v>
      </c>
      <c r="L1474" t="s">
        <v>211</v>
      </c>
      <c r="M1474" t="s">
        <v>318</v>
      </c>
      <c r="N1474">
        <v>37.281691000000002</v>
      </c>
      <c r="O1474">
        <v>-109.56521600000001</v>
      </c>
      <c r="P1474">
        <v>4257.6443559999998</v>
      </c>
      <c r="Q1474">
        <v>350</v>
      </c>
      <c r="R1474">
        <v>0</v>
      </c>
    </row>
    <row r="1475" spans="1:18" x14ac:dyDescent="0.25">
      <c r="A1475">
        <v>1474</v>
      </c>
      <c r="B1475">
        <v>94</v>
      </c>
      <c r="C1475">
        <v>31435222</v>
      </c>
      <c r="D1475" t="s">
        <v>319</v>
      </c>
      <c r="E1475">
        <v>24.806999999999999</v>
      </c>
      <c r="F1475" t="s">
        <v>21</v>
      </c>
      <c r="G1475" t="s">
        <v>26</v>
      </c>
      <c r="H1475" t="s">
        <v>21</v>
      </c>
      <c r="I1475" t="s">
        <v>20</v>
      </c>
      <c r="J1475" t="s">
        <v>20</v>
      </c>
      <c r="K1475" t="s">
        <v>27</v>
      </c>
      <c r="L1475" t="s">
        <v>162</v>
      </c>
      <c r="M1475" t="s">
        <v>55</v>
      </c>
      <c r="N1475">
        <v>37.711281</v>
      </c>
      <c r="O1475">
        <v>-113.66123</v>
      </c>
      <c r="P1475">
        <v>5102.9391009999999</v>
      </c>
      <c r="Q1475">
        <v>314</v>
      </c>
      <c r="R1475">
        <v>0</v>
      </c>
    </row>
    <row r="1476" spans="1:18" x14ac:dyDescent="0.25">
      <c r="A1476">
        <v>1475</v>
      </c>
      <c r="B1476">
        <v>94</v>
      </c>
      <c r="C1476">
        <v>27877607</v>
      </c>
      <c r="D1476" t="s">
        <v>245</v>
      </c>
      <c r="E1476">
        <v>24.817</v>
      </c>
      <c r="F1476" t="s">
        <v>21</v>
      </c>
      <c r="G1476" t="s">
        <v>26</v>
      </c>
      <c r="H1476" t="s">
        <v>21</v>
      </c>
      <c r="I1476" t="s">
        <v>20</v>
      </c>
      <c r="J1476" t="s">
        <v>20</v>
      </c>
      <c r="K1476" t="s">
        <v>22</v>
      </c>
      <c r="L1476" t="s">
        <v>97</v>
      </c>
      <c r="M1476" t="s">
        <v>98</v>
      </c>
      <c r="N1476">
        <v>40.945039999999999</v>
      </c>
      <c r="O1476">
        <v>-109.710515</v>
      </c>
      <c r="P1476">
        <v>6388.5544090000003</v>
      </c>
      <c r="Q1476">
        <v>1353</v>
      </c>
      <c r="R1476">
        <v>0</v>
      </c>
    </row>
    <row r="1477" spans="1:18" x14ac:dyDescent="0.25">
      <c r="A1477">
        <v>1476</v>
      </c>
      <c r="B1477">
        <v>94</v>
      </c>
      <c r="C1477">
        <v>31284396</v>
      </c>
      <c r="D1477" t="s">
        <v>278</v>
      </c>
      <c r="E1477">
        <v>24.827999999999999</v>
      </c>
      <c r="F1477" t="s">
        <v>21</v>
      </c>
      <c r="G1477" t="s">
        <v>20</v>
      </c>
      <c r="H1477" t="s">
        <v>21</v>
      </c>
      <c r="I1477" t="s">
        <v>20</v>
      </c>
      <c r="J1477" t="s">
        <v>20</v>
      </c>
      <c r="K1477" t="s">
        <v>27</v>
      </c>
      <c r="L1477" t="s">
        <v>279</v>
      </c>
      <c r="M1477" t="s">
        <v>280</v>
      </c>
      <c r="N1477">
        <v>37.528180999999996</v>
      </c>
      <c r="O1477">
        <v>-112.753573</v>
      </c>
      <c r="P1477">
        <v>9254.6122180000002</v>
      </c>
      <c r="Q1477">
        <v>1330</v>
      </c>
      <c r="R1477">
        <v>0</v>
      </c>
    </row>
    <row r="1478" spans="1:18" x14ac:dyDescent="0.25">
      <c r="A1478">
        <v>1477</v>
      </c>
      <c r="B1478">
        <v>94</v>
      </c>
      <c r="C1478">
        <v>31500377</v>
      </c>
      <c r="D1478" t="s">
        <v>317</v>
      </c>
      <c r="E1478">
        <v>24.847999999999999</v>
      </c>
      <c r="F1478" t="s">
        <v>21</v>
      </c>
      <c r="G1478" t="s">
        <v>26</v>
      </c>
      <c r="H1478" t="s">
        <v>19</v>
      </c>
      <c r="I1478">
        <v>261</v>
      </c>
      <c r="J1478" t="s">
        <v>20</v>
      </c>
      <c r="K1478" t="s">
        <v>27</v>
      </c>
      <c r="L1478" t="s">
        <v>211</v>
      </c>
      <c r="M1478" t="s">
        <v>212</v>
      </c>
      <c r="N1478">
        <v>37.195134000000003</v>
      </c>
      <c r="O1478">
        <v>-109.865425</v>
      </c>
      <c r="P1478">
        <v>4449.4074430000001</v>
      </c>
      <c r="Q1478">
        <v>1432</v>
      </c>
      <c r="R1478">
        <v>0</v>
      </c>
    </row>
    <row r="1479" spans="1:18" x14ac:dyDescent="0.25">
      <c r="A1479">
        <v>1478</v>
      </c>
      <c r="B1479">
        <v>94</v>
      </c>
      <c r="C1479">
        <v>28624276</v>
      </c>
      <c r="D1479" t="s">
        <v>142</v>
      </c>
      <c r="E1479">
        <v>24.847999999999999</v>
      </c>
      <c r="F1479" t="s">
        <v>21</v>
      </c>
      <c r="G1479" t="s">
        <v>26</v>
      </c>
      <c r="H1479" t="s">
        <v>21</v>
      </c>
      <c r="I1479" t="s">
        <v>20</v>
      </c>
      <c r="J1479" t="s">
        <v>20</v>
      </c>
      <c r="K1479" t="s">
        <v>27</v>
      </c>
      <c r="L1479" t="s">
        <v>143</v>
      </c>
      <c r="M1479" t="s">
        <v>106</v>
      </c>
      <c r="N1479">
        <v>38.631594</v>
      </c>
      <c r="O1479">
        <v>-113.85457100000001</v>
      </c>
      <c r="P1479">
        <v>6068.8465299999998</v>
      </c>
      <c r="Q1479">
        <v>305</v>
      </c>
      <c r="R1479">
        <v>0</v>
      </c>
    </row>
    <row r="1480" spans="1:18" x14ac:dyDescent="0.25">
      <c r="A1480">
        <v>1479</v>
      </c>
      <c r="B1480">
        <v>94</v>
      </c>
      <c r="C1480">
        <v>31285280</v>
      </c>
      <c r="D1480" t="s">
        <v>288</v>
      </c>
      <c r="E1480">
        <v>27.244</v>
      </c>
      <c r="F1480" t="s">
        <v>21</v>
      </c>
      <c r="G1480" t="s">
        <v>26</v>
      </c>
      <c r="H1480" t="s">
        <v>21</v>
      </c>
      <c r="I1480" t="s">
        <v>20</v>
      </c>
      <c r="J1480" t="s">
        <v>20</v>
      </c>
      <c r="K1480" t="s">
        <v>27</v>
      </c>
      <c r="L1480" t="s">
        <v>211</v>
      </c>
      <c r="M1480" t="s">
        <v>318</v>
      </c>
      <c r="N1480">
        <v>37.301107000000002</v>
      </c>
      <c r="O1480">
        <v>-109.532186</v>
      </c>
      <c r="P1480">
        <v>4527.1053570000004</v>
      </c>
      <c r="Q1480">
        <v>350</v>
      </c>
      <c r="R1480">
        <v>0</v>
      </c>
    </row>
    <row r="1481" spans="1:18" x14ac:dyDescent="0.25">
      <c r="A1481">
        <v>1480</v>
      </c>
      <c r="B1481">
        <v>94</v>
      </c>
      <c r="C1481" t="e">
        <f>-JXi9dZeFOLiUwSOESwoKk</f>
        <v>#NAME?</v>
      </c>
      <c r="D1481" t="s">
        <v>390</v>
      </c>
      <c r="E1481">
        <v>27.248000000000001</v>
      </c>
      <c r="F1481" t="s">
        <v>21</v>
      </c>
      <c r="G1481" t="s">
        <v>20</v>
      </c>
      <c r="H1481" t="s">
        <v>21</v>
      </c>
      <c r="I1481" t="s">
        <v>20</v>
      </c>
      <c r="J1481" t="s">
        <v>20</v>
      </c>
      <c r="K1481" t="s">
        <v>22</v>
      </c>
      <c r="L1481" t="s">
        <v>60</v>
      </c>
      <c r="M1481" t="s">
        <v>335</v>
      </c>
      <c r="N1481">
        <v>40.365997999999998</v>
      </c>
      <c r="O1481">
        <v>-111.55643600000001</v>
      </c>
      <c r="P1481">
        <v>5184.1150399999997</v>
      </c>
      <c r="Q1481">
        <v>1386</v>
      </c>
      <c r="R1481">
        <v>0</v>
      </c>
    </row>
    <row r="1482" spans="1:18" x14ac:dyDescent="0.25">
      <c r="A1482">
        <v>1481</v>
      </c>
      <c r="B1482">
        <v>94</v>
      </c>
      <c r="C1482">
        <v>31676244</v>
      </c>
      <c r="D1482" t="s">
        <v>217</v>
      </c>
      <c r="E1482">
        <v>27.248999999999999</v>
      </c>
      <c r="F1482" t="s">
        <v>21</v>
      </c>
      <c r="G1482" t="s">
        <v>26</v>
      </c>
      <c r="H1482" t="s">
        <v>21</v>
      </c>
      <c r="I1482" t="s">
        <v>20</v>
      </c>
      <c r="J1482" t="s">
        <v>20</v>
      </c>
      <c r="K1482" t="s">
        <v>27</v>
      </c>
      <c r="L1482" t="s">
        <v>162</v>
      </c>
      <c r="M1482" t="s">
        <v>163</v>
      </c>
      <c r="N1482">
        <v>37.423637999999997</v>
      </c>
      <c r="O1482">
        <v>-113.630439</v>
      </c>
      <c r="P1482">
        <v>5189.5563599999996</v>
      </c>
      <c r="Q1482">
        <v>304</v>
      </c>
      <c r="R1482">
        <v>0</v>
      </c>
    </row>
    <row r="1483" spans="1:18" x14ac:dyDescent="0.25">
      <c r="A1483">
        <v>1482</v>
      </c>
      <c r="B1483">
        <v>94</v>
      </c>
      <c r="C1483">
        <v>31771028</v>
      </c>
      <c r="D1483" t="s">
        <v>353</v>
      </c>
      <c r="E1483">
        <v>27.263000000000002</v>
      </c>
      <c r="F1483" t="s">
        <v>21</v>
      </c>
      <c r="G1483" t="s">
        <v>26</v>
      </c>
      <c r="H1483" t="s">
        <v>21</v>
      </c>
      <c r="I1483" t="s">
        <v>20</v>
      </c>
      <c r="J1483" t="s">
        <v>20</v>
      </c>
      <c r="K1483" t="s">
        <v>31</v>
      </c>
      <c r="L1483" t="s">
        <v>433</v>
      </c>
      <c r="M1483" t="s">
        <v>138</v>
      </c>
      <c r="N1483">
        <v>41.019449999999999</v>
      </c>
      <c r="O1483">
        <v>-111.50360999999999</v>
      </c>
      <c r="P1483">
        <v>5293.3993760000003</v>
      </c>
      <c r="Q1483">
        <v>1367</v>
      </c>
      <c r="R1483">
        <v>0</v>
      </c>
    </row>
    <row r="1484" spans="1:18" x14ac:dyDescent="0.25">
      <c r="A1484">
        <v>1483</v>
      </c>
      <c r="B1484">
        <v>94</v>
      </c>
      <c r="C1484">
        <v>31374102</v>
      </c>
      <c r="D1484" t="s">
        <v>199</v>
      </c>
      <c r="E1484">
        <v>24.193000000000001</v>
      </c>
      <c r="F1484" t="s">
        <v>21</v>
      </c>
      <c r="G1484" t="s">
        <v>20</v>
      </c>
      <c r="H1484" t="s">
        <v>21</v>
      </c>
      <c r="I1484" t="s">
        <v>20</v>
      </c>
      <c r="J1484" t="s">
        <v>20</v>
      </c>
      <c r="K1484" t="s">
        <v>27</v>
      </c>
      <c r="L1484" t="s">
        <v>103</v>
      </c>
      <c r="M1484" t="s">
        <v>200</v>
      </c>
      <c r="N1484">
        <v>38.285587999999997</v>
      </c>
      <c r="O1484">
        <v>-112.35779700000001</v>
      </c>
      <c r="P1484">
        <v>10020.825108000001</v>
      </c>
      <c r="Q1484">
        <v>341</v>
      </c>
      <c r="R1484">
        <v>0</v>
      </c>
    </row>
    <row r="1485" spans="1:18" x14ac:dyDescent="0.25">
      <c r="A1485">
        <v>1484</v>
      </c>
      <c r="B1485">
        <v>94</v>
      </c>
      <c r="C1485" t="s">
        <v>441</v>
      </c>
      <c r="D1485" t="s">
        <v>316</v>
      </c>
      <c r="E1485">
        <v>24.199000000000002</v>
      </c>
      <c r="F1485" t="s">
        <v>21</v>
      </c>
      <c r="G1485" t="s">
        <v>20</v>
      </c>
      <c r="H1485" t="s">
        <v>21</v>
      </c>
      <c r="I1485" t="s">
        <v>20</v>
      </c>
      <c r="J1485" t="s">
        <v>20</v>
      </c>
      <c r="K1485" t="s">
        <v>22</v>
      </c>
      <c r="L1485" t="s">
        <v>168</v>
      </c>
      <c r="M1485" t="s">
        <v>302</v>
      </c>
      <c r="N1485">
        <v>40.486511999999998</v>
      </c>
      <c r="O1485">
        <v>-110.957067</v>
      </c>
      <c r="P1485">
        <v>8489.5677180000002</v>
      </c>
      <c r="Q1485">
        <v>1346</v>
      </c>
      <c r="R1485">
        <v>0</v>
      </c>
    </row>
    <row r="1486" spans="1:18" x14ac:dyDescent="0.25">
      <c r="A1486">
        <v>1485</v>
      </c>
      <c r="B1486">
        <v>94</v>
      </c>
      <c r="C1486">
        <v>27719044</v>
      </c>
      <c r="D1486" t="s">
        <v>217</v>
      </c>
      <c r="E1486">
        <v>24.231999999999999</v>
      </c>
      <c r="F1486" t="s">
        <v>21</v>
      </c>
      <c r="G1486" t="s">
        <v>26</v>
      </c>
      <c r="H1486" t="s">
        <v>21</v>
      </c>
      <c r="I1486" t="s">
        <v>20</v>
      </c>
      <c r="J1486" t="s">
        <v>20</v>
      </c>
      <c r="K1486" t="s">
        <v>27</v>
      </c>
      <c r="L1486" t="s">
        <v>162</v>
      </c>
      <c r="M1486" t="s">
        <v>163</v>
      </c>
      <c r="N1486">
        <v>37.383775</v>
      </c>
      <c r="O1486">
        <v>-113.651346</v>
      </c>
      <c r="P1486">
        <v>4980.7619000000004</v>
      </c>
      <c r="Q1486">
        <v>304</v>
      </c>
      <c r="R1486">
        <v>0</v>
      </c>
    </row>
    <row r="1487" spans="1:18" x14ac:dyDescent="0.25">
      <c r="A1487">
        <v>1486</v>
      </c>
      <c r="B1487">
        <v>94</v>
      </c>
      <c r="C1487" t="e">
        <f>-JNOS5QSI_eOnxu1vEYejF</f>
        <v>#NAME?</v>
      </c>
      <c r="D1487" t="s">
        <v>124</v>
      </c>
      <c r="E1487">
        <v>24.236999999999998</v>
      </c>
      <c r="F1487" t="s">
        <v>21</v>
      </c>
      <c r="G1487" t="s">
        <v>26</v>
      </c>
      <c r="H1487" t="s">
        <v>21</v>
      </c>
      <c r="I1487" t="s">
        <v>20</v>
      </c>
      <c r="J1487" t="s">
        <v>20</v>
      </c>
      <c r="K1487" t="s">
        <v>22</v>
      </c>
      <c r="L1487" t="s">
        <v>84</v>
      </c>
      <c r="M1487" t="s">
        <v>194</v>
      </c>
      <c r="N1487">
        <v>40.275548000000001</v>
      </c>
      <c r="O1487">
        <v>-111.867395</v>
      </c>
      <c r="P1487">
        <v>4523.3641280000002</v>
      </c>
      <c r="Q1487">
        <v>1368</v>
      </c>
      <c r="R1487">
        <v>0</v>
      </c>
    </row>
    <row r="1488" spans="1:18" x14ac:dyDescent="0.25">
      <c r="A1488">
        <v>1487</v>
      </c>
      <c r="B1488">
        <v>94</v>
      </c>
      <c r="C1488" t="e">
        <f>-IpPDXH6FtichUbj2ADNBk</f>
        <v>#NAME?</v>
      </c>
      <c r="D1488" t="s">
        <v>129</v>
      </c>
      <c r="E1488">
        <v>24.244</v>
      </c>
      <c r="F1488" t="s">
        <v>21</v>
      </c>
      <c r="G1488" t="s">
        <v>20</v>
      </c>
      <c r="H1488" t="s">
        <v>21</v>
      </c>
      <c r="I1488" t="s">
        <v>20</v>
      </c>
      <c r="J1488" t="s">
        <v>20</v>
      </c>
      <c r="K1488" t="s">
        <v>31</v>
      </c>
      <c r="L1488" t="s">
        <v>130</v>
      </c>
      <c r="M1488" t="s">
        <v>328</v>
      </c>
      <c r="N1488">
        <v>40.662678</v>
      </c>
      <c r="O1488">
        <v>-110.946331</v>
      </c>
      <c r="P1488">
        <v>9471.1848910000008</v>
      </c>
      <c r="Q1488">
        <v>340</v>
      </c>
      <c r="R1488">
        <v>0</v>
      </c>
    </row>
    <row r="1489" spans="1:18" x14ac:dyDescent="0.25">
      <c r="A1489">
        <v>1488</v>
      </c>
      <c r="B1489">
        <v>94</v>
      </c>
      <c r="C1489">
        <v>2612049</v>
      </c>
      <c r="D1489" t="s">
        <v>176</v>
      </c>
      <c r="E1489">
        <v>24.25</v>
      </c>
      <c r="F1489" t="s">
        <v>21</v>
      </c>
      <c r="G1489" t="s">
        <v>26</v>
      </c>
      <c r="H1489" t="s">
        <v>21</v>
      </c>
      <c r="I1489" t="s">
        <v>20</v>
      </c>
      <c r="J1489" t="s">
        <v>20</v>
      </c>
      <c r="K1489" t="s">
        <v>41</v>
      </c>
      <c r="L1489" t="s">
        <v>223</v>
      </c>
      <c r="M1489" t="s">
        <v>178</v>
      </c>
      <c r="N1489">
        <v>41.770381999999998</v>
      </c>
      <c r="O1489">
        <v>-112.148923</v>
      </c>
      <c r="P1489">
        <v>4301.847154</v>
      </c>
      <c r="Q1489">
        <v>1329</v>
      </c>
      <c r="R1489">
        <v>0</v>
      </c>
    </row>
    <row r="1490" spans="1:18" x14ac:dyDescent="0.25">
      <c r="A1490">
        <v>1489</v>
      </c>
      <c r="B1490">
        <v>94</v>
      </c>
      <c r="C1490">
        <v>27347420</v>
      </c>
      <c r="D1490" t="s">
        <v>185</v>
      </c>
      <c r="E1490">
        <v>2.67</v>
      </c>
      <c r="F1490" t="s">
        <v>21</v>
      </c>
      <c r="G1490" t="s">
        <v>26</v>
      </c>
      <c r="H1490" t="s">
        <v>21</v>
      </c>
      <c r="I1490" t="s">
        <v>20</v>
      </c>
      <c r="J1490" t="s">
        <v>20</v>
      </c>
      <c r="K1490" t="s">
        <v>41</v>
      </c>
      <c r="L1490" t="s">
        <v>57</v>
      </c>
      <c r="M1490" t="s">
        <v>58</v>
      </c>
      <c r="N1490">
        <v>41.139885</v>
      </c>
      <c r="O1490">
        <v>-112.077377</v>
      </c>
      <c r="P1490">
        <v>4250.5811739999999</v>
      </c>
      <c r="Q1490">
        <v>309</v>
      </c>
      <c r="R1490">
        <v>0</v>
      </c>
    </row>
    <row r="1491" spans="1:18" x14ac:dyDescent="0.25">
      <c r="A1491">
        <v>1490</v>
      </c>
      <c r="B1491">
        <v>94</v>
      </c>
      <c r="C1491">
        <v>31700066</v>
      </c>
      <c r="D1491" t="s">
        <v>245</v>
      </c>
      <c r="E1491">
        <v>2.6749999999999998</v>
      </c>
      <c r="F1491" t="s">
        <v>21</v>
      </c>
      <c r="G1491" t="s">
        <v>26</v>
      </c>
      <c r="H1491" t="s">
        <v>21</v>
      </c>
      <c r="I1491" t="s">
        <v>20</v>
      </c>
      <c r="J1491" t="s">
        <v>20</v>
      </c>
      <c r="K1491" t="s">
        <v>22</v>
      </c>
      <c r="L1491" t="s">
        <v>97</v>
      </c>
      <c r="M1491" t="s">
        <v>98</v>
      </c>
      <c r="N1491">
        <v>40.862645999999998</v>
      </c>
      <c r="O1491">
        <v>-109.52704799999999</v>
      </c>
      <c r="P1491">
        <v>7472.8348459999997</v>
      </c>
      <c r="Q1491">
        <v>1353</v>
      </c>
      <c r="R1491">
        <v>0</v>
      </c>
    </row>
    <row r="1492" spans="1:18" x14ac:dyDescent="0.25">
      <c r="A1492">
        <v>1491</v>
      </c>
      <c r="B1492">
        <v>94</v>
      </c>
      <c r="C1492">
        <v>523726</v>
      </c>
      <c r="D1492" t="s">
        <v>44</v>
      </c>
      <c r="E1492">
        <v>2.6789999999999998</v>
      </c>
      <c r="F1492" t="s">
        <v>21</v>
      </c>
      <c r="G1492" t="s">
        <v>26</v>
      </c>
      <c r="H1492" t="s">
        <v>21</v>
      </c>
      <c r="I1492" t="s">
        <v>20</v>
      </c>
      <c r="J1492" t="s">
        <v>20</v>
      </c>
      <c r="K1492" t="s">
        <v>41</v>
      </c>
      <c r="L1492" t="s">
        <v>45</v>
      </c>
      <c r="M1492" t="s">
        <v>46</v>
      </c>
      <c r="N1492">
        <v>40.916213999999997</v>
      </c>
      <c r="O1492">
        <v>-111.87896499999999</v>
      </c>
      <c r="P1492">
        <v>4238.5945750000001</v>
      </c>
      <c r="Q1492">
        <v>1395</v>
      </c>
      <c r="R1492">
        <v>0</v>
      </c>
    </row>
    <row r="1493" spans="1:18" x14ac:dyDescent="0.25">
      <c r="A1493">
        <v>1492</v>
      </c>
      <c r="B1493">
        <v>94</v>
      </c>
      <c r="C1493" t="s">
        <v>442</v>
      </c>
      <c r="D1493" t="s">
        <v>233</v>
      </c>
      <c r="E1493">
        <v>21.55</v>
      </c>
      <c r="F1493" t="s">
        <v>21</v>
      </c>
      <c r="G1493" t="s">
        <v>26</v>
      </c>
      <c r="H1493" t="s">
        <v>21</v>
      </c>
      <c r="I1493" t="s">
        <v>20</v>
      </c>
      <c r="J1493" t="s">
        <v>20</v>
      </c>
      <c r="K1493" t="s">
        <v>22</v>
      </c>
      <c r="L1493" t="s">
        <v>234</v>
      </c>
      <c r="M1493" t="s">
        <v>235</v>
      </c>
      <c r="N1493">
        <v>40.201695000000001</v>
      </c>
      <c r="O1493">
        <v>-109.350972</v>
      </c>
      <c r="P1493">
        <v>5530.8233179999997</v>
      </c>
      <c r="Q1493">
        <v>1354</v>
      </c>
      <c r="R1493">
        <v>0</v>
      </c>
    </row>
    <row r="1494" spans="1:18" x14ac:dyDescent="0.25">
      <c r="A1494">
        <v>1493</v>
      </c>
      <c r="B1494">
        <v>94</v>
      </c>
      <c r="C1494">
        <v>31683781</v>
      </c>
      <c r="D1494" t="s">
        <v>213</v>
      </c>
      <c r="E1494">
        <v>228.214</v>
      </c>
      <c r="F1494" t="s">
        <v>21</v>
      </c>
      <c r="G1494" t="s">
        <v>20</v>
      </c>
      <c r="H1494" t="s">
        <v>21</v>
      </c>
      <c r="I1494" t="s">
        <v>20</v>
      </c>
      <c r="J1494" t="s">
        <v>20</v>
      </c>
      <c r="K1494" t="s">
        <v>27</v>
      </c>
      <c r="L1494" t="s">
        <v>307</v>
      </c>
      <c r="M1494" t="s">
        <v>159</v>
      </c>
      <c r="N1494">
        <v>39.746302999999997</v>
      </c>
      <c r="O1494">
        <v>-110.88279300000001</v>
      </c>
      <c r="P1494">
        <v>6231.1334269999998</v>
      </c>
      <c r="Q1494">
        <v>1332</v>
      </c>
      <c r="R1494">
        <v>0</v>
      </c>
    </row>
    <row r="1495" spans="1:18" x14ac:dyDescent="0.25">
      <c r="A1495">
        <v>1494</v>
      </c>
      <c r="B1495">
        <v>94</v>
      </c>
      <c r="C1495" t="s">
        <v>443</v>
      </c>
      <c r="D1495" t="s">
        <v>272</v>
      </c>
      <c r="E1495">
        <v>228.226</v>
      </c>
      <c r="F1495" t="s">
        <v>21</v>
      </c>
      <c r="G1495" t="s">
        <v>26</v>
      </c>
      <c r="H1495" t="s">
        <v>19</v>
      </c>
      <c r="I1495">
        <v>256</v>
      </c>
      <c r="J1495" t="s">
        <v>20</v>
      </c>
      <c r="K1495" t="s">
        <v>27</v>
      </c>
      <c r="L1495" t="s">
        <v>183</v>
      </c>
      <c r="M1495" t="s">
        <v>174</v>
      </c>
      <c r="N1495">
        <v>38.973633</v>
      </c>
      <c r="O1495">
        <v>-111.85928699999999</v>
      </c>
      <c r="P1495">
        <v>5068.945984</v>
      </c>
      <c r="Q1495">
        <v>1384</v>
      </c>
      <c r="R1495">
        <v>0</v>
      </c>
    </row>
    <row r="1496" spans="1:18" x14ac:dyDescent="0.25">
      <c r="A1496">
        <v>1495</v>
      </c>
      <c r="B1496">
        <v>94</v>
      </c>
      <c r="C1496">
        <v>31683792</v>
      </c>
      <c r="D1496" t="s">
        <v>213</v>
      </c>
      <c r="E1496">
        <v>229.953</v>
      </c>
      <c r="F1496" t="s">
        <v>21</v>
      </c>
      <c r="G1496" t="s">
        <v>26</v>
      </c>
      <c r="H1496" t="s">
        <v>19</v>
      </c>
      <c r="I1496">
        <v>191</v>
      </c>
      <c r="J1496" t="s">
        <v>20</v>
      </c>
      <c r="K1496" t="s">
        <v>27</v>
      </c>
      <c r="L1496" t="s">
        <v>307</v>
      </c>
      <c r="M1496" t="s">
        <v>159</v>
      </c>
      <c r="N1496">
        <v>39.725220999999998</v>
      </c>
      <c r="O1496">
        <v>-110.867614</v>
      </c>
      <c r="P1496">
        <v>6035.90056</v>
      </c>
      <c r="Q1496">
        <v>1332</v>
      </c>
      <c r="R1496">
        <v>0</v>
      </c>
    </row>
    <row r="1497" spans="1:18" x14ac:dyDescent="0.25">
      <c r="A1497">
        <v>1496</v>
      </c>
      <c r="B1497">
        <v>94</v>
      </c>
      <c r="C1497">
        <v>31528848</v>
      </c>
      <c r="D1497" t="s">
        <v>390</v>
      </c>
      <c r="E1497">
        <v>23.032</v>
      </c>
      <c r="F1497" t="s">
        <v>21</v>
      </c>
      <c r="G1497" t="s">
        <v>20</v>
      </c>
      <c r="H1497" t="s">
        <v>21</v>
      </c>
      <c r="I1497" t="s">
        <v>20</v>
      </c>
      <c r="J1497" t="s">
        <v>20</v>
      </c>
      <c r="K1497" t="s">
        <v>22</v>
      </c>
      <c r="L1497" t="s">
        <v>60</v>
      </c>
      <c r="M1497" t="s">
        <v>335</v>
      </c>
      <c r="N1497">
        <v>40.402234</v>
      </c>
      <c r="O1497">
        <v>-111.59607</v>
      </c>
      <c r="P1497">
        <v>6692.0319289999998</v>
      </c>
      <c r="Q1497">
        <v>1386</v>
      </c>
      <c r="R1497">
        <v>0</v>
      </c>
    </row>
    <row r="1498" spans="1:18" x14ac:dyDescent="0.25">
      <c r="A1498">
        <v>1497</v>
      </c>
      <c r="B1498">
        <v>94</v>
      </c>
      <c r="C1498">
        <v>31592656</v>
      </c>
      <c r="D1498" t="s">
        <v>271</v>
      </c>
      <c r="E1498">
        <v>23.064</v>
      </c>
      <c r="F1498" t="s">
        <v>21</v>
      </c>
      <c r="G1498" t="s">
        <v>26</v>
      </c>
      <c r="H1498" t="s">
        <v>21</v>
      </c>
      <c r="I1498" t="s">
        <v>20</v>
      </c>
      <c r="J1498" t="s">
        <v>20</v>
      </c>
      <c r="K1498" t="s">
        <v>22</v>
      </c>
      <c r="L1498" t="s">
        <v>263</v>
      </c>
      <c r="M1498" t="s">
        <v>24</v>
      </c>
      <c r="N1498">
        <v>40.294950999999998</v>
      </c>
      <c r="O1498">
        <v>-112.09850900000001</v>
      </c>
      <c r="P1498">
        <v>4923.1177539999999</v>
      </c>
      <c r="Q1498">
        <v>1372</v>
      </c>
      <c r="R1498">
        <v>0</v>
      </c>
    </row>
    <row r="1499" spans="1:18" x14ac:dyDescent="0.25">
      <c r="A1499">
        <v>1498</v>
      </c>
      <c r="B1499">
        <v>94</v>
      </c>
      <c r="C1499">
        <v>31373641</v>
      </c>
      <c r="D1499" t="s">
        <v>199</v>
      </c>
      <c r="E1499">
        <v>23.088000000000001</v>
      </c>
      <c r="F1499" t="s">
        <v>21</v>
      </c>
      <c r="G1499" t="s">
        <v>20</v>
      </c>
      <c r="H1499" t="s">
        <v>21</v>
      </c>
      <c r="I1499" t="s">
        <v>20</v>
      </c>
      <c r="J1499" t="s">
        <v>20</v>
      </c>
      <c r="K1499" t="s">
        <v>27</v>
      </c>
      <c r="L1499" t="s">
        <v>103</v>
      </c>
      <c r="M1499" t="s">
        <v>200</v>
      </c>
      <c r="N1499">
        <v>38.301115000000003</v>
      </c>
      <c r="O1499">
        <v>-112.360097</v>
      </c>
      <c r="P1499">
        <v>10199.54163</v>
      </c>
      <c r="Q1499">
        <v>341</v>
      </c>
      <c r="R1499">
        <v>0</v>
      </c>
    </row>
    <row r="1500" spans="1:18" x14ac:dyDescent="0.25">
      <c r="A1500">
        <v>1499</v>
      </c>
      <c r="B1500">
        <v>94</v>
      </c>
      <c r="C1500">
        <v>31317516</v>
      </c>
      <c r="D1500" t="s">
        <v>347</v>
      </c>
      <c r="E1500">
        <v>23.097999999999999</v>
      </c>
      <c r="F1500" t="s">
        <v>21</v>
      </c>
      <c r="G1500" t="s">
        <v>26</v>
      </c>
      <c r="H1500" t="s">
        <v>21</v>
      </c>
      <c r="I1500" t="s">
        <v>20</v>
      </c>
      <c r="J1500" t="s">
        <v>20</v>
      </c>
      <c r="K1500" t="s">
        <v>41</v>
      </c>
      <c r="L1500" t="s">
        <v>325</v>
      </c>
      <c r="M1500" t="s">
        <v>204</v>
      </c>
      <c r="N1500">
        <v>41.69697</v>
      </c>
      <c r="O1500">
        <v>-111.171519</v>
      </c>
      <c r="P1500">
        <v>6241.2848519999998</v>
      </c>
      <c r="Q1500">
        <v>1334</v>
      </c>
      <c r="R1500">
        <v>0</v>
      </c>
    </row>
    <row r="1501" spans="1:18" x14ac:dyDescent="0.25">
      <c r="A1501">
        <v>1500</v>
      </c>
      <c r="B1501">
        <v>94</v>
      </c>
      <c r="C1501">
        <v>31592667</v>
      </c>
      <c r="D1501" t="s">
        <v>271</v>
      </c>
      <c r="E1501">
        <v>23.131</v>
      </c>
      <c r="F1501" t="s">
        <v>21</v>
      </c>
      <c r="G1501" t="s">
        <v>20</v>
      </c>
      <c r="H1501" t="s">
        <v>21</v>
      </c>
      <c r="I1501" t="s">
        <v>20</v>
      </c>
      <c r="J1501" t="s">
        <v>20</v>
      </c>
      <c r="K1501" t="s">
        <v>22</v>
      </c>
      <c r="L1501" t="s">
        <v>263</v>
      </c>
      <c r="M1501" t="s">
        <v>24</v>
      </c>
      <c r="N1501">
        <v>40.295903000000003</v>
      </c>
      <c r="O1501">
        <v>-112.09871699999999</v>
      </c>
      <c r="P1501">
        <v>4932.7536819999996</v>
      </c>
      <c r="Q1501">
        <v>1372</v>
      </c>
      <c r="R1501">
        <v>0</v>
      </c>
    </row>
    <row r="1502" spans="1:18" x14ac:dyDescent="0.25">
      <c r="A1502">
        <v>1501</v>
      </c>
      <c r="B1502">
        <v>94</v>
      </c>
      <c r="C1502">
        <v>31283763</v>
      </c>
      <c r="D1502" t="s">
        <v>288</v>
      </c>
      <c r="E1502">
        <v>23.152000000000001</v>
      </c>
      <c r="F1502" t="s">
        <v>21</v>
      </c>
      <c r="G1502" t="s">
        <v>26</v>
      </c>
      <c r="H1502" t="s">
        <v>21</v>
      </c>
      <c r="I1502" t="s">
        <v>20</v>
      </c>
      <c r="J1502" t="s">
        <v>20</v>
      </c>
      <c r="K1502" t="s">
        <v>27</v>
      </c>
      <c r="L1502" t="s">
        <v>211</v>
      </c>
      <c r="M1502" t="s">
        <v>318</v>
      </c>
      <c r="N1502">
        <v>37.273265000000002</v>
      </c>
      <c r="O1502">
        <v>-109.59263</v>
      </c>
      <c r="P1502">
        <v>4326.9886850000003</v>
      </c>
      <c r="Q1502">
        <v>350</v>
      </c>
      <c r="R1502">
        <v>0</v>
      </c>
    </row>
    <row r="1503" spans="1:18" x14ac:dyDescent="0.25">
      <c r="A1503">
        <v>1502</v>
      </c>
      <c r="B1503">
        <v>94</v>
      </c>
      <c r="C1503" t="e">
        <f>-JOiT7BRG9LGOVUtyrpDCk</f>
        <v>#NAME?</v>
      </c>
      <c r="D1503" t="s">
        <v>268</v>
      </c>
      <c r="E1503">
        <v>23.152999999999999</v>
      </c>
      <c r="F1503" t="s">
        <v>21</v>
      </c>
      <c r="G1503" t="s">
        <v>26</v>
      </c>
      <c r="H1503" t="s">
        <v>21</v>
      </c>
      <c r="I1503" t="s">
        <v>20</v>
      </c>
      <c r="J1503" t="s">
        <v>20</v>
      </c>
      <c r="K1503" t="s">
        <v>41</v>
      </c>
      <c r="L1503" t="s">
        <v>181</v>
      </c>
      <c r="M1503" t="s">
        <v>43</v>
      </c>
      <c r="N1503">
        <v>41.722327</v>
      </c>
      <c r="O1503">
        <v>-112.443985</v>
      </c>
      <c r="P1503">
        <v>4403.6941070000003</v>
      </c>
      <c r="Q1503">
        <v>1380</v>
      </c>
      <c r="R1503">
        <v>0</v>
      </c>
    </row>
    <row r="1504" spans="1:18" x14ac:dyDescent="0.25">
      <c r="A1504">
        <v>1503</v>
      </c>
      <c r="B1504">
        <v>94</v>
      </c>
      <c r="C1504">
        <v>28623570</v>
      </c>
      <c r="D1504" t="s">
        <v>142</v>
      </c>
      <c r="E1504">
        <v>23.181000000000001</v>
      </c>
      <c r="F1504" t="s">
        <v>21</v>
      </c>
      <c r="G1504" t="s">
        <v>26</v>
      </c>
      <c r="H1504" t="s">
        <v>21</v>
      </c>
      <c r="I1504" t="s">
        <v>20</v>
      </c>
      <c r="J1504" t="s">
        <v>20</v>
      </c>
      <c r="K1504" t="s">
        <v>27</v>
      </c>
      <c r="L1504" t="s">
        <v>143</v>
      </c>
      <c r="M1504" t="s">
        <v>106</v>
      </c>
      <c r="N1504">
        <v>38.652295000000002</v>
      </c>
      <c r="O1504">
        <v>-113.870513</v>
      </c>
      <c r="P1504">
        <v>6014.1370550000001</v>
      </c>
      <c r="Q1504">
        <v>305</v>
      </c>
      <c r="R1504">
        <v>0</v>
      </c>
    </row>
    <row r="1505" spans="1:18" x14ac:dyDescent="0.25">
      <c r="A1505">
        <v>1504</v>
      </c>
      <c r="B1505">
        <v>94</v>
      </c>
      <c r="C1505">
        <v>31305984</v>
      </c>
      <c r="D1505" t="s">
        <v>116</v>
      </c>
      <c r="E1505">
        <v>23.183</v>
      </c>
      <c r="F1505" t="s">
        <v>21</v>
      </c>
      <c r="G1505" t="s">
        <v>26</v>
      </c>
      <c r="H1505" t="s">
        <v>21</v>
      </c>
      <c r="I1505" t="s">
        <v>20</v>
      </c>
      <c r="J1505" t="s">
        <v>20</v>
      </c>
      <c r="K1505" t="s">
        <v>41</v>
      </c>
      <c r="L1505" t="s">
        <v>42</v>
      </c>
      <c r="M1505" t="s">
        <v>43</v>
      </c>
      <c r="N1505">
        <v>41.691191000000003</v>
      </c>
      <c r="O1505">
        <v>-111.867339</v>
      </c>
      <c r="P1505">
        <v>4430.4424470000004</v>
      </c>
      <c r="Q1505">
        <v>324</v>
      </c>
      <c r="R1505">
        <v>0</v>
      </c>
    </row>
    <row r="1506" spans="1:18" x14ac:dyDescent="0.25">
      <c r="A1506">
        <v>1505</v>
      </c>
      <c r="B1506">
        <v>94</v>
      </c>
      <c r="C1506" t="e">
        <f>-JODqS6mHZDKOUnbSZT_Nk</f>
        <v>#NAME?</v>
      </c>
      <c r="D1506" t="s">
        <v>210</v>
      </c>
      <c r="E1506">
        <v>23.201000000000001</v>
      </c>
      <c r="F1506" t="s">
        <v>21</v>
      </c>
      <c r="G1506" t="s">
        <v>26</v>
      </c>
      <c r="H1506" t="s">
        <v>21</v>
      </c>
      <c r="I1506" t="s">
        <v>20</v>
      </c>
      <c r="J1506" t="s">
        <v>20</v>
      </c>
      <c r="K1506" t="s">
        <v>27</v>
      </c>
      <c r="L1506" t="s">
        <v>211</v>
      </c>
      <c r="M1506" t="s">
        <v>212</v>
      </c>
      <c r="N1506">
        <v>37.210537000000002</v>
      </c>
      <c r="O1506">
        <v>-109.172073</v>
      </c>
      <c r="P1506">
        <v>4493.1243430000004</v>
      </c>
      <c r="Q1506">
        <v>344</v>
      </c>
      <c r="R1506">
        <v>0</v>
      </c>
    </row>
    <row r="1507" spans="1:18" x14ac:dyDescent="0.25">
      <c r="A1507">
        <v>1506</v>
      </c>
      <c r="B1507">
        <v>94</v>
      </c>
      <c r="C1507" t="e">
        <f>-IovAY6-FkLGrY1W3FqkJV</f>
        <v>#NAME?</v>
      </c>
      <c r="D1507" t="s">
        <v>176</v>
      </c>
      <c r="E1507">
        <v>23.248999999999999</v>
      </c>
      <c r="F1507" t="s">
        <v>21</v>
      </c>
      <c r="G1507" t="s">
        <v>26</v>
      </c>
      <c r="H1507" t="s">
        <v>21</v>
      </c>
      <c r="I1507" t="s">
        <v>20</v>
      </c>
      <c r="J1507" t="s">
        <v>20</v>
      </c>
      <c r="K1507" t="s">
        <v>41</v>
      </c>
      <c r="L1507" t="s">
        <v>223</v>
      </c>
      <c r="M1507" t="s">
        <v>178</v>
      </c>
      <c r="N1507">
        <v>41.755830000000003</v>
      </c>
      <c r="O1507">
        <v>-112.148392</v>
      </c>
      <c r="P1507">
        <v>4294.9893579999998</v>
      </c>
      <c r="Q1507">
        <v>1329</v>
      </c>
      <c r="R1507">
        <v>0</v>
      </c>
    </row>
    <row r="1508" spans="1:18" x14ac:dyDescent="0.25">
      <c r="A1508">
        <v>1507</v>
      </c>
      <c r="B1508">
        <v>94</v>
      </c>
      <c r="C1508">
        <v>31531709</v>
      </c>
      <c r="D1508" t="s">
        <v>390</v>
      </c>
      <c r="E1508">
        <v>23.263999999999999</v>
      </c>
      <c r="F1508" t="s">
        <v>21</v>
      </c>
      <c r="G1508" t="s">
        <v>20</v>
      </c>
      <c r="H1508" t="s">
        <v>21</v>
      </c>
      <c r="I1508" t="s">
        <v>20</v>
      </c>
      <c r="J1508" t="s">
        <v>20</v>
      </c>
      <c r="K1508" t="s">
        <v>22</v>
      </c>
      <c r="L1508" t="s">
        <v>60</v>
      </c>
      <c r="M1508" t="s">
        <v>335</v>
      </c>
      <c r="N1508">
        <v>40.399368000000003</v>
      </c>
      <c r="O1508">
        <v>-111.59382100000001</v>
      </c>
      <c r="P1508">
        <v>6611.6130480000002</v>
      </c>
      <c r="Q1508">
        <v>1386</v>
      </c>
      <c r="R1508">
        <v>0</v>
      </c>
    </row>
    <row r="1509" spans="1:18" x14ac:dyDescent="0.25">
      <c r="A1509">
        <v>1508</v>
      </c>
      <c r="B1509">
        <v>94</v>
      </c>
      <c r="C1509">
        <v>31324855</v>
      </c>
      <c r="D1509" t="s">
        <v>303</v>
      </c>
      <c r="E1509">
        <v>20.544</v>
      </c>
      <c r="F1509" t="s">
        <v>21</v>
      </c>
      <c r="G1509" t="s">
        <v>26</v>
      </c>
      <c r="H1509" t="s">
        <v>21</v>
      </c>
      <c r="I1509" t="s">
        <v>20</v>
      </c>
      <c r="J1509" t="s">
        <v>20</v>
      </c>
      <c r="K1509" t="s">
        <v>27</v>
      </c>
      <c r="L1509" t="s">
        <v>72</v>
      </c>
      <c r="M1509" t="s">
        <v>73</v>
      </c>
      <c r="N1509">
        <v>37.195689000000002</v>
      </c>
      <c r="O1509">
        <v>-113.15555000000001</v>
      </c>
      <c r="P1509">
        <v>3489.6113799999998</v>
      </c>
      <c r="Q1509">
        <v>1326</v>
      </c>
      <c r="R1509">
        <v>0</v>
      </c>
    </row>
    <row r="1510" spans="1:18" x14ac:dyDescent="0.25">
      <c r="A1510">
        <v>1509</v>
      </c>
      <c r="B1510">
        <v>94</v>
      </c>
      <c r="C1510">
        <v>28606940</v>
      </c>
      <c r="D1510" t="s">
        <v>142</v>
      </c>
      <c r="E1510">
        <v>20.577999999999999</v>
      </c>
      <c r="F1510" t="s">
        <v>21</v>
      </c>
      <c r="G1510" t="s">
        <v>26</v>
      </c>
      <c r="H1510" t="s">
        <v>21</v>
      </c>
      <c r="I1510" t="s">
        <v>20</v>
      </c>
      <c r="J1510" t="s">
        <v>20</v>
      </c>
      <c r="K1510" t="s">
        <v>27</v>
      </c>
      <c r="L1510" t="s">
        <v>143</v>
      </c>
      <c r="M1510" t="s">
        <v>106</v>
      </c>
      <c r="N1510">
        <v>38.684612000000001</v>
      </c>
      <c r="O1510">
        <v>-113.89541199999999</v>
      </c>
      <c r="P1510">
        <v>5910.5917680000002</v>
      </c>
      <c r="Q1510">
        <v>305</v>
      </c>
      <c r="R1510">
        <v>0</v>
      </c>
    </row>
    <row r="1511" spans="1:18" x14ac:dyDescent="0.25">
      <c r="A1511">
        <v>1510</v>
      </c>
      <c r="B1511">
        <v>94</v>
      </c>
      <c r="C1511" t="e">
        <f>-JNOM2GEGBHEoPYvFiqfek</f>
        <v>#NAME?</v>
      </c>
      <c r="D1511" t="s">
        <v>124</v>
      </c>
      <c r="E1511">
        <v>20.58</v>
      </c>
      <c r="F1511" t="s">
        <v>21</v>
      </c>
      <c r="G1511" t="s">
        <v>20</v>
      </c>
      <c r="H1511" t="s">
        <v>21</v>
      </c>
      <c r="I1511" t="s">
        <v>20</v>
      </c>
      <c r="J1511" t="s">
        <v>20</v>
      </c>
      <c r="K1511" t="s">
        <v>22</v>
      </c>
      <c r="L1511" t="s">
        <v>193</v>
      </c>
      <c r="M1511" t="s">
        <v>194</v>
      </c>
      <c r="N1511">
        <v>40.224860999999997</v>
      </c>
      <c r="O1511">
        <v>-111.875793</v>
      </c>
      <c r="P1511">
        <v>4576.3712390000001</v>
      </c>
      <c r="Q1511">
        <v>1368</v>
      </c>
      <c r="R1511">
        <v>0</v>
      </c>
    </row>
    <row r="1512" spans="1:18" x14ac:dyDescent="0.25">
      <c r="A1512">
        <v>1511</v>
      </c>
      <c r="B1512">
        <v>94</v>
      </c>
      <c r="C1512">
        <v>31316150</v>
      </c>
      <c r="D1512" t="s">
        <v>347</v>
      </c>
      <c r="E1512">
        <v>20.581</v>
      </c>
      <c r="F1512" t="s">
        <v>21</v>
      </c>
      <c r="G1512" t="s">
        <v>26</v>
      </c>
      <c r="H1512" t="s">
        <v>21</v>
      </c>
      <c r="I1512" t="s">
        <v>20</v>
      </c>
      <c r="J1512" t="s">
        <v>20</v>
      </c>
      <c r="K1512" t="s">
        <v>41</v>
      </c>
      <c r="L1512" t="s">
        <v>325</v>
      </c>
      <c r="M1512" t="s">
        <v>204</v>
      </c>
      <c r="N1512">
        <v>41.663440999999999</v>
      </c>
      <c r="O1512">
        <v>-111.184935</v>
      </c>
      <c r="P1512">
        <v>6233.7204629999997</v>
      </c>
      <c r="Q1512">
        <v>1334</v>
      </c>
      <c r="R1512">
        <v>0</v>
      </c>
    </row>
    <row r="1513" spans="1:18" x14ac:dyDescent="0.25">
      <c r="A1513">
        <v>1512</v>
      </c>
      <c r="B1513">
        <v>94</v>
      </c>
      <c r="C1513">
        <v>1562911</v>
      </c>
      <c r="D1513" t="s">
        <v>88</v>
      </c>
      <c r="E1513">
        <v>20.596</v>
      </c>
      <c r="F1513" t="s">
        <v>19</v>
      </c>
      <c r="G1513" t="s">
        <v>20</v>
      </c>
      <c r="H1513" t="s">
        <v>21</v>
      </c>
      <c r="I1513" t="s">
        <v>20</v>
      </c>
      <c r="J1513" t="s">
        <v>20</v>
      </c>
      <c r="K1513" t="s">
        <v>31</v>
      </c>
      <c r="L1513" t="s">
        <v>66</v>
      </c>
      <c r="M1513" t="s">
        <v>90</v>
      </c>
      <c r="N1513">
        <v>40.733499000000002</v>
      </c>
      <c r="O1513">
        <v>-111.871188</v>
      </c>
      <c r="P1513">
        <v>4231.5451130000001</v>
      </c>
      <c r="Q1513">
        <v>318</v>
      </c>
      <c r="R1513">
        <v>0</v>
      </c>
    </row>
    <row r="1514" spans="1:18" x14ac:dyDescent="0.25">
      <c r="A1514">
        <v>1513</v>
      </c>
      <c r="B1514">
        <v>94</v>
      </c>
      <c r="C1514" t="s">
        <v>444</v>
      </c>
      <c r="D1514" t="s">
        <v>315</v>
      </c>
      <c r="E1514">
        <v>20.6</v>
      </c>
      <c r="F1514" t="s">
        <v>21</v>
      </c>
      <c r="G1514" t="s">
        <v>20</v>
      </c>
      <c r="H1514" t="s">
        <v>21</v>
      </c>
      <c r="I1514" t="s">
        <v>20</v>
      </c>
      <c r="J1514" t="s">
        <v>20</v>
      </c>
      <c r="K1514" t="s">
        <v>27</v>
      </c>
      <c r="L1514" t="s">
        <v>111</v>
      </c>
      <c r="M1514" t="s">
        <v>243</v>
      </c>
      <c r="N1514">
        <v>39.236884000000003</v>
      </c>
      <c r="O1514">
        <v>-111.006051</v>
      </c>
      <c r="P1514">
        <v>5715.6454629999998</v>
      </c>
      <c r="Q1514">
        <v>307</v>
      </c>
      <c r="R1514">
        <v>0</v>
      </c>
    </row>
    <row r="1515" spans="1:18" x14ac:dyDescent="0.25">
      <c r="A1515">
        <v>1514</v>
      </c>
      <c r="B1515">
        <v>94</v>
      </c>
      <c r="C1515">
        <v>31531720</v>
      </c>
      <c r="D1515" t="s">
        <v>390</v>
      </c>
      <c r="E1515">
        <v>23.399000000000001</v>
      </c>
      <c r="F1515" t="s">
        <v>21</v>
      </c>
      <c r="G1515" t="s">
        <v>20</v>
      </c>
      <c r="H1515" t="s">
        <v>21</v>
      </c>
      <c r="I1515" t="s">
        <v>20</v>
      </c>
      <c r="J1515" t="s">
        <v>20</v>
      </c>
      <c r="K1515" t="s">
        <v>22</v>
      </c>
      <c r="L1515" t="s">
        <v>60</v>
      </c>
      <c r="M1515" t="s">
        <v>335</v>
      </c>
      <c r="N1515">
        <v>40.398896000000001</v>
      </c>
      <c r="O1515">
        <v>-111.591382</v>
      </c>
      <c r="P1515">
        <v>6562.7096350000002</v>
      </c>
      <c r="Q1515">
        <v>1386</v>
      </c>
      <c r="R1515">
        <v>0</v>
      </c>
    </row>
    <row r="1516" spans="1:18" x14ac:dyDescent="0.25">
      <c r="A1516">
        <v>1515</v>
      </c>
      <c r="B1516">
        <v>94</v>
      </c>
      <c r="C1516">
        <v>31307273</v>
      </c>
      <c r="D1516" t="s">
        <v>268</v>
      </c>
      <c r="E1516">
        <v>23.42</v>
      </c>
      <c r="F1516" t="s">
        <v>21</v>
      </c>
      <c r="G1516" t="s">
        <v>20</v>
      </c>
      <c r="H1516" t="s">
        <v>21</v>
      </c>
      <c r="I1516" t="s">
        <v>20</v>
      </c>
      <c r="J1516" t="s">
        <v>20</v>
      </c>
      <c r="K1516" t="s">
        <v>41</v>
      </c>
      <c r="L1516" t="s">
        <v>181</v>
      </c>
      <c r="M1516" t="s">
        <v>43</v>
      </c>
      <c r="N1516">
        <v>41.722402000000002</v>
      </c>
      <c r="O1516">
        <v>-112.43881500000001</v>
      </c>
      <c r="P1516">
        <v>4415.1886830000003</v>
      </c>
      <c r="Q1516">
        <v>1380</v>
      </c>
      <c r="R1516">
        <v>0</v>
      </c>
    </row>
    <row r="1517" spans="1:18" x14ac:dyDescent="0.25">
      <c r="A1517">
        <v>1516</v>
      </c>
      <c r="B1517">
        <v>94</v>
      </c>
      <c r="C1517">
        <v>31517616</v>
      </c>
      <c r="D1517" t="s">
        <v>132</v>
      </c>
      <c r="E1517">
        <v>23.474</v>
      </c>
      <c r="F1517" t="s">
        <v>21</v>
      </c>
      <c r="G1517" t="s">
        <v>26</v>
      </c>
      <c r="H1517" t="s">
        <v>21</v>
      </c>
      <c r="I1517" t="s">
        <v>20</v>
      </c>
      <c r="J1517" t="s">
        <v>20</v>
      </c>
      <c r="K1517" t="s">
        <v>22</v>
      </c>
      <c r="L1517" t="s">
        <v>133</v>
      </c>
      <c r="M1517" t="s">
        <v>134</v>
      </c>
      <c r="N1517">
        <v>40.403699000000003</v>
      </c>
      <c r="O1517">
        <v>-109.802919</v>
      </c>
      <c r="P1517">
        <v>5472.4416389999997</v>
      </c>
      <c r="Q1517">
        <v>1405</v>
      </c>
      <c r="R1517">
        <v>0</v>
      </c>
    </row>
    <row r="1518" spans="1:18" x14ac:dyDescent="0.25">
      <c r="A1518">
        <v>1517</v>
      </c>
      <c r="B1518">
        <v>94</v>
      </c>
      <c r="C1518">
        <v>31532699</v>
      </c>
      <c r="D1518" t="s">
        <v>121</v>
      </c>
      <c r="E1518">
        <v>23.481999999999999</v>
      </c>
      <c r="F1518" t="s">
        <v>21</v>
      </c>
      <c r="G1518" t="s">
        <v>26</v>
      </c>
      <c r="H1518" t="s">
        <v>21</v>
      </c>
      <c r="I1518" t="s">
        <v>20</v>
      </c>
      <c r="J1518" t="s">
        <v>20</v>
      </c>
      <c r="K1518" t="s">
        <v>27</v>
      </c>
      <c r="L1518" t="s">
        <v>122</v>
      </c>
      <c r="M1518" t="s">
        <v>123</v>
      </c>
      <c r="N1518">
        <v>37.724907000000002</v>
      </c>
      <c r="O1518">
        <v>-110.66717</v>
      </c>
      <c r="P1518">
        <v>4725.4122550000002</v>
      </c>
      <c r="Q1518">
        <v>1283</v>
      </c>
      <c r="R1518">
        <v>0</v>
      </c>
    </row>
    <row r="1519" spans="1:18" x14ac:dyDescent="0.25">
      <c r="A1519">
        <v>1518</v>
      </c>
      <c r="B1519">
        <v>94</v>
      </c>
      <c r="C1519">
        <v>31765958</v>
      </c>
      <c r="D1519" t="s">
        <v>312</v>
      </c>
      <c r="E1519">
        <v>23.506</v>
      </c>
      <c r="F1519" t="s">
        <v>21</v>
      </c>
      <c r="G1519" t="s">
        <v>26</v>
      </c>
      <c r="H1519" t="s">
        <v>21</v>
      </c>
      <c r="I1519" t="s">
        <v>20</v>
      </c>
      <c r="J1519" t="s">
        <v>20</v>
      </c>
      <c r="K1519" t="s">
        <v>27</v>
      </c>
      <c r="L1519" t="s">
        <v>143</v>
      </c>
      <c r="M1519" t="s">
        <v>313</v>
      </c>
      <c r="N1519">
        <v>38.733516000000002</v>
      </c>
      <c r="O1519">
        <v>-112.965463</v>
      </c>
      <c r="P1519">
        <v>4780.9235070000004</v>
      </c>
      <c r="Q1519">
        <v>255</v>
      </c>
      <c r="R1519">
        <v>0</v>
      </c>
    </row>
    <row r="1520" spans="1:18" x14ac:dyDescent="0.25">
      <c r="A1520">
        <v>1519</v>
      </c>
      <c r="B1520">
        <v>94</v>
      </c>
      <c r="C1520">
        <v>31531731</v>
      </c>
      <c r="D1520" t="s">
        <v>390</v>
      </c>
      <c r="E1520">
        <v>23.521000000000001</v>
      </c>
      <c r="F1520" t="s">
        <v>21</v>
      </c>
      <c r="G1520" t="s">
        <v>20</v>
      </c>
      <c r="H1520" t="s">
        <v>21</v>
      </c>
      <c r="I1520" t="s">
        <v>20</v>
      </c>
      <c r="J1520" t="s">
        <v>20</v>
      </c>
      <c r="K1520" t="s">
        <v>22</v>
      </c>
      <c r="L1520" t="s">
        <v>60</v>
      </c>
      <c r="M1520" t="s">
        <v>335</v>
      </c>
      <c r="N1520">
        <v>40.398142</v>
      </c>
      <c r="O1520">
        <v>-111.589302</v>
      </c>
      <c r="P1520">
        <v>6523.6343800000004</v>
      </c>
      <c r="Q1520">
        <v>1386</v>
      </c>
      <c r="R1520">
        <v>0</v>
      </c>
    </row>
    <row r="1521" spans="1:18" x14ac:dyDescent="0.25">
      <c r="A1521">
        <v>1520</v>
      </c>
      <c r="B1521">
        <v>94</v>
      </c>
      <c r="C1521">
        <v>31433882</v>
      </c>
      <c r="D1521" t="s">
        <v>345</v>
      </c>
      <c r="E1521">
        <v>23.524000000000001</v>
      </c>
      <c r="F1521" t="s">
        <v>21</v>
      </c>
      <c r="G1521" t="s">
        <v>26</v>
      </c>
      <c r="H1521" t="s">
        <v>21</v>
      </c>
      <c r="I1521" t="s">
        <v>20</v>
      </c>
      <c r="J1521" t="s">
        <v>20</v>
      </c>
      <c r="K1521" t="s">
        <v>27</v>
      </c>
      <c r="L1521" t="s">
        <v>75</v>
      </c>
      <c r="M1521" t="s">
        <v>76</v>
      </c>
      <c r="N1521">
        <v>38.857824999999998</v>
      </c>
      <c r="O1521">
        <v>-111.970842</v>
      </c>
      <c r="P1521">
        <v>5195.7437669999999</v>
      </c>
      <c r="Q1521">
        <v>1403</v>
      </c>
      <c r="R1521">
        <v>0</v>
      </c>
    </row>
    <row r="1522" spans="1:18" x14ac:dyDescent="0.25">
      <c r="A1522">
        <v>1521</v>
      </c>
      <c r="B1522">
        <v>94</v>
      </c>
      <c r="C1522">
        <v>31512685</v>
      </c>
      <c r="D1522" t="s">
        <v>292</v>
      </c>
      <c r="E1522">
        <v>23.536999999999999</v>
      </c>
      <c r="F1522" t="s">
        <v>21</v>
      </c>
      <c r="G1522" t="s">
        <v>26</v>
      </c>
      <c r="H1522" t="s">
        <v>21</v>
      </c>
      <c r="I1522" t="s">
        <v>20</v>
      </c>
      <c r="J1522" t="s">
        <v>20</v>
      </c>
      <c r="K1522" t="s">
        <v>22</v>
      </c>
      <c r="L1522" t="s">
        <v>253</v>
      </c>
      <c r="M1522" t="s">
        <v>134</v>
      </c>
      <c r="N1522">
        <v>40.335403999999997</v>
      </c>
      <c r="O1522">
        <v>-110.275071</v>
      </c>
      <c r="P1522">
        <v>6163.2475279999999</v>
      </c>
      <c r="Q1522">
        <v>323</v>
      </c>
      <c r="R1522">
        <v>0</v>
      </c>
    </row>
    <row r="1523" spans="1:18" x14ac:dyDescent="0.25">
      <c r="A1523">
        <v>1522</v>
      </c>
      <c r="B1523">
        <v>94</v>
      </c>
      <c r="C1523" t="e">
        <f>-JODqdbTFz15mKA5aJ-l3k</f>
        <v>#NAME?</v>
      </c>
      <c r="D1523" t="s">
        <v>210</v>
      </c>
      <c r="E1523">
        <v>23.567</v>
      </c>
      <c r="F1523" t="s">
        <v>21</v>
      </c>
      <c r="G1523" t="s">
        <v>20</v>
      </c>
      <c r="H1523" t="s">
        <v>21</v>
      </c>
      <c r="I1523" t="s">
        <v>20</v>
      </c>
      <c r="J1523" t="s">
        <v>20</v>
      </c>
      <c r="K1523" t="s">
        <v>27</v>
      </c>
      <c r="L1523" t="s">
        <v>211</v>
      </c>
      <c r="M1523" t="s">
        <v>212</v>
      </c>
      <c r="N1523">
        <v>37.208074000000003</v>
      </c>
      <c r="O1523">
        <v>-109.16620500000001</v>
      </c>
      <c r="P1523">
        <v>4527.0940700000001</v>
      </c>
      <c r="Q1523">
        <v>344</v>
      </c>
      <c r="R1523">
        <v>0</v>
      </c>
    </row>
    <row r="1524" spans="1:18" x14ac:dyDescent="0.25">
      <c r="A1524">
        <v>1523</v>
      </c>
      <c r="B1524">
        <v>94</v>
      </c>
      <c r="C1524">
        <v>31306156</v>
      </c>
      <c r="D1524" t="s">
        <v>116</v>
      </c>
      <c r="E1524">
        <v>23.582999999999998</v>
      </c>
      <c r="F1524" t="s">
        <v>21</v>
      </c>
      <c r="G1524" t="s">
        <v>26</v>
      </c>
      <c r="H1524" t="s">
        <v>21</v>
      </c>
      <c r="I1524" t="s">
        <v>20</v>
      </c>
      <c r="J1524" t="s">
        <v>20</v>
      </c>
      <c r="K1524" t="s">
        <v>41</v>
      </c>
      <c r="L1524" t="s">
        <v>42</v>
      </c>
      <c r="M1524" t="s">
        <v>43</v>
      </c>
      <c r="N1524">
        <v>41.695594999999997</v>
      </c>
      <c r="O1524">
        <v>-111.86231100000001</v>
      </c>
      <c r="P1524">
        <v>4434.6798650000001</v>
      </c>
      <c r="Q1524">
        <v>324</v>
      </c>
      <c r="R1524">
        <v>0</v>
      </c>
    </row>
    <row r="1525" spans="1:18" x14ac:dyDescent="0.25">
      <c r="A1525">
        <v>1524</v>
      </c>
      <c r="B1525">
        <v>94</v>
      </c>
      <c r="C1525">
        <v>31283774</v>
      </c>
      <c r="D1525" t="s">
        <v>288</v>
      </c>
      <c r="E1525">
        <v>23.638999999999999</v>
      </c>
      <c r="F1525" t="s">
        <v>21</v>
      </c>
      <c r="G1525" t="s">
        <v>20</v>
      </c>
      <c r="H1525" t="s">
        <v>21</v>
      </c>
      <c r="I1525" t="s">
        <v>20</v>
      </c>
      <c r="J1525" t="s">
        <v>20</v>
      </c>
      <c r="K1525" t="s">
        <v>27</v>
      </c>
      <c r="L1525" t="s">
        <v>211</v>
      </c>
      <c r="M1525" t="s">
        <v>318</v>
      </c>
      <c r="N1525">
        <v>37.276586999999999</v>
      </c>
      <c r="O1525">
        <v>-109.584806</v>
      </c>
      <c r="P1525">
        <v>4270.5587589999996</v>
      </c>
      <c r="Q1525">
        <v>350</v>
      </c>
      <c r="R1525">
        <v>0</v>
      </c>
    </row>
    <row r="1526" spans="1:18" x14ac:dyDescent="0.25">
      <c r="A1526">
        <v>1525</v>
      </c>
      <c r="B1526">
        <v>94</v>
      </c>
      <c r="C1526">
        <v>31316811</v>
      </c>
      <c r="D1526" t="s">
        <v>347</v>
      </c>
      <c r="E1526">
        <v>20.728000000000002</v>
      </c>
      <c r="F1526" t="s">
        <v>21</v>
      </c>
      <c r="G1526" t="s">
        <v>26</v>
      </c>
      <c r="H1526" t="s">
        <v>21</v>
      </c>
      <c r="I1526" t="s">
        <v>20</v>
      </c>
      <c r="J1526" t="s">
        <v>20</v>
      </c>
      <c r="K1526" t="s">
        <v>41</v>
      </c>
      <c r="L1526" t="s">
        <v>325</v>
      </c>
      <c r="M1526" t="s">
        <v>204</v>
      </c>
      <c r="N1526">
        <v>41.665540999999997</v>
      </c>
      <c r="O1526">
        <v>-111.184955</v>
      </c>
      <c r="P1526">
        <v>6239.8048719999997</v>
      </c>
      <c r="Q1526">
        <v>1334</v>
      </c>
      <c r="R1526">
        <v>0</v>
      </c>
    </row>
    <row r="1527" spans="1:18" x14ac:dyDescent="0.25">
      <c r="A1527">
        <v>1526</v>
      </c>
      <c r="B1527">
        <v>94</v>
      </c>
      <c r="C1527">
        <v>31825927</v>
      </c>
      <c r="D1527" t="s">
        <v>61</v>
      </c>
      <c r="E1527">
        <v>20.731000000000002</v>
      </c>
      <c r="F1527" t="s">
        <v>21</v>
      </c>
      <c r="G1527" t="s">
        <v>26</v>
      </c>
      <c r="H1527" t="s">
        <v>19</v>
      </c>
      <c r="I1527">
        <v>222</v>
      </c>
      <c r="J1527" t="s">
        <v>20</v>
      </c>
      <c r="K1527" t="s">
        <v>22</v>
      </c>
      <c r="L1527" t="s">
        <v>60</v>
      </c>
      <c r="M1527" t="s">
        <v>328</v>
      </c>
      <c r="N1527">
        <v>40.410913000000001</v>
      </c>
      <c r="O1527">
        <v>-111.478212</v>
      </c>
      <c r="P1527">
        <v>5398.0343940000002</v>
      </c>
      <c r="Q1527">
        <v>403</v>
      </c>
      <c r="R1527">
        <v>0</v>
      </c>
    </row>
    <row r="1528" spans="1:18" x14ac:dyDescent="0.25">
      <c r="A1528">
        <v>1527</v>
      </c>
      <c r="B1528">
        <v>94</v>
      </c>
      <c r="C1528">
        <v>31756002</v>
      </c>
      <c r="D1528" t="s">
        <v>88</v>
      </c>
      <c r="E1528">
        <v>20.742000000000001</v>
      </c>
      <c r="F1528" t="s">
        <v>21</v>
      </c>
      <c r="G1528" t="s">
        <v>26</v>
      </c>
      <c r="H1528" t="s">
        <v>21</v>
      </c>
      <c r="I1528" t="s">
        <v>20</v>
      </c>
      <c r="J1528" t="s">
        <v>20</v>
      </c>
      <c r="K1528" t="s">
        <v>31</v>
      </c>
      <c r="L1528" t="s">
        <v>66</v>
      </c>
      <c r="M1528" t="s">
        <v>49</v>
      </c>
      <c r="N1528">
        <v>40.735593000000001</v>
      </c>
      <c r="O1528">
        <v>-111.871279</v>
      </c>
      <c r="P1528">
        <v>4225.4652640000004</v>
      </c>
      <c r="Q1528">
        <v>318</v>
      </c>
      <c r="R1528">
        <v>0</v>
      </c>
    </row>
    <row r="1529" spans="1:18" x14ac:dyDescent="0.25">
      <c r="A1529">
        <v>1528</v>
      </c>
      <c r="B1529">
        <v>94</v>
      </c>
      <c r="C1529">
        <v>31661542</v>
      </c>
      <c r="D1529" t="s">
        <v>306</v>
      </c>
      <c r="E1529">
        <v>2.3460000000000001</v>
      </c>
      <c r="F1529" t="s">
        <v>21</v>
      </c>
      <c r="G1529" t="s">
        <v>20</v>
      </c>
      <c r="H1529" t="s">
        <v>21</v>
      </c>
      <c r="I1529" t="s">
        <v>20</v>
      </c>
      <c r="J1529" t="s">
        <v>20</v>
      </c>
      <c r="K1529" t="s">
        <v>27</v>
      </c>
      <c r="L1529" t="s">
        <v>230</v>
      </c>
      <c r="M1529" t="s">
        <v>82</v>
      </c>
      <c r="N1529">
        <v>39.655774000000001</v>
      </c>
      <c r="O1529">
        <v>-111.294242</v>
      </c>
      <c r="P1529">
        <v>8749.3332790000004</v>
      </c>
      <c r="Q1529">
        <v>430</v>
      </c>
      <c r="R1529">
        <v>0</v>
      </c>
    </row>
    <row r="1530" spans="1:18" x14ac:dyDescent="0.25">
      <c r="A1530">
        <v>1529</v>
      </c>
      <c r="B1530">
        <v>94</v>
      </c>
      <c r="C1530">
        <v>28597155</v>
      </c>
      <c r="D1530" t="s">
        <v>148</v>
      </c>
      <c r="E1530">
        <v>2.3460000000000001</v>
      </c>
      <c r="F1530" t="s">
        <v>21</v>
      </c>
      <c r="G1530" t="s">
        <v>26</v>
      </c>
      <c r="H1530" t="s">
        <v>21</v>
      </c>
      <c r="I1530" t="s">
        <v>20</v>
      </c>
      <c r="J1530" t="s">
        <v>20</v>
      </c>
      <c r="K1530" t="s">
        <v>31</v>
      </c>
      <c r="L1530" t="s">
        <v>149</v>
      </c>
      <c r="M1530" t="s">
        <v>131</v>
      </c>
      <c r="N1530">
        <v>40.772947000000002</v>
      </c>
      <c r="O1530">
        <v>-111.387755</v>
      </c>
      <c r="P1530">
        <v>6101.3846030000004</v>
      </c>
      <c r="Q1530">
        <v>263</v>
      </c>
      <c r="R1530">
        <v>0</v>
      </c>
    </row>
    <row r="1531" spans="1:18" x14ac:dyDescent="0.25">
      <c r="A1531">
        <v>1530</v>
      </c>
      <c r="B1531">
        <v>94</v>
      </c>
      <c r="C1531">
        <v>31399209</v>
      </c>
      <c r="D1531" t="s">
        <v>224</v>
      </c>
      <c r="E1531">
        <v>2.3530000000000002</v>
      </c>
      <c r="F1531" t="s">
        <v>21</v>
      </c>
      <c r="G1531" t="s">
        <v>26</v>
      </c>
      <c r="H1531" t="s">
        <v>21</v>
      </c>
      <c r="I1531" t="s">
        <v>20</v>
      </c>
      <c r="J1531" t="s">
        <v>20</v>
      </c>
      <c r="K1531" t="s">
        <v>22</v>
      </c>
      <c r="L1531" t="s">
        <v>198</v>
      </c>
      <c r="M1531" t="s">
        <v>194</v>
      </c>
      <c r="N1531">
        <v>40.004061</v>
      </c>
      <c r="O1531">
        <v>-111.74901300000001</v>
      </c>
      <c r="P1531">
        <v>4660.5191500000001</v>
      </c>
      <c r="Q1531">
        <v>408</v>
      </c>
      <c r="R1531">
        <v>0</v>
      </c>
    </row>
    <row r="1532" spans="1:18" x14ac:dyDescent="0.25">
      <c r="A1532">
        <v>1531</v>
      </c>
      <c r="B1532">
        <v>94</v>
      </c>
      <c r="C1532">
        <v>27685425</v>
      </c>
      <c r="D1532" t="s">
        <v>217</v>
      </c>
      <c r="E1532">
        <v>2.3540000000000001</v>
      </c>
      <c r="F1532" t="s">
        <v>19</v>
      </c>
      <c r="G1532" t="s">
        <v>20</v>
      </c>
      <c r="H1532" t="s">
        <v>21</v>
      </c>
      <c r="I1532" t="s">
        <v>20</v>
      </c>
      <c r="J1532" t="s">
        <v>20</v>
      </c>
      <c r="K1532" t="s">
        <v>27</v>
      </c>
      <c r="L1532" t="s">
        <v>72</v>
      </c>
      <c r="M1532" t="s">
        <v>163</v>
      </c>
      <c r="N1532">
        <v>37.113297000000003</v>
      </c>
      <c r="O1532">
        <v>-113.59534499999999</v>
      </c>
      <c r="P1532">
        <v>2723.394198</v>
      </c>
      <c r="Q1532">
        <v>304</v>
      </c>
      <c r="R1532">
        <v>0</v>
      </c>
    </row>
    <row r="1533" spans="1:18" x14ac:dyDescent="0.25">
      <c r="A1533">
        <v>1532</v>
      </c>
      <c r="B1533">
        <v>94</v>
      </c>
      <c r="C1533">
        <v>31390950</v>
      </c>
      <c r="D1533" t="s">
        <v>124</v>
      </c>
      <c r="E1533">
        <v>2.9889999999999999</v>
      </c>
      <c r="F1533" t="s">
        <v>21</v>
      </c>
      <c r="G1533" t="s">
        <v>26</v>
      </c>
      <c r="H1533" t="s">
        <v>21</v>
      </c>
      <c r="I1533" t="s">
        <v>20</v>
      </c>
      <c r="J1533" t="s">
        <v>20</v>
      </c>
      <c r="K1533" t="s">
        <v>22</v>
      </c>
      <c r="L1533" t="s">
        <v>193</v>
      </c>
      <c r="M1533" t="s">
        <v>194</v>
      </c>
      <c r="N1533">
        <v>39.995368999999997</v>
      </c>
      <c r="O1533">
        <v>-111.957618</v>
      </c>
      <c r="P1533">
        <v>4587.1167830000004</v>
      </c>
      <c r="Q1533">
        <v>1368</v>
      </c>
      <c r="R1533">
        <v>0</v>
      </c>
    </row>
    <row r="1534" spans="1:18" x14ac:dyDescent="0.25">
      <c r="A1534">
        <v>1533</v>
      </c>
      <c r="B1534">
        <v>94</v>
      </c>
      <c r="C1534">
        <v>1725695</v>
      </c>
      <c r="D1534" t="s">
        <v>445</v>
      </c>
      <c r="E1534">
        <v>2.99</v>
      </c>
      <c r="F1534" t="s">
        <v>21</v>
      </c>
      <c r="G1534" t="s">
        <v>26</v>
      </c>
      <c r="H1534" t="s">
        <v>19</v>
      </c>
      <c r="I1534">
        <v>167</v>
      </c>
      <c r="J1534" t="s">
        <v>20</v>
      </c>
      <c r="K1534" t="s">
        <v>41</v>
      </c>
      <c r="L1534" t="s">
        <v>255</v>
      </c>
      <c r="M1534" t="s">
        <v>138</v>
      </c>
      <c r="N1534">
        <v>41.207163000000001</v>
      </c>
      <c r="O1534">
        <v>-111.814998</v>
      </c>
      <c r="P1534">
        <v>5977.0916770000003</v>
      </c>
      <c r="Q1534">
        <v>358</v>
      </c>
      <c r="R1534">
        <v>0</v>
      </c>
    </row>
    <row r="1535" spans="1:18" x14ac:dyDescent="0.25">
      <c r="A1535">
        <v>1534</v>
      </c>
      <c r="B1535">
        <v>94</v>
      </c>
      <c r="C1535">
        <v>7526195</v>
      </c>
      <c r="D1535" t="s">
        <v>322</v>
      </c>
      <c r="E1535">
        <v>2.9929999999999999</v>
      </c>
      <c r="F1535" t="s">
        <v>19</v>
      </c>
      <c r="G1535" t="s">
        <v>20</v>
      </c>
      <c r="H1535" t="s">
        <v>19</v>
      </c>
      <c r="I1535">
        <v>68</v>
      </c>
      <c r="J1535" t="s">
        <v>20</v>
      </c>
      <c r="K1535" t="s">
        <v>31</v>
      </c>
      <c r="L1535" t="s">
        <v>84</v>
      </c>
      <c r="M1535" t="s">
        <v>24</v>
      </c>
      <c r="N1535">
        <v>40.413330999999999</v>
      </c>
      <c r="O1535">
        <v>-111.92318</v>
      </c>
      <c r="P1535">
        <v>4614.5356279999996</v>
      </c>
      <c r="Q1535">
        <v>6660</v>
      </c>
      <c r="R1535">
        <v>0</v>
      </c>
    </row>
    <row r="1536" spans="1:18" x14ac:dyDescent="0.25">
      <c r="A1536">
        <v>1535</v>
      </c>
      <c r="B1536">
        <v>94</v>
      </c>
      <c r="C1536">
        <v>31519043</v>
      </c>
      <c r="D1536" t="s">
        <v>191</v>
      </c>
      <c r="E1536">
        <v>2.9950000000000001</v>
      </c>
      <c r="F1536" t="s">
        <v>21</v>
      </c>
      <c r="G1536" t="s">
        <v>26</v>
      </c>
      <c r="H1536" t="s">
        <v>21</v>
      </c>
      <c r="I1536" t="s">
        <v>20</v>
      </c>
      <c r="J1536" t="s">
        <v>20</v>
      </c>
      <c r="K1536" t="s">
        <v>41</v>
      </c>
      <c r="L1536" t="s">
        <v>57</v>
      </c>
      <c r="M1536" t="s">
        <v>190</v>
      </c>
      <c r="N1536">
        <v>41.132596999999997</v>
      </c>
      <c r="O1536">
        <v>-112.11258100000001</v>
      </c>
      <c r="P1536">
        <v>4181.1729869999999</v>
      </c>
      <c r="Q1536">
        <v>329</v>
      </c>
      <c r="R1536">
        <v>0</v>
      </c>
    </row>
    <row r="1537" spans="1:18" x14ac:dyDescent="0.25">
      <c r="A1537">
        <v>1536</v>
      </c>
      <c r="B1537">
        <v>94</v>
      </c>
      <c r="C1537">
        <v>539655</v>
      </c>
      <c r="D1537" t="s">
        <v>77</v>
      </c>
      <c r="E1537">
        <v>2.9950000000000001</v>
      </c>
      <c r="F1537" t="s">
        <v>19</v>
      </c>
      <c r="G1537" t="s">
        <v>20</v>
      </c>
      <c r="H1537" t="s">
        <v>21</v>
      </c>
      <c r="I1537" t="s">
        <v>20</v>
      </c>
      <c r="J1537" t="s">
        <v>20</v>
      </c>
      <c r="K1537" t="s">
        <v>31</v>
      </c>
      <c r="L1537" t="s">
        <v>78</v>
      </c>
      <c r="M1537" t="s">
        <v>79</v>
      </c>
      <c r="N1537">
        <v>40.682074999999998</v>
      </c>
      <c r="O1537">
        <v>-112.024754</v>
      </c>
      <c r="P1537">
        <v>4396.4618309999996</v>
      </c>
      <c r="Q1537">
        <v>1436</v>
      </c>
      <c r="R1537">
        <v>0</v>
      </c>
    </row>
    <row r="1538" spans="1:18" x14ac:dyDescent="0.25">
      <c r="A1538">
        <v>1537</v>
      </c>
      <c r="B1538">
        <v>94</v>
      </c>
      <c r="C1538">
        <v>31569922</v>
      </c>
      <c r="D1538" t="s">
        <v>172</v>
      </c>
      <c r="E1538">
        <v>28.443999999999999</v>
      </c>
      <c r="F1538" t="s">
        <v>21</v>
      </c>
      <c r="G1538" t="s">
        <v>26</v>
      </c>
      <c r="H1538" t="s">
        <v>21</v>
      </c>
      <c r="I1538" t="s">
        <v>20</v>
      </c>
      <c r="J1538" t="s">
        <v>20</v>
      </c>
      <c r="K1538" t="s">
        <v>22</v>
      </c>
      <c r="L1538" t="s">
        <v>155</v>
      </c>
      <c r="M1538" t="s">
        <v>174</v>
      </c>
      <c r="N1538">
        <v>39.702334999999998</v>
      </c>
      <c r="O1538">
        <v>-111.924038</v>
      </c>
      <c r="P1538">
        <v>5117.0078050000002</v>
      </c>
      <c r="Q1538">
        <v>1411</v>
      </c>
      <c r="R1538">
        <v>0</v>
      </c>
    </row>
    <row r="1539" spans="1:18" x14ac:dyDescent="0.25">
      <c r="A1539">
        <v>1538</v>
      </c>
      <c r="B1539">
        <v>94</v>
      </c>
      <c r="C1539">
        <v>31714768</v>
      </c>
      <c r="D1539" t="s">
        <v>323</v>
      </c>
      <c r="E1539">
        <v>28.452999999999999</v>
      </c>
      <c r="F1539" t="s">
        <v>21</v>
      </c>
      <c r="G1539" t="s">
        <v>20</v>
      </c>
      <c r="H1539" t="s">
        <v>21</v>
      </c>
      <c r="I1539" t="s">
        <v>20</v>
      </c>
      <c r="J1539" t="s">
        <v>20</v>
      </c>
      <c r="K1539" t="s">
        <v>31</v>
      </c>
      <c r="L1539" t="s">
        <v>149</v>
      </c>
      <c r="M1539" t="s">
        <v>131</v>
      </c>
      <c r="N1539">
        <v>40.808956999999999</v>
      </c>
      <c r="O1539">
        <v>-111.407628</v>
      </c>
      <c r="P1539">
        <v>5813.25209</v>
      </c>
      <c r="Q1539">
        <v>1345</v>
      </c>
      <c r="R1539">
        <v>0</v>
      </c>
    </row>
    <row r="1540" spans="1:18" x14ac:dyDescent="0.25">
      <c r="A1540">
        <v>1539</v>
      </c>
      <c r="B1540">
        <v>94</v>
      </c>
      <c r="C1540" t="e">
        <f>-JX_YcR6F4Ty2yBo4wtyEk</f>
        <v>#NAME?</v>
      </c>
      <c r="D1540" t="s">
        <v>265</v>
      </c>
      <c r="E1540">
        <v>28.471</v>
      </c>
      <c r="F1540" t="s">
        <v>21</v>
      </c>
      <c r="G1540" t="s">
        <v>20</v>
      </c>
      <c r="H1540" t="s">
        <v>21</v>
      </c>
      <c r="I1540" t="s">
        <v>20</v>
      </c>
      <c r="J1540" t="s">
        <v>20</v>
      </c>
      <c r="K1540" t="s">
        <v>27</v>
      </c>
      <c r="L1540" t="s">
        <v>183</v>
      </c>
      <c r="M1540" t="s">
        <v>267</v>
      </c>
      <c r="N1540">
        <v>38.693432999999999</v>
      </c>
      <c r="O1540">
        <v>-111.396168</v>
      </c>
      <c r="P1540">
        <v>7689.343844</v>
      </c>
      <c r="Q1540">
        <v>1371</v>
      </c>
      <c r="R1540">
        <v>0</v>
      </c>
    </row>
    <row r="1541" spans="1:18" x14ac:dyDescent="0.25">
      <c r="A1541">
        <v>1540</v>
      </c>
      <c r="B1541">
        <v>94</v>
      </c>
      <c r="C1541">
        <v>31895875</v>
      </c>
      <c r="D1541" t="s">
        <v>61</v>
      </c>
      <c r="E1541">
        <v>28.475999999999999</v>
      </c>
      <c r="F1541" t="s">
        <v>21</v>
      </c>
      <c r="G1541" t="s">
        <v>26</v>
      </c>
      <c r="H1541" t="s">
        <v>21</v>
      </c>
      <c r="I1541" t="s">
        <v>20</v>
      </c>
      <c r="J1541" t="s">
        <v>20</v>
      </c>
      <c r="K1541" t="s">
        <v>22</v>
      </c>
      <c r="L1541" t="s">
        <v>35</v>
      </c>
      <c r="M1541" t="s">
        <v>328</v>
      </c>
      <c r="N1541">
        <v>40.489114000000001</v>
      </c>
      <c r="O1541">
        <v>-111.41938</v>
      </c>
      <c r="P1541">
        <v>5579.2139289999996</v>
      </c>
      <c r="Q1541">
        <v>403</v>
      </c>
      <c r="R1541">
        <v>0</v>
      </c>
    </row>
    <row r="1542" spans="1:18" x14ac:dyDescent="0.25">
      <c r="A1542">
        <v>1541</v>
      </c>
      <c r="B1542">
        <v>94</v>
      </c>
      <c r="C1542">
        <v>28158564</v>
      </c>
      <c r="D1542" t="s">
        <v>220</v>
      </c>
      <c r="E1542">
        <v>28.48</v>
      </c>
      <c r="F1542" t="s">
        <v>21</v>
      </c>
      <c r="G1542" t="s">
        <v>26</v>
      </c>
      <c r="H1542" t="s">
        <v>21</v>
      </c>
      <c r="I1542" t="s">
        <v>20</v>
      </c>
      <c r="J1542" t="s">
        <v>20</v>
      </c>
      <c r="K1542" t="s">
        <v>27</v>
      </c>
      <c r="L1542" t="s">
        <v>28</v>
      </c>
      <c r="M1542" t="s">
        <v>29</v>
      </c>
      <c r="N1542">
        <v>37.562708999999998</v>
      </c>
      <c r="O1542">
        <v>-112.006316</v>
      </c>
      <c r="P1542">
        <v>5890.1683190000003</v>
      </c>
      <c r="Q1542">
        <v>1328</v>
      </c>
      <c r="R1542">
        <v>0</v>
      </c>
    </row>
    <row r="1543" spans="1:18" x14ac:dyDescent="0.25">
      <c r="A1543">
        <v>1542</v>
      </c>
      <c r="B1543">
        <v>94</v>
      </c>
      <c r="C1543" t="e">
        <f>-Ip_LkExGpiW1wFAJ3Gmok</f>
        <v>#NAME?</v>
      </c>
      <c r="D1543" t="s">
        <v>272</v>
      </c>
      <c r="E1543">
        <v>28.501999999999999</v>
      </c>
      <c r="F1543" t="s">
        <v>21</v>
      </c>
      <c r="G1543" t="s">
        <v>20</v>
      </c>
      <c r="H1543" t="s">
        <v>21</v>
      </c>
      <c r="I1543" t="s">
        <v>20</v>
      </c>
      <c r="J1543" t="s">
        <v>20</v>
      </c>
      <c r="K1543" t="s">
        <v>27</v>
      </c>
      <c r="L1543" t="s">
        <v>259</v>
      </c>
      <c r="M1543" t="s">
        <v>214</v>
      </c>
      <c r="N1543">
        <v>37.167178999999997</v>
      </c>
      <c r="O1543">
        <v>-111.97148300000001</v>
      </c>
      <c r="P1543">
        <v>4893.6397999999999</v>
      </c>
      <c r="Q1543">
        <v>1384</v>
      </c>
      <c r="R1543">
        <v>0</v>
      </c>
    </row>
    <row r="1544" spans="1:18" x14ac:dyDescent="0.25">
      <c r="A1544">
        <v>1543</v>
      </c>
      <c r="B1544">
        <v>94</v>
      </c>
      <c r="C1544">
        <v>28628519</v>
      </c>
      <c r="D1544" t="s">
        <v>142</v>
      </c>
      <c r="E1544">
        <v>28.948</v>
      </c>
      <c r="F1544" t="s">
        <v>21</v>
      </c>
      <c r="G1544" t="s">
        <v>26</v>
      </c>
      <c r="H1544" t="s">
        <v>21</v>
      </c>
      <c r="I1544" t="s">
        <v>20</v>
      </c>
      <c r="J1544" t="s">
        <v>20</v>
      </c>
      <c r="K1544" t="s">
        <v>27</v>
      </c>
      <c r="L1544" t="s">
        <v>143</v>
      </c>
      <c r="M1544" t="s">
        <v>106</v>
      </c>
      <c r="N1544">
        <v>38.583846999999999</v>
      </c>
      <c r="O1544">
        <v>-113.811852</v>
      </c>
      <c r="P1544">
        <v>5632.5485879999997</v>
      </c>
      <c r="Q1544">
        <v>305</v>
      </c>
      <c r="R1544">
        <v>0</v>
      </c>
    </row>
    <row r="1545" spans="1:18" x14ac:dyDescent="0.25">
      <c r="A1545">
        <v>1544</v>
      </c>
      <c r="B1545">
        <v>94</v>
      </c>
      <c r="C1545">
        <v>31500388</v>
      </c>
      <c r="D1545" t="s">
        <v>317</v>
      </c>
      <c r="E1545">
        <v>28.957999999999998</v>
      </c>
      <c r="F1545" t="s">
        <v>21</v>
      </c>
      <c r="G1545" t="s">
        <v>26</v>
      </c>
      <c r="H1545" t="s">
        <v>21</v>
      </c>
      <c r="I1545" t="s">
        <v>20</v>
      </c>
      <c r="J1545" t="s">
        <v>20</v>
      </c>
      <c r="K1545" t="s">
        <v>27</v>
      </c>
      <c r="L1545" t="s">
        <v>211</v>
      </c>
      <c r="M1545" t="s">
        <v>212</v>
      </c>
      <c r="N1545">
        <v>37.234910999999997</v>
      </c>
      <c r="O1545">
        <v>-109.814229</v>
      </c>
      <c r="P1545">
        <v>4386.6826689999998</v>
      </c>
      <c r="Q1545">
        <v>1432</v>
      </c>
      <c r="R1545">
        <v>0</v>
      </c>
    </row>
    <row r="1546" spans="1:18" x14ac:dyDescent="0.25">
      <c r="A1546">
        <v>1545</v>
      </c>
      <c r="B1546">
        <v>94</v>
      </c>
      <c r="C1546">
        <v>31393336</v>
      </c>
      <c r="D1546" t="s">
        <v>124</v>
      </c>
      <c r="E1546">
        <v>28.978000000000002</v>
      </c>
      <c r="F1546" t="s">
        <v>21</v>
      </c>
      <c r="G1546" t="s">
        <v>26</v>
      </c>
      <c r="H1546" t="s">
        <v>21</v>
      </c>
      <c r="I1546" t="s">
        <v>20</v>
      </c>
      <c r="J1546" t="s">
        <v>20</v>
      </c>
      <c r="K1546" t="s">
        <v>22</v>
      </c>
      <c r="L1546" t="s">
        <v>84</v>
      </c>
      <c r="M1546" t="s">
        <v>194</v>
      </c>
      <c r="N1546">
        <v>40.333742000000001</v>
      </c>
      <c r="O1546">
        <v>-111.91325999999999</v>
      </c>
      <c r="P1546">
        <v>4497.8588360000003</v>
      </c>
      <c r="Q1546">
        <v>1368</v>
      </c>
      <c r="R1546">
        <v>0</v>
      </c>
    </row>
    <row r="1547" spans="1:18" x14ac:dyDescent="0.25">
      <c r="A1547">
        <v>1546</v>
      </c>
      <c r="B1547">
        <v>94</v>
      </c>
      <c r="C1547">
        <v>28568620</v>
      </c>
      <c r="D1547" t="s">
        <v>323</v>
      </c>
      <c r="E1547">
        <v>28.981999999999999</v>
      </c>
      <c r="F1547" t="s">
        <v>21</v>
      </c>
      <c r="G1547" t="s">
        <v>26</v>
      </c>
      <c r="H1547" t="s">
        <v>21</v>
      </c>
      <c r="I1547" t="s">
        <v>20</v>
      </c>
      <c r="J1547" t="s">
        <v>20</v>
      </c>
      <c r="K1547" t="s">
        <v>31</v>
      </c>
      <c r="L1547" t="s">
        <v>149</v>
      </c>
      <c r="M1547" t="s">
        <v>131</v>
      </c>
      <c r="N1547">
        <v>40.813108999999997</v>
      </c>
      <c r="O1547">
        <v>-111.40182900000001</v>
      </c>
      <c r="P1547">
        <v>5788.7900330000002</v>
      </c>
      <c r="Q1547">
        <v>1345</v>
      </c>
      <c r="R1547">
        <v>0</v>
      </c>
    </row>
    <row r="1548" spans="1:18" x14ac:dyDescent="0.25">
      <c r="A1548">
        <v>1547</v>
      </c>
      <c r="B1548">
        <v>94</v>
      </c>
      <c r="C1548">
        <v>31476015</v>
      </c>
      <c r="D1548" t="s">
        <v>213</v>
      </c>
      <c r="E1548">
        <v>28.981999999999999</v>
      </c>
      <c r="F1548" t="s">
        <v>21</v>
      </c>
      <c r="G1548" t="s">
        <v>20</v>
      </c>
      <c r="H1548" t="s">
        <v>21</v>
      </c>
      <c r="I1548" t="s">
        <v>20</v>
      </c>
      <c r="J1548" t="s">
        <v>20</v>
      </c>
      <c r="K1548" t="s">
        <v>27</v>
      </c>
      <c r="L1548" t="s">
        <v>173</v>
      </c>
      <c r="M1548" t="s">
        <v>214</v>
      </c>
      <c r="N1548">
        <v>39.086320000000001</v>
      </c>
      <c r="O1548">
        <v>-113.53133</v>
      </c>
      <c r="P1548">
        <v>4919.9256569999998</v>
      </c>
      <c r="Q1548">
        <v>1332</v>
      </c>
      <c r="R1548">
        <v>0</v>
      </c>
    </row>
    <row r="1549" spans="1:18" x14ac:dyDescent="0.25">
      <c r="A1549">
        <v>1548</v>
      </c>
      <c r="B1549">
        <v>94</v>
      </c>
      <c r="C1549">
        <v>31617505</v>
      </c>
      <c r="D1549" t="s">
        <v>50</v>
      </c>
      <c r="E1549">
        <v>28.984000000000002</v>
      </c>
      <c r="F1549" t="s">
        <v>21</v>
      </c>
      <c r="G1549" t="s">
        <v>26</v>
      </c>
      <c r="H1549" t="s">
        <v>21</v>
      </c>
      <c r="I1549" t="s">
        <v>20</v>
      </c>
      <c r="J1549" t="s">
        <v>20</v>
      </c>
      <c r="K1549" t="s">
        <v>27</v>
      </c>
      <c r="L1549" t="s">
        <v>247</v>
      </c>
      <c r="M1549" t="s">
        <v>52</v>
      </c>
      <c r="N1549">
        <v>37.656396999999998</v>
      </c>
      <c r="O1549">
        <v>-112.669157</v>
      </c>
      <c r="P1549">
        <v>8565.7673119999999</v>
      </c>
      <c r="Q1549">
        <v>1418</v>
      </c>
      <c r="R1549">
        <v>0</v>
      </c>
    </row>
    <row r="1550" spans="1:18" x14ac:dyDescent="0.25">
      <c r="A1550">
        <v>1549</v>
      </c>
      <c r="B1550">
        <v>94</v>
      </c>
      <c r="C1550">
        <v>766435</v>
      </c>
      <c r="D1550" t="s">
        <v>68</v>
      </c>
      <c r="E1550">
        <v>2.8610000000000002</v>
      </c>
      <c r="F1550" t="s">
        <v>19</v>
      </c>
      <c r="G1550" t="s">
        <v>20</v>
      </c>
      <c r="H1550" t="s">
        <v>21</v>
      </c>
      <c r="I1550" t="s">
        <v>20</v>
      </c>
      <c r="J1550" t="s">
        <v>20</v>
      </c>
      <c r="K1550" t="s">
        <v>31</v>
      </c>
      <c r="L1550" t="s">
        <v>69</v>
      </c>
      <c r="M1550" t="s">
        <v>70</v>
      </c>
      <c r="N1550">
        <v>40.674478999999998</v>
      </c>
      <c r="O1550">
        <v>-111.901116</v>
      </c>
      <c r="P1550">
        <v>4198.7767359999998</v>
      </c>
      <c r="Q1550">
        <v>431</v>
      </c>
      <c r="R1550">
        <v>0</v>
      </c>
    </row>
    <row r="1551" spans="1:18" x14ac:dyDescent="0.25">
      <c r="A1551">
        <v>1550</v>
      </c>
      <c r="B1551">
        <v>94</v>
      </c>
      <c r="C1551">
        <v>29012098</v>
      </c>
      <c r="D1551" t="s">
        <v>108</v>
      </c>
      <c r="E1551">
        <v>2.8610000000000002</v>
      </c>
      <c r="F1551" t="s">
        <v>19</v>
      </c>
      <c r="G1551" t="s">
        <v>20</v>
      </c>
      <c r="H1551" t="s">
        <v>21</v>
      </c>
      <c r="I1551" t="s">
        <v>20</v>
      </c>
      <c r="J1551" t="s">
        <v>20</v>
      </c>
      <c r="K1551" t="s">
        <v>41</v>
      </c>
      <c r="L1551" t="s">
        <v>81</v>
      </c>
      <c r="M1551" t="s">
        <v>93</v>
      </c>
      <c r="N1551">
        <v>41.190452000000001</v>
      </c>
      <c r="O1551">
        <v>-111.981397</v>
      </c>
      <c r="P1551">
        <v>4310.3194560000002</v>
      </c>
      <c r="Q1551">
        <v>1341</v>
      </c>
      <c r="R1551">
        <v>0</v>
      </c>
    </row>
    <row r="1552" spans="1:18" x14ac:dyDescent="0.25">
      <c r="A1552">
        <v>1551</v>
      </c>
      <c r="B1552">
        <v>94</v>
      </c>
      <c r="C1552">
        <v>31408507</v>
      </c>
      <c r="D1552" t="s">
        <v>74</v>
      </c>
      <c r="E1552">
        <v>2.8620000000000001</v>
      </c>
      <c r="F1552" t="s">
        <v>21</v>
      </c>
      <c r="G1552" t="s">
        <v>26</v>
      </c>
      <c r="H1552" t="s">
        <v>21</v>
      </c>
      <c r="I1552" t="s">
        <v>20</v>
      </c>
      <c r="J1552" t="s">
        <v>20</v>
      </c>
      <c r="K1552" t="s">
        <v>27</v>
      </c>
      <c r="L1552" t="s">
        <v>75</v>
      </c>
      <c r="M1552" t="s">
        <v>76</v>
      </c>
      <c r="N1552">
        <v>38.776088999999999</v>
      </c>
      <c r="O1552">
        <v>-112.084784</v>
      </c>
      <c r="P1552">
        <v>5316.8295939999998</v>
      </c>
      <c r="Q1552">
        <v>332</v>
      </c>
      <c r="R1552">
        <v>0</v>
      </c>
    </row>
    <row r="1553" spans="1:18" x14ac:dyDescent="0.25">
      <c r="A1553">
        <v>1552</v>
      </c>
      <c r="B1553">
        <v>94</v>
      </c>
      <c r="C1553">
        <v>31318884</v>
      </c>
      <c r="D1553" t="s">
        <v>413</v>
      </c>
      <c r="E1553">
        <v>2.863</v>
      </c>
      <c r="F1553" t="s">
        <v>21</v>
      </c>
      <c r="G1553" t="s">
        <v>26</v>
      </c>
      <c r="H1553" t="s">
        <v>21</v>
      </c>
      <c r="I1553" t="s">
        <v>20</v>
      </c>
      <c r="J1553" t="s">
        <v>20</v>
      </c>
      <c r="K1553" t="s">
        <v>31</v>
      </c>
      <c r="L1553" t="s">
        <v>78</v>
      </c>
      <c r="M1553" t="s">
        <v>206</v>
      </c>
      <c r="N1553">
        <v>40.727891999999997</v>
      </c>
      <c r="O1553">
        <v>-112.169603</v>
      </c>
      <c r="P1553">
        <v>4182.5482330000004</v>
      </c>
      <c r="Q1553">
        <v>411</v>
      </c>
      <c r="R1553">
        <v>0</v>
      </c>
    </row>
    <row r="1554" spans="1:18" x14ac:dyDescent="0.25">
      <c r="A1554">
        <v>1553</v>
      </c>
      <c r="B1554">
        <v>94</v>
      </c>
      <c r="C1554" t="e">
        <f>-Ioq16N3IPahrkW4TrgqHV</f>
        <v>#NAME?</v>
      </c>
      <c r="D1554" t="s">
        <v>272</v>
      </c>
      <c r="E1554">
        <v>349.27300000000002</v>
      </c>
      <c r="F1554" t="s">
        <v>19</v>
      </c>
      <c r="G1554" t="s">
        <v>20</v>
      </c>
      <c r="H1554" t="s">
        <v>21</v>
      </c>
      <c r="I1554" t="s">
        <v>20</v>
      </c>
      <c r="J1554" t="s">
        <v>20</v>
      </c>
      <c r="K1554" t="s">
        <v>22</v>
      </c>
      <c r="L1554" t="s">
        <v>84</v>
      </c>
      <c r="M1554" t="s">
        <v>125</v>
      </c>
      <c r="N1554">
        <v>40.383032999999998</v>
      </c>
      <c r="O1554">
        <v>-111.814559</v>
      </c>
      <c r="P1554">
        <v>4501.8713660000003</v>
      </c>
      <c r="Q1554">
        <v>1384</v>
      </c>
      <c r="R1554">
        <v>0</v>
      </c>
    </row>
    <row r="1555" spans="1:18" x14ac:dyDescent="0.25">
      <c r="A1555">
        <v>1554</v>
      </c>
      <c r="B1555">
        <v>94</v>
      </c>
      <c r="C1555" t="e">
        <f>-Ioq3OsWHTiu4LEe6LxhlV</f>
        <v>#NAME?</v>
      </c>
      <c r="D1555" t="s">
        <v>272</v>
      </c>
      <c r="E1555">
        <v>349.53699999999998</v>
      </c>
      <c r="F1555" t="s">
        <v>21</v>
      </c>
      <c r="G1555" t="s">
        <v>26</v>
      </c>
      <c r="H1555" t="s">
        <v>21</v>
      </c>
      <c r="I1555" t="s">
        <v>20</v>
      </c>
      <c r="J1555" t="s">
        <v>20</v>
      </c>
      <c r="K1555" t="s">
        <v>22</v>
      </c>
      <c r="L1555" t="s">
        <v>84</v>
      </c>
      <c r="M1555" t="s">
        <v>125</v>
      </c>
      <c r="N1555">
        <v>40.385443000000002</v>
      </c>
      <c r="O1555">
        <v>-111.818226</v>
      </c>
      <c r="P1555">
        <v>4493.8072579999998</v>
      </c>
      <c r="Q1555">
        <v>1384</v>
      </c>
      <c r="R1555">
        <v>0</v>
      </c>
    </row>
    <row r="1556" spans="1:18" x14ac:dyDescent="0.25">
      <c r="A1556">
        <v>1555</v>
      </c>
      <c r="B1556">
        <v>94</v>
      </c>
      <c r="C1556">
        <v>31771050</v>
      </c>
      <c r="D1556" t="s">
        <v>353</v>
      </c>
      <c r="E1556">
        <v>27.41</v>
      </c>
      <c r="F1556" t="s">
        <v>21</v>
      </c>
      <c r="G1556" t="s">
        <v>26</v>
      </c>
      <c r="H1556" t="s">
        <v>19</v>
      </c>
      <c r="I1556">
        <v>86</v>
      </c>
      <c r="J1556" t="s">
        <v>20</v>
      </c>
      <c r="K1556" t="s">
        <v>31</v>
      </c>
      <c r="L1556" t="s">
        <v>433</v>
      </c>
      <c r="M1556" t="s">
        <v>138</v>
      </c>
      <c r="N1556">
        <v>41.020541000000001</v>
      </c>
      <c r="O1556">
        <v>-111.501076</v>
      </c>
      <c r="P1556">
        <v>5295.3844010000003</v>
      </c>
      <c r="Q1556">
        <v>1367</v>
      </c>
      <c r="R1556">
        <v>0</v>
      </c>
    </row>
    <row r="1557" spans="1:18" x14ac:dyDescent="0.25">
      <c r="A1557">
        <v>1556</v>
      </c>
      <c r="B1557">
        <v>94</v>
      </c>
      <c r="C1557">
        <v>31310486</v>
      </c>
      <c r="D1557" t="s">
        <v>116</v>
      </c>
      <c r="E1557">
        <v>27.414000000000001</v>
      </c>
      <c r="F1557" t="s">
        <v>21</v>
      </c>
      <c r="G1557" t="s">
        <v>26</v>
      </c>
      <c r="H1557" t="s">
        <v>21</v>
      </c>
      <c r="I1557" t="s">
        <v>20</v>
      </c>
      <c r="J1557" t="s">
        <v>20</v>
      </c>
      <c r="K1557" t="s">
        <v>41</v>
      </c>
      <c r="L1557" t="s">
        <v>95</v>
      </c>
      <c r="M1557" t="s">
        <v>117</v>
      </c>
      <c r="N1557">
        <v>41.742919999999998</v>
      </c>
      <c r="O1557">
        <v>-111.834672</v>
      </c>
      <c r="P1557">
        <v>4472.5792499999998</v>
      </c>
      <c r="Q1557">
        <v>324</v>
      </c>
      <c r="R1557">
        <v>0</v>
      </c>
    </row>
    <row r="1558" spans="1:18" x14ac:dyDescent="0.25">
      <c r="A1558">
        <v>1557</v>
      </c>
      <c r="B1558">
        <v>94</v>
      </c>
      <c r="C1558" t="e">
        <f>-IpV6xwcFg9b10Pv1PcVrV</f>
        <v>#NAME?</v>
      </c>
      <c r="D1558" t="s">
        <v>284</v>
      </c>
      <c r="E1558">
        <v>27.443000000000001</v>
      </c>
      <c r="F1558" t="s">
        <v>21</v>
      </c>
      <c r="G1558" t="s">
        <v>20</v>
      </c>
      <c r="H1558" t="s">
        <v>21</v>
      </c>
      <c r="I1558" t="s">
        <v>20</v>
      </c>
      <c r="J1558" t="s">
        <v>20</v>
      </c>
      <c r="K1558" t="s">
        <v>31</v>
      </c>
      <c r="L1558" t="s">
        <v>285</v>
      </c>
      <c r="M1558" t="s">
        <v>206</v>
      </c>
      <c r="N1558">
        <v>40.615414000000001</v>
      </c>
      <c r="O1558">
        <v>-112.70338599999999</v>
      </c>
      <c r="P1558">
        <v>4275.9536639999997</v>
      </c>
      <c r="Q1558">
        <v>407</v>
      </c>
      <c r="R1558">
        <v>0</v>
      </c>
    </row>
    <row r="1559" spans="1:18" x14ac:dyDescent="0.25">
      <c r="A1559">
        <v>1558</v>
      </c>
      <c r="B1559">
        <v>94</v>
      </c>
      <c r="C1559">
        <v>31282620</v>
      </c>
      <c r="D1559" t="s">
        <v>241</v>
      </c>
      <c r="E1559">
        <v>27.471</v>
      </c>
      <c r="F1559" t="s">
        <v>21</v>
      </c>
      <c r="G1559" t="s">
        <v>26</v>
      </c>
      <c r="H1559" t="s">
        <v>21</v>
      </c>
      <c r="I1559" t="s">
        <v>20</v>
      </c>
      <c r="J1559" t="s">
        <v>20</v>
      </c>
      <c r="K1559" t="s">
        <v>27</v>
      </c>
      <c r="L1559" t="s">
        <v>242</v>
      </c>
      <c r="M1559" t="s">
        <v>243</v>
      </c>
      <c r="N1559">
        <v>39.099046000000001</v>
      </c>
      <c r="O1559">
        <v>-111.13199</v>
      </c>
      <c r="P1559">
        <v>5976.9313389999998</v>
      </c>
      <c r="Q1559">
        <v>1327</v>
      </c>
      <c r="R1559">
        <v>0</v>
      </c>
    </row>
    <row r="1560" spans="1:18" x14ac:dyDescent="0.25">
      <c r="A1560">
        <v>1559</v>
      </c>
      <c r="B1560">
        <v>94</v>
      </c>
      <c r="C1560">
        <v>31792317</v>
      </c>
      <c r="D1560" t="s">
        <v>61</v>
      </c>
      <c r="E1560">
        <v>2.5550000000000002</v>
      </c>
      <c r="F1560" t="s">
        <v>19</v>
      </c>
      <c r="G1560" t="s">
        <v>20</v>
      </c>
      <c r="H1560" t="s">
        <v>21</v>
      </c>
      <c r="I1560" t="s">
        <v>20</v>
      </c>
      <c r="J1560" t="s">
        <v>20</v>
      </c>
      <c r="K1560" t="s">
        <v>22</v>
      </c>
      <c r="L1560" t="s">
        <v>23</v>
      </c>
      <c r="M1560" t="s">
        <v>62</v>
      </c>
      <c r="N1560">
        <v>40.243045000000002</v>
      </c>
      <c r="O1560">
        <v>-111.658648</v>
      </c>
      <c r="P1560">
        <v>4511.7756239999999</v>
      </c>
      <c r="Q1560">
        <v>403</v>
      </c>
      <c r="R1560">
        <v>0</v>
      </c>
    </row>
    <row r="1561" spans="1:18" x14ac:dyDescent="0.25">
      <c r="A1561">
        <v>1560</v>
      </c>
      <c r="B1561">
        <v>94</v>
      </c>
      <c r="C1561">
        <v>484976</v>
      </c>
      <c r="D1561" t="s">
        <v>83</v>
      </c>
      <c r="E1561">
        <v>2.5550000000000002</v>
      </c>
      <c r="F1561" t="s">
        <v>21</v>
      </c>
      <c r="G1561" t="s">
        <v>26</v>
      </c>
      <c r="H1561" t="s">
        <v>21</v>
      </c>
      <c r="I1561" t="s">
        <v>20</v>
      </c>
      <c r="J1561" t="s">
        <v>20</v>
      </c>
      <c r="K1561" t="s">
        <v>22</v>
      </c>
      <c r="L1561" t="s">
        <v>84</v>
      </c>
      <c r="M1561" t="s">
        <v>85</v>
      </c>
      <c r="N1561">
        <v>40.412700999999998</v>
      </c>
      <c r="O1561">
        <v>-111.788461</v>
      </c>
      <c r="P1561">
        <v>4784.7442979999996</v>
      </c>
      <c r="Q1561">
        <v>319</v>
      </c>
      <c r="R1561">
        <v>0</v>
      </c>
    </row>
    <row r="1562" spans="1:18" x14ac:dyDescent="0.25">
      <c r="A1562">
        <v>1561</v>
      </c>
      <c r="B1562">
        <v>94</v>
      </c>
      <c r="C1562">
        <v>31525655</v>
      </c>
      <c r="D1562" t="s">
        <v>252</v>
      </c>
      <c r="E1562">
        <v>2.556</v>
      </c>
      <c r="F1562" t="s">
        <v>21</v>
      </c>
      <c r="G1562" t="s">
        <v>26</v>
      </c>
      <c r="H1562" t="s">
        <v>21</v>
      </c>
      <c r="I1562" t="s">
        <v>20</v>
      </c>
      <c r="J1562" t="s">
        <v>20</v>
      </c>
      <c r="K1562" t="s">
        <v>22</v>
      </c>
      <c r="L1562" t="s">
        <v>253</v>
      </c>
      <c r="M1562" t="s">
        <v>169</v>
      </c>
      <c r="N1562">
        <v>40.178091000000002</v>
      </c>
      <c r="O1562">
        <v>-110.45317300000001</v>
      </c>
      <c r="P1562">
        <v>5681.9301029999997</v>
      </c>
      <c r="Q1562">
        <v>265</v>
      </c>
      <c r="R1562">
        <v>0</v>
      </c>
    </row>
    <row r="1563" spans="1:18" x14ac:dyDescent="0.25">
      <c r="A1563">
        <v>1562</v>
      </c>
      <c r="B1563">
        <v>94</v>
      </c>
      <c r="C1563">
        <v>515675</v>
      </c>
      <c r="D1563" t="s">
        <v>434</v>
      </c>
      <c r="E1563">
        <v>2.5579999999999998</v>
      </c>
      <c r="F1563" t="s">
        <v>19</v>
      </c>
      <c r="G1563" t="s">
        <v>20</v>
      </c>
      <c r="H1563" t="s">
        <v>21</v>
      </c>
      <c r="I1563" t="s">
        <v>20</v>
      </c>
      <c r="J1563" t="s">
        <v>20</v>
      </c>
      <c r="K1563" t="s">
        <v>31</v>
      </c>
      <c r="L1563" t="s">
        <v>32</v>
      </c>
      <c r="M1563" t="s">
        <v>70</v>
      </c>
      <c r="N1563">
        <v>40.638528999999998</v>
      </c>
      <c r="O1563">
        <v>-111.834575</v>
      </c>
      <c r="P1563">
        <v>4383.250693</v>
      </c>
      <c r="Q1563">
        <v>1424</v>
      </c>
      <c r="R1563">
        <v>0</v>
      </c>
    </row>
    <row r="1564" spans="1:18" x14ac:dyDescent="0.25">
      <c r="A1564">
        <v>1563</v>
      </c>
      <c r="B1564">
        <v>94</v>
      </c>
      <c r="C1564">
        <v>31651421</v>
      </c>
      <c r="D1564" t="s">
        <v>249</v>
      </c>
      <c r="E1564">
        <v>2.5590000000000002</v>
      </c>
      <c r="F1564" t="s">
        <v>21</v>
      </c>
      <c r="G1564" t="s">
        <v>26</v>
      </c>
      <c r="H1564" t="s">
        <v>21</v>
      </c>
      <c r="I1564" t="s">
        <v>20</v>
      </c>
      <c r="J1564" t="s">
        <v>20</v>
      </c>
      <c r="K1564" t="s">
        <v>31</v>
      </c>
      <c r="L1564" t="s">
        <v>89</v>
      </c>
      <c r="M1564" t="s">
        <v>24</v>
      </c>
      <c r="N1564">
        <v>40.483460999999998</v>
      </c>
      <c r="O1564">
        <v>-111.898274</v>
      </c>
      <c r="P1564">
        <v>4543.2262909999999</v>
      </c>
      <c r="Q1564">
        <v>337</v>
      </c>
      <c r="R1564">
        <v>0</v>
      </c>
    </row>
    <row r="1565" spans="1:18" x14ac:dyDescent="0.25">
      <c r="A1565">
        <v>1564</v>
      </c>
      <c r="B1565">
        <v>94</v>
      </c>
      <c r="C1565">
        <v>28092473</v>
      </c>
      <c r="D1565" t="s">
        <v>59</v>
      </c>
      <c r="E1565">
        <v>2.56</v>
      </c>
      <c r="F1565" t="s">
        <v>19</v>
      </c>
      <c r="G1565" t="s">
        <v>20</v>
      </c>
      <c r="H1565" t="s">
        <v>21</v>
      </c>
      <c r="I1565" t="s">
        <v>20</v>
      </c>
      <c r="J1565" t="s">
        <v>20</v>
      </c>
      <c r="K1565" t="s">
        <v>22</v>
      </c>
      <c r="L1565" t="s">
        <v>60</v>
      </c>
      <c r="M1565" t="s">
        <v>24</v>
      </c>
      <c r="N1565">
        <v>40.311988999999997</v>
      </c>
      <c r="O1565">
        <v>-111.686252</v>
      </c>
      <c r="P1565">
        <v>4758.0410869999996</v>
      </c>
      <c r="Q1565">
        <v>313</v>
      </c>
      <c r="R1565">
        <v>0</v>
      </c>
    </row>
    <row r="1566" spans="1:18" x14ac:dyDescent="0.25">
      <c r="A1566">
        <v>1565</v>
      </c>
      <c r="B1566">
        <v>94</v>
      </c>
      <c r="C1566">
        <v>27998545</v>
      </c>
      <c r="D1566" t="s">
        <v>346</v>
      </c>
      <c r="E1566">
        <v>2.56</v>
      </c>
      <c r="F1566" t="s">
        <v>21</v>
      </c>
      <c r="G1566" t="s">
        <v>20</v>
      </c>
      <c r="H1566" t="s">
        <v>21</v>
      </c>
      <c r="I1566" t="s">
        <v>20</v>
      </c>
      <c r="J1566" t="s">
        <v>20</v>
      </c>
      <c r="K1566" t="s">
        <v>27</v>
      </c>
      <c r="L1566" t="s">
        <v>307</v>
      </c>
      <c r="M1566" t="s">
        <v>159</v>
      </c>
      <c r="N1566">
        <v>39.679817</v>
      </c>
      <c r="O1566">
        <v>-111.159407</v>
      </c>
      <c r="P1566">
        <v>7914.0301790000003</v>
      </c>
      <c r="Q1566">
        <v>1389</v>
      </c>
      <c r="R1566">
        <v>0</v>
      </c>
    </row>
    <row r="1567" spans="1:18" x14ac:dyDescent="0.25">
      <c r="A1567">
        <v>1566</v>
      </c>
      <c r="B1567">
        <v>94</v>
      </c>
      <c r="C1567">
        <v>522527</v>
      </c>
      <c r="D1567" t="s">
        <v>44</v>
      </c>
      <c r="E1567">
        <v>2.5670000000000002</v>
      </c>
      <c r="F1567" t="s">
        <v>21</v>
      </c>
      <c r="G1567" t="s">
        <v>26</v>
      </c>
      <c r="H1567" t="s">
        <v>21</v>
      </c>
      <c r="I1567" t="s">
        <v>20</v>
      </c>
      <c r="J1567" t="s">
        <v>20</v>
      </c>
      <c r="K1567" t="s">
        <v>41</v>
      </c>
      <c r="L1567" t="s">
        <v>45</v>
      </c>
      <c r="M1567" t="s">
        <v>46</v>
      </c>
      <c r="N1567">
        <v>40.914588000000002</v>
      </c>
      <c r="O1567">
        <v>-111.878968</v>
      </c>
      <c r="P1567">
        <v>4237.4992270000002</v>
      </c>
      <c r="Q1567">
        <v>1395</v>
      </c>
      <c r="R1567">
        <v>0</v>
      </c>
    </row>
    <row r="1568" spans="1:18" x14ac:dyDescent="0.25">
      <c r="A1568">
        <v>1567</v>
      </c>
      <c r="B1568">
        <v>94</v>
      </c>
      <c r="C1568">
        <v>31364311</v>
      </c>
      <c r="D1568" t="s">
        <v>343</v>
      </c>
      <c r="E1568">
        <v>2.5670000000000002</v>
      </c>
      <c r="F1568" t="s">
        <v>21</v>
      </c>
      <c r="G1568" t="s">
        <v>26</v>
      </c>
      <c r="H1568" t="s">
        <v>21</v>
      </c>
      <c r="I1568" t="s">
        <v>20</v>
      </c>
      <c r="J1568" t="s">
        <v>20</v>
      </c>
      <c r="K1568" t="s">
        <v>27</v>
      </c>
      <c r="L1568" t="s">
        <v>230</v>
      </c>
      <c r="M1568" t="s">
        <v>82</v>
      </c>
      <c r="N1568">
        <v>39.539203000000001</v>
      </c>
      <c r="O1568">
        <v>-111.53583</v>
      </c>
      <c r="P1568">
        <v>5600.2050289999997</v>
      </c>
      <c r="Q1568">
        <v>1402</v>
      </c>
      <c r="R1568">
        <v>0</v>
      </c>
    </row>
    <row r="1569" spans="1:18" x14ac:dyDescent="0.25">
      <c r="A1569">
        <v>1568</v>
      </c>
      <c r="B1569">
        <v>94</v>
      </c>
      <c r="C1569">
        <v>538052</v>
      </c>
      <c r="D1569" t="s">
        <v>77</v>
      </c>
      <c r="E1569">
        <v>2.569</v>
      </c>
      <c r="F1569" t="s">
        <v>21</v>
      </c>
      <c r="G1569" t="s">
        <v>26</v>
      </c>
      <c r="H1569" t="s">
        <v>21</v>
      </c>
      <c r="I1569" t="s">
        <v>20</v>
      </c>
      <c r="J1569" t="s">
        <v>20</v>
      </c>
      <c r="K1569" t="s">
        <v>31</v>
      </c>
      <c r="L1569" t="s">
        <v>78</v>
      </c>
      <c r="M1569" t="s">
        <v>79</v>
      </c>
      <c r="N1569">
        <v>40.675899000000001</v>
      </c>
      <c r="O1569">
        <v>-112.024726</v>
      </c>
      <c r="P1569">
        <v>4447.7495470000003</v>
      </c>
      <c r="Q1569">
        <v>1436</v>
      </c>
      <c r="R1569">
        <v>0</v>
      </c>
    </row>
    <row r="1570" spans="1:18" x14ac:dyDescent="0.25">
      <c r="A1570">
        <v>1569</v>
      </c>
      <c r="B1570">
        <v>94</v>
      </c>
      <c r="C1570" t="s">
        <v>446</v>
      </c>
      <c r="D1570" t="s">
        <v>18</v>
      </c>
      <c r="E1570">
        <v>2.569</v>
      </c>
      <c r="F1570" t="s">
        <v>19</v>
      </c>
      <c r="G1570" t="s">
        <v>20</v>
      </c>
      <c r="H1570" t="s">
        <v>21</v>
      </c>
      <c r="I1570" t="s">
        <v>20</v>
      </c>
      <c r="J1570" t="s">
        <v>20</v>
      </c>
      <c r="K1570" t="s">
        <v>22</v>
      </c>
      <c r="L1570" t="s">
        <v>23</v>
      </c>
      <c r="M1570" t="s">
        <v>24</v>
      </c>
      <c r="N1570">
        <v>40.273124000000003</v>
      </c>
      <c r="O1570">
        <v>-111.67905500000001</v>
      </c>
      <c r="P1570">
        <v>4700.0008310000003</v>
      </c>
      <c r="Q1570">
        <v>1281</v>
      </c>
      <c r="R1570">
        <v>0</v>
      </c>
    </row>
    <row r="1571" spans="1:18" x14ac:dyDescent="0.25">
      <c r="A1571">
        <v>1570</v>
      </c>
      <c r="B1571">
        <v>94</v>
      </c>
      <c r="C1571">
        <v>31679634</v>
      </c>
      <c r="D1571" t="s">
        <v>258</v>
      </c>
      <c r="E1571">
        <v>2.5720000000000001</v>
      </c>
      <c r="F1571" t="s">
        <v>21</v>
      </c>
      <c r="G1571" t="s">
        <v>26</v>
      </c>
      <c r="H1571" t="s">
        <v>21</v>
      </c>
      <c r="I1571" t="s">
        <v>20</v>
      </c>
      <c r="J1571" t="s">
        <v>20</v>
      </c>
      <c r="K1571" t="s">
        <v>27</v>
      </c>
      <c r="L1571" t="s">
        <v>259</v>
      </c>
      <c r="M1571" t="s">
        <v>29</v>
      </c>
      <c r="N1571">
        <v>37.037560999999997</v>
      </c>
      <c r="O1571">
        <v>-112.525081</v>
      </c>
      <c r="P1571">
        <v>4847.1809110000004</v>
      </c>
      <c r="Q1571">
        <v>301</v>
      </c>
      <c r="R1571">
        <v>0</v>
      </c>
    </row>
    <row r="1572" spans="1:18" x14ac:dyDescent="0.25">
      <c r="A1572">
        <v>1571</v>
      </c>
      <c r="B1572">
        <v>94</v>
      </c>
      <c r="C1572">
        <v>31556274</v>
      </c>
      <c r="D1572" t="s">
        <v>102</v>
      </c>
      <c r="E1572">
        <v>2.5720000000000001</v>
      </c>
      <c r="F1572" t="s">
        <v>21</v>
      </c>
      <c r="G1572" t="s">
        <v>26</v>
      </c>
      <c r="H1572" t="s">
        <v>21</v>
      </c>
      <c r="I1572" t="s">
        <v>20</v>
      </c>
      <c r="J1572" t="s">
        <v>20</v>
      </c>
      <c r="K1572" t="s">
        <v>27</v>
      </c>
      <c r="L1572" t="s">
        <v>103</v>
      </c>
      <c r="M1572" t="s">
        <v>104</v>
      </c>
      <c r="N1572">
        <v>38.282375999999999</v>
      </c>
      <c r="O1572">
        <v>-112.64135</v>
      </c>
      <c r="P1572">
        <v>5855.7513049999998</v>
      </c>
      <c r="Q1572">
        <v>1430</v>
      </c>
      <c r="R1572">
        <v>0</v>
      </c>
    </row>
    <row r="1573" spans="1:18" x14ac:dyDescent="0.25">
      <c r="A1573">
        <v>1572</v>
      </c>
      <c r="B1573">
        <v>94</v>
      </c>
      <c r="C1573">
        <v>1240709</v>
      </c>
      <c r="D1573" t="s">
        <v>189</v>
      </c>
      <c r="E1573">
        <v>2.5739999999999998</v>
      </c>
      <c r="F1573" t="s">
        <v>19</v>
      </c>
      <c r="G1573" t="s">
        <v>20</v>
      </c>
      <c r="H1573" t="s">
        <v>21</v>
      </c>
      <c r="I1573" t="s">
        <v>20</v>
      </c>
      <c r="J1573" t="s">
        <v>20</v>
      </c>
      <c r="K1573" t="s">
        <v>41</v>
      </c>
      <c r="L1573" t="s">
        <v>81</v>
      </c>
      <c r="M1573" t="s">
        <v>190</v>
      </c>
      <c r="N1573">
        <v>41.190426000000002</v>
      </c>
      <c r="O1573">
        <v>-111.94886099999999</v>
      </c>
      <c r="P1573">
        <v>4611.9115760000004</v>
      </c>
      <c r="Q1573">
        <v>412</v>
      </c>
      <c r="R1573">
        <v>0</v>
      </c>
    </row>
    <row r="1574" spans="1:18" x14ac:dyDescent="0.25">
      <c r="A1574">
        <v>1573</v>
      </c>
      <c r="B1574">
        <v>94</v>
      </c>
      <c r="C1574" t="e">
        <f>-IoMtTlwIQaCdJ3ce_gkfV</f>
        <v>#NAME?</v>
      </c>
      <c r="D1574" t="s">
        <v>272</v>
      </c>
      <c r="E1574">
        <v>278.45499999999998</v>
      </c>
      <c r="F1574" t="s">
        <v>21</v>
      </c>
      <c r="G1574" t="s">
        <v>20</v>
      </c>
      <c r="H1574" t="s">
        <v>21</v>
      </c>
      <c r="I1574" t="s">
        <v>20</v>
      </c>
      <c r="J1574" t="s">
        <v>20</v>
      </c>
      <c r="K1574" t="s">
        <v>27</v>
      </c>
      <c r="L1574" t="s">
        <v>230</v>
      </c>
      <c r="M1574" t="s">
        <v>174</v>
      </c>
      <c r="N1574">
        <v>39.555309999999999</v>
      </c>
      <c r="O1574">
        <v>-111.455415</v>
      </c>
      <c r="P1574">
        <v>5849.8244249999998</v>
      </c>
      <c r="Q1574">
        <v>1384</v>
      </c>
      <c r="R1574">
        <v>0</v>
      </c>
    </row>
    <row r="1575" spans="1:18" x14ac:dyDescent="0.25">
      <c r="A1575">
        <v>1574</v>
      </c>
      <c r="B1575">
        <v>94</v>
      </c>
      <c r="C1575" t="e">
        <f>-IoMtn6FGhimKna0oFVZtk</f>
        <v>#NAME?</v>
      </c>
      <c r="D1575" t="s">
        <v>272</v>
      </c>
      <c r="E1575">
        <v>278.89</v>
      </c>
      <c r="F1575" t="s">
        <v>21</v>
      </c>
      <c r="G1575" t="s">
        <v>26</v>
      </c>
      <c r="H1575" t="s">
        <v>21</v>
      </c>
      <c r="I1575" t="s">
        <v>20</v>
      </c>
      <c r="J1575" t="s">
        <v>20</v>
      </c>
      <c r="K1575" t="s">
        <v>27</v>
      </c>
      <c r="L1575" t="s">
        <v>230</v>
      </c>
      <c r="M1575" t="s">
        <v>174</v>
      </c>
      <c r="N1575">
        <v>39.561630999999998</v>
      </c>
      <c r="O1575">
        <v>-111.455479</v>
      </c>
      <c r="P1575">
        <v>5829.7345610000002</v>
      </c>
      <c r="Q1575">
        <v>1384</v>
      </c>
      <c r="R1575">
        <v>0</v>
      </c>
    </row>
    <row r="1576" spans="1:18" x14ac:dyDescent="0.25">
      <c r="A1576">
        <v>1575</v>
      </c>
      <c r="B1576">
        <v>94</v>
      </c>
      <c r="C1576" t="s">
        <v>447</v>
      </c>
      <c r="D1576" t="s">
        <v>272</v>
      </c>
      <c r="E1576">
        <v>279.10000000000002</v>
      </c>
      <c r="F1576" t="s">
        <v>21</v>
      </c>
      <c r="G1576" t="s">
        <v>20</v>
      </c>
      <c r="H1576" t="s">
        <v>21</v>
      </c>
      <c r="I1576" t="s">
        <v>20</v>
      </c>
      <c r="J1576" t="s">
        <v>20</v>
      </c>
      <c r="K1576" t="s">
        <v>27</v>
      </c>
      <c r="L1576" t="s">
        <v>230</v>
      </c>
      <c r="M1576" t="s">
        <v>174</v>
      </c>
      <c r="N1576">
        <v>39.564678000000001</v>
      </c>
      <c r="O1576">
        <v>-111.45550799999999</v>
      </c>
      <c r="P1576">
        <v>5822.6740319999999</v>
      </c>
      <c r="Q1576">
        <v>1384</v>
      </c>
      <c r="R1576">
        <v>0</v>
      </c>
    </row>
    <row r="1577" spans="1:18" x14ac:dyDescent="0.25">
      <c r="A1577">
        <v>1576</v>
      </c>
      <c r="B1577">
        <v>94</v>
      </c>
      <c r="C1577" t="s">
        <v>448</v>
      </c>
      <c r="D1577" t="s">
        <v>272</v>
      </c>
      <c r="E1577">
        <v>279.12299999999999</v>
      </c>
      <c r="F1577" t="s">
        <v>21</v>
      </c>
      <c r="G1577" t="s">
        <v>20</v>
      </c>
      <c r="H1577" t="s">
        <v>21</v>
      </c>
      <c r="I1577" t="s">
        <v>20</v>
      </c>
      <c r="J1577" t="s">
        <v>20</v>
      </c>
      <c r="K1577" t="s">
        <v>27</v>
      </c>
      <c r="L1577" t="s">
        <v>230</v>
      </c>
      <c r="M1577" t="s">
        <v>174</v>
      </c>
      <c r="N1577">
        <v>39.565009000000003</v>
      </c>
      <c r="O1577">
        <v>-111.45551</v>
      </c>
      <c r="P1577">
        <v>5821.3635880000002</v>
      </c>
      <c r="Q1577">
        <v>1384</v>
      </c>
      <c r="R1577">
        <v>0</v>
      </c>
    </row>
    <row r="1578" spans="1:18" x14ac:dyDescent="0.25">
      <c r="A1578">
        <v>1577</v>
      </c>
      <c r="B1578">
        <v>94</v>
      </c>
      <c r="C1578" t="s">
        <v>449</v>
      </c>
      <c r="D1578" t="s">
        <v>417</v>
      </c>
      <c r="E1578">
        <v>15.53</v>
      </c>
      <c r="F1578" t="s">
        <v>19</v>
      </c>
      <c r="G1578" t="s">
        <v>20</v>
      </c>
      <c r="H1578" t="s">
        <v>21</v>
      </c>
      <c r="I1578" t="s">
        <v>20</v>
      </c>
      <c r="J1578" t="s">
        <v>20</v>
      </c>
      <c r="K1578" t="s">
        <v>31</v>
      </c>
      <c r="L1578" t="s">
        <v>84</v>
      </c>
      <c r="M1578" t="s">
        <v>24</v>
      </c>
      <c r="N1578">
        <v>40.609433000000003</v>
      </c>
      <c r="O1578">
        <v>-112.03554800000001</v>
      </c>
      <c r="P1578">
        <v>4837.2759939999996</v>
      </c>
      <c r="Q1578">
        <v>6765</v>
      </c>
      <c r="R1578">
        <v>0</v>
      </c>
    </row>
    <row r="1579" spans="1:18" x14ac:dyDescent="0.25">
      <c r="A1579">
        <v>1578</v>
      </c>
      <c r="B1579">
        <v>94</v>
      </c>
      <c r="C1579" t="e">
        <f>-Iov6k4_F_yWENKQ_FdnbV</f>
        <v>#NAME?</v>
      </c>
      <c r="D1579" t="s">
        <v>176</v>
      </c>
      <c r="E1579">
        <v>15.531000000000001</v>
      </c>
      <c r="F1579" t="s">
        <v>21</v>
      </c>
      <c r="G1579" t="s">
        <v>361</v>
      </c>
      <c r="H1579" t="s">
        <v>21</v>
      </c>
      <c r="I1579" t="s">
        <v>20</v>
      </c>
      <c r="J1579" t="s">
        <v>20</v>
      </c>
      <c r="K1579" t="s">
        <v>41</v>
      </c>
      <c r="L1579" t="s">
        <v>181</v>
      </c>
      <c r="M1579" t="s">
        <v>178</v>
      </c>
      <c r="N1579">
        <v>41.646535</v>
      </c>
      <c r="O1579">
        <v>-112.133763</v>
      </c>
      <c r="P1579">
        <v>4220.1427039999999</v>
      </c>
      <c r="Q1579">
        <v>1329</v>
      </c>
      <c r="R1579">
        <v>0</v>
      </c>
    </row>
    <row r="1580" spans="1:18" x14ac:dyDescent="0.25">
      <c r="A1580">
        <v>1579</v>
      </c>
      <c r="B1580">
        <v>94</v>
      </c>
      <c r="C1580">
        <v>31501662</v>
      </c>
      <c r="D1580" t="s">
        <v>37</v>
      </c>
      <c r="E1580">
        <v>15.531000000000001</v>
      </c>
      <c r="F1580" t="s">
        <v>21</v>
      </c>
      <c r="G1580" t="s">
        <v>26</v>
      </c>
      <c r="H1580" t="s">
        <v>21</v>
      </c>
      <c r="I1580" t="s">
        <v>20</v>
      </c>
      <c r="J1580" t="s">
        <v>20</v>
      </c>
      <c r="K1580" t="s">
        <v>27</v>
      </c>
      <c r="L1580" t="s">
        <v>38</v>
      </c>
      <c r="M1580" t="s">
        <v>39</v>
      </c>
      <c r="N1580">
        <v>38.683663000000003</v>
      </c>
      <c r="O1580">
        <v>-109.422667</v>
      </c>
      <c r="P1580">
        <v>3998.0857329999999</v>
      </c>
      <c r="Q1580">
        <v>1319</v>
      </c>
      <c r="R1580">
        <v>0</v>
      </c>
    </row>
    <row r="1581" spans="1:18" x14ac:dyDescent="0.25">
      <c r="A1581">
        <v>1580</v>
      </c>
      <c r="B1581">
        <v>94</v>
      </c>
      <c r="C1581">
        <v>31742888</v>
      </c>
      <c r="D1581" t="s">
        <v>336</v>
      </c>
      <c r="E1581">
        <v>15.538</v>
      </c>
      <c r="F1581" t="s">
        <v>21</v>
      </c>
      <c r="G1581" t="s">
        <v>20</v>
      </c>
      <c r="H1581" t="s">
        <v>21</v>
      </c>
      <c r="I1581" t="s">
        <v>20</v>
      </c>
      <c r="J1581" t="s">
        <v>20</v>
      </c>
      <c r="K1581" t="s">
        <v>31</v>
      </c>
      <c r="L1581" t="s">
        <v>32</v>
      </c>
      <c r="M1581" t="s">
        <v>33</v>
      </c>
      <c r="N1581">
        <v>40.610641999999999</v>
      </c>
      <c r="O1581">
        <v>-111.580175</v>
      </c>
      <c r="P1581">
        <v>8527.7088760000006</v>
      </c>
      <c r="Q1581">
        <v>404</v>
      </c>
      <c r="R1581">
        <v>0</v>
      </c>
    </row>
    <row r="1582" spans="1:18" x14ac:dyDescent="0.25">
      <c r="A1582">
        <v>1581</v>
      </c>
      <c r="B1582">
        <v>94</v>
      </c>
      <c r="C1582" t="e">
        <f>-JNYxsE0HkiAHyTMH4KTfk</f>
        <v>#NAME?</v>
      </c>
      <c r="D1582" t="s">
        <v>281</v>
      </c>
      <c r="E1582">
        <v>15.54</v>
      </c>
      <c r="F1582" t="s">
        <v>21</v>
      </c>
      <c r="G1582" t="s">
        <v>20</v>
      </c>
      <c r="H1582" t="s">
        <v>21</v>
      </c>
      <c r="I1582" t="s">
        <v>20</v>
      </c>
      <c r="J1582" t="s">
        <v>20</v>
      </c>
      <c r="K1582" t="s">
        <v>31</v>
      </c>
      <c r="L1582" t="s">
        <v>282</v>
      </c>
      <c r="M1582" t="s">
        <v>174</v>
      </c>
      <c r="N1582">
        <v>40.069997999999998</v>
      </c>
      <c r="O1582">
        <v>-112.33048700000001</v>
      </c>
      <c r="P1582">
        <v>5559.0623580000001</v>
      </c>
      <c r="Q1582">
        <v>1347</v>
      </c>
      <c r="R1582">
        <v>0</v>
      </c>
    </row>
    <row r="1583" spans="1:18" x14ac:dyDescent="0.25">
      <c r="A1583">
        <v>1582</v>
      </c>
      <c r="B1583">
        <v>94</v>
      </c>
      <c r="C1583">
        <v>31430462</v>
      </c>
      <c r="D1583" t="s">
        <v>345</v>
      </c>
      <c r="E1583">
        <v>15.542</v>
      </c>
      <c r="F1583" t="s">
        <v>21</v>
      </c>
      <c r="G1583" t="s">
        <v>26</v>
      </c>
      <c r="H1583" t="s">
        <v>19</v>
      </c>
      <c r="I1583">
        <v>119</v>
      </c>
      <c r="J1583" t="s">
        <v>20</v>
      </c>
      <c r="K1583" t="s">
        <v>27</v>
      </c>
      <c r="L1583" t="s">
        <v>75</v>
      </c>
      <c r="M1583" t="s">
        <v>76</v>
      </c>
      <c r="N1583">
        <v>38.772678999999997</v>
      </c>
      <c r="O1583">
        <v>-112.068702</v>
      </c>
      <c r="P1583">
        <v>5239.2976289999997</v>
      </c>
      <c r="Q1583">
        <v>1403</v>
      </c>
      <c r="R1583">
        <v>0</v>
      </c>
    </row>
    <row r="1584" spans="1:18" x14ac:dyDescent="0.25">
      <c r="A1584">
        <v>1583</v>
      </c>
      <c r="B1584">
        <v>94</v>
      </c>
      <c r="C1584">
        <v>31494092</v>
      </c>
      <c r="D1584" t="s">
        <v>353</v>
      </c>
      <c r="E1584">
        <v>15.587</v>
      </c>
      <c r="F1584" t="s">
        <v>21</v>
      </c>
      <c r="G1584" t="s">
        <v>20</v>
      </c>
      <c r="H1584" t="s">
        <v>21</v>
      </c>
      <c r="I1584" t="s">
        <v>20</v>
      </c>
      <c r="J1584" t="s">
        <v>20</v>
      </c>
      <c r="K1584" t="s">
        <v>41</v>
      </c>
      <c r="L1584" t="s">
        <v>137</v>
      </c>
      <c r="M1584" t="s">
        <v>138</v>
      </c>
      <c r="N1584">
        <v>40.880051999999999</v>
      </c>
      <c r="O1584">
        <v>-111.57943299999999</v>
      </c>
      <c r="P1584">
        <v>5706.024461</v>
      </c>
      <c r="Q1584">
        <v>1367</v>
      </c>
      <c r="R1584">
        <v>0</v>
      </c>
    </row>
    <row r="1585" spans="1:18" x14ac:dyDescent="0.25">
      <c r="A1585">
        <v>1584</v>
      </c>
      <c r="B1585">
        <v>94</v>
      </c>
      <c r="C1585">
        <v>31508553</v>
      </c>
      <c r="D1585" t="s">
        <v>224</v>
      </c>
      <c r="E1585">
        <v>15.589</v>
      </c>
      <c r="F1585" t="s">
        <v>21</v>
      </c>
      <c r="G1585" t="s">
        <v>26</v>
      </c>
      <c r="H1585" t="s">
        <v>21</v>
      </c>
      <c r="I1585" t="s">
        <v>20</v>
      </c>
      <c r="J1585" t="s">
        <v>20</v>
      </c>
      <c r="K1585" t="s">
        <v>22</v>
      </c>
      <c r="L1585" t="s">
        <v>140</v>
      </c>
      <c r="M1585" t="s">
        <v>194</v>
      </c>
      <c r="N1585">
        <v>40.090524000000002</v>
      </c>
      <c r="O1585">
        <v>-111.597611</v>
      </c>
      <c r="P1585">
        <v>4707.4545950000002</v>
      </c>
      <c r="Q1585">
        <v>408</v>
      </c>
      <c r="R1585">
        <v>0</v>
      </c>
    </row>
    <row r="1586" spans="1:18" x14ac:dyDescent="0.25">
      <c r="A1586">
        <v>1585</v>
      </c>
      <c r="B1586">
        <v>94</v>
      </c>
      <c r="C1586">
        <v>1470079</v>
      </c>
      <c r="D1586" t="s">
        <v>304</v>
      </c>
      <c r="E1586">
        <v>15.602</v>
      </c>
      <c r="F1586" t="s">
        <v>21</v>
      </c>
      <c r="G1586" t="s">
        <v>26</v>
      </c>
      <c r="H1586" t="s">
        <v>21</v>
      </c>
      <c r="I1586" t="s">
        <v>20</v>
      </c>
      <c r="J1586" t="s">
        <v>20</v>
      </c>
      <c r="K1586" t="s">
        <v>41</v>
      </c>
      <c r="L1586" t="s">
        <v>223</v>
      </c>
      <c r="M1586" t="s">
        <v>43</v>
      </c>
      <c r="N1586">
        <v>41.737665</v>
      </c>
      <c r="O1586">
        <v>-112.098583</v>
      </c>
      <c r="P1586">
        <v>4426.5858719999997</v>
      </c>
      <c r="Q1586">
        <v>1348</v>
      </c>
      <c r="R1586">
        <v>0</v>
      </c>
    </row>
    <row r="1587" spans="1:18" x14ac:dyDescent="0.25">
      <c r="A1587">
        <v>1586</v>
      </c>
      <c r="B1587">
        <v>94</v>
      </c>
      <c r="C1587">
        <v>1133253</v>
      </c>
      <c r="D1587" t="s">
        <v>171</v>
      </c>
      <c r="E1587">
        <v>15.606</v>
      </c>
      <c r="F1587" t="s">
        <v>19</v>
      </c>
      <c r="G1587" t="s">
        <v>20</v>
      </c>
      <c r="H1587" t="s">
        <v>21</v>
      </c>
      <c r="I1587" t="s">
        <v>20</v>
      </c>
      <c r="J1587" t="s">
        <v>20</v>
      </c>
      <c r="K1587" t="s">
        <v>31</v>
      </c>
      <c r="L1587" t="s">
        <v>188</v>
      </c>
      <c r="M1587" t="s">
        <v>79</v>
      </c>
      <c r="N1587">
        <v>40.699846000000001</v>
      </c>
      <c r="O1587">
        <v>-111.79567</v>
      </c>
      <c r="P1587">
        <v>4884.270098</v>
      </c>
      <c r="Q1587">
        <v>346</v>
      </c>
      <c r="R1587">
        <v>0</v>
      </c>
    </row>
    <row r="1588" spans="1:18" x14ac:dyDescent="0.25">
      <c r="A1588">
        <v>1587</v>
      </c>
      <c r="B1588">
        <v>94</v>
      </c>
      <c r="C1588">
        <v>31509115</v>
      </c>
      <c r="D1588" t="s">
        <v>292</v>
      </c>
      <c r="E1588">
        <v>15.61</v>
      </c>
      <c r="F1588" t="s">
        <v>21</v>
      </c>
      <c r="G1588" t="s">
        <v>26</v>
      </c>
      <c r="H1588" t="s">
        <v>21</v>
      </c>
      <c r="I1588" t="s">
        <v>20</v>
      </c>
      <c r="J1588" t="s">
        <v>20</v>
      </c>
      <c r="K1588" t="s">
        <v>22</v>
      </c>
      <c r="L1588" t="s">
        <v>253</v>
      </c>
      <c r="M1588" t="s">
        <v>134</v>
      </c>
      <c r="N1588">
        <v>40.357968</v>
      </c>
      <c r="O1588">
        <v>-110.388091</v>
      </c>
      <c r="P1588">
        <v>6639.9511590000002</v>
      </c>
      <c r="Q1588">
        <v>323</v>
      </c>
      <c r="R1588">
        <v>0</v>
      </c>
    </row>
    <row r="1589" spans="1:18" x14ac:dyDescent="0.25">
      <c r="A1589">
        <v>1588</v>
      </c>
      <c r="B1589">
        <v>94</v>
      </c>
      <c r="C1589">
        <v>31516662</v>
      </c>
      <c r="D1589" t="s">
        <v>292</v>
      </c>
      <c r="E1589">
        <v>28.221</v>
      </c>
      <c r="F1589" t="s">
        <v>21</v>
      </c>
      <c r="G1589" t="s">
        <v>26</v>
      </c>
      <c r="H1589" t="s">
        <v>21</v>
      </c>
      <c r="I1589" t="s">
        <v>20</v>
      </c>
      <c r="J1589" t="s">
        <v>20</v>
      </c>
      <c r="K1589" t="s">
        <v>22</v>
      </c>
      <c r="L1589" t="s">
        <v>253</v>
      </c>
      <c r="M1589" t="s">
        <v>134</v>
      </c>
      <c r="N1589">
        <v>40.284179000000002</v>
      </c>
      <c r="O1589">
        <v>-110.218818</v>
      </c>
      <c r="P1589">
        <v>5718.2979189999996</v>
      </c>
      <c r="Q1589">
        <v>323</v>
      </c>
      <c r="R1589">
        <v>0</v>
      </c>
    </row>
    <row r="1590" spans="1:18" x14ac:dyDescent="0.25">
      <c r="A1590">
        <v>1589</v>
      </c>
      <c r="B1590">
        <v>94</v>
      </c>
      <c r="C1590">
        <v>31771688</v>
      </c>
      <c r="D1590" t="s">
        <v>353</v>
      </c>
      <c r="E1590">
        <v>28.225000000000001</v>
      </c>
      <c r="F1590" t="s">
        <v>21</v>
      </c>
      <c r="G1590" t="s">
        <v>26</v>
      </c>
      <c r="H1590" t="s">
        <v>21</v>
      </c>
      <c r="I1590" t="s">
        <v>20</v>
      </c>
      <c r="J1590" t="s">
        <v>20</v>
      </c>
      <c r="K1590" t="s">
        <v>31</v>
      </c>
      <c r="L1590" t="s">
        <v>433</v>
      </c>
      <c r="M1590" t="s">
        <v>138</v>
      </c>
      <c r="N1590">
        <v>41.015698</v>
      </c>
      <c r="O1590">
        <v>-111.490611</v>
      </c>
      <c r="P1590">
        <v>5309.5986789999997</v>
      </c>
      <c r="Q1590">
        <v>1367</v>
      </c>
      <c r="R1590">
        <v>0</v>
      </c>
    </row>
    <row r="1591" spans="1:18" x14ac:dyDescent="0.25">
      <c r="A1591">
        <v>1590</v>
      </c>
      <c r="B1591">
        <v>94</v>
      </c>
      <c r="C1591">
        <v>27882494</v>
      </c>
      <c r="D1591" t="s">
        <v>91</v>
      </c>
      <c r="E1591">
        <v>28.29</v>
      </c>
      <c r="F1591" t="s">
        <v>21</v>
      </c>
      <c r="G1591" t="s">
        <v>26</v>
      </c>
      <c r="H1591" t="s">
        <v>19</v>
      </c>
      <c r="I1591">
        <v>61</v>
      </c>
      <c r="J1591" t="s">
        <v>20</v>
      </c>
      <c r="K1591" t="s">
        <v>41</v>
      </c>
      <c r="L1591" t="s">
        <v>95</v>
      </c>
      <c r="M1591" t="s">
        <v>73</v>
      </c>
      <c r="N1591">
        <v>41.975408000000002</v>
      </c>
      <c r="O1591">
        <v>-111.95415300000001</v>
      </c>
      <c r="P1591">
        <v>4433.7395509999997</v>
      </c>
      <c r="Q1591">
        <v>1339</v>
      </c>
      <c r="R1591">
        <v>0</v>
      </c>
    </row>
    <row r="1592" spans="1:18" x14ac:dyDescent="0.25">
      <c r="A1592">
        <v>1591</v>
      </c>
      <c r="B1592">
        <v>94</v>
      </c>
      <c r="C1592">
        <v>31771699</v>
      </c>
      <c r="D1592" t="s">
        <v>353</v>
      </c>
      <c r="E1592">
        <v>28.298999999999999</v>
      </c>
      <c r="F1592" t="s">
        <v>21</v>
      </c>
      <c r="G1592" t="s">
        <v>26</v>
      </c>
      <c r="H1592" t="s">
        <v>21</v>
      </c>
      <c r="I1592" t="s">
        <v>20</v>
      </c>
      <c r="J1592" t="s">
        <v>20</v>
      </c>
      <c r="K1592" t="s">
        <v>31</v>
      </c>
      <c r="L1592" t="s">
        <v>433</v>
      </c>
      <c r="M1592" t="s">
        <v>138</v>
      </c>
      <c r="N1592">
        <v>41.016168999999998</v>
      </c>
      <c r="O1592">
        <v>-111.48936</v>
      </c>
      <c r="P1592">
        <v>5317.8945409999997</v>
      </c>
      <c r="Q1592">
        <v>1367</v>
      </c>
      <c r="R1592">
        <v>0</v>
      </c>
    </row>
    <row r="1593" spans="1:18" x14ac:dyDescent="0.25">
      <c r="A1593">
        <v>1592</v>
      </c>
      <c r="B1593">
        <v>94</v>
      </c>
      <c r="C1593">
        <v>31393314</v>
      </c>
      <c r="D1593" t="s">
        <v>124</v>
      </c>
      <c r="E1593">
        <v>28.303999999999998</v>
      </c>
      <c r="F1593" t="s">
        <v>21</v>
      </c>
      <c r="G1593" t="s">
        <v>26</v>
      </c>
      <c r="H1593" t="s">
        <v>21</v>
      </c>
      <c r="I1593" t="s">
        <v>20</v>
      </c>
      <c r="J1593" t="s">
        <v>20</v>
      </c>
      <c r="K1593" t="s">
        <v>22</v>
      </c>
      <c r="L1593" t="s">
        <v>84</v>
      </c>
      <c r="M1593" t="s">
        <v>194</v>
      </c>
      <c r="N1593">
        <v>40.326068999999997</v>
      </c>
      <c r="O1593">
        <v>-111.90552599999999</v>
      </c>
      <c r="P1593">
        <v>4551.4999459999999</v>
      </c>
      <c r="Q1593">
        <v>1368</v>
      </c>
      <c r="R1593">
        <v>0</v>
      </c>
    </row>
    <row r="1594" spans="1:18" x14ac:dyDescent="0.25">
      <c r="A1594">
        <v>1593</v>
      </c>
      <c r="B1594">
        <v>94</v>
      </c>
      <c r="C1594">
        <v>31752265</v>
      </c>
      <c r="D1594" t="s">
        <v>156</v>
      </c>
      <c r="E1594">
        <v>2.7850000000000001</v>
      </c>
      <c r="F1594" t="s">
        <v>21</v>
      </c>
      <c r="G1594" t="s">
        <v>26</v>
      </c>
      <c r="H1594" t="s">
        <v>21</v>
      </c>
      <c r="I1594" t="s">
        <v>20</v>
      </c>
      <c r="J1594" t="s">
        <v>20</v>
      </c>
      <c r="K1594" t="s">
        <v>41</v>
      </c>
      <c r="L1594" t="s">
        <v>81</v>
      </c>
      <c r="M1594" t="s">
        <v>93</v>
      </c>
      <c r="N1594">
        <v>41.299790000000002</v>
      </c>
      <c r="O1594">
        <v>-111.968958</v>
      </c>
      <c r="P1594">
        <v>4311.09087</v>
      </c>
      <c r="Q1594">
        <v>424</v>
      </c>
      <c r="R1594">
        <v>0</v>
      </c>
    </row>
    <row r="1595" spans="1:18" x14ac:dyDescent="0.25">
      <c r="A1595">
        <v>1594</v>
      </c>
      <c r="B1595">
        <v>94</v>
      </c>
      <c r="C1595" t="e">
        <f>-JYlMyNEIDHvHM3ENlDU5F</f>
        <v>#NAME?</v>
      </c>
      <c r="D1595" t="s">
        <v>129</v>
      </c>
      <c r="E1595">
        <v>2.786</v>
      </c>
      <c r="F1595" t="s">
        <v>21</v>
      </c>
      <c r="G1595" t="s">
        <v>26</v>
      </c>
      <c r="H1595" t="s">
        <v>21</v>
      </c>
      <c r="I1595" t="s">
        <v>20</v>
      </c>
      <c r="J1595" t="s">
        <v>20</v>
      </c>
      <c r="K1595" t="s">
        <v>31</v>
      </c>
      <c r="L1595" t="s">
        <v>130</v>
      </c>
      <c r="M1595" t="s">
        <v>131</v>
      </c>
      <c r="N1595">
        <v>40.625354000000002</v>
      </c>
      <c r="O1595">
        <v>-111.236164</v>
      </c>
      <c r="P1595">
        <v>6702.8849410000003</v>
      </c>
      <c r="Q1595">
        <v>340</v>
      </c>
      <c r="R1595">
        <v>0</v>
      </c>
    </row>
    <row r="1596" spans="1:18" x14ac:dyDescent="0.25">
      <c r="A1596">
        <v>1595</v>
      </c>
      <c r="B1596">
        <v>94</v>
      </c>
      <c r="C1596">
        <v>27686089</v>
      </c>
      <c r="D1596" t="s">
        <v>217</v>
      </c>
      <c r="E1596">
        <v>2.7890000000000001</v>
      </c>
      <c r="F1596" t="s">
        <v>21</v>
      </c>
      <c r="G1596" t="s">
        <v>26</v>
      </c>
      <c r="H1596" t="s">
        <v>21</v>
      </c>
      <c r="I1596" t="s">
        <v>20</v>
      </c>
      <c r="J1596" t="s">
        <v>20</v>
      </c>
      <c r="K1596" t="s">
        <v>27</v>
      </c>
      <c r="L1596" t="s">
        <v>72</v>
      </c>
      <c r="M1596" t="s">
        <v>163</v>
      </c>
      <c r="N1596">
        <v>37.119235000000003</v>
      </c>
      <c r="O1596">
        <v>-113.598015</v>
      </c>
      <c r="P1596">
        <v>2780.9883159999999</v>
      </c>
      <c r="Q1596">
        <v>304</v>
      </c>
      <c r="R1596">
        <v>0</v>
      </c>
    </row>
    <row r="1597" spans="1:18" x14ac:dyDescent="0.25">
      <c r="A1597">
        <v>1596</v>
      </c>
      <c r="B1597">
        <v>94</v>
      </c>
      <c r="C1597">
        <v>31487973</v>
      </c>
      <c r="D1597" t="s">
        <v>164</v>
      </c>
      <c r="E1597">
        <v>2.79</v>
      </c>
      <c r="F1597" t="s">
        <v>21</v>
      </c>
      <c r="G1597" t="s">
        <v>26</v>
      </c>
      <c r="H1597" t="s">
        <v>21</v>
      </c>
      <c r="I1597" t="s">
        <v>20</v>
      </c>
      <c r="J1597" t="s">
        <v>20</v>
      </c>
      <c r="K1597" t="s">
        <v>27</v>
      </c>
      <c r="L1597" t="s">
        <v>165</v>
      </c>
      <c r="M1597" t="s">
        <v>166</v>
      </c>
      <c r="N1597">
        <v>38.973274000000004</v>
      </c>
      <c r="O1597">
        <v>-112.323728</v>
      </c>
      <c r="P1597">
        <v>5035.8405469999998</v>
      </c>
      <c r="Q1597">
        <v>1390</v>
      </c>
      <c r="R1597">
        <v>0</v>
      </c>
    </row>
    <row r="1598" spans="1:18" x14ac:dyDescent="0.25">
      <c r="A1598">
        <v>1597</v>
      </c>
      <c r="B1598">
        <v>94</v>
      </c>
      <c r="C1598">
        <v>31518953</v>
      </c>
      <c r="D1598" t="s">
        <v>231</v>
      </c>
      <c r="E1598">
        <v>2.7919999999999998</v>
      </c>
      <c r="F1598" t="s">
        <v>21</v>
      </c>
      <c r="G1598" t="s">
        <v>26</v>
      </c>
      <c r="H1598" t="s">
        <v>21</v>
      </c>
      <c r="I1598" t="s">
        <v>20</v>
      </c>
      <c r="J1598" t="s">
        <v>20</v>
      </c>
      <c r="K1598" t="s">
        <v>41</v>
      </c>
      <c r="L1598" t="s">
        <v>57</v>
      </c>
      <c r="M1598" t="s">
        <v>93</v>
      </c>
      <c r="N1598">
        <v>41.083333000000003</v>
      </c>
      <c r="O1598">
        <v>-111.99439099999999</v>
      </c>
      <c r="P1598">
        <v>4387.245105</v>
      </c>
      <c r="Q1598">
        <v>1409</v>
      </c>
      <c r="R1598">
        <v>0</v>
      </c>
    </row>
    <row r="1599" spans="1:18" x14ac:dyDescent="0.25">
      <c r="A1599">
        <v>1598</v>
      </c>
      <c r="B1599">
        <v>94</v>
      </c>
      <c r="C1599">
        <v>31408246</v>
      </c>
      <c r="D1599" t="s">
        <v>74</v>
      </c>
      <c r="E1599">
        <v>2.7930000000000001</v>
      </c>
      <c r="F1599" t="s">
        <v>21</v>
      </c>
      <c r="G1599" t="s">
        <v>26</v>
      </c>
      <c r="H1599" t="s">
        <v>21</v>
      </c>
      <c r="I1599" t="s">
        <v>20</v>
      </c>
      <c r="J1599" t="s">
        <v>20</v>
      </c>
      <c r="K1599" t="s">
        <v>27</v>
      </c>
      <c r="L1599" t="s">
        <v>75</v>
      </c>
      <c r="M1599" t="s">
        <v>76</v>
      </c>
      <c r="N1599">
        <v>38.775094000000003</v>
      </c>
      <c r="O1599">
        <v>-112.08479199999999</v>
      </c>
      <c r="P1599">
        <v>5310.9304650000004</v>
      </c>
      <c r="Q1599">
        <v>332</v>
      </c>
      <c r="R1599">
        <v>0</v>
      </c>
    </row>
    <row r="1600" spans="1:18" x14ac:dyDescent="0.25">
      <c r="A1600">
        <v>1599</v>
      </c>
      <c r="B1600">
        <v>94</v>
      </c>
      <c r="C1600" t="e">
        <f>-JLjLTUpIxHc_kjWHea8kk</f>
        <v>#NAME?</v>
      </c>
      <c r="D1600" t="s">
        <v>59</v>
      </c>
      <c r="E1600">
        <v>2.6589999999999998</v>
      </c>
      <c r="F1600" t="s">
        <v>21</v>
      </c>
      <c r="G1600" t="s">
        <v>26</v>
      </c>
      <c r="H1600" t="s">
        <v>21</v>
      </c>
      <c r="I1600" t="s">
        <v>20</v>
      </c>
      <c r="J1600" t="s">
        <v>20</v>
      </c>
      <c r="K1600" t="s">
        <v>22</v>
      </c>
      <c r="L1600" t="s">
        <v>60</v>
      </c>
      <c r="M1600" t="s">
        <v>24</v>
      </c>
      <c r="N1600">
        <v>40.312018000000002</v>
      </c>
      <c r="O1600">
        <v>-111.684388</v>
      </c>
      <c r="P1600">
        <v>4763.630854</v>
      </c>
      <c r="Q1600">
        <v>313</v>
      </c>
      <c r="R1600">
        <v>0</v>
      </c>
    </row>
    <row r="1601" spans="1:18" x14ac:dyDescent="0.25">
      <c r="A1601">
        <v>1600</v>
      </c>
      <c r="B1601">
        <v>94</v>
      </c>
      <c r="C1601">
        <v>31502718</v>
      </c>
      <c r="D1601" t="s">
        <v>292</v>
      </c>
      <c r="E1601">
        <v>2.6589999999999998</v>
      </c>
      <c r="F1601" t="s">
        <v>21</v>
      </c>
      <c r="G1601" t="s">
        <v>26</v>
      </c>
      <c r="H1601" t="s">
        <v>21</v>
      </c>
      <c r="I1601" t="s">
        <v>20</v>
      </c>
      <c r="J1601" t="s">
        <v>20</v>
      </c>
      <c r="K1601" t="s">
        <v>22</v>
      </c>
      <c r="L1601" t="s">
        <v>253</v>
      </c>
      <c r="M1601" t="s">
        <v>134</v>
      </c>
      <c r="N1601">
        <v>40.200426999999998</v>
      </c>
      <c r="O1601">
        <v>-110.389357</v>
      </c>
      <c r="P1601">
        <v>5778.1421799999998</v>
      </c>
      <c r="Q1601">
        <v>323</v>
      </c>
      <c r="R1601">
        <v>0</v>
      </c>
    </row>
    <row r="1602" spans="1:18" x14ac:dyDescent="0.25">
      <c r="A1602">
        <v>1601</v>
      </c>
      <c r="B1602">
        <v>94</v>
      </c>
      <c r="C1602">
        <v>31430324</v>
      </c>
      <c r="D1602" t="s">
        <v>107</v>
      </c>
      <c r="E1602">
        <v>2.6619999999999999</v>
      </c>
      <c r="F1602" t="s">
        <v>19</v>
      </c>
      <c r="G1602" t="s">
        <v>20</v>
      </c>
      <c r="H1602" t="s">
        <v>19</v>
      </c>
      <c r="I1602">
        <v>104</v>
      </c>
      <c r="J1602" t="s">
        <v>20</v>
      </c>
      <c r="K1602" t="s">
        <v>41</v>
      </c>
      <c r="L1602" t="s">
        <v>81</v>
      </c>
      <c r="M1602" t="s">
        <v>93</v>
      </c>
      <c r="N1602">
        <v>41.231229999999996</v>
      </c>
      <c r="O1602">
        <v>-111.978656</v>
      </c>
      <c r="P1602">
        <v>4234.8166369999999</v>
      </c>
      <c r="Q1602">
        <v>413</v>
      </c>
      <c r="R1602">
        <v>0</v>
      </c>
    </row>
    <row r="1603" spans="1:18" x14ac:dyDescent="0.25">
      <c r="A1603">
        <v>1602</v>
      </c>
      <c r="B1603">
        <v>94</v>
      </c>
      <c r="C1603">
        <v>484998</v>
      </c>
      <c r="D1603" t="s">
        <v>83</v>
      </c>
      <c r="E1603">
        <v>2.665</v>
      </c>
      <c r="F1603" t="s">
        <v>21</v>
      </c>
      <c r="G1603" t="s">
        <v>26</v>
      </c>
      <c r="H1603" t="s">
        <v>21</v>
      </c>
      <c r="I1603" t="s">
        <v>20</v>
      </c>
      <c r="J1603" t="s">
        <v>20</v>
      </c>
      <c r="K1603" t="s">
        <v>22</v>
      </c>
      <c r="L1603" t="s">
        <v>84</v>
      </c>
      <c r="M1603" t="s">
        <v>85</v>
      </c>
      <c r="N1603">
        <v>40.414271999999997</v>
      </c>
      <c r="O1603">
        <v>-111.788174</v>
      </c>
      <c r="P1603">
        <v>4794.6736870000004</v>
      </c>
      <c r="Q1603">
        <v>319</v>
      </c>
      <c r="R1603">
        <v>0</v>
      </c>
    </row>
    <row r="1604" spans="1:18" x14ac:dyDescent="0.25">
      <c r="A1604">
        <v>1603</v>
      </c>
      <c r="B1604">
        <v>94</v>
      </c>
      <c r="C1604">
        <v>31410901</v>
      </c>
      <c r="D1604" t="s">
        <v>129</v>
      </c>
      <c r="E1604">
        <v>2.6659999999999999</v>
      </c>
      <c r="F1604" t="s">
        <v>21</v>
      </c>
      <c r="G1604" t="s">
        <v>26</v>
      </c>
      <c r="H1604" t="s">
        <v>21</v>
      </c>
      <c r="I1604" t="s">
        <v>20</v>
      </c>
      <c r="J1604" t="s">
        <v>20</v>
      </c>
      <c r="K1604" t="s">
        <v>31</v>
      </c>
      <c r="L1604" t="s">
        <v>130</v>
      </c>
      <c r="M1604" t="s">
        <v>131</v>
      </c>
      <c r="N1604">
        <v>40.625508000000004</v>
      </c>
      <c r="O1604">
        <v>-111.238421</v>
      </c>
      <c r="P1604">
        <v>6671.9922930000002</v>
      </c>
      <c r="Q1604">
        <v>340</v>
      </c>
      <c r="R1604">
        <v>0</v>
      </c>
    </row>
    <row r="1605" spans="1:18" x14ac:dyDescent="0.25">
      <c r="A1605">
        <v>1604</v>
      </c>
      <c r="B1605">
        <v>94</v>
      </c>
      <c r="C1605" t="e">
        <f>-JN-OOCAGnPK_COAzwvkMV</f>
        <v>#NAME?</v>
      </c>
      <c r="D1605" t="s">
        <v>184</v>
      </c>
      <c r="E1605">
        <v>2.67</v>
      </c>
      <c r="F1605" t="s">
        <v>21</v>
      </c>
      <c r="G1605" t="s">
        <v>26</v>
      </c>
      <c r="H1605" t="s">
        <v>21</v>
      </c>
      <c r="I1605" t="s">
        <v>20</v>
      </c>
      <c r="J1605" t="s">
        <v>20</v>
      </c>
      <c r="K1605" t="s">
        <v>27</v>
      </c>
      <c r="L1605" t="s">
        <v>54</v>
      </c>
      <c r="M1605" t="s">
        <v>55</v>
      </c>
      <c r="N1605">
        <v>37.683346</v>
      </c>
      <c r="O1605">
        <v>-113.06185600000001</v>
      </c>
      <c r="P1605">
        <v>5725.0664150000002</v>
      </c>
      <c r="Q1605">
        <v>1410</v>
      </c>
      <c r="R1605">
        <v>0</v>
      </c>
    </row>
    <row r="1606" spans="1:18" x14ac:dyDescent="0.25">
      <c r="A1606">
        <v>1605</v>
      </c>
      <c r="B1606">
        <v>94</v>
      </c>
      <c r="C1606">
        <v>31644388</v>
      </c>
      <c r="D1606" t="s">
        <v>233</v>
      </c>
      <c r="E1606">
        <v>28.510999999999999</v>
      </c>
      <c r="F1606" t="s">
        <v>21</v>
      </c>
      <c r="G1606" t="s">
        <v>20</v>
      </c>
      <c r="H1606" t="s">
        <v>21</v>
      </c>
      <c r="I1606" t="s">
        <v>20</v>
      </c>
      <c r="J1606" t="s">
        <v>20</v>
      </c>
      <c r="K1606" t="s">
        <v>22</v>
      </c>
      <c r="L1606" t="s">
        <v>234</v>
      </c>
      <c r="M1606" t="s">
        <v>235</v>
      </c>
      <c r="N1606">
        <v>40.262467000000001</v>
      </c>
      <c r="O1606">
        <v>-109.44708799999999</v>
      </c>
      <c r="P1606">
        <v>5088.8112769999998</v>
      </c>
      <c r="Q1606">
        <v>1354</v>
      </c>
      <c r="R1606">
        <v>0</v>
      </c>
    </row>
    <row r="1607" spans="1:18" x14ac:dyDescent="0.25">
      <c r="A1607">
        <v>1606</v>
      </c>
      <c r="B1607">
        <v>94</v>
      </c>
      <c r="C1607">
        <v>31318043</v>
      </c>
      <c r="D1607" t="s">
        <v>347</v>
      </c>
      <c r="E1607">
        <v>28.510999999999999</v>
      </c>
      <c r="F1607" t="s">
        <v>21</v>
      </c>
      <c r="G1607" t="s">
        <v>26</v>
      </c>
      <c r="H1607" t="s">
        <v>21</v>
      </c>
      <c r="I1607" t="s">
        <v>20</v>
      </c>
      <c r="J1607" t="s">
        <v>20</v>
      </c>
      <c r="K1607" t="s">
        <v>41</v>
      </c>
      <c r="L1607" t="s">
        <v>325</v>
      </c>
      <c r="M1607" t="s">
        <v>204</v>
      </c>
      <c r="N1607">
        <v>41.762577999999998</v>
      </c>
      <c r="O1607">
        <v>-111.130548</v>
      </c>
      <c r="P1607">
        <v>6234.0355010000003</v>
      </c>
      <c r="Q1607">
        <v>1334</v>
      </c>
      <c r="R1607">
        <v>0</v>
      </c>
    </row>
    <row r="1608" spans="1:18" x14ac:dyDescent="0.25">
      <c r="A1608">
        <v>1607</v>
      </c>
      <c r="B1608">
        <v>94</v>
      </c>
      <c r="C1608">
        <v>28158575</v>
      </c>
      <c r="D1608" t="s">
        <v>220</v>
      </c>
      <c r="E1608">
        <v>28.515999999999998</v>
      </c>
      <c r="F1608" t="s">
        <v>21</v>
      </c>
      <c r="G1608" t="s">
        <v>26</v>
      </c>
      <c r="H1608" t="s">
        <v>21</v>
      </c>
      <c r="I1608" t="s">
        <v>20</v>
      </c>
      <c r="J1608" t="s">
        <v>20</v>
      </c>
      <c r="K1608" t="s">
        <v>27</v>
      </c>
      <c r="L1608" t="s">
        <v>28</v>
      </c>
      <c r="M1608" t="s">
        <v>29</v>
      </c>
      <c r="N1608">
        <v>37.562699000000002</v>
      </c>
      <c r="O1608">
        <v>-112.00565400000001</v>
      </c>
      <c r="P1608">
        <v>5888.6123859999998</v>
      </c>
      <c r="Q1608">
        <v>1328</v>
      </c>
      <c r="R1608">
        <v>0</v>
      </c>
    </row>
    <row r="1609" spans="1:18" x14ac:dyDescent="0.25">
      <c r="A1609">
        <v>1608</v>
      </c>
      <c r="B1609">
        <v>94</v>
      </c>
      <c r="C1609">
        <v>31516673</v>
      </c>
      <c r="D1609" t="s">
        <v>292</v>
      </c>
      <c r="E1609">
        <v>28.530999999999999</v>
      </c>
      <c r="F1609" t="s">
        <v>21</v>
      </c>
      <c r="G1609" t="s">
        <v>26</v>
      </c>
      <c r="H1609" t="s">
        <v>21</v>
      </c>
      <c r="I1609" t="s">
        <v>20</v>
      </c>
      <c r="J1609" t="s">
        <v>20</v>
      </c>
      <c r="K1609" t="s">
        <v>22</v>
      </c>
      <c r="L1609" t="s">
        <v>253</v>
      </c>
      <c r="M1609" t="s">
        <v>134</v>
      </c>
      <c r="N1609">
        <v>40.279696000000001</v>
      </c>
      <c r="O1609">
        <v>-110.218688</v>
      </c>
      <c r="P1609">
        <v>5704.8588920000002</v>
      </c>
      <c r="Q1609">
        <v>323</v>
      </c>
      <c r="R1609">
        <v>0</v>
      </c>
    </row>
    <row r="1610" spans="1:18" x14ac:dyDescent="0.25">
      <c r="A1610">
        <v>1609</v>
      </c>
      <c r="B1610">
        <v>94</v>
      </c>
      <c r="C1610">
        <v>31374146</v>
      </c>
      <c r="D1610" t="s">
        <v>199</v>
      </c>
      <c r="E1610">
        <v>28.532</v>
      </c>
      <c r="F1610" t="s">
        <v>21</v>
      </c>
      <c r="G1610" t="s">
        <v>26</v>
      </c>
      <c r="H1610" t="s">
        <v>21</v>
      </c>
      <c r="I1610" t="s">
        <v>20</v>
      </c>
      <c r="J1610" t="s">
        <v>20</v>
      </c>
      <c r="K1610" t="s">
        <v>27</v>
      </c>
      <c r="L1610" t="s">
        <v>64</v>
      </c>
      <c r="M1610" t="s">
        <v>200</v>
      </c>
      <c r="N1610">
        <v>38.23601</v>
      </c>
      <c r="O1610">
        <v>-112.36282300000001</v>
      </c>
      <c r="P1610">
        <v>9481.2684009999994</v>
      </c>
      <c r="Q1610">
        <v>341</v>
      </c>
      <c r="R1610">
        <v>0</v>
      </c>
    </row>
    <row r="1611" spans="1:18" x14ac:dyDescent="0.25">
      <c r="A1611">
        <v>1610</v>
      </c>
      <c r="B1611">
        <v>94</v>
      </c>
      <c r="C1611" t="s">
        <v>450</v>
      </c>
      <c r="D1611" t="s">
        <v>199</v>
      </c>
      <c r="E1611">
        <v>28.556000000000001</v>
      </c>
      <c r="F1611" t="s">
        <v>21</v>
      </c>
      <c r="G1611" t="s">
        <v>26</v>
      </c>
      <c r="H1611" t="s">
        <v>21</v>
      </c>
      <c r="I1611" t="s">
        <v>20</v>
      </c>
      <c r="J1611" t="s">
        <v>20</v>
      </c>
      <c r="K1611" t="s">
        <v>27</v>
      </c>
      <c r="L1611" t="s">
        <v>64</v>
      </c>
      <c r="M1611" t="s">
        <v>200</v>
      </c>
      <c r="N1611">
        <v>38.235984999999999</v>
      </c>
      <c r="O1611">
        <v>-112.36238</v>
      </c>
      <c r="P1611">
        <v>9490.7824889999993</v>
      </c>
      <c r="Q1611">
        <v>341</v>
      </c>
      <c r="R1611">
        <v>0</v>
      </c>
    </row>
    <row r="1612" spans="1:18" x14ac:dyDescent="0.25">
      <c r="A1612">
        <v>1611</v>
      </c>
      <c r="B1612">
        <v>94</v>
      </c>
      <c r="C1612" t="e">
        <f>-JMMwVErI91DLRsrsJj75F</f>
        <v>#NAME?</v>
      </c>
      <c r="D1612" t="s">
        <v>44</v>
      </c>
      <c r="E1612">
        <v>2.819</v>
      </c>
      <c r="F1612" t="s">
        <v>21</v>
      </c>
      <c r="G1612" t="s">
        <v>26</v>
      </c>
      <c r="H1612" t="s">
        <v>21</v>
      </c>
      <c r="I1612" t="s">
        <v>20</v>
      </c>
      <c r="J1612" t="s">
        <v>20</v>
      </c>
      <c r="K1612" t="s">
        <v>41</v>
      </c>
      <c r="L1612" t="s">
        <v>45</v>
      </c>
      <c r="M1612" t="s">
        <v>46</v>
      </c>
      <c r="N1612">
        <v>40.918233999999998</v>
      </c>
      <c r="O1612">
        <v>-111.87897</v>
      </c>
      <c r="P1612">
        <v>4236.7664370000002</v>
      </c>
      <c r="Q1612">
        <v>1395</v>
      </c>
      <c r="R1612">
        <v>0</v>
      </c>
    </row>
    <row r="1613" spans="1:18" x14ac:dyDescent="0.25">
      <c r="A1613">
        <v>1612</v>
      </c>
      <c r="B1613">
        <v>94</v>
      </c>
      <c r="C1613">
        <v>1168686</v>
      </c>
      <c r="D1613" t="s">
        <v>128</v>
      </c>
      <c r="E1613">
        <v>2.82</v>
      </c>
      <c r="F1613" t="s">
        <v>21</v>
      </c>
      <c r="G1613" t="s">
        <v>26</v>
      </c>
      <c r="H1613" t="s">
        <v>21</v>
      </c>
      <c r="I1613" t="s">
        <v>20</v>
      </c>
      <c r="J1613" t="s">
        <v>20</v>
      </c>
      <c r="K1613" t="s">
        <v>41</v>
      </c>
      <c r="L1613" t="s">
        <v>95</v>
      </c>
      <c r="M1613" t="s">
        <v>73</v>
      </c>
      <c r="N1613">
        <v>41.738481999999998</v>
      </c>
      <c r="O1613">
        <v>-111.85956400000001</v>
      </c>
      <c r="P1613">
        <v>4403.4097959999999</v>
      </c>
      <c r="Q1613">
        <v>5943</v>
      </c>
      <c r="R1613">
        <v>0</v>
      </c>
    </row>
    <row r="1614" spans="1:18" x14ac:dyDescent="0.25">
      <c r="A1614">
        <v>1613</v>
      </c>
      <c r="B1614">
        <v>94</v>
      </c>
      <c r="C1614">
        <v>31556296</v>
      </c>
      <c r="D1614" t="s">
        <v>102</v>
      </c>
      <c r="E1614">
        <v>2.82</v>
      </c>
      <c r="F1614" t="s">
        <v>21</v>
      </c>
      <c r="G1614" t="s">
        <v>26</v>
      </c>
      <c r="H1614" t="s">
        <v>21</v>
      </c>
      <c r="I1614" t="s">
        <v>20</v>
      </c>
      <c r="J1614" t="s">
        <v>20</v>
      </c>
      <c r="K1614" t="s">
        <v>27</v>
      </c>
      <c r="L1614" t="s">
        <v>103</v>
      </c>
      <c r="M1614" t="s">
        <v>104</v>
      </c>
      <c r="N1614">
        <v>38.285971000000004</v>
      </c>
      <c r="O1614">
        <v>-112.641384</v>
      </c>
      <c r="P1614">
        <v>5871.945737</v>
      </c>
      <c r="Q1614">
        <v>1430</v>
      </c>
      <c r="R1614">
        <v>0</v>
      </c>
    </row>
    <row r="1615" spans="1:18" x14ac:dyDescent="0.25">
      <c r="A1615">
        <v>1614</v>
      </c>
      <c r="B1615">
        <v>94</v>
      </c>
      <c r="C1615">
        <v>31601344</v>
      </c>
      <c r="D1615" t="s">
        <v>232</v>
      </c>
      <c r="E1615">
        <v>2.8220000000000001</v>
      </c>
      <c r="F1615" t="s">
        <v>19</v>
      </c>
      <c r="G1615" t="s">
        <v>20</v>
      </c>
      <c r="H1615" t="s">
        <v>21</v>
      </c>
      <c r="I1615" t="s">
        <v>20</v>
      </c>
      <c r="J1615" t="s">
        <v>20</v>
      </c>
      <c r="K1615" t="s">
        <v>31</v>
      </c>
      <c r="L1615" t="s">
        <v>209</v>
      </c>
      <c r="M1615" t="s">
        <v>131</v>
      </c>
      <c r="N1615">
        <v>40.679994999999998</v>
      </c>
      <c r="O1615">
        <v>-111.46622000000001</v>
      </c>
      <c r="P1615">
        <v>6606.79097</v>
      </c>
      <c r="Q1615">
        <v>1279</v>
      </c>
      <c r="R1615">
        <v>0</v>
      </c>
    </row>
    <row r="1616" spans="1:18" x14ac:dyDescent="0.25">
      <c r="A1616">
        <v>1615</v>
      </c>
      <c r="B1616">
        <v>94</v>
      </c>
      <c r="C1616">
        <v>764574</v>
      </c>
      <c r="D1616" t="s">
        <v>68</v>
      </c>
      <c r="E1616">
        <v>2.8220000000000001</v>
      </c>
      <c r="F1616" t="s">
        <v>19</v>
      </c>
      <c r="G1616" t="s">
        <v>20</v>
      </c>
      <c r="H1616" t="s">
        <v>21</v>
      </c>
      <c r="I1616" t="s">
        <v>20</v>
      </c>
      <c r="J1616" t="s">
        <v>20</v>
      </c>
      <c r="K1616" t="s">
        <v>31</v>
      </c>
      <c r="L1616" t="s">
        <v>69</v>
      </c>
      <c r="M1616" t="s">
        <v>70</v>
      </c>
      <c r="N1616">
        <v>40.674486999999999</v>
      </c>
      <c r="O1616">
        <v>-111.901838</v>
      </c>
      <c r="P1616">
        <v>4199.1481839999997</v>
      </c>
      <c r="Q1616">
        <v>431</v>
      </c>
      <c r="R1616">
        <v>0</v>
      </c>
    </row>
    <row r="1617" spans="1:18" x14ac:dyDescent="0.25">
      <c r="A1617">
        <v>1616</v>
      </c>
      <c r="B1617">
        <v>94</v>
      </c>
      <c r="C1617">
        <v>31562668</v>
      </c>
      <c r="D1617" t="s">
        <v>172</v>
      </c>
      <c r="E1617">
        <v>2.823</v>
      </c>
      <c r="F1617" t="s">
        <v>21</v>
      </c>
      <c r="G1617" t="s">
        <v>20</v>
      </c>
      <c r="H1617" t="s">
        <v>21</v>
      </c>
      <c r="I1617" t="s">
        <v>20</v>
      </c>
      <c r="J1617" t="s">
        <v>20</v>
      </c>
      <c r="K1617" t="s">
        <v>27</v>
      </c>
      <c r="L1617" t="s">
        <v>173</v>
      </c>
      <c r="M1617" t="s">
        <v>174</v>
      </c>
      <c r="N1617">
        <v>39.533214999999998</v>
      </c>
      <c r="O1617">
        <v>-112.32073200000001</v>
      </c>
      <c r="P1617">
        <v>4648.2964389999997</v>
      </c>
      <c r="Q1617">
        <v>1411</v>
      </c>
      <c r="R1617">
        <v>0</v>
      </c>
    </row>
    <row r="1618" spans="1:18" x14ac:dyDescent="0.25">
      <c r="A1618">
        <v>1617</v>
      </c>
      <c r="B1618">
        <v>94</v>
      </c>
      <c r="C1618">
        <v>967864</v>
      </c>
      <c r="D1618" t="s">
        <v>175</v>
      </c>
      <c r="E1618">
        <v>2.8250000000000002</v>
      </c>
      <c r="F1618" t="s">
        <v>21</v>
      </c>
      <c r="G1618" t="s">
        <v>26</v>
      </c>
      <c r="H1618" t="s">
        <v>21</v>
      </c>
      <c r="I1618" t="s">
        <v>20</v>
      </c>
      <c r="J1618" t="s">
        <v>20</v>
      </c>
      <c r="K1618" t="s">
        <v>41</v>
      </c>
      <c r="L1618" t="s">
        <v>87</v>
      </c>
      <c r="M1618" t="s">
        <v>93</v>
      </c>
      <c r="N1618">
        <v>41.066130999999999</v>
      </c>
      <c r="O1618">
        <v>-111.913349</v>
      </c>
      <c r="P1618">
        <v>4717.0729940000001</v>
      </c>
      <c r="Q1618">
        <v>1397</v>
      </c>
      <c r="R1618">
        <v>0</v>
      </c>
    </row>
    <row r="1619" spans="1:18" x14ac:dyDescent="0.25">
      <c r="A1619">
        <v>1618</v>
      </c>
      <c r="B1619">
        <v>94</v>
      </c>
      <c r="C1619">
        <v>31433271</v>
      </c>
      <c r="D1619" t="s">
        <v>107</v>
      </c>
      <c r="E1619">
        <v>2.827</v>
      </c>
      <c r="F1619" t="s">
        <v>21</v>
      </c>
      <c r="G1619" t="s">
        <v>26</v>
      </c>
      <c r="H1619" t="s">
        <v>21</v>
      </c>
      <c r="I1619" t="s">
        <v>20</v>
      </c>
      <c r="J1619" t="s">
        <v>20</v>
      </c>
      <c r="K1619" t="s">
        <v>41</v>
      </c>
      <c r="L1619" t="s">
        <v>81</v>
      </c>
      <c r="M1619" t="s">
        <v>93</v>
      </c>
      <c r="N1619">
        <v>41.233618</v>
      </c>
      <c r="O1619">
        <v>-111.97859800000001</v>
      </c>
      <c r="P1619">
        <v>4238.5270650000002</v>
      </c>
      <c r="Q1619">
        <v>413</v>
      </c>
      <c r="R1619">
        <v>0</v>
      </c>
    </row>
    <row r="1620" spans="1:18" x14ac:dyDescent="0.25">
      <c r="A1620">
        <v>1619</v>
      </c>
      <c r="B1620">
        <v>94</v>
      </c>
      <c r="C1620">
        <v>31679645</v>
      </c>
      <c r="D1620" t="s">
        <v>258</v>
      </c>
      <c r="E1620">
        <v>2.8330000000000002</v>
      </c>
      <c r="F1620" t="s">
        <v>21</v>
      </c>
      <c r="G1620" t="s">
        <v>26</v>
      </c>
      <c r="H1620" t="s">
        <v>21</v>
      </c>
      <c r="I1620" t="s">
        <v>20</v>
      </c>
      <c r="J1620" t="s">
        <v>20</v>
      </c>
      <c r="K1620" t="s">
        <v>27</v>
      </c>
      <c r="L1620" t="s">
        <v>259</v>
      </c>
      <c r="M1620" t="s">
        <v>29</v>
      </c>
      <c r="N1620">
        <v>37.041246999999998</v>
      </c>
      <c r="O1620">
        <v>-112.52636099999999</v>
      </c>
      <c r="P1620">
        <v>4859.0900789999996</v>
      </c>
      <c r="Q1620">
        <v>301</v>
      </c>
      <c r="R1620">
        <v>0</v>
      </c>
    </row>
    <row r="1621" spans="1:18" x14ac:dyDescent="0.25">
      <c r="A1621">
        <v>1620</v>
      </c>
      <c r="B1621">
        <v>94</v>
      </c>
      <c r="C1621">
        <v>31749796</v>
      </c>
      <c r="D1621" t="s">
        <v>156</v>
      </c>
      <c r="E1621">
        <v>2.835</v>
      </c>
      <c r="F1621" t="s">
        <v>21</v>
      </c>
      <c r="G1621" t="s">
        <v>26</v>
      </c>
      <c r="H1621" t="s">
        <v>21</v>
      </c>
      <c r="I1621" t="s">
        <v>20</v>
      </c>
      <c r="J1621" t="s">
        <v>20</v>
      </c>
      <c r="K1621" t="s">
        <v>41</v>
      </c>
      <c r="L1621" t="s">
        <v>81</v>
      </c>
      <c r="M1621" t="s">
        <v>93</v>
      </c>
      <c r="N1621">
        <v>41.300514999999997</v>
      </c>
      <c r="O1621">
        <v>-111.968844</v>
      </c>
      <c r="P1621">
        <v>4312.0790580000003</v>
      </c>
      <c r="Q1621">
        <v>424</v>
      </c>
      <c r="R1621">
        <v>0</v>
      </c>
    </row>
    <row r="1622" spans="1:18" x14ac:dyDescent="0.25">
      <c r="A1622">
        <v>1621</v>
      </c>
      <c r="B1622">
        <v>94</v>
      </c>
      <c r="C1622" t="e">
        <f>-Ioq4WRrF0yIre_ZPDLa3F</f>
        <v>#NAME?</v>
      </c>
      <c r="D1622" t="s">
        <v>272</v>
      </c>
      <c r="E1622">
        <v>349.76400000000001</v>
      </c>
      <c r="F1622" t="s">
        <v>19</v>
      </c>
      <c r="G1622" t="s">
        <v>20</v>
      </c>
      <c r="H1622" t="s">
        <v>21</v>
      </c>
      <c r="I1622" t="s">
        <v>20</v>
      </c>
      <c r="J1622" t="s">
        <v>20</v>
      </c>
      <c r="K1622" t="s">
        <v>22</v>
      </c>
      <c r="L1622" t="s">
        <v>84</v>
      </c>
      <c r="M1622" t="s">
        <v>125</v>
      </c>
      <c r="N1622">
        <v>40.386946999999999</v>
      </c>
      <c r="O1622">
        <v>-111.82201499999999</v>
      </c>
      <c r="P1622">
        <v>4494.8367870000002</v>
      </c>
      <c r="Q1622">
        <v>1384</v>
      </c>
      <c r="R1622">
        <v>0</v>
      </c>
    </row>
    <row r="1623" spans="1:18" x14ac:dyDescent="0.25">
      <c r="A1623">
        <v>1622</v>
      </c>
      <c r="B1623">
        <v>94</v>
      </c>
      <c r="C1623" t="s">
        <v>451</v>
      </c>
      <c r="D1623" t="s">
        <v>241</v>
      </c>
      <c r="E1623">
        <v>33.121000000000002</v>
      </c>
      <c r="F1623" t="s">
        <v>21</v>
      </c>
      <c r="G1623" t="s">
        <v>20</v>
      </c>
      <c r="H1623" t="s">
        <v>21</v>
      </c>
      <c r="I1623" t="s">
        <v>20</v>
      </c>
      <c r="J1623" t="s">
        <v>20</v>
      </c>
      <c r="K1623" t="s">
        <v>27</v>
      </c>
      <c r="L1623" t="s">
        <v>111</v>
      </c>
      <c r="M1623" t="s">
        <v>243</v>
      </c>
      <c r="N1623">
        <v>39.161776000000003</v>
      </c>
      <c r="O1623">
        <v>-111.069844</v>
      </c>
      <c r="P1623">
        <v>5683.4983830000001</v>
      </c>
      <c r="Q1623">
        <v>1327</v>
      </c>
      <c r="R1623">
        <v>0</v>
      </c>
    </row>
    <row r="1624" spans="1:18" x14ac:dyDescent="0.25">
      <c r="A1624">
        <v>1623</v>
      </c>
      <c r="B1624">
        <v>94</v>
      </c>
      <c r="C1624">
        <v>31500399</v>
      </c>
      <c r="D1624" t="s">
        <v>317</v>
      </c>
      <c r="E1624">
        <v>33.130000000000003</v>
      </c>
      <c r="F1624" t="s">
        <v>21</v>
      </c>
      <c r="G1624" t="s">
        <v>20</v>
      </c>
      <c r="H1624" t="s">
        <v>21</v>
      </c>
      <c r="I1624" t="s">
        <v>20</v>
      </c>
      <c r="J1624" t="s">
        <v>20</v>
      </c>
      <c r="K1624" t="s">
        <v>27</v>
      </c>
      <c r="L1624" t="s">
        <v>211</v>
      </c>
      <c r="M1624" t="s">
        <v>212</v>
      </c>
      <c r="N1624">
        <v>37.256827000000001</v>
      </c>
      <c r="O1624">
        <v>-109.744379</v>
      </c>
      <c r="P1624">
        <v>5034.2601880000002</v>
      </c>
      <c r="Q1624">
        <v>1432</v>
      </c>
      <c r="R1624">
        <v>0</v>
      </c>
    </row>
    <row r="1625" spans="1:18" x14ac:dyDescent="0.25">
      <c r="A1625">
        <v>1624</v>
      </c>
      <c r="B1625">
        <v>94</v>
      </c>
      <c r="C1625">
        <v>31374679</v>
      </c>
      <c r="D1625" t="s">
        <v>199</v>
      </c>
      <c r="E1625">
        <v>33.146000000000001</v>
      </c>
      <c r="F1625" t="s">
        <v>21</v>
      </c>
      <c r="G1625" t="s">
        <v>26</v>
      </c>
      <c r="H1625" t="s">
        <v>21</v>
      </c>
      <c r="I1625" t="s">
        <v>20</v>
      </c>
      <c r="J1625" t="s">
        <v>20</v>
      </c>
      <c r="K1625" t="s">
        <v>27</v>
      </c>
      <c r="L1625" t="s">
        <v>64</v>
      </c>
      <c r="M1625" t="s">
        <v>200</v>
      </c>
      <c r="N1625">
        <v>38.250017999999997</v>
      </c>
      <c r="O1625">
        <v>-112.313034</v>
      </c>
      <c r="P1625">
        <v>8040.137608</v>
      </c>
      <c r="Q1625">
        <v>341</v>
      </c>
      <c r="R1625">
        <v>0</v>
      </c>
    </row>
    <row r="1626" spans="1:18" x14ac:dyDescent="0.25">
      <c r="A1626">
        <v>1625</v>
      </c>
      <c r="B1626">
        <v>94</v>
      </c>
      <c r="C1626">
        <v>31620532</v>
      </c>
      <c r="D1626" t="s">
        <v>50</v>
      </c>
      <c r="E1626">
        <v>33.167000000000002</v>
      </c>
      <c r="F1626" t="s">
        <v>21</v>
      </c>
      <c r="G1626" t="s">
        <v>26</v>
      </c>
      <c r="H1626" t="s">
        <v>21</v>
      </c>
      <c r="I1626" t="s">
        <v>20</v>
      </c>
      <c r="J1626" t="s">
        <v>20</v>
      </c>
      <c r="K1626" t="s">
        <v>27</v>
      </c>
      <c r="L1626" t="s">
        <v>247</v>
      </c>
      <c r="M1626" t="s">
        <v>52</v>
      </c>
      <c r="N1626">
        <v>37.704175999999997</v>
      </c>
      <c r="O1626">
        <v>-112.644724</v>
      </c>
      <c r="P1626">
        <v>8240.1112959999991</v>
      </c>
      <c r="Q1626">
        <v>1418</v>
      </c>
      <c r="R1626">
        <v>0</v>
      </c>
    </row>
    <row r="1627" spans="1:18" x14ac:dyDescent="0.25">
      <c r="A1627">
        <v>1626</v>
      </c>
      <c r="B1627">
        <v>94</v>
      </c>
      <c r="C1627">
        <v>31572479</v>
      </c>
      <c r="D1627" t="s">
        <v>172</v>
      </c>
      <c r="E1627">
        <v>33.222999999999999</v>
      </c>
      <c r="F1627" t="s">
        <v>19</v>
      </c>
      <c r="G1627" t="s">
        <v>20</v>
      </c>
      <c r="H1627" t="s">
        <v>19</v>
      </c>
      <c r="I1627">
        <v>28</v>
      </c>
      <c r="J1627" t="s">
        <v>20</v>
      </c>
      <c r="K1627" t="s">
        <v>22</v>
      </c>
      <c r="L1627" t="s">
        <v>155</v>
      </c>
      <c r="M1627" t="s">
        <v>174</v>
      </c>
      <c r="N1627">
        <v>39.709997000000001</v>
      </c>
      <c r="O1627">
        <v>-111.83614900000001</v>
      </c>
      <c r="P1627">
        <v>5073.840956</v>
      </c>
      <c r="Q1627">
        <v>1411</v>
      </c>
      <c r="R1627">
        <v>0</v>
      </c>
    </row>
    <row r="1628" spans="1:18" x14ac:dyDescent="0.25">
      <c r="A1628">
        <v>1627</v>
      </c>
      <c r="B1628">
        <v>94</v>
      </c>
      <c r="C1628">
        <v>31321612</v>
      </c>
      <c r="D1628" t="s">
        <v>288</v>
      </c>
      <c r="E1628">
        <v>33.232999999999997</v>
      </c>
      <c r="F1628" t="s">
        <v>21</v>
      </c>
      <c r="G1628" t="s">
        <v>20</v>
      </c>
      <c r="H1628" t="s">
        <v>21</v>
      </c>
      <c r="I1628" t="s">
        <v>20</v>
      </c>
      <c r="J1628" t="s">
        <v>20</v>
      </c>
      <c r="K1628" t="s">
        <v>27</v>
      </c>
      <c r="L1628" t="s">
        <v>211</v>
      </c>
      <c r="M1628" t="s">
        <v>318</v>
      </c>
      <c r="N1628">
        <v>37.383167</v>
      </c>
      <c r="O1628">
        <v>-109.50179199999999</v>
      </c>
      <c r="P1628">
        <v>4948.0141320000002</v>
      </c>
      <c r="Q1628">
        <v>350</v>
      </c>
      <c r="R1628">
        <v>0</v>
      </c>
    </row>
    <row r="1629" spans="1:18" x14ac:dyDescent="0.25">
      <c r="A1629">
        <v>1628</v>
      </c>
      <c r="B1629">
        <v>94</v>
      </c>
      <c r="C1629">
        <v>31501193</v>
      </c>
      <c r="D1629" t="s">
        <v>129</v>
      </c>
      <c r="E1629">
        <v>33.244999999999997</v>
      </c>
      <c r="F1629" t="s">
        <v>21</v>
      </c>
      <c r="G1629" t="s">
        <v>26</v>
      </c>
      <c r="H1629" t="s">
        <v>21</v>
      </c>
      <c r="I1629" t="s">
        <v>20</v>
      </c>
      <c r="J1629" t="s">
        <v>20</v>
      </c>
      <c r="K1629" t="s">
        <v>31</v>
      </c>
      <c r="L1629" t="s">
        <v>130</v>
      </c>
      <c r="M1629" t="s">
        <v>302</v>
      </c>
      <c r="N1629">
        <v>40.716782000000002</v>
      </c>
      <c r="O1629">
        <v>-110.87698899999999</v>
      </c>
      <c r="P1629">
        <v>10169.731578000001</v>
      </c>
      <c r="Q1629">
        <v>340</v>
      </c>
      <c r="R1629">
        <v>0</v>
      </c>
    </row>
    <row r="1630" spans="1:18" x14ac:dyDescent="0.25">
      <c r="A1630">
        <v>1629</v>
      </c>
      <c r="B1630">
        <v>94</v>
      </c>
      <c r="C1630" t="e">
        <f>-JX__SgsG-eNyfRneQ8S_F</f>
        <v>#NAME?</v>
      </c>
      <c r="D1630" t="s">
        <v>265</v>
      </c>
      <c r="E1630">
        <v>33.253</v>
      </c>
      <c r="F1630" t="s">
        <v>21</v>
      </c>
      <c r="G1630" t="s">
        <v>20</v>
      </c>
      <c r="H1630" t="s">
        <v>21</v>
      </c>
      <c r="I1630" t="s">
        <v>20</v>
      </c>
      <c r="J1630" t="s">
        <v>20</v>
      </c>
      <c r="K1630" t="s">
        <v>27</v>
      </c>
      <c r="L1630" t="s">
        <v>183</v>
      </c>
      <c r="M1630" t="s">
        <v>267</v>
      </c>
      <c r="N1630">
        <v>38.753425999999997</v>
      </c>
      <c r="O1630">
        <v>-111.38451999999999</v>
      </c>
      <c r="P1630">
        <v>6784.1820289999996</v>
      </c>
      <c r="Q1630">
        <v>1371</v>
      </c>
      <c r="R1630">
        <v>0</v>
      </c>
    </row>
    <row r="1631" spans="1:18" x14ac:dyDescent="0.25">
      <c r="A1631">
        <v>1630</v>
      </c>
      <c r="B1631">
        <v>94</v>
      </c>
      <c r="C1631" t="e">
        <f>-JNPMQPrIgiAFsgKu7i0SF</f>
        <v>#NAME?</v>
      </c>
      <c r="D1631" t="s">
        <v>124</v>
      </c>
      <c r="E1631">
        <v>33.258000000000003</v>
      </c>
      <c r="F1631" t="s">
        <v>21</v>
      </c>
      <c r="G1631" t="s">
        <v>26</v>
      </c>
      <c r="H1631" t="s">
        <v>21</v>
      </c>
      <c r="I1631" t="s">
        <v>20</v>
      </c>
      <c r="J1631" t="s">
        <v>20</v>
      </c>
      <c r="K1631" t="s">
        <v>22</v>
      </c>
      <c r="L1631" t="s">
        <v>84</v>
      </c>
      <c r="M1631" t="s">
        <v>125</v>
      </c>
      <c r="N1631">
        <v>40.395046999999998</v>
      </c>
      <c r="O1631">
        <v>-111.91801599999999</v>
      </c>
      <c r="P1631">
        <v>4534.6680290000004</v>
      </c>
      <c r="Q1631">
        <v>1368</v>
      </c>
      <c r="R1631">
        <v>0</v>
      </c>
    </row>
    <row r="1632" spans="1:18" x14ac:dyDescent="0.25">
      <c r="A1632">
        <v>1631</v>
      </c>
      <c r="B1632">
        <v>94</v>
      </c>
      <c r="C1632">
        <v>31353423</v>
      </c>
      <c r="D1632" t="s">
        <v>142</v>
      </c>
      <c r="E1632">
        <v>33.265000000000001</v>
      </c>
      <c r="F1632" t="s">
        <v>21</v>
      </c>
      <c r="G1632" t="s">
        <v>26</v>
      </c>
      <c r="H1632" t="s">
        <v>21</v>
      </c>
      <c r="I1632" t="s">
        <v>20</v>
      </c>
      <c r="J1632" t="s">
        <v>20</v>
      </c>
      <c r="K1632" t="s">
        <v>27</v>
      </c>
      <c r="L1632" t="s">
        <v>143</v>
      </c>
      <c r="M1632" t="s">
        <v>106</v>
      </c>
      <c r="N1632">
        <v>38.554518999999999</v>
      </c>
      <c r="O1632">
        <v>-113.74194900000001</v>
      </c>
      <c r="P1632">
        <v>5153.3120019999997</v>
      </c>
      <c r="Q1632">
        <v>305</v>
      </c>
      <c r="R1632">
        <v>0</v>
      </c>
    </row>
    <row r="1633" spans="1:18" x14ac:dyDescent="0.25">
      <c r="A1633">
        <v>1632</v>
      </c>
      <c r="B1633">
        <v>94</v>
      </c>
      <c r="C1633" t="e">
        <f>-IpVAuAhGmHnfalZQXv_6F</f>
        <v>#NAME?</v>
      </c>
      <c r="D1633" t="s">
        <v>284</v>
      </c>
      <c r="E1633">
        <v>33.273000000000003</v>
      </c>
      <c r="F1633" t="s">
        <v>21</v>
      </c>
      <c r="G1633" t="s">
        <v>20</v>
      </c>
      <c r="H1633" t="s">
        <v>21</v>
      </c>
      <c r="I1633" t="s">
        <v>20</v>
      </c>
      <c r="J1633" t="s">
        <v>20</v>
      </c>
      <c r="K1633" t="s">
        <v>31</v>
      </c>
      <c r="L1633" t="s">
        <v>285</v>
      </c>
      <c r="M1633" t="s">
        <v>206</v>
      </c>
      <c r="N1633">
        <v>40.694952000000001</v>
      </c>
      <c r="O1633">
        <v>-112.667283</v>
      </c>
      <c r="P1633">
        <v>4208.0481920000002</v>
      </c>
      <c r="Q1633">
        <v>407</v>
      </c>
      <c r="R1633">
        <v>0</v>
      </c>
    </row>
    <row r="1634" spans="1:18" x14ac:dyDescent="0.25">
      <c r="A1634">
        <v>1633</v>
      </c>
      <c r="B1634">
        <v>94</v>
      </c>
      <c r="C1634">
        <v>31382042</v>
      </c>
      <c r="D1634" t="s">
        <v>116</v>
      </c>
      <c r="E1634">
        <v>33.299999999999997</v>
      </c>
      <c r="F1634" t="s">
        <v>21</v>
      </c>
      <c r="G1634" t="s">
        <v>26</v>
      </c>
      <c r="H1634" t="s">
        <v>21</v>
      </c>
      <c r="I1634" t="s">
        <v>20</v>
      </c>
      <c r="J1634" t="s">
        <v>20</v>
      </c>
      <c r="K1634" t="s">
        <v>41</v>
      </c>
      <c r="L1634" t="s">
        <v>95</v>
      </c>
      <c r="M1634" t="s">
        <v>117</v>
      </c>
      <c r="N1634">
        <v>41.828153</v>
      </c>
      <c r="O1634">
        <v>-111.832928</v>
      </c>
      <c r="P1634">
        <v>4521.3639000000003</v>
      </c>
      <c r="Q1634">
        <v>324</v>
      </c>
      <c r="R1634">
        <v>0</v>
      </c>
    </row>
    <row r="1635" spans="1:18" x14ac:dyDescent="0.25">
      <c r="A1635">
        <v>1634</v>
      </c>
      <c r="B1635">
        <v>94</v>
      </c>
      <c r="C1635">
        <v>31607015</v>
      </c>
      <c r="D1635" t="s">
        <v>271</v>
      </c>
      <c r="E1635">
        <v>33.323999999999998</v>
      </c>
      <c r="F1635" t="s">
        <v>19</v>
      </c>
      <c r="G1635" t="s">
        <v>20</v>
      </c>
      <c r="H1635" t="s">
        <v>21</v>
      </c>
      <c r="I1635" t="s">
        <v>20</v>
      </c>
      <c r="J1635" t="s">
        <v>20</v>
      </c>
      <c r="K1635" t="s">
        <v>22</v>
      </c>
      <c r="L1635" t="s">
        <v>263</v>
      </c>
      <c r="M1635" t="s">
        <v>24</v>
      </c>
      <c r="N1635">
        <v>40.380603999999998</v>
      </c>
      <c r="O1635">
        <v>-111.97433700000001</v>
      </c>
      <c r="P1635">
        <v>4876.7313940000004</v>
      </c>
      <c r="Q1635">
        <v>1372</v>
      </c>
      <c r="R1635">
        <v>0</v>
      </c>
    </row>
    <row r="1636" spans="1:18" x14ac:dyDescent="0.25">
      <c r="A1636">
        <v>1635</v>
      </c>
      <c r="B1636">
        <v>94</v>
      </c>
      <c r="C1636">
        <v>31620543</v>
      </c>
      <c r="D1636" t="s">
        <v>50</v>
      </c>
      <c r="E1636">
        <v>33.384999999999998</v>
      </c>
      <c r="F1636" t="s">
        <v>21</v>
      </c>
      <c r="G1636" t="s">
        <v>26</v>
      </c>
      <c r="H1636" t="s">
        <v>21</v>
      </c>
      <c r="I1636" t="s">
        <v>20</v>
      </c>
      <c r="J1636" t="s">
        <v>20</v>
      </c>
      <c r="K1636" t="s">
        <v>27</v>
      </c>
      <c r="L1636" t="s">
        <v>247</v>
      </c>
      <c r="M1636" t="s">
        <v>52</v>
      </c>
      <c r="N1636">
        <v>37.704934999999999</v>
      </c>
      <c r="O1636">
        <v>-112.640916</v>
      </c>
      <c r="P1636">
        <v>8188.3455459999996</v>
      </c>
      <c r="Q1636">
        <v>1418</v>
      </c>
      <c r="R1636">
        <v>0</v>
      </c>
    </row>
    <row r="1637" spans="1:18" x14ac:dyDescent="0.25">
      <c r="A1637">
        <v>1636</v>
      </c>
      <c r="B1637">
        <v>94</v>
      </c>
      <c r="C1637" t="e">
        <f>-JNPNuiAFPuYdPWslHE7MV</f>
        <v>#NAME?</v>
      </c>
      <c r="D1637" t="s">
        <v>124</v>
      </c>
      <c r="E1637">
        <v>33.417999999999999</v>
      </c>
      <c r="F1637" t="s">
        <v>21</v>
      </c>
      <c r="G1637" t="s">
        <v>20</v>
      </c>
      <c r="H1637" t="s">
        <v>21</v>
      </c>
      <c r="I1637" t="s">
        <v>20</v>
      </c>
      <c r="J1637" t="s">
        <v>20</v>
      </c>
      <c r="K1637" t="s">
        <v>22</v>
      </c>
      <c r="L1637" t="s">
        <v>84</v>
      </c>
      <c r="M1637" t="s">
        <v>125</v>
      </c>
      <c r="N1637">
        <v>40.397312999999997</v>
      </c>
      <c r="O1637">
        <v>-111.918662</v>
      </c>
      <c r="P1637">
        <v>4559.4506339999998</v>
      </c>
      <c r="Q1637">
        <v>1368</v>
      </c>
      <c r="R1637">
        <v>0</v>
      </c>
    </row>
    <row r="1638" spans="1:18" x14ac:dyDescent="0.25">
      <c r="A1638">
        <v>1637</v>
      </c>
      <c r="B1638">
        <v>94</v>
      </c>
      <c r="C1638" t="e">
        <f>-Ip0aBOoFSyYLiXXWSYIpF</f>
        <v>#NAME?</v>
      </c>
      <c r="D1638" t="s">
        <v>213</v>
      </c>
      <c r="E1638">
        <v>33.423000000000002</v>
      </c>
      <c r="F1638" t="s">
        <v>21</v>
      </c>
      <c r="G1638" t="s">
        <v>20</v>
      </c>
      <c r="H1638" t="s">
        <v>21</v>
      </c>
      <c r="I1638" t="s">
        <v>20</v>
      </c>
      <c r="J1638" t="s">
        <v>20</v>
      </c>
      <c r="K1638" t="s">
        <v>27</v>
      </c>
      <c r="L1638" t="s">
        <v>173</v>
      </c>
      <c r="M1638" t="s">
        <v>214</v>
      </c>
      <c r="N1638">
        <v>39.067346000000001</v>
      </c>
      <c r="O1638">
        <v>-113.453497</v>
      </c>
      <c r="P1638">
        <v>4458.3722799999996</v>
      </c>
      <c r="Q1638">
        <v>1332</v>
      </c>
      <c r="R1638">
        <v>0</v>
      </c>
    </row>
    <row r="1639" spans="1:18" x14ac:dyDescent="0.25">
      <c r="A1639">
        <v>1638</v>
      </c>
      <c r="B1639">
        <v>94</v>
      </c>
      <c r="C1639">
        <v>31574837</v>
      </c>
      <c r="D1639" t="s">
        <v>172</v>
      </c>
      <c r="E1639">
        <v>33.426000000000002</v>
      </c>
      <c r="F1639" t="s">
        <v>21</v>
      </c>
      <c r="G1639" t="s">
        <v>26</v>
      </c>
      <c r="H1639" t="s">
        <v>21</v>
      </c>
      <c r="I1639" t="s">
        <v>20</v>
      </c>
      <c r="J1639" t="s">
        <v>20</v>
      </c>
      <c r="K1639" t="s">
        <v>22</v>
      </c>
      <c r="L1639" t="s">
        <v>155</v>
      </c>
      <c r="M1639" t="s">
        <v>174</v>
      </c>
      <c r="N1639">
        <v>39.71</v>
      </c>
      <c r="O1639">
        <v>-111.832341</v>
      </c>
      <c r="P1639">
        <v>5088.7531410000001</v>
      </c>
      <c r="Q1639">
        <v>1411</v>
      </c>
      <c r="R1639">
        <v>0</v>
      </c>
    </row>
    <row r="1640" spans="1:18" x14ac:dyDescent="0.25">
      <c r="A1640">
        <v>1639</v>
      </c>
      <c r="B1640">
        <v>94</v>
      </c>
      <c r="C1640">
        <v>28632638</v>
      </c>
      <c r="D1640" t="s">
        <v>142</v>
      </c>
      <c r="E1640">
        <v>36.317999999999998</v>
      </c>
      <c r="F1640" t="s">
        <v>21</v>
      </c>
      <c r="G1640" t="s">
        <v>26</v>
      </c>
      <c r="H1640" t="s">
        <v>21</v>
      </c>
      <c r="I1640" t="s">
        <v>20</v>
      </c>
      <c r="J1640" t="s">
        <v>20</v>
      </c>
      <c r="K1640" t="s">
        <v>27</v>
      </c>
      <c r="L1640" t="s">
        <v>143</v>
      </c>
      <c r="M1640" t="s">
        <v>106</v>
      </c>
      <c r="N1640">
        <v>38.535670000000003</v>
      </c>
      <c r="O1640">
        <v>-113.690912</v>
      </c>
      <c r="P1640">
        <v>5142.5180950000004</v>
      </c>
      <c r="Q1640">
        <v>305</v>
      </c>
      <c r="R1640">
        <v>0</v>
      </c>
    </row>
    <row r="1641" spans="1:18" x14ac:dyDescent="0.25">
      <c r="A1641">
        <v>1640</v>
      </c>
      <c r="B1641">
        <v>94</v>
      </c>
      <c r="C1641">
        <v>31377062</v>
      </c>
      <c r="D1641" t="s">
        <v>199</v>
      </c>
      <c r="E1641">
        <v>36.390999999999998</v>
      </c>
      <c r="F1641" t="s">
        <v>21</v>
      </c>
      <c r="G1641" t="s">
        <v>20</v>
      </c>
      <c r="H1641" t="s">
        <v>21</v>
      </c>
      <c r="I1641" t="s">
        <v>20</v>
      </c>
      <c r="J1641" t="s">
        <v>20</v>
      </c>
      <c r="K1641" t="s">
        <v>27</v>
      </c>
      <c r="L1641" t="s">
        <v>64</v>
      </c>
      <c r="M1641" t="s">
        <v>200</v>
      </c>
      <c r="N1641">
        <v>38.257162000000001</v>
      </c>
      <c r="O1641">
        <v>-112.279556</v>
      </c>
      <c r="P1641">
        <v>6724.4246309999999</v>
      </c>
      <c r="Q1641">
        <v>341</v>
      </c>
      <c r="R1641">
        <v>0</v>
      </c>
    </row>
    <row r="1642" spans="1:18" x14ac:dyDescent="0.25">
      <c r="A1642">
        <v>1641</v>
      </c>
      <c r="B1642">
        <v>94</v>
      </c>
      <c r="C1642">
        <v>31611558</v>
      </c>
      <c r="D1642" t="s">
        <v>271</v>
      </c>
      <c r="E1642">
        <v>36.42</v>
      </c>
      <c r="F1642" t="s">
        <v>19</v>
      </c>
      <c r="G1642" t="s">
        <v>20</v>
      </c>
      <c r="H1642" t="s">
        <v>21</v>
      </c>
      <c r="I1642" t="s">
        <v>20</v>
      </c>
      <c r="J1642" t="s">
        <v>20</v>
      </c>
      <c r="K1642" t="s">
        <v>22</v>
      </c>
      <c r="L1642" t="s">
        <v>84</v>
      </c>
      <c r="M1642" t="s">
        <v>24</v>
      </c>
      <c r="N1642">
        <v>40.388224999999998</v>
      </c>
      <c r="O1642">
        <v>-111.835723</v>
      </c>
      <c r="P1642">
        <v>4489.9520709999997</v>
      </c>
      <c r="Q1642">
        <v>1372</v>
      </c>
      <c r="R1642">
        <v>0</v>
      </c>
    </row>
    <row r="1643" spans="1:18" x14ac:dyDescent="0.25">
      <c r="A1643">
        <v>1642</v>
      </c>
      <c r="B1643">
        <v>94</v>
      </c>
      <c r="C1643">
        <v>31610536</v>
      </c>
      <c r="D1643" t="s">
        <v>271</v>
      </c>
      <c r="E1643">
        <v>36.427999999999997</v>
      </c>
      <c r="F1643" t="s">
        <v>19</v>
      </c>
      <c r="G1643" t="s">
        <v>20</v>
      </c>
      <c r="H1643" t="s">
        <v>19</v>
      </c>
      <c r="I1643">
        <v>68</v>
      </c>
      <c r="J1643" t="s">
        <v>20</v>
      </c>
      <c r="K1643" t="s">
        <v>22</v>
      </c>
      <c r="L1643" t="s">
        <v>84</v>
      </c>
      <c r="M1643" t="s">
        <v>24</v>
      </c>
      <c r="N1643">
        <v>40.387456</v>
      </c>
      <c r="O1643">
        <v>-111.916354</v>
      </c>
      <c r="P1643">
        <v>4490.6025840000002</v>
      </c>
      <c r="Q1643">
        <v>1372</v>
      </c>
      <c r="R1643">
        <v>0</v>
      </c>
    </row>
    <row r="1644" spans="1:18" x14ac:dyDescent="0.25">
      <c r="A1644">
        <v>1643</v>
      </c>
      <c r="B1644">
        <v>94</v>
      </c>
      <c r="C1644">
        <v>27685945</v>
      </c>
      <c r="D1644" t="s">
        <v>217</v>
      </c>
      <c r="E1644">
        <v>2.73</v>
      </c>
      <c r="F1644" t="s">
        <v>21</v>
      </c>
      <c r="G1644" t="s">
        <v>26</v>
      </c>
      <c r="H1644" t="s">
        <v>21</v>
      </c>
      <c r="I1644" t="s">
        <v>20</v>
      </c>
      <c r="J1644" t="s">
        <v>20</v>
      </c>
      <c r="K1644" t="s">
        <v>27</v>
      </c>
      <c r="L1644" t="s">
        <v>72</v>
      </c>
      <c r="M1644" t="s">
        <v>163</v>
      </c>
      <c r="N1644">
        <v>37.118431000000001</v>
      </c>
      <c r="O1644">
        <v>-113.59764199999999</v>
      </c>
      <c r="P1644">
        <v>2774.462223</v>
      </c>
      <c r="Q1644">
        <v>304</v>
      </c>
      <c r="R1644">
        <v>0</v>
      </c>
    </row>
    <row r="1645" spans="1:18" x14ac:dyDescent="0.25">
      <c r="A1645">
        <v>1644</v>
      </c>
      <c r="B1645">
        <v>94</v>
      </c>
      <c r="C1645">
        <v>28625147</v>
      </c>
      <c r="D1645" t="s">
        <v>192</v>
      </c>
      <c r="E1645">
        <v>2.73</v>
      </c>
      <c r="F1645" t="s">
        <v>21</v>
      </c>
      <c r="G1645" t="s">
        <v>26</v>
      </c>
      <c r="H1645" t="s">
        <v>21</v>
      </c>
      <c r="I1645" t="s">
        <v>20</v>
      </c>
      <c r="J1645" t="s">
        <v>20</v>
      </c>
      <c r="K1645" t="s">
        <v>22</v>
      </c>
      <c r="L1645" t="s">
        <v>140</v>
      </c>
      <c r="M1645" t="s">
        <v>125</v>
      </c>
      <c r="N1645">
        <v>40.150810999999997</v>
      </c>
      <c r="O1645">
        <v>-111.724121</v>
      </c>
      <c r="P1645">
        <v>4443.4468010000001</v>
      </c>
      <c r="Q1645">
        <v>1375</v>
      </c>
      <c r="R1645">
        <v>0</v>
      </c>
    </row>
    <row r="1646" spans="1:18" x14ac:dyDescent="0.25">
      <c r="A1646">
        <v>1645</v>
      </c>
      <c r="B1646">
        <v>94</v>
      </c>
      <c r="C1646">
        <v>31793097</v>
      </c>
      <c r="D1646" t="s">
        <v>61</v>
      </c>
      <c r="E1646">
        <v>2.7349999999999999</v>
      </c>
      <c r="F1646" t="s">
        <v>21</v>
      </c>
      <c r="G1646" t="s">
        <v>26</v>
      </c>
      <c r="H1646" t="s">
        <v>21</v>
      </c>
      <c r="I1646" t="s">
        <v>20</v>
      </c>
      <c r="J1646" t="s">
        <v>20</v>
      </c>
      <c r="K1646" t="s">
        <v>22</v>
      </c>
      <c r="L1646" t="s">
        <v>23</v>
      </c>
      <c r="M1646" t="s">
        <v>62</v>
      </c>
      <c r="N1646">
        <v>40.245663</v>
      </c>
      <c r="O1646">
        <v>-111.658644</v>
      </c>
      <c r="P1646">
        <v>4521.6341920000004</v>
      </c>
      <c r="Q1646">
        <v>403</v>
      </c>
      <c r="R1646">
        <v>0</v>
      </c>
    </row>
    <row r="1647" spans="1:18" x14ac:dyDescent="0.25">
      <c r="A1647">
        <v>1646</v>
      </c>
      <c r="B1647">
        <v>94</v>
      </c>
      <c r="C1647">
        <v>31407241</v>
      </c>
      <c r="D1647" t="s">
        <v>257</v>
      </c>
      <c r="E1647">
        <v>2.7360000000000002</v>
      </c>
      <c r="F1647" t="s">
        <v>19</v>
      </c>
      <c r="G1647" t="s">
        <v>20</v>
      </c>
      <c r="H1647" t="s">
        <v>19</v>
      </c>
      <c r="I1647">
        <v>198</v>
      </c>
      <c r="J1647" t="s">
        <v>20</v>
      </c>
      <c r="K1647" t="s">
        <v>22</v>
      </c>
      <c r="L1647" t="s">
        <v>140</v>
      </c>
      <c r="M1647" t="s">
        <v>76</v>
      </c>
      <c r="N1647">
        <v>40.094203</v>
      </c>
      <c r="O1647">
        <v>-111.65560000000001</v>
      </c>
      <c r="P1647">
        <v>4541.2731210000002</v>
      </c>
      <c r="Q1647">
        <v>1433</v>
      </c>
      <c r="R1647">
        <v>0</v>
      </c>
    </row>
    <row r="1648" spans="1:18" x14ac:dyDescent="0.25">
      <c r="A1648">
        <v>1647</v>
      </c>
      <c r="B1648">
        <v>94</v>
      </c>
      <c r="C1648">
        <v>31793258</v>
      </c>
      <c r="D1648" t="s">
        <v>61</v>
      </c>
      <c r="E1648">
        <v>2.742</v>
      </c>
      <c r="F1648" t="s">
        <v>21</v>
      </c>
      <c r="G1648" t="s">
        <v>26</v>
      </c>
      <c r="H1648" t="s">
        <v>21</v>
      </c>
      <c r="I1648" t="s">
        <v>20</v>
      </c>
      <c r="J1648" t="s">
        <v>20</v>
      </c>
      <c r="K1648" t="s">
        <v>22</v>
      </c>
      <c r="L1648" t="s">
        <v>23</v>
      </c>
      <c r="M1648" t="s">
        <v>62</v>
      </c>
      <c r="N1648">
        <v>40.245767000000001</v>
      </c>
      <c r="O1648">
        <v>-111.658644</v>
      </c>
      <c r="P1648">
        <v>4521.9338900000002</v>
      </c>
      <c r="Q1648">
        <v>403</v>
      </c>
      <c r="R1648">
        <v>0</v>
      </c>
    </row>
    <row r="1649" spans="1:18" x14ac:dyDescent="0.25">
      <c r="A1649">
        <v>1648</v>
      </c>
      <c r="B1649">
        <v>94</v>
      </c>
      <c r="C1649">
        <v>524032</v>
      </c>
      <c r="D1649" t="s">
        <v>44</v>
      </c>
      <c r="E1649">
        <v>2.746</v>
      </c>
      <c r="F1649" t="s">
        <v>21</v>
      </c>
      <c r="G1649" t="s">
        <v>26</v>
      </c>
      <c r="H1649" t="s">
        <v>21</v>
      </c>
      <c r="I1649" t="s">
        <v>20</v>
      </c>
      <c r="J1649" t="s">
        <v>20</v>
      </c>
      <c r="K1649" t="s">
        <v>41</v>
      </c>
      <c r="L1649" t="s">
        <v>45</v>
      </c>
      <c r="M1649" t="s">
        <v>46</v>
      </c>
      <c r="N1649">
        <v>40.917166000000002</v>
      </c>
      <c r="O1649">
        <v>-111.878964</v>
      </c>
      <c r="P1649">
        <v>4237.8418940000001</v>
      </c>
      <c r="Q1649">
        <v>1395</v>
      </c>
      <c r="R1649">
        <v>0</v>
      </c>
    </row>
    <row r="1650" spans="1:18" x14ac:dyDescent="0.25">
      <c r="A1650">
        <v>1649</v>
      </c>
      <c r="B1650">
        <v>94</v>
      </c>
      <c r="C1650">
        <v>31310677</v>
      </c>
      <c r="D1650" t="s">
        <v>40</v>
      </c>
      <c r="E1650">
        <v>2.7469999999999999</v>
      </c>
      <c r="F1650" t="s">
        <v>21</v>
      </c>
      <c r="G1650" t="s">
        <v>26</v>
      </c>
      <c r="H1650" t="s">
        <v>21</v>
      </c>
      <c r="I1650" t="s">
        <v>20</v>
      </c>
      <c r="J1650" t="s">
        <v>20</v>
      </c>
      <c r="K1650" t="s">
        <v>41</v>
      </c>
      <c r="L1650" t="s">
        <v>42</v>
      </c>
      <c r="M1650" t="s">
        <v>43</v>
      </c>
      <c r="N1650">
        <v>41.641005</v>
      </c>
      <c r="O1650">
        <v>-111.885209</v>
      </c>
      <c r="P1650">
        <v>4542.5148079999999</v>
      </c>
      <c r="Q1650">
        <v>1391</v>
      </c>
      <c r="R1650">
        <v>0</v>
      </c>
    </row>
    <row r="1651" spans="1:18" x14ac:dyDescent="0.25">
      <c r="A1651">
        <v>1650</v>
      </c>
      <c r="B1651">
        <v>94</v>
      </c>
      <c r="C1651" t="e">
        <f>-JN-OjsaG2yP37n8eb0PjF</f>
        <v>#NAME?</v>
      </c>
      <c r="D1651" t="s">
        <v>184</v>
      </c>
      <c r="E1651">
        <v>2.7469999999999999</v>
      </c>
      <c r="F1651" t="s">
        <v>21</v>
      </c>
      <c r="G1651" t="s">
        <v>26</v>
      </c>
      <c r="H1651" t="s">
        <v>21</v>
      </c>
      <c r="I1651" t="s">
        <v>20</v>
      </c>
      <c r="J1651" t="s">
        <v>20</v>
      </c>
      <c r="K1651" t="s">
        <v>27</v>
      </c>
      <c r="L1651" t="s">
        <v>54</v>
      </c>
      <c r="M1651" t="s">
        <v>55</v>
      </c>
      <c r="N1651">
        <v>37.684463999999998</v>
      </c>
      <c r="O1651">
        <v>-113.061874</v>
      </c>
      <c r="P1651">
        <v>5719.8152280000004</v>
      </c>
      <c r="Q1651">
        <v>1410</v>
      </c>
      <c r="R1651">
        <v>0</v>
      </c>
    </row>
    <row r="1652" spans="1:18" x14ac:dyDescent="0.25">
      <c r="A1652">
        <v>1651</v>
      </c>
      <c r="B1652">
        <v>94</v>
      </c>
      <c r="C1652">
        <v>1111481</v>
      </c>
      <c r="D1652" t="s">
        <v>101</v>
      </c>
      <c r="E1652">
        <v>2.7490000000000001</v>
      </c>
      <c r="F1652" t="s">
        <v>21</v>
      </c>
      <c r="G1652" t="s">
        <v>26</v>
      </c>
      <c r="H1652" t="s">
        <v>21</v>
      </c>
      <c r="I1652" t="s">
        <v>20</v>
      </c>
      <c r="J1652" t="s">
        <v>20</v>
      </c>
      <c r="K1652" t="s">
        <v>41</v>
      </c>
      <c r="L1652" t="s">
        <v>57</v>
      </c>
      <c r="M1652" t="s">
        <v>58</v>
      </c>
      <c r="N1652">
        <v>41.118096999999999</v>
      </c>
      <c r="O1652">
        <v>-112.059921</v>
      </c>
      <c r="P1652">
        <v>4316.3633170000003</v>
      </c>
      <c r="Q1652">
        <v>328</v>
      </c>
      <c r="R1652">
        <v>0</v>
      </c>
    </row>
    <row r="1653" spans="1:18" x14ac:dyDescent="0.25">
      <c r="A1653">
        <v>1652</v>
      </c>
      <c r="B1653">
        <v>94</v>
      </c>
      <c r="C1653">
        <v>557631</v>
      </c>
      <c r="D1653" t="s">
        <v>115</v>
      </c>
      <c r="E1653">
        <v>2.75</v>
      </c>
      <c r="F1653" t="s">
        <v>19</v>
      </c>
      <c r="G1653" t="s">
        <v>20</v>
      </c>
      <c r="H1653" t="s">
        <v>19</v>
      </c>
      <c r="I1653">
        <v>172</v>
      </c>
      <c r="J1653" t="s">
        <v>20</v>
      </c>
      <c r="K1653" t="s">
        <v>31</v>
      </c>
      <c r="L1653" t="s">
        <v>48</v>
      </c>
      <c r="M1653" t="s">
        <v>70</v>
      </c>
      <c r="N1653">
        <v>40.653036999999998</v>
      </c>
      <c r="O1653">
        <v>-112.02463899999999</v>
      </c>
      <c r="P1653">
        <v>4719.2981559999998</v>
      </c>
      <c r="Q1653">
        <v>1437</v>
      </c>
      <c r="R1653">
        <v>0</v>
      </c>
    </row>
    <row r="1654" spans="1:18" x14ac:dyDescent="0.25">
      <c r="A1654">
        <v>1653</v>
      </c>
      <c r="B1654">
        <v>94</v>
      </c>
      <c r="C1654">
        <v>31406240</v>
      </c>
      <c r="D1654" t="s">
        <v>30</v>
      </c>
      <c r="E1654">
        <v>2.7549999999999999</v>
      </c>
      <c r="F1654" t="s">
        <v>21</v>
      </c>
      <c r="G1654" t="s">
        <v>26</v>
      </c>
      <c r="H1654" t="s">
        <v>21</v>
      </c>
      <c r="I1654" t="s">
        <v>20</v>
      </c>
      <c r="J1654" t="s">
        <v>20</v>
      </c>
      <c r="K1654" t="s">
        <v>31</v>
      </c>
      <c r="L1654" t="s">
        <v>32</v>
      </c>
      <c r="M1654" t="s">
        <v>33</v>
      </c>
      <c r="N1654">
        <v>40.581707999999999</v>
      </c>
      <c r="O1654">
        <v>-111.792423</v>
      </c>
      <c r="P1654">
        <v>5238.8531549999998</v>
      </c>
      <c r="Q1654">
        <v>415</v>
      </c>
      <c r="R1654">
        <v>0</v>
      </c>
    </row>
    <row r="1655" spans="1:18" x14ac:dyDescent="0.25">
      <c r="A1655">
        <v>1654</v>
      </c>
      <c r="B1655">
        <v>94</v>
      </c>
      <c r="C1655">
        <v>31304677</v>
      </c>
      <c r="D1655" t="s">
        <v>153</v>
      </c>
      <c r="E1655">
        <v>2.7570000000000001</v>
      </c>
      <c r="F1655" t="s">
        <v>21</v>
      </c>
      <c r="G1655" t="s">
        <v>26</v>
      </c>
      <c r="H1655" t="s">
        <v>21</v>
      </c>
      <c r="I1655" t="s">
        <v>20</v>
      </c>
      <c r="J1655" t="s">
        <v>20</v>
      </c>
      <c r="K1655" t="s">
        <v>22</v>
      </c>
      <c r="L1655" t="s">
        <v>84</v>
      </c>
      <c r="M1655" t="s">
        <v>85</v>
      </c>
      <c r="N1655">
        <v>40.396318000000001</v>
      </c>
      <c r="O1655">
        <v>-111.745276</v>
      </c>
      <c r="P1655">
        <v>4783.6512220000004</v>
      </c>
      <c r="R1655">
        <v>0</v>
      </c>
    </row>
    <row r="1656" spans="1:18" x14ac:dyDescent="0.25">
      <c r="A1656">
        <v>1655</v>
      </c>
      <c r="B1656">
        <v>94</v>
      </c>
      <c r="C1656">
        <v>27349921</v>
      </c>
      <c r="D1656" t="s">
        <v>185</v>
      </c>
      <c r="E1656">
        <v>2.758</v>
      </c>
      <c r="F1656" t="s">
        <v>21</v>
      </c>
      <c r="G1656" t="s">
        <v>26</v>
      </c>
      <c r="H1656" t="s">
        <v>21</v>
      </c>
      <c r="I1656" t="s">
        <v>20</v>
      </c>
      <c r="J1656" t="s">
        <v>20</v>
      </c>
      <c r="K1656" t="s">
        <v>41</v>
      </c>
      <c r="L1656" t="s">
        <v>57</v>
      </c>
      <c r="M1656" t="s">
        <v>58</v>
      </c>
      <c r="N1656">
        <v>41.139887999999999</v>
      </c>
      <c r="O1656">
        <v>-112.079047</v>
      </c>
      <c r="P1656">
        <v>4247.5845049999998</v>
      </c>
      <c r="Q1656">
        <v>309</v>
      </c>
      <c r="R1656">
        <v>0</v>
      </c>
    </row>
    <row r="1657" spans="1:18" x14ac:dyDescent="0.25">
      <c r="A1657">
        <v>1656</v>
      </c>
      <c r="B1657">
        <v>94</v>
      </c>
      <c r="C1657">
        <v>31556285</v>
      </c>
      <c r="D1657" t="s">
        <v>102</v>
      </c>
      <c r="E1657">
        <v>2.7589999999999999</v>
      </c>
      <c r="F1657" t="s">
        <v>21</v>
      </c>
      <c r="G1657" t="s">
        <v>26</v>
      </c>
      <c r="H1657" t="s">
        <v>21</v>
      </c>
      <c r="I1657" t="s">
        <v>20</v>
      </c>
      <c r="J1657" t="s">
        <v>20</v>
      </c>
      <c r="K1657" t="s">
        <v>27</v>
      </c>
      <c r="L1657" t="s">
        <v>103</v>
      </c>
      <c r="M1657" t="s">
        <v>104</v>
      </c>
      <c r="N1657">
        <v>38.285083</v>
      </c>
      <c r="O1657">
        <v>-112.641375</v>
      </c>
      <c r="P1657">
        <v>5868.1833200000001</v>
      </c>
      <c r="Q1657">
        <v>1430</v>
      </c>
      <c r="R1657">
        <v>0</v>
      </c>
    </row>
    <row r="1658" spans="1:18" x14ac:dyDescent="0.25">
      <c r="A1658">
        <v>1657</v>
      </c>
      <c r="B1658">
        <v>94</v>
      </c>
      <c r="C1658">
        <v>28600432</v>
      </c>
      <c r="D1658" t="s">
        <v>148</v>
      </c>
      <c r="E1658">
        <v>2.762</v>
      </c>
      <c r="F1658" t="s">
        <v>21</v>
      </c>
      <c r="G1658" t="s">
        <v>20</v>
      </c>
      <c r="H1658" t="s">
        <v>21</v>
      </c>
      <c r="I1658" t="s">
        <v>20</v>
      </c>
      <c r="J1658" t="s">
        <v>20</v>
      </c>
      <c r="K1658" t="s">
        <v>31</v>
      </c>
      <c r="L1658" t="s">
        <v>149</v>
      </c>
      <c r="M1658" t="s">
        <v>131</v>
      </c>
      <c r="N1658">
        <v>40.777064000000003</v>
      </c>
      <c r="O1658">
        <v>-111.389865</v>
      </c>
      <c r="P1658">
        <v>6025.3754449999997</v>
      </c>
      <c r="Q1658">
        <v>263</v>
      </c>
      <c r="R1658">
        <v>0</v>
      </c>
    </row>
    <row r="1659" spans="1:18" x14ac:dyDescent="0.25">
      <c r="A1659">
        <v>1658</v>
      </c>
      <c r="B1659">
        <v>94</v>
      </c>
      <c r="C1659">
        <v>31255078</v>
      </c>
      <c r="D1659" t="s">
        <v>303</v>
      </c>
      <c r="E1659">
        <v>2.7669999999999999</v>
      </c>
      <c r="F1659" t="s">
        <v>19</v>
      </c>
      <c r="G1659" t="s">
        <v>20</v>
      </c>
      <c r="H1659" t="s">
        <v>19</v>
      </c>
      <c r="I1659">
        <v>318</v>
      </c>
      <c r="J1659" t="s">
        <v>20</v>
      </c>
      <c r="K1659" t="s">
        <v>27</v>
      </c>
      <c r="L1659" t="s">
        <v>72</v>
      </c>
      <c r="M1659" t="s">
        <v>73</v>
      </c>
      <c r="N1659">
        <v>37.168291000000004</v>
      </c>
      <c r="O1659">
        <v>-113.407856</v>
      </c>
      <c r="P1659">
        <v>2818.697533</v>
      </c>
      <c r="Q1659">
        <v>1326</v>
      </c>
      <c r="R1659">
        <v>0</v>
      </c>
    </row>
    <row r="1660" spans="1:18" x14ac:dyDescent="0.25">
      <c r="A1660">
        <v>1659</v>
      </c>
      <c r="B1660">
        <v>94</v>
      </c>
      <c r="C1660">
        <v>31599117</v>
      </c>
      <c r="D1660" t="s">
        <v>50</v>
      </c>
      <c r="E1660">
        <v>2.7679999999999998</v>
      </c>
      <c r="F1660" t="s">
        <v>21</v>
      </c>
      <c r="G1660" t="s">
        <v>26</v>
      </c>
      <c r="H1660" t="s">
        <v>21</v>
      </c>
      <c r="I1660" t="s">
        <v>20</v>
      </c>
      <c r="J1660" t="s">
        <v>20</v>
      </c>
      <c r="K1660" t="s">
        <v>27</v>
      </c>
      <c r="L1660" t="s">
        <v>51</v>
      </c>
      <c r="M1660" t="s">
        <v>52</v>
      </c>
      <c r="N1660">
        <v>37.842210000000001</v>
      </c>
      <c r="O1660">
        <v>-112.825498</v>
      </c>
      <c r="P1660">
        <v>5955.289581</v>
      </c>
      <c r="Q1660">
        <v>1418</v>
      </c>
      <c r="R1660">
        <v>0</v>
      </c>
    </row>
    <row r="1661" spans="1:18" x14ac:dyDescent="0.25">
      <c r="A1661">
        <v>1660</v>
      </c>
      <c r="B1661">
        <v>94</v>
      </c>
      <c r="C1661">
        <v>768125</v>
      </c>
      <c r="D1661" t="s">
        <v>68</v>
      </c>
      <c r="E1661">
        <v>2.984</v>
      </c>
      <c r="F1661" t="s">
        <v>19</v>
      </c>
      <c r="G1661" t="s">
        <v>20</v>
      </c>
      <c r="H1661" t="s">
        <v>21</v>
      </c>
      <c r="I1661" t="s">
        <v>20</v>
      </c>
      <c r="J1661" t="s">
        <v>20</v>
      </c>
      <c r="K1661" t="s">
        <v>31</v>
      </c>
      <c r="L1661" t="s">
        <v>69</v>
      </c>
      <c r="M1661" t="s">
        <v>70</v>
      </c>
      <c r="N1661">
        <v>40.674486000000002</v>
      </c>
      <c r="O1661">
        <v>-111.89878</v>
      </c>
      <c r="P1661">
        <v>4202.3652730000003</v>
      </c>
      <c r="Q1661">
        <v>431</v>
      </c>
      <c r="R1661">
        <v>0</v>
      </c>
    </row>
    <row r="1662" spans="1:18" x14ac:dyDescent="0.25">
      <c r="A1662">
        <v>1661</v>
      </c>
      <c r="B1662">
        <v>94</v>
      </c>
      <c r="C1662">
        <v>27994447</v>
      </c>
      <c r="D1662" t="s">
        <v>346</v>
      </c>
      <c r="E1662">
        <v>2.9870000000000001</v>
      </c>
      <c r="F1662" t="s">
        <v>21</v>
      </c>
      <c r="G1662" t="s">
        <v>26</v>
      </c>
      <c r="H1662" t="s">
        <v>19</v>
      </c>
      <c r="I1662">
        <v>264</v>
      </c>
      <c r="J1662" t="s">
        <v>20</v>
      </c>
      <c r="K1662" t="s">
        <v>27</v>
      </c>
      <c r="L1662" t="s">
        <v>307</v>
      </c>
      <c r="M1662" t="s">
        <v>159</v>
      </c>
      <c r="N1662">
        <v>39.685127999999999</v>
      </c>
      <c r="O1662">
        <v>-111.156021</v>
      </c>
      <c r="P1662">
        <v>7868.8363380000001</v>
      </c>
      <c r="Q1662">
        <v>1389</v>
      </c>
      <c r="R1662">
        <v>0</v>
      </c>
    </row>
    <row r="1663" spans="1:18" x14ac:dyDescent="0.25">
      <c r="A1663">
        <v>1662</v>
      </c>
      <c r="B1663">
        <v>94</v>
      </c>
      <c r="C1663">
        <v>31599139</v>
      </c>
      <c r="D1663" t="s">
        <v>50</v>
      </c>
      <c r="E1663">
        <v>2.9870000000000001</v>
      </c>
      <c r="F1663" t="s">
        <v>21</v>
      </c>
      <c r="G1663" t="s">
        <v>26</v>
      </c>
      <c r="H1663" t="s">
        <v>21</v>
      </c>
      <c r="I1663" t="s">
        <v>20</v>
      </c>
      <c r="J1663" t="s">
        <v>20</v>
      </c>
      <c r="K1663" t="s">
        <v>27</v>
      </c>
      <c r="L1663" t="s">
        <v>51</v>
      </c>
      <c r="M1663" t="s">
        <v>52</v>
      </c>
      <c r="N1663">
        <v>37.842193000000002</v>
      </c>
      <c r="O1663">
        <v>-112.821546</v>
      </c>
      <c r="P1663">
        <v>5968.445342</v>
      </c>
      <c r="Q1663">
        <v>1418</v>
      </c>
      <c r="R1663">
        <v>0</v>
      </c>
    </row>
    <row r="1664" spans="1:18" x14ac:dyDescent="0.25">
      <c r="A1664">
        <v>1663</v>
      </c>
      <c r="B1664">
        <v>94</v>
      </c>
      <c r="C1664">
        <v>31467955</v>
      </c>
      <c r="D1664" t="s">
        <v>213</v>
      </c>
      <c r="E1664">
        <v>2.9870000000000001</v>
      </c>
      <c r="F1664" t="s">
        <v>21</v>
      </c>
      <c r="G1664" t="s">
        <v>26</v>
      </c>
      <c r="H1664" t="s">
        <v>21</v>
      </c>
      <c r="I1664" t="s">
        <v>20</v>
      </c>
      <c r="J1664" t="s">
        <v>20</v>
      </c>
      <c r="K1664" t="s">
        <v>27</v>
      </c>
      <c r="L1664" t="s">
        <v>173</v>
      </c>
      <c r="M1664" t="s">
        <v>214</v>
      </c>
      <c r="N1664">
        <v>39.052909999999997</v>
      </c>
      <c r="O1664">
        <v>-113.993568</v>
      </c>
      <c r="P1664">
        <v>4965.0797169999996</v>
      </c>
      <c r="Q1664">
        <v>1332</v>
      </c>
      <c r="R1664">
        <v>0</v>
      </c>
    </row>
    <row r="1665" spans="1:18" x14ac:dyDescent="0.25">
      <c r="A1665">
        <v>1664</v>
      </c>
      <c r="B1665">
        <v>94</v>
      </c>
      <c r="C1665" t="s">
        <v>452</v>
      </c>
      <c r="D1665" t="s">
        <v>417</v>
      </c>
      <c r="E1665">
        <v>2.9870000000000001</v>
      </c>
      <c r="F1665" t="s">
        <v>19</v>
      </c>
      <c r="G1665" t="s">
        <v>20</v>
      </c>
      <c r="H1665" t="s">
        <v>19</v>
      </c>
      <c r="I1665">
        <v>68</v>
      </c>
      <c r="J1665" t="s">
        <v>20</v>
      </c>
      <c r="K1665" t="s">
        <v>22</v>
      </c>
      <c r="L1665" t="s">
        <v>84</v>
      </c>
      <c r="M1665" t="s">
        <v>24</v>
      </c>
      <c r="N1665">
        <v>40.462665000000001</v>
      </c>
      <c r="O1665">
        <v>-111.942921</v>
      </c>
      <c r="P1665">
        <v>4581.2753039999998</v>
      </c>
      <c r="Q1665">
        <v>6765</v>
      </c>
      <c r="R1665">
        <v>0</v>
      </c>
    </row>
    <row r="1666" spans="1:18" x14ac:dyDescent="0.25">
      <c r="A1666">
        <v>1665</v>
      </c>
      <c r="B1666">
        <v>94</v>
      </c>
      <c r="C1666">
        <v>485054</v>
      </c>
      <c r="D1666" t="s">
        <v>83</v>
      </c>
      <c r="E1666">
        <v>2.7930000000000001</v>
      </c>
      <c r="F1666" t="s">
        <v>21</v>
      </c>
      <c r="G1666" t="s">
        <v>26</v>
      </c>
      <c r="H1666" t="s">
        <v>21</v>
      </c>
      <c r="I1666" t="s">
        <v>20</v>
      </c>
      <c r="J1666" t="s">
        <v>20</v>
      </c>
      <c r="K1666" t="s">
        <v>22</v>
      </c>
      <c r="L1666" t="s">
        <v>84</v>
      </c>
      <c r="M1666" t="s">
        <v>85</v>
      </c>
      <c r="N1666">
        <v>40.416091999999999</v>
      </c>
      <c r="O1666">
        <v>-111.787751</v>
      </c>
      <c r="P1666">
        <v>4805.1794460000001</v>
      </c>
      <c r="Q1666">
        <v>319</v>
      </c>
      <c r="R1666">
        <v>0</v>
      </c>
    </row>
    <row r="1667" spans="1:18" x14ac:dyDescent="0.25">
      <c r="A1667">
        <v>1666</v>
      </c>
      <c r="B1667">
        <v>94</v>
      </c>
      <c r="C1667">
        <v>31520706</v>
      </c>
      <c r="D1667" t="s">
        <v>390</v>
      </c>
      <c r="E1667">
        <v>2.7959999999999998</v>
      </c>
      <c r="F1667" t="s">
        <v>21</v>
      </c>
      <c r="G1667" t="s">
        <v>26</v>
      </c>
      <c r="H1667" t="s">
        <v>21</v>
      </c>
      <c r="I1667" t="s">
        <v>20</v>
      </c>
      <c r="J1667" t="s">
        <v>20</v>
      </c>
      <c r="K1667" t="s">
        <v>22</v>
      </c>
      <c r="L1667" t="s">
        <v>84</v>
      </c>
      <c r="M1667" t="s">
        <v>335</v>
      </c>
      <c r="N1667">
        <v>40.432364999999997</v>
      </c>
      <c r="O1667">
        <v>-111.842782</v>
      </c>
      <c r="P1667">
        <v>4768.2884249999997</v>
      </c>
      <c r="Q1667">
        <v>1386</v>
      </c>
      <c r="R1667">
        <v>0</v>
      </c>
    </row>
    <row r="1668" spans="1:18" x14ac:dyDescent="0.25">
      <c r="A1668">
        <v>1667</v>
      </c>
      <c r="B1668">
        <v>94</v>
      </c>
      <c r="C1668">
        <v>31793269</v>
      </c>
      <c r="D1668" t="s">
        <v>61</v>
      </c>
      <c r="E1668">
        <v>2.8010000000000002</v>
      </c>
      <c r="F1668" t="s">
        <v>19</v>
      </c>
      <c r="G1668" t="s">
        <v>20</v>
      </c>
      <c r="H1668" t="s">
        <v>21</v>
      </c>
      <c r="I1668" t="s">
        <v>20</v>
      </c>
      <c r="J1668" t="s">
        <v>20</v>
      </c>
      <c r="K1668" t="s">
        <v>22</v>
      </c>
      <c r="L1668" t="s">
        <v>23</v>
      </c>
      <c r="M1668" t="s">
        <v>62</v>
      </c>
      <c r="N1668">
        <v>40.246606999999997</v>
      </c>
      <c r="O1668">
        <v>-111.65864000000001</v>
      </c>
      <c r="P1668">
        <v>4524.087853</v>
      </c>
      <c r="Q1668">
        <v>403</v>
      </c>
      <c r="R1668">
        <v>0</v>
      </c>
    </row>
    <row r="1669" spans="1:18" x14ac:dyDescent="0.25">
      <c r="A1669">
        <v>1668</v>
      </c>
      <c r="B1669">
        <v>94</v>
      </c>
      <c r="C1669" t="e">
        <f>-Ip5IqUlI4u2DROfUwP-hk</f>
        <v>#NAME?</v>
      </c>
      <c r="D1669" t="s">
        <v>208</v>
      </c>
      <c r="E1669">
        <v>2.8010000000000002</v>
      </c>
      <c r="F1669" t="s">
        <v>21</v>
      </c>
      <c r="G1669" t="s">
        <v>26</v>
      </c>
      <c r="H1669" t="s">
        <v>21</v>
      </c>
      <c r="I1669" t="s">
        <v>20</v>
      </c>
      <c r="J1669" t="s">
        <v>20</v>
      </c>
      <c r="K1669" t="s">
        <v>31</v>
      </c>
      <c r="L1669" t="s">
        <v>209</v>
      </c>
      <c r="M1669" t="s">
        <v>131</v>
      </c>
      <c r="N1669">
        <v>40.620583000000003</v>
      </c>
      <c r="O1669">
        <v>-111.492368</v>
      </c>
      <c r="P1669">
        <v>7881.8105910000004</v>
      </c>
      <c r="Q1669">
        <v>357</v>
      </c>
      <c r="R1669">
        <v>0</v>
      </c>
    </row>
    <row r="1670" spans="1:18" x14ac:dyDescent="0.25">
      <c r="A1670">
        <v>1669</v>
      </c>
      <c r="B1670">
        <v>94</v>
      </c>
      <c r="C1670">
        <v>968327</v>
      </c>
      <c r="D1670" t="s">
        <v>65</v>
      </c>
      <c r="E1670">
        <v>2.806</v>
      </c>
      <c r="F1670" t="s">
        <v>19</v>
      </c>
      <c r="G1670" t="s">
        <v>20</v>
      </c>
      <c r="H1670" t="s">
        <v>21</v>
      </c>
      <c r="I1670" t="s">
        <v>20</v>
      </c>
      <c r="J1670" t="s">
        <v>20</v>
      </c>
      <c r="K1670" t="s">
        <v>31</v>
      </c>
      <c r="L1670" t="s">
        <v>66</v>
      </c>
      <c r="M1670" t="s">
        <v>67</v>
      </c>
      <c r="N1670">
        <v>40.760648000000003</v>
      </c>
      <c r="O1670">
        <v>-111.885366</v>
      </c>
      <c r="P1670">
        <v>4207.0079050000004</v>
      </c>
      <c r="Q1670">
        <v>402</v>
      </c>
      <c r="R1670">
        <v>0</v>
      </c>
    </row>
    <row r="1671" spans="1:18" x14ac:dyDescent="0.25">
      <c r="A1671">
        <v>1670</v>
      </c>
      <c r="B1671">
        <v>94</v>
      </c>
      <c r="C1671">
        <v>31388137</v>
      </c>
      <c r="D1671" t="s">
        <v>364</v>
      </c>
      <c r="E1671">
        <v>2.806</v>
      </c>
      <c r="F1671" t="s">
        <v>21</v>
      </c>
      <c r="G1671" t="s">
        <v>26</v>
      </c>
      <c r="H1671" t="s">
        <v>21</v>
      </c>
      <c r="I1671" t="s">
        <v>20</v>
      </c>
      <c r="J1671" t="s">
        <v>20</v>
      </c>
      <c r="K1671" t="s">
        <v>22</v>
      </c>
      <c r="L1671" t="s">
        <v>198</v>
      </c>
      <c r="M1671" t="s">
        <v>85</v>
      </c>
      <c r="N1671">
        <v>40.085290000000001</v>
      </c>
      <c r="O1671">
        <v>-111.73102299999999</v>
      </c>
      <c r="P1671">
        <v>4466.3729759999997</v>
      </c>
      <c r="Q1671">
        <v>1401</v>
      </c>
      <c r="R1671">
        <v>0</v>
      </c>
    </row>
    <row r="1672" spans="1:18" x14ac:dyDescent="0.25">
      <c r="A1672">
        <v>1671</v>
      </c>
      <c r="B1672">
        <v>94</v>
      </c>
      <c r="C1672">
        <v>27599585</v>
      </c>
      <c r="D1672" t="s">
        <v>110</v>
      </c>
      <c r="E1672">
        <v>2.8079999999999998</v>
      </c>
      <c r="F1672" t="s">
        <v>21</v>
      </c>
      <c r="G1672" t="s">
        <v>26</v>
      </c>
      <c r="H1672" t="s">
        <v>21</v>
      </c>
      <c r="I1672" t="s">
        <v>20</v>
      </c>
      <c r="J1672" t="s">
        <v>20</v>
      </c>
      <c r="K1672" t="s">
        <v>27</v>
      </c>
      <c r="L1672" t="s">
        <v>111</v>
      </c>
      <c r="M1672" t="s">
        <v>112</v>
      </c>
      <c r="N1672">
        <v>39.212814000000002</v>
      </c>
      <c r="O1672">
        <v>-111.05526</v>
      </c>
      <c r="P1672">
        <v>5770.3437249999997</v>
      </c>
      <c r="Q1672">
        <v>1361</v>
      </c>
      <c r="R1672">
        <v>0</v>
      </c>
    </row>
    <row r="1673" spans="1:18" x14ac:dyDescent="0.25">
      <c r="A1673">
        <v>1672</v>
      </c>
      <c r="B1673">
        <v>94</v>
      </c>
      <c r="C1673">
        <v>525736</v>
      </c>
      <c r="D1673" t="s">
        <v>44</v>
      </c>
      <c r="E1673">
        <v>2.8109999999999999</v>
      </c>
      <c r="F1673" t="s">
        <v>21</v>
      </c>
      <c r="G1673" t="s">
        <v>26</v>
      </c>
      <c r="H1673" t="s">
        <v>21</v>
      </c>
      <c r="I1673" t="s">
        <v>20</v>
      </c>
      <c r="J1673" t="s">
        <v>20</v>
      </c>
      <c r="K1673" t="s">
        <v>41</v>
      </c>
      <c r="L1673" t="s">
        <v>45</v>
      </c>
      <c r="M1673" t="s">
        <v>46</v>
      </c>
      <c r="N1673">
        <v>40.918114000000003</v>
      </c>
      <c r="O1673">
        <v>-111.878956</v>
      </c>
      <c r="P1673">
        <v>4236.9098759999997</v>
      </c>
      <c r="Q1673">
        <v>1395</v>
      </c>
      <c r="R1673">
        <v>0</v>
      </c>
    </row>
    <row r="1674" spans="1:18" x14ac:dyDescent="0.25">
      <c r="A1674">
        <v>1673</v>
      </c>
      <c r="B1674">
        <v>94</v>
      </c>
      <c r="C1674">
        <v>31477165</v>
      </c>
      <c r="D1674" t="s">
        <v>244</v>
      </c>
      <c r="E1674">
        <v>2.8119999999999998</v>
      </c>
      <c r="F1674" t="s">
        <v>21</v>
      </c>
      <c r="G1674" t="s">
        <v>26</v>
      </c>
      <c r="H1674" t="s">
        <v>21</v>
      </c>
      <c r="I1674" t="s">
        <v>20</v>
      </c>
      <c r="J1674" t="s">
        <v>20</v>
      </c>
      <c r="K1674" t="s">
        <v>27</v>
      </c>
      <c r="L1674" t="s">
        <v>183</v>
      </c>
      <c r="M1674" t="s">
        <v>58</v>
      </c>
      <c r="N1674">
        <v>38.927512999999998</v>
      </c>
      <c r="O1674">
        <v>-111.909729</v>
      </c>
      <c r="P1674">
        <v>5094.4561210000002</v>
      </c>
      <c r="Q1674">
        <v>1340</v>
      </c>
      <c r="R1674">
        <v>0</v>
      </c>
    </row>
    <row r="1675" spans="1:18" x14ac:dyDescent="0.25">
      <c r="A1675">
        <v>1674</v>
      </c>
      <c r="B1675">
        <v>94</v>
      </c>
      <c r="C1675">
        <v>31347889</v>
      </c>
      <c r="D1675" t="s">
        <v>34</v>
      </c>
      <c r="E1675">
        <v>2.8119999999999998</v>
      </c>
      <c r="F1675" t="s">
        <v>21</v>
      </c>
      <c r="G1675" t="s">
        <v>26</v>
      </c>
      <c r="H1675" t="s">
        <v>21</v>
      </c>
      <c r="I1675" t="s">
        <v>20</v>
      </c>
      <c r="J1675" t="s">
        <v>20</v>
      </c>
      <c r="K1675" t="s">
        <v>22</v>
      </c>
      <c r="L1675" t="s">
        <v>35</v>
      </c>
      <c r="M1675" t="s">
        <v>36</v>
      </c>
      <c r="N1675">
        <v>40.496304000000002</v>
      </c>
      <c r="O1675">
        <v>-111.472019</v>
      </c>
      <c r="P1675">
        <v>5419.7852579999999</v>
      </c>
      <c r="Q1675">
        <v>1400</v>
      </c>
      <c r="R1675">
        <v>0</v>
      </c>
    </row>
    <row r="1676" spans="1:18" x14ac:dyDescent="0.25">
      <c r="A1676">
        <v>1675</v>
      </c>
      <c r="B1676">
        <v>94</v>
      </c>
      <c r="C1676">
        <v>31395026</v>
      </c>
      <c r="D1676" t="s">
        <v>399</v>
      </c>
      <c r="E1676">
        <v>2.8130000000000002</v>
      </c>
      <c r="F1676" t="s">
        <v>21</v>
      </c>
      <c r="G1676" t="s">
        <v>361</v>
      </c>
      <c r="H1676" t="s">
        <v>19</v>
      </c>
      <c r="I1676">
        <v>15</v>
      </c>
      <c r="J1676" t="s">
        <v>20</v>
      </c>
      <c r="K1676" t="s">
        <v>27</v>
      </c>
      <c r="L1676" t="s">
        <v>400</v>
      </c>
      <c r="M1676" t="s">
        <v>166</v>
      </c>
      <c r="N1676">
        <v>38.615960999999999</v>
      </c>
      <c r="O1676">
        <v>-112.60700900000001</v>
      </c>
      <c r="P1676">
        <v>5905.8530549999996</v>
      </c>
      <c r="Q1676">
        <v>1431</v>
      </c>
      <c r="R1676">
        <v>0</v>
      </c>
    </row>
    <row r="1677" spans="1:18" x14ac:dyDescent="0.25">
      <c r="A1677">
        <v>1676</v>
      </c>
      <c r="B1677">
        <v>94</v>
      </c>
      <c r="C1677">
        <v>31494325</v>
      </c>
      <c r="D1677" t="s">
        <v>353</v>
      </c>
      <c r="E1677">
        <v>20.102</v>
      </c>
      <c r="F1677" t="s">
        <v>21</v>
      </c>
      <c r="G1677" t="s">
        <v>20</v>
      </c>
      <c r="H1677" t="s">
        <v>21</v>
      </c>
      <c r="I1677" t="s">
        <v>20</v>
      </c>
      <c r="J1677" t="s">
        <v>20</v>
      </c>
      <c r="K1677" t="s">
        <v>41</v>
      </c>
      <c r="L1677" t="s">
        <v>137</v>
      </c>
      <c r="M1677" t="s">
        <v>138</v>
      </c>
      <c r="N1677">
        <v>40.935420000000001</v>
      </c>
      <c r="O1677">
        <v>-111.56685299999999</v>
      </c>
      <c r="P1677">
        <v>5817.6104260000002</v>
      </c>
      <c r="Q1677">
        <v>1367</v>
      </c>
      <c r="R1677">
        <v>0</v>
      </c>
    </row>
    <row r="1678" spans="1:18" x14ac:dyDescent="0.25">
      <c r="A1678">
        <v>1677</v>
      </c>
      <c r="B1678">
        <v>94</v>
      </c>
      <c r="C1678">
        <v>31756407</v>
      </c>
      <c r="D1678" t="s">
        <v>88</v>
      </c>
      <c r="E1678">
        <v>20.13</v>
      </c>
      <c r="F1678" t="s">
        <v>21</v>
      </c>
      <c r="G1678" t="s">
        <v>26</v>
      </c>
      <c r="H1678" t="s">
        <v>21</v>
      </c>
      <c r="I1678" t="s">
        <v>20</v>
      </c>
      <c r="J1678" t="s">
        <v>20</v>
      </c>
      <c r="K1678" t="s">
        <v>31</v>
      </c>
      <c r="L1678" t="s">
        <v>66</v>
      </c>
      <c r="M1678" t="s">
        <v>49</v>
      </c>
      <c r="N1678">
        <v>40.726714000000001</v>
      </c>
      <c r="O1678">
        <v>-111.871308</v>
      </c>
      <c r="P1678">
        <v>4250.0747039999997</v>
      </c>
      <c r="Q1678">
        <v>318</v>
      </c>
      <c r="R1678">
        <v>0</v>
      </c>
    </row>
    <row r="1679" spans="1:18" x14ac:dyDescent="0.25">
      <c r="A1679">
        <v>1678</v>
      </c>
      <c r="B1679">
        <v>94</v>
      </c>
      <c r="C1679">
        <v>31432277</v>
      </c>
      <c r="D1679" t="s">
        <v>345</v>
      </c>
      <c r="E1679">
        <v>20.13</v>
      </c>
      <c r="F1679" t="s">
        <v>21</v>
      </c>
      <c r="G1679" t="s">
        <v>26</v>
      </c>
      <c r="H1679" t="s">
        <v>21</v>
      </c>
      <c r="I1679" t="s">
        <v>20</v>
      </c>
      <c r="J1679" t="s">
        <v>20</v>
      </c>
      <c r="K1679" t="s">
        <v>27</v>
      </c>
      <c r="L1679" t="s">
        <v>75</v>
      </c>
      <c r="M1679" t="s">
        <v>76</v>
      </c>
      <c r="N1679">
        <v>38.817948999999999</v>
      </c>
      <c r="O1679">
        <v>-112.00671</v>
      </c>
      <c r="P1679">
        <v>5190.1882329999999</v>
      </c>
      <c r="Q1679">
        <v>1403</v>
      </c>
      <c r="R1679">
        <v>0</v>
      </c>
    </row>
    <row r="1680" spans="1:18" x14ac:dyDescent="0.25">
      <c r="A1680">
        <v>1679</v>
      </c>
      <c r="B1680">
        <v>94</v>
      </c>
      <c r="C1680">
        <v>27710131</v>
      </c>
      <c r="D1680" t="s">
        <v>217</v>
      </c>
      <c r="E1680">
        <v>20.145</v>
      </c>
      <c r="F1680" t="s">
        <v>21</v>
      </c>
      <c r="G1680" t="s">
        <v>26</v>
      </c>
      <c r="H1680" t="s">
        <v>21</v>
      </c>
      <c r="I1680" t="s">
        <v>20</v>
      </c>
      <c r="J1680" t="s">
        <v>20</v>
      </c>
      <c r="K1680" t="s">
        <v>27</v>
      </c>
      <c r="L1680" t="s">
        <v>162</v>
      </c>
      <c r="M1680" t="s">
        <v>163</v>
      </c>
      <c r="N1680">
        <v>37.337885</v>
      </c>
      <c r="O1680">
        <v>-113.69323300000001</v>
      </c>
      <c r="P1680">
        <v>4393.0874510000003</v>
      </c>
      <c r="Q1680">
        <v>304</v>
      </c>
      <c r="R1680">
        <v>0</v>
      </c>
    </row>
    <row r="1681" spans="1:18" x14ac:dyDescent="0.25">
      <c r="A1681">
        <v>1680</v>
      </c>
      <c r="B1681">
        <v>94</v>
      </c>
      <c r="C1681">
        <v>31432045</v>
      </c>
      <c r="D1681" t="s">
        <v>319</v>
      </c>
      <c r="E1681">
        <v>20.152000000000001</v>
      </c>
      <c r="F1681" t="s">
        <v>21</v>
      </c>
      <c r="G1681" t="s">
        <v>20</v>
      </c>
      <c r="H1681" t="s">
        <v>21</v>
      </c>
      <c r="I1681" t="s">
        <v>20</v>
      </c>
      <c r="J1681" t="s">
        <v>20</v>
      </c>
      <c r="K1681" t="s">
        <v>27</v>
      </c>
      <c r="L1681" t="s">
        <v>162</v>
      </c>
      <c r="M1681" t="s">
        <v>55</v>
      </c>
      <c r="N1681">
        <v>37.739046000000002</v>
      </c>
      <c r="O1681">
        <v>-113.738606</v>
      </c>
      <c r="P1681">
        <v>5114.9686920000004</v>
      </c>
      <c r="Q1681">
        <v>314</v>
      </c>
      <c r="R1681">
        <v>0</v>
      </c>
    </row>
    <row r="1682" spans="1:18" x14ac:dyDescent="0.25">
      <c r="A1682">
        <v>1681</v>
      </c>
      <c r="B1682">
        <v>94</v>
      </c>
      <c r="C1682" t="e">
        <f>-IouuCNUFUD1YrtxSv0a3V</f>
        <v>#NAME?</v>
      </c>
      <c r="D1682" t="s">
        <v>91</v>
      </c>
      <c r="E1682">
        <v>23.327000000000002</v>
      </c>
      <c r="F1682" t="s">
        <v>21</v>
      </c>
      <c r="G1682" t="s">
        <v>20</v>
      </c>
      <c r="H1682" t="s">
        <v>21</v>
      </c>
      <c r="I1682" t="s">
        <v>20</v>
      </c>
      <c r="J1682" t="s">
        <v>20</v>
      </c>
      <c r="K1682" t="s">
        <v>41</v>
      </c>
      <c r="L1682" t="s">
        <v>95</v>
      </c>
      <c r="M1682" t="s">
        <v>73</v>
      </c>
      <c r="N1682">
        <v>41.903702000000003</v>
      </c>
      <c r="O1682">
        <v>-111.951572</v>
      </c>
      <c r="P1682">
        <v>4449.0609670000003</v>
      </c>
      <c r="Q1682">
        <v>1339</v>
      </c>
      <c r="R1682">
        <v>0</v>
      </c>
    </row>
    <row r="1683" spans="1:18" x14ac:dyDescent="0.25">
      <c r="A1683">
        <v>1682</v>
      </c>
      <c r="B1683">
        <v>94</v>
      </c>
      <c r="C1683">
        <v>31644355</v>
      </c>
      <c r="D1683" t="s">
        <v>233</v>
      </c>
      <c r="E1683">
        <v>23.344000000000001</v>
      </c>
      <c r="F1683" t="s">
        <v>21</v>
      </c>
      <c r="G1683" t="s">
        <v>20</v>
      </c>
      <c r="H1683" t="s">
        <v>21</v>
      </c>
      <c r="I1683" t="s">
        <v>20</v>
      </c>
      <c r="J1683" t="s">
        <v>20</v>
      </c>
      <c r="K1683" t="s">
        <v>22</v>
      </c>
      <c r="L1683" t="s">
        <v>234</v>
      </c>
      <c r="M1683" t="s">
        <v>235</v>
      </c>
      <c r="N1683">
        <v>40.213405000000002</v>
      </c>
      <c r="O1683">
        <v>-109.380728</v>
      </c>
      <c r="P1683">
        <v>5384.4445599999999</v>
      </c>
      <c r="Q1683">
        <v>1354</v>
      </c>
      <c r="R1683">
        <v>0</v>
      </c>
    </row>
    <row r="1684" spans="1:18" x14ac:dyDescent="0.25">
      <c r="A1684">
        <v>1683</v>
      </c>
      <c r="B1684">
        <v>94</v>
      </c>
      <c r="C1684">
        <v>31500366</v>
      </c>
      <c r="D1684" t="s">
        <v>317</v>
      </c>
      <c r="E1684">
        <v>23.372</v>
      </c>
      <c r="F1684" t="s">
        <v>21</v>
      </c>
      <c r="G1684" t="s">
        <v>26</v>
      </c>
      <c r="H1684" t="s">
        <v>21</v>
      </c>
      <c r="I1684" t="s">
        <v>20</v>
      </c>
      <c r="J1684" t="s">
        <v>20</v>
      </c>
      <c r="K1684" t="s">
        <v>27</v>
      </c>
      <c r="L1684" t="s">
        <v>211</v>
      </c>
      <c r="M1684" t="s">
        <v>212</v>
      </c>
      <c r="N1684">
        <v>37.174902000000003</v>
      </c>
      <c r="O1684">
        <v>-109.859942</v>
      </c>
      <c r="P1684">
        <v>4236.9824159999998</v>
      </c>
      <c r="Q1684">
        <v>1432</v>
      </c>
      <c r="R1684">
        <v>0</v>
      </c>
    </row>
    <row r="1685" spans="1:18" x14ac:dyDescent="0.25">
      <c r="A1685">
        <v>1684</v>
      </c>
      <c r="B1685">
        <v>94</v>
      </c>
      <c r="C1685" t="e">
        <f>-JNOQO3FIay_Hs_NEBiEDF</f>
        <v>#NAME?</v>
      </c>
      <c r="D1685" t="s">
        <v>124</v>
      </c>
      <c r="E1685">
        <v>23.373000000000001</v>
      </c>
      <c r="F1685" t="s">
        <v>21</v>
      </c>
      <c r="G1685" t="s">
        <v>20</v>
      </c>
      <c r="H1685" t="s">
        <v>21</v>
      </c>
      <c r="I1685" t="s">
        <v>20</v>
      </c>
      <c r="J1685" t="s">
        <v>20</v>
      </c>
      <c r="K1685" t="s">
        <v>22</v>
      </c>
      <c r="L1685" t="s">
        <v>84</v>
      </c>
      <c r="M1685" t="s">
        <v>194</v>
      </c>
      <c r="N1685">
        <v>40.263086000000001</v>
      </c>
      <c r="O1685">
        <v>-111.867063</v>
      </c>
      <c r="P1685">
        <v>4561.9101629999996</v>
      </c>
      <c r="Q1685">
        <v>1368</v>
      </c>
      <c r="R1685">
        <v>0</v>
      </c>
    </row>
    <row r="1686" spans="1:18" x14ac:dyDescent="0.25">
      <c r="A1686">
        <v>1685</v>
      </c>
      <c r="B1686">
        <v>94</v>
      </c>
      <c r="C1686" t="s">
        <v>453</v>
      </c>
      <c r="D1686" t="s">
        <v>124</v>
      </c>
      <c r="E1686">
        <v>23.393999999999998</v>
      </c>
      <c r="F1686" t="s">
        <v>21</v>
      </c>
      <c r="G1686" t="s">
        <v>20</v>
      </c>
      <c r="H1686" t="s">
        <v>21</v>
      </c>
      <c r="I1686" t="s">
        <v>20</v>
      </c>
      <c r="J1686" t="s">
        <v>20</v>
      </c>
      <c r="K1686" t="s">
        <v>22</v>
      </c>
      <c r="L1686" t="s">
        <v>84</v>
      </c>
      <c r="M1686" t="s">
        <v>194</v>
      </c>
      <c r="N1686">
        <v>40.263387999999999</v>
      </c>
      <c r="O1686">
        <v>-111.867062</v>
      </c>
      <c r="P1686">
        <v>4563.0498360000001</v>
      </c>
      <c r="Q1686">
        <v>1368</v>
      </c>
      <c r="R1686">
        <v>0</v>
      </c>
    </row>
    <row r="1687" spans="1:18" x14ac:dyDescent="0.25">
      <c r="A1687">
        <v>1686</v>
      </c>
      <c r="B1687">
        <v>94</v>
      </c>
      <c r="C1687">
        <v>27970409</v>
      </c>
      <c r="D1687" t="s">
        <v>281</v>
      </c>
      <c r="E1687">
        <v>23.396999999999998</v>
      </c>
      <c r="F1687" t="s">
        <v>21</v>
      </c>
      <c r="G1687" t="s">
        <v>20</v>
      </c>
      <c r="H1687" t="s">
        <v>21</v>
      </c>
      <c r="I1687" t="s">
        <v>20</v>
      </c>
      <c r="J1687" t="s">
        <v>20</v>
      </c>
      <c r="K1687" t="s">
        <v>31</v>
      </c>
      <c r="L1687" t="s">
        <v>282</v>
      </c>
      <c r="M1687" t="s">
        <v>174</v>
      </c>
      <c r="N1687">
        <v>40.119779000000001</v>
      </c>
      <c r="O1687">
        <v>-112.430798</v>
      </c>
      <c r="P1687">
        <v>5370.3311199999998</v>
      </c>
      <c r="Q1687">
        <v>1347</v>
      </c>
      <c r="R1687">
        <v>0</v>
      </c>
    </row>
    <row r="1688" spans="1:18" x14ac:dyDescent="0.25">
      <c r="A1688">
        <v>1687</v>
      </c>
      <c r="B1688">
        <v>94</v>
      </c>
      <c r="C1688">
        <v>31502729</v>
      </c>
      <c r="D1688" t="s">
        <v>292</v>
      </c>
      <c r="E1688">
        <v>2.8370000000000002</v>
      </c>
      <c r="F1688" t="s">
        <v>21</v>
      </c>
      <c r="G1688" t="s">
        <v>26</v>
      </c>
      <c r="H1688" t="s">
        <v>21</v>
      </c>
      <c r="I1688" t="s">
        <v>20</v>
      </c>
      <c r="J1688" t="s">
        <v>20</v>
      </c>
      <c r="K1688" t="s">
        <v>22</v>
      </c>
      <c r="L1688" t="s">
        <v>253</v>
      </c>
      <c r="M1688" t="s">
        <v>134</v>
      </c>
      <c r="N1688">
        <v>40.202992000000002</v>
      </c>
      <c r="O1688">
        <v>-110.38924299999999</v>
      </c>
      <c r="P1688">
        <v>5764.5709059999999</v>
      </c>
      <c r="Q1688">
        <v>323</v>
      </c>
      <c r="R1688">
        <v>0</v>
      </c>
    </row>
    <row r="1689" spans="1:18" x14ac:dyDescent="0.25">
      <c r="A1689">
        <v>1688</v>
      </c>
      <c r="B1689">
        <v>94</v>
      </c>
      <c r="C1689">
        <v>31582893</v>
      </c>
      <c r="D1689" t="s">
        <v>271</v>
      </c>
      <c r="E1689">
        <v>2.839</v>
      </c>
      <c r="F1689" t="s">
        <v>21</v>
      </c>
      <c r="G1689" t="s">
        <v>20</v>
      </c>
      <c r="H1689" t="s">
        <v>21</v>
      </c>
      <c r="I1689" t="s">
        <v>20</v>
      </c>
      <c r="J1689" t="s">
        <v>20</v>
      </c>
      <c r="K1689" t="s">
        <v>31</v>
      </c>
      <c r="L1689" t="s">
        <v>282</v>
      </c>
      <c r="M1689" t="s">
        <v>24</v>
      </c>
      <c r="N1689">
        <v>40.363931000000001</v>
      </c>
      <c r="O1689">
        <v>-112.33778599999999</v>
      </c>
      <c r="P1689">
        <v>5313.1645170000002</v>
      </c>
      <c r="Q1689">
        <v>1372</v>
      </c>
      <c r="R1689">
        <v>0</v>
      </c>
    </row>
    <row r="1690" spans="1:18" x14ac:dyDescent="0.25">
      <c r="A1690">
        <v>1689</v>
      </c>
      <c r="B1690">
        <v>94</v>
      </c>
      <c r="C1690">
        <v>757784</v>
      </c>
      <c r="D1690" t="s">
        <v>86</v>
      </c>
      <c r="E1690">
        <v>2.8410000000000002</v>
      </c>
      <c r="F1690" t="s">
        <v>21</v>
      </c>
      <c r="G1690" t="s">
        <v>26</v>
      </c>
      <c r="H1690" t="s">
        <v>21</v>
      </c>
      <c r="I1690" t="s">
        <v>20</v>
      </c>
      <c r="J1690" t="s">
        <v>20</v>
      </c>
      <c r="K1690" t="s">
        <v>41</v>
      </c>
      <c r="L1690" t="s">
        <v>87</v>
      </c>
      <c r="M1690" t="s">
        <v>58</v>
      </c>
      <c r="N1690">
        <v>41.038128</v>
      </c>
      <c r="O1690">
        <v>-111.94618800000001</v>
      </c>
      <c r="P1690">
        <v>4266.1939160000002</v>
      </c>
      <c r="Q1690">
        <v>258</v>
      </c>
      <c r="R1690">
        <v>0</v>
      </c>
    </row>
    <row r="1691" spans="1:18" x14ac:dyDescent="0.25">
      <c r="A1691">
        <v>1690</v>
      </c>
      <c r="B1691">
        <v>94</v>
      </c>
      <c r="C1691">
        <v>31519082</v>
      </c>
      <c r="D1691" t="s">
        <v>231</v>
      </c>
      <c r="E1691">
        <v>2.843</v>
      </c>
      <c r="F1691" t="s">
        <v>19</v>
      </c>
      <c r="G1691" t="s">
        <v>20</v>
      </c>
      <c r="H1691" t="s">
        <v>21</v>
      </c>
      <c r="I1691" t="s">
        <v>20</v>
      </c>
      <c r="J1691" t="s">
        <v>20</v>
      </c>
      <c r="K1691" t="s">
        <v>41</v>
      </c>
      <c r="L1691" t="s">
        <v>57</v>
      </c>
      <c r="M1691" t="s">
        <v>93</v>
      </c>
      <c r="N1691">
        <v>41.083793999999997</v>
      </c>
      <c r="O1691">
        <v>-111.995165</v>
      </c>
      <c r="P1691">
        <v>4389.5592909999996</v>
      </c>
      <c r="Q1691">
        <v>1409</v>
      </c>
      <c r="R1691">
        <v>0</v>
      </c>
    </row>
    <row r="1692" spans="1:18" x14ac:dyDescent="0.25">
      <c r="A1692">
        <v>1691</v>
      </c>
      <c r="B1692">
        <v>94</v>
      </c>
      <c r="C1692">
        <v>31557707</v>
      </c>
      <c r="D1692" t="s">
        <v>102</v>
      </c>
      <c r="E1692">
        <v>2.843</v>
      </c>
      <c r="F1692" t="s">
        <v>21</v>
      </c>
      <c r="G1692" t="s">
        <v>26</v>
      </c>
      <c r="H1692" t="s">
        <v>21</v>
      </c>
      <c r="I1692" t="s">
        <v>20</v>
      </c>
      <c r="J1692" t="s">
        <v>20</v>
      </c>
      <c r="K1692" t="s">
        <v>27</v>
      </c>
      <c r="L1692" t="s">
        <v>103</v>
      </c>
      <c r="M1692" t="s">
        <v>104</v>
      </c>
      <c r="N1692">
        <v>38.286285999999997</v>
      </c>
      <c r="O1692">
        <v>-112.641384</v>
      </c>
      <c r="P1692">
        <v>5873.0529740000002</v>
      </c>
      <c r="Q1692">
        <v>1430</v>
      </c>
      <c r="R1692">
        <v>0</v>
      </c>
    </row>
    <row r="1693" spans="1:18" x14ac:dyDescent="0.25">
      <c r="A1693">
        <v>1692</v>
      </c>
      <c r="B1693">
        <v>94</v>
      </c>
      <c r="C1693">
        <v>31827520</v>
      </c>
      <c r="D1693" t="s">
        <v>56</v>
      </c>
      <c r="E1693">
        <v>2.8439999999999999</v>
      </c>
      <c r="F1693" t="s">
        <v>21</v>
      </c>
      <c r="G1693" t="s">
        <v>26</v>
      </c>
      <c r="H1693" t="s">
        <v>21</v>
      </c>
      <c r="I1693" t="s">
        <v>20</v>
      </c>
      <c r="J1693" t="s">
        <v>20</v>
      </c>
      <c r="K1693" t="s">
        <v>41</v>
      </c>
      <c r="L1693" t="s">
        <v>57</v>
      </c>
      <c r="M1693" t="s">
        <v>58</v>
      </c>
      <c r="N1693">
        <v>41.162695999999997</v>
      </c>
      <c r="O1693">
        <v>-112.068664</v>
      </c>
      <c r="P1693">
        <v>4234.6928760000001</v>
      </c>
      <c r="Q1693">
        <v>1459</v>
      </c>
      <c r="R1693">
        <v>0</v>
      </c>
    </row>
    <row r="1694" spans="1:18" x14ac:dyDescent="0.25">
      <c r="A1694">
        <v>1693</v>
      </c>
      <c r="B1694">
        <v>94</v>
      </c>
      <c r="C1694">
        <v>31794466</v>
      </c>
      <c r="D1694" t="s">
        <v>61</v>
      </c>
      <c r="E1694">
        <v>2.8889999999999998</v>
      </c>
      <c r="F1694" t="s">
        <v>21</v>
      </c>
      <c r="G1694" t="s">
        <v>26</v>
      </c>
      <c r="H1694" t="s">
        <v>21</v>
      </c>
      <c r="I1694" t="s">
        <v>20</v>
      </c>
      <c r="J1694" t="s">
        <v>20</v>
      </c>
      <c r="K1694" t="s">
        <v>22</v>
      </c>
      <c r="L1694" t="s">
        <v>23</v>
      </c>
      <c r="M1694" t="s">
        <v>62</v>
      </c>
      <c r="N1694">
        <v>40.247894000000002</v>
      </c>
      <c r="O1694">
        <v>-111.658636</v>
      </c>
      <c r="P1694">
        <v>4530.3259859999998</v>
      </c>
      <c r="Q1694">
        <v>403</v>
      </c>
      <c r="R1694">
        <v>0</v>
      </c>
    </row>
    <row r="1695" spans="1:18" x14ac:dyDescent="0.25">
      <c r="A1695">
        <v>1694</v>
      </c>
      <c r="B1695">
        <v>94</v>
      </c>
      <c r="C1695">
        <v>1489741</v>
      </c>
      <c r="D1695" t="s">
        <v>434</v>
      </c>
      <c r="E1695">
        <v>2.89</v>
      </c>
      <c r="F1695" t="s">
        <v>19</v>
      </c>
      <c r="G1695" t="s">
        <v>20</v>
      </c>
      <c r="H1695" t="s">
        <v>21</v>
      </c>
      <c r="I1695" t="s">
        <v>20</v>
      </c>
      <c r="J1695" t="s">
        <v>20</v>
      </c>
      <c r="K1695" t="s">
        <v>31</v>
      </c>
      <c r="L1695" t="s">
        <v>32</v>
      </c>
      <c r="M1695" t="s">
        <v>70</v>
      </c>
      <c r="N1695">
        <v>40.633529000000003</v>
      </c>
      <c r="O1695">
        <v>-111.834193</v>
      </c>
      <c r="P1695">
        <v>4404.703998</v>
      </c>
      <c r="Q1695">
        <v>1424</v>
      </c>
      <c r="R1695">
        <v>0</v>
      </c>
    </row>
    <row r="1696" spans="1:18" x14ac:dyDescent="0.25">
      <c r="A1696">
        <v>1695</v>
      </c>
      <c r="B1696">
        <v>94</v>
      </c>
      <c r="C1696">
        <v>31304688</v>
      </c>
      <c r="D1696" t="s">
        <v>153</v>
      </c>
      <c r="E1696">
        <v>2.891</v>
      </c>
      <c r="F1696" t="s">
        <v>21</v>
      </c>
      <c r="G1696" t="s">
        <v>26</v>
      </c>
      <c r="H1696" t="s">
        <v>21</v>
      </c>
      <c r="I1696" t="s">
        <v>20</v>
      </c>
      <c r="J1696" t="s">
        <v>20</v>
      </c>
      <c r="K1696" t="s">
        <v>22</v>
      </c>
      <c r="L1696" t="s">
        <v>84</v>
      </c>
      <c r="M1696" t="s">
        <v>85</v>
      </c>
      <c r="N1696">
        <v>40.398139999999998</v>
      </c>
      <c r="O1696">
        <v>-111.746076</v>
      </c>
      <c r="P1696">
        <v>4790.0344779999996</v>
      </c>
      <c r="R1696">
        <v>0</v>
      </c>
    </row>
    <row r="1697" spans="1:18" x14ac:dyDescent="0.25">
      <c r="A1697">
        <v>1696</v>
      </c>
      <c r="B1697">
        <v>94</v>
      </c>
      <c r="C1697">
        <v>524552</v>
      </c>
      <c r="D1697" t="s">
        <v>44</v>
      </c>
      <c r="E1697">
        <v>2.8940000000000001</v>
      </c>
      <c r="F1697" t="s">
        <v>21</v>
      </c>
      <c r="G1697" t="s">
        <v>26</v>
      </c>
      <c r="H1697" t="s">
        <v>21</v>
      </c>
      <c r="I1697" t="s">
        <v>20</v>
      </c>
      <c r="J1697" t="s">
        <v>20</v>
      </c>
      <c r="K1697" t="s">
        <v>41</v>
      </c>
      <c r="L1697" t="s">
        <v>45</v>
      </c>
      <c r="M1697" t="s">
        <v>46</v>
      </c>
      <c r="N1697">
        <v>40.919313000000002</v>
      </c>
      <c r="O1697">
        <v>-111.87895899999999</v>
      </c>
      <c r="P1697">
        <v>4235.6021369999999</v>
      </c>
      <c r="Q1697">
        <v>1395</v>
      </c>
      <c r="R1697">
        <v>0</v>
      </c>
    </row>
    <row r="1698" spans="1:18" x14ac:dyDescent="0.25">
      <c r="A1698">
        <v>1697</v>
      </c>
      <c r="B1698">
        <v>94</v>
      </c>
      <c r="C1698" t="e">
        <f>-JK8GlA3FdDOqdC1WTGKok</f>
        <v>#NAME?</v>
      </c>
      <c r="D1698" t="s">
        <v>250</v>
      </c>
      <c r="E1698">
        <v>2.9</v>
      </c>
      <c r="F1698" t="s">
        <v>21</v>
      </c>
      <c r="G1698" t="s">
        <v>20</v>
      </c>
      <c r="H1698" t="s">
        <v>21</v>
      </c>
      <c r="I1698" t="s">
        <v>20</v>
      </c>
      <c r="J1698" t="s">
        <v>20</v>
      </c>
      <c r="K1698" t="s">
        <v>27</v>
      </c>
      <c r="L1698" t="s">
        <v>75</v>
      </c>
      <c r="M1698" t="s">
        <v>76</v>
      </c>
      <c r="N1698">
        <v>38.774259999999998</v>
      </c>
      <c r="O1698">
        <v>-112.015157</v>
      </c>
      <c r="P1698">
        <v>5186.0069739999999</v>
      </c>
      <c r="Q1698">
        <v>1404</v>
      </c>
      <c r="R1698">
        <v>0</v>
      </c>
    </row>
    <row r="1699" spans="1:18" x14ac:dyDescent="0.25">
      <c r="A1699">
        <v>1698</v>
      </c>
      <c r="B1699">
        <v>94</v>
      </c>
      <c r="C1699">
        <v>687858</v>
      </c>
      <c r="D1699" t="s">
        <v>77</v>
      </c>
      <c r="E1699">
        <v>2.903</v>
      </c>
      <c r="F1699" t="s">
        <v>21</v>
      </c>
      <c r="G1699" t="s">
        <v>26</v>
      </c>
      <c r="H1699" t="s">
        <v>21</v>
      </c>
      <c r="I1699" t="s">
        <v>20</v>
      </c>
      <c r="J1699" t="s">
        <v>20</v>
      </c>
      <c r="K1699" t="s">
        <v>31</v>
      </c>
      <c r="L1699" t="s">
        <v>78</v>
      </c>
      <c r="M1699" t="s">
        <v>79</v>
      </c>
      <c r="N1699">
        <v>40.680748000000001</v>
      </c>
      <c r="O1699">
        <v>-112.024756</v>
      </c>
      <c r="P1699">
        <v>4404.0507479999997</v>
      </c>
      <c r="Q1699">
        <v>1436</v>
      </c>
      <c r="R1699">
        <v>0</v>
      </c>
    </row>
    <row r="1700" spans="1:18" x14ac:dyDescent="0.25">
      <c r="A1700">
        <v>1699</v>
      </c>
      <c r="B1700">
        <v>94</v>
      </c>
      <c r="C1700" t="e">
        <f>-IpPnQ6UGe99tiu0d6dZgV</f>
        <v>#NAME?</v>
      </c>
      <c r="D1700" t="s">
        <v>317</v>
      </c>
      <c r="E1700">
        <v>22.77</v>
      </c>
      <c r="F1700" t="s">
        <v>21</v>
      </c>
      <c r="G1700" t="s">
        <v>20</v>
      </c>
      <c r="H1700" t="s">
        <v>21</v>
      </c>
      <c r="I1700" t="s">
        <v>20</v>
      </c>
      <c r="J1700" t="s">
        <v>20</v>
      </c>
      <c r="K1700" t="s">
        <v>27</v>
      </c>
      <c r="L1700" t="s">
        <v>211</v>
      </c>
      <c r="M1700" t="s">
        <v>212</v>
      </c>
      <c r="N1700">
        <v>37.166198999999999</v>
      </c>
      <c r="O1700">
        <v>-109.860474</v>
      </c>
      <c r="P1700">
        <v>4241.2191910000001</v>
      </c>
      <c r="Q1700">
        <v>1432</v>
      </c>
      <c r="R1700">
        <v>0</v>
      </c>
    </row>
    <row r="1701" spans="1:18" x14ac:dyDescent="0.25">
      <c r="A1701">
        <v>1700</v>
      </c>
      <c r="B1701">
        <v>94</v>
      </c>
      <c r="C1701">
        <v>31277737</v>
      </c>
      <c r="D1701" t="s">
        <v>241</v>
      </c>
      <c r="E1701">
        <v>22.777999999999999</v>
      </c>
      <c r="F1701" t="s">
        <v>21</v>
      </c>
      <c r="G1701" t="s">
        <v>26</v>
      </c>
      <c r="H1701" t="s">
        <v>21</v>
      </c>
      <c r="I1701" t="s">
        <v>20</v>
      </c>
      <c r="J1701" t="s">
        <v>20</v>
      </c>
      <c r="K1701" t="s">
        <v>27</v>
      </c>
      <c r="L1701" t="s">
        <v>242</v>
      </c>
      <c r="M1701" t="s">
        <v>243</v>
      </c>
      <c r="N1701">
        <v>39.033430000000003</v>
      </c>
      <c r="O1701">
        <v>-111.129205</v>
      </c>
      <c r="P1701">
        <v>6174.5962950000003</v>
      </c>
      <c r="Q1701">
        <v>1327</v>
      </c>
      <c r="R1701">
        <v>0</v>
      </c>
    </row>
    <row r="1702" spans="1:18" x14ac:dyDescent="0.25">
      <c r="A1702">
        <v>1701</v>
      </c>
      <c r="B1702">
        <v>94</v>
      </c>
      <c r="C1702">
        <v>31305973</v>
      </c>
      <c r="D1702" t="s">
        <v>116</v>
      </c>
      <c r="E1702">
        <v>22.803000000000001</v>
      </c>
      <c r="F1702" t="s">
        <v>21</v>
      </c>
      <c r="G1702" t="s">
        <v>26</v>
      </c>
      <c r="H1702" t="s">
        <v>21</v>
      </c>
      <c r="I1702" t="s">
        <v>20</v>
      </c>
      <c r="J1702" t="s">
        <v>20</v>
      </c>
      <c r="K1702" t="s">
        <v>41</v>
      </c>
      <c r="L1702" t="s">
        <v>42</v>
      </c>
      <c r="M1702" t="s">
        <v>43</v>
      </c>
      <c r="N1702">
        <v>41.686781000000003</v>
      </c>
      <c r="O1702">
        <v>-111.871762</v>
      </c>
      <c r="P1702">
        <v>4428.6570110000002</v>
      </c>
      <c r="Q1702">
        <v>324</v>
      </c>
      <c r="R1702">
        <v>0</v>
      </c>
    </row>
    <row r="1703" spans="1:18" x14ac:dyDescent="0.25">
      <c r="A1703">
        <v>1702</v>
      </c>
      <c r="B1703">
        <v>94</v>
      </c>
      <c r="C1703" t="e">
        <f>-IovAH-PFS1pZGimC6IKUF</f>
        <v>#NAME?</v>
      </c>
      <c r="D1703" t="s">
        <v>176</v>
      </c>
      <c r="E1703">
        <v>22.81</v>
      </c>
      <c r="F1703" t="s">
        <v>21</v>
      </c>
      <c r="G1703" t="s">
        <v>26</v>
      </c>
      <c r="H1703" t="s">
        <v>21</v>
      </c>
      <c r="I1703" t="s">
        <v>20</v>
      </c>
      <c r="J1703" t="s">
        <v>20</v>
      </c>
      <c r="K1703" t="s">
        <v>41</v>
      </c>
      <c r="L1703" t="s">
        <v>223</v>
      </c>
      <c r="M1703" t="s">
        <v>178</v>
      </c>
      <c r="N1703">
        <v>41.749457</v>
      </c>
      <c r="O1703">
        <v>-112.14836200000001</v>
      </c>
      <c r="P1703">
        <v>4294.7790640000003</v>
      </c>
      <c r="Q1703">
        <v>1329</v>
      </c>
      <c r="R1703">
        <v>0</v>
      </c>
    </row>
    <row r="1704" spans="1:18" x14ac:dyDescent="0.25">
      <c r="A1704">
        <v>1703</v>
      </c>
      <c r="B1704">
        <v>94</v>
      </c>
      <c r="C1704">
        <v>31528815</v>
      </c>
      <c r="D1704" t="s">
        <v>390</v>
      </c>
      <c r="E1704">
        <v>22.824999999999999</v>
      </c>
      <c r="F1704" t="s">
        <v>21</v>
      </c>
      <c r="G1704" t="s">
        <v>20</v>
      </c>
      <c r="H1704" t="s">
        <v>21</v>
      </c>
      <c r="I1704" t="s">
        <v>20</v>
      </c>
      <c r="J1704" t="s">
        <v>20</v>
      </c>
      <c r="K1704" t="s">
        <v>22</v>
      </c>
      <c r="L1704" t="s">
        <v>60</v>
      </c>
      <c r="M1704" t="s">
        <v>335</v>
      </c>
      <c r="N1704">
        <v>40.404203000000003</v>
      </c>
      <c r="O1704">
        <v>-111.598968</v>
      </c>
      <c r="P1704">
        <v>6756.6556650000002</v>
      </c>
      <c r="Q1704">
        <v>1386</v>
      </c>
      <c r="R1704">
        <v>0</v>
      </c>
    </row>
    <row r="1705" spans="1:18" x14ac:dyDescent="0.25">
      <c r="A1705">
        <v>1704</v>
      </c>
      <c r="B1705">
        <v>94</v>
      </c>
      <c r="C1705">
        <v>31767419</v>
      </c>
      <c r="D1705" t="s">
        <v>268</v>
      </c>
      <c r="E1705">
        <v>22.83</v>
      </c>
      <c r="F1705" t="s">
        <v>21</v>
      </c>
      <c r="G1705" t="s">
        <v>26</v>
      </c>
      <c r="H1705" t="s">
        <v>21</v>
      </c>
      <c r="I1705" t="s">
        <v>20</v>
      </c>
      <c r="J1705" t="s">
        <v>20</v>
      </c>
      <c r="K1705" t="s">
        <v>41</v>
      </c>
      <c r="L1705" t="s">
        <v>181</v>
      </c>
      <c r="M1705" t="s">
        <v>43</v>
      </c>
      <c r="N1705">
        <v>41.721285999999999</v>
      </c>
      <c r="O1705">
        <v>-112.44986400000001</v>
      </c>
      <c r="P1705">
        <v>4446.0887570000004</v>
      </c>
      <c r="Q1705">
        <v>1380</v>
      </c>
      <c r="R1705">
        <v>0</v>
      </c>
    </row>
    <row r="1706" spans="1:18" x14ac:dyDescent="0.25">
      <c r="A1706">
        <v>1705</v>
      </c>
      <c r="B1706">
        <v>94</v>
      </c>
      <c r="C1706">
        <v>31591895</v>
      </c>
      <c r="D1706" t="s">
        <v>271</v>
      </c>
      <c r="E1706">
        <v>22.84</v>
      </c>
      <c r="F1706" t="s">
        <v>21</v>
      </c>
      <c r="G1706" t="s">
        <v>26</v>
      </c>
      <c r="H1706" t="s">
        <v>21</v>
      </c>
      <c r="I1706" t="s">
        <v>20</v>
      </c>
      <c r="J1706" t="s">
        <v>20</v>
      </c>
      <c r="K1706" t="s">
        <v>22</v>
      </c>
      <c r="L1706" t="s">
        <v>263</v>
      </c>
      <c r="M1706" t="s">
        <v>24</v>
      </c>
      <c r="N1706">
        <v>40.291753999999997</v>
      </c>
      <c r="O1706">
        <v>-112.097863</v>
      </c>
      <c r="P1706">
        <v>4895.0186800000001</v>
      </c>
      <c r="Q1706">
        <v>1372</v>
      </c>
      <c r="R1706">
        <v>0</v>
      </c>
    </row>
    <row r="1707" spans="1:18" x14ac:dyDescent="0.25">
      <c r="A1707">
        <v>1706</v>
      </c>
      <c r="B1707">
        <v>94</v>
      </c>
      <c r="C1707">
        <v>31306586</v>
      </c>
      <c r="D1707" t="s">
        <v>203</v>
      </c>
      <c r="E1707">
        <v>22.867000000000001</v>
      </c>
      <c r="F1707" t="s">
        <v>21</v>
      </c>
      <c r="G1707" t="s">
        <v>26</v>
      </c>
      <c r="H1707" t="s">
        <v>21</v>
      </c>
      <c r="I1707" t="s">
        <v>20</v>
      </c>
      <c r="J1707" t="s">
        <v>20</v>
      </c>
      <c r="K1707" t="s">
        <v>41</v>
      </c>
      <c r="L1707" t="s">
        <v>255</v>
      </c>
      <c r="M1707" t="s">
        <v>204</v>
      </c>
      <c r="N1707">
        <v>41.264187999999997</v>
      </c>
      <c r="O1707">
        <v>-111.69462300000001</v>
      </c>
      <c r="P1707">
        <v>5076.3625590000001</v>
      </c>
      <c r="Q1707">
        <v>1349</v>
      </c>
      <c r="R1707">
        <v>0</v>
      </c>
    </row>
    <row r="1708" spans="1:18" x14ac:dyDescent="0.25">
      <c r="A1708">
        <v>1707</v>
      </c>
      <c r="B1708">
        <v>94</v>
      </c>
      <c r="C1708" t="e">
        <f>-IpV4XJ7GjXLDccKLGG8hV</f>
        <v>#NAME?</v>
      </c>
      <c r="D1708" t="s">
        <v>284</v>
      </c>
      <c r="E1708">
        <v>22.875</v>
      </c>
      <c r="F1708" t="s">
        <v>21</v>
      </c>
      <c r="G1708" t="s">
        <v>20</v>
      </c>
      <c r="H1708" t="s">
        <v>21</v>
      </c>
      <c r="I1708" t="s">
        <v>20</v>
      </c>
      <c r="J1708" t="s">
        <v>20</v>
      </c>
      <c r="K1708" t="s">
        <v>31</v>
      </c>
      <c r="L1708" t="s">
        <v>285</v>
      </c>
      <c r="M1708" t="s">
        <v>206</v>
      </c>
      <c r="N1708">
        <v>40.554983999999997</v>
      </c>
      <c r="O1708">
        <v>-112.738266</v>
      </c>
      <c r="P1708">
        <v>4297.2364200000002</v>
      </c>
      <c r="Q1708">
        <v>407</v>
      </c>
      <c r="R1708">
        <v>0</v>
      </c>
    </row>
    <row r="1709" spans="1:18" x14ac:dyDescent="0.25">
      <c r="A1709">
        <v>1708</v>
      </c>
      <c r="B1709">
        <v>94</v>
      </c>
      <c r="C1709">
        <v>31512674</v>
      </c>
      <c r="D1709" t="s">
        <v>292</v>
      </c>
      <c r="E1709">
        <v>22.88</v>
      </c>
      <c r="F1709" t="s">
        <v>21</v>
      </c>
      <c r="G1709" t="s">
        <v>26</v>
      </c>
      <c r="H1709" t="s">
        <v>21</v>
      </c>
      <c r="I1709" t="s">
        <v>20</v>
      </c>
      <c r="J1709" t="s">
        <v>20</v>
      </c>
      <c r="K1709" t="s">
        <v>22</v>
      </c>
      <c r="L1709" t="s">
        <v>253</v>
      </c>
      <c r="M1709" t="s">
        <v>134</v>
      </c>
      <c r="N1709">
        <v>40.344912999999998</v>
      </c>
      <c r="O1709">
        <v>-110.275195</v>
      </c>
      <c r="P1709">
        <v>6219.2848139999996</v>
      </c>
      <c r="Q1709">
        <v>323</v>
      </c>
      <c r="R1709">
        <v>0</v>
      </c>
    </row>
    <row r="1710" spans="1:18" x14ac:dyDescent="0.25">
      <c r="A1710">
        <v>1709</v>
      </c>
      <c r="B1710">
        <v>94</v>
      </c>
      <c r="C1710">
        <v>31321645</v>
      </c>
      <c r="D1710" t="s">
        <v>288</v>
      </c>
      <c r="E1710">
        <v>36.445</v>
      </c>
      <c r="F1710" t="s">
        <v>21</v>
      </c>
      <c r="G1710" t="s">
        <v>26</v>
      </c>
      <c r="H1710" t="s">
        <v>19</v>
      </c>
      <c r="I1710">
        <v>262</v>
      </c>
      <c r="J1710" t="s">
        <v>20</v>
      </c>
      <c r="K1710" t="s">
        <v>27</v>
      </c>
      <c r="L1710" t="s">
        <v>327</v>
      </c>
      <c r="M1710" t="s">
        <v>318</v>
      </c>
      <c r="N1710">
        <v>37.423343000000003</v>
      </c>
      <c r="O1710">
        <v>-109.474074</v>
      </c>
      <c r="P1710">
        <v>4900.3765139999996</v>
      </c>
      <c r="Q1710">
        <v>350</v>
      </c>
      <c r="R1710">
        <v>0</v>
      </c>
    </row>
    <row r="1711" spans="1:18" x14ac:dyDescent="0.25">
      <c r="A1711">
        <v>1710</v>
      </c>
      <c r="B1711">
        <v>94</v>
      </c>
      <c r="C1711">
        <v>31788398</v>
      </c>
      <c r="D1711" t="s">
        <v>99</v>
      </c>
      <c r="E1711">
        <v>3.8679999999999999</v>
      </c>
      <c r="F1711" t="s">
        <v>21</v>
      </c>
      <c r="G1711" t="s">
        <v>20</v>
      </c>
      <c r="H1711" t="s">
        <v>21</v>
      </c>
      <c r="I1711" t="s">
        <v>20</v>
      </c>
      <c r="J1711" t="s">
        <v>20</v>
      </c>
      <c r="K1711" t="s">
        <v>41</v>
      </c>
      <c r="L1711" t="s">
        <v>81</v>
      </c>
      <c r="M1711" t="s">
        <v>82</v>
      </c>
      <c r="N1711">
        <v>41.210194000000001</v>
      </c>
      <c r="O1711">
        <v>-111.96789800000001</v>
      </c>
      <c r="P1711">
        <v>4276.994095</v>
      </c>
      <c r="Q1711">
        <v>1376</v>
      </c>
      <c r="R1711">
        <v>0</v>
      </c>
    </row>
    <row r="1712" spans="1:18" x14ac:dyDescent="0.25">
      <c r="A1712">
        <v>1711</v>
      </c>
      <c r="B1712">
        <v>94</v>
      </c>
      <c r="C1712">
        <v>31366496</v>
      </c>
      <c r="D1712" t="s">
        <v>229</v>
      </c>
      <c r="E1712">
        <v>3.87</v>
      </c>
      <c r="F1712" t="s">
        <v>21</v>
      </c>
      <c r="G1712" t="s">
        <v>26</v>
      </c>
      <c r="H1712" t="s">
        <v>21</v>
      </c>
      <c r="I1712" t="s">
        <v>20</v>
      </c>
      <c r="J1712" t="s">
        <v>20</v>
      </c>
      <c r="K1712" t="s">
        <v>27</v>
      </c>
      <c r="L1712" t="s">
        <v>230</v>
      </c>
      <c r="M1712" t="s">
        <v>82</v>
      </c>
      <c r="N1712">
        <v>39.475850999999999</v>
      </c>
      <c r="O1712">
        <v>-111.58223700000001</v>
      </c>
      <c r="P1712">
        <v>5428.3886590000002</v>
      </c>
      <c r="Q1712">
        <v>331</v>
      </c>
      <c r="R1712">
        <v>0</v>
      </c>
    </row>
    <row r="1713" spans="1:18" x14ac:dyDescent="0.25">
      <c r="A1713">
        <v>1712</v>
      </c>
      <c r="B1713">
        <v>94</v>
      </c>
      <c r="C1713">
        <v>531367</v>
      </c>
      <c r="D1713" t="s">
        <v>44</v>
      </c>
      <c r="E1713">
        <v>3.8740000000000001</v>
      </c>
      <c r="F1713" t="s">
        <v>21</v>
      </c>
      <c r="G1713" t="s">
        <v>26</v>
      </c>
      <c r="H1713" t="s">
        <v>21</v>
      </c>
      <c r="I1713" t="s">
        <v>20</v>
      </c>
      <c r="J1713" t="s">
        <v>20</v>
      </c>
      <c r="K1713" t="s">
        <v>41</v>
      </c>
      <c r="L1713" t="s">
        <v>45</v>
      </c>
      <c r="M1713" t="s">
        <v>46</v>
      </c>
      <c r="N1713">
        <v>40.933506999999999</v>
      </c>
      <c r="O1713">
        <v>-111.87894300000001</v>
      </c>
      <c r="P1713">
        <v>4246.0624100000005</v>
      </c>
      <c r="Q1713">
        <v>1395</v>
      </c>
      <c r="R1713">
        <v>0</v>
      </c>
    </row>
    <row r="1714" spans="1:18" x14ac:dyDescent="0.25">
      <c r="A1714">
        <v>1713</v>
      </c>
      <c r="B1714">
        <v>94</v>
      </c>
      <c r="C1714">
        <v>31311054</v>
      </c>
      <c r="D1714" t="s">
        <v>40</v>
      </c>
      <c r="E1714">
        <v>3.8809999999999998</v>
      </c>
      <c r="F1714" t="s">
        <v>21</v>
      </c>
      <c r="G1714" t="s">
        <v>26</v>
      </c>
      <c r="H1714" t="s">
        <v>21</v>
      </c>
      <c r="I1714" t="s">
        <v>20</v>
      </c>
      <c r="J1714" t="s">
        <v>20</v>
      </c>
      <c r="K1714" t="s">
        <v>41</v>
      </c>
      <c r="L1714" t="s">
        <v>42</v>
      </c>
      <c r="M1714" t="s">
        <v>43</v>
      </c>
      <c r="N1714">
        <v>41.638499000000003</v>
      </c>
      <c r="O1714">
        <v>-111.866162</v>
      </c>
      <c r="P1714">
        <v>4590.6349700000001</v>
      </c>
      <c r="Q1714">
        <v>1391</v>
      </c>
      <c r="R1714">
        <v>0</v>
      </c>
    </row>
    <row r="1715" spans="1:18" x14ac:dyDescent="0.25">
      <c r="A1715">
        <v>1714</v>
      </c>
      <c r="B1715">
        <v>94</v>
      </c>
      <c r="C1715" t="e">
        <f>-JMld3aPIgyZAA8Sh9qNXV</f>
        <v>#NAME?</v>
      </c>
      <c r="D1715" t="s">
        <v>221</v>
      </c>
      <c r="E1715">
        <v>3.8809999999999998</v>
      </c>
      <c r="F1715" t="s">
        <v>21</v>
      </c>
      <c r="G1715" t="s">
        <v>20</v>
      </c>
      <c r="H1715" t="s">
        <v>21</v>
      </c>
      <c r="I1715" t="s">
        <v>20</v>
      </c>
      <c r="J1715" t="s">
        <v>20</v>
      </c>
      <c r="K1715" t="s">
        <v>27</v>
      </c>
      <c r="L1715" t="s">
        <v>350</v>
      </c>
      <c r="M1715" t="s">
        <v>174</v>
      </c>
      <c r="N1715">
        <v>39.207135000000001</v>
      </c>
      <c r="O1715">
        <v>-111.848316</v>
      </c>
      <c r="P1715">
        <v>5012.9068649999999</v>
      </c>
      <c r="Q1715">
        <v>1342</v>
      </c>
      <c r="R1715">
        <v>0</v>
      </c>
    </row>
    <row r="1716" spans="1:18" x14ac:dyDescent="0.25">
      <c r="A1716">
        <v>1715</v>
      </c>
      <c r="B1716">
        <v>94</v>
      </c>
      <c r="C1716">
        <v>31799014</v>
      </c>
      <c r="D1716" t="s">
        <v>61</v>
      </c>
      <c r="E1716">
        <v>3.8839999999999999</v>
      </c>
      <c r="F1716" t="s">
        <v>21</v>
      </c>
      <c r="G1716" t="s">
        <v>26</v>
      </c>
      <c r="H1716" t="s">
        <v>21</v>
      </c>
      <c r="I1716" t="s">
        <v>20</v>
      </c>
      <c r="J1716" t="s">
        <v>20</v>
      </c>
      <c r="K1716" t="s">
        <v>22</v>
      </c>
      <c r="L1716" t="s">
        <v>60</v>
      </c>
      <c r="M1716" t="s">
        <v>62</v>
      </c>
      <c r="N1716">
        <v>40.262300000000003</v>
      </c>
      <c r="O1716">
        <v>-111.65859500000001</v>
      </c>
      <c r="P1716">
        <v>4601.7605089999997</v>
      </c>
      <c r="Q1716">
        <v>403</v>
      </c>
      <c r="R1716">
        <v>0</v>
      </c>
    </row>
    <row r="1717" spans="1:18" x14ac:dyDescent="0.25">
      <c r="A1717">
        <v>1716</v>
      </c>
      <c r="B1717">
        <v>94</v>
      </c>
      <c r="C1717">
        <v>31408956</v>
      </c>
      <c r="D1717" t="s">
        <v>74</v>
      </c>
      <c r="E1717">
        <v>3.8849999999999998</v>
      </c>
      <c r="F1717" t="s">
        <v>21</v>
      </c>
      <c r="G1717" t="s">
        <v>26</v>
      </c>
      <c r="H1717" t="s">
        <v>21</v>
      </c>
      <c r="I1717" t="s">
        <v>20</v>
      </c>
      <c r="J1717" t="s">
        <v>20</v>
      </c>
      <c r="K1717" t="s">
        <v>27</v>
      </c>
      <c r="L1717" t="s">
        <v>75</v>
      </c>
      <c r="M1717" t="s">
        <v>76</v>
      </c>
      <c r="N1717">
        <v>38.790512</v>
      </c>
      <c r="O1717">
        <v>-112.083224</v>
      </c>
      <c r="P1717">
        <v>5386.7249609999999</v>
      </c>
      <c r="Q1717">
        <v>332</v>
      </c>
      <c r="R1717">
        <v>0</v>
      </c>
    </row>
    <row r="1718" spans="1:18" x14ac:dyDescent="0.25">
      <c r="A1718">
        <v>1717</v>
      </c>
      <c r="B1718">
        <v>94</v>
      </c>
      <c r="C1718">
        <v>28832201</v>
      </c>
      <c r="D1718" t="s">
        <v>316</v>
      </c>
      <c r="E1718">
        <v>3.8860000000000001</v>
      </c>
      <c r="F1718" t="s">
        <v>21</v>
      </c>
      <c r="G1718" t="s">
        <v>26</v>
      </c>
      <c r="H1718" t="s">
        <v>21</v>
      </c>
      <c r="I1718" t="s">
        <v>20</v>
      </c>
      <c r="J1718" t="s">
        <v>20</v>
      </c>
      <c r="K1718" t="s">
        <v>31</v>
      </c>
      <c r="L1718" t="s">
        <v>130</v>
      </c>
      <c r="M1718" t="s">
        <v>302</v>
      </c>
      <c r="N1718">
        <v>40.582009999999997</v>
      </c>
      <c r="O1718">
        <v>-111.230386</v>
      </c>
      <c r="P1718">
        <v>6650.9351020000004</v>
      </c>
      <c r="Q1718">
        <v>1346</v>
      </c>
      <c r="R1718">
        <v>0</v>
      </c>
    </row>
    <row r="1719" spans="1:18" x14ac:dyDescent="0.25">
      <c r="A1719">
        <v>1718</v>
      </c>
      <c r="B1719">
        <v>94</v>
      </c>
      <c r="C1719">
        <v>503378</v>
      </c>
      <c r="D1719" t="s">
        <v>135</v>
      </c>
      <c r="E1719">
        <v>3.89</v>
      </c>
      <c r="F1719" t="s">
        <v>19</v>
      </c>
      <c r="G1719" t="s">
        <v>20</v>
      </c>
      <c r="H1719" t="s">
        <v>21</v>
      </c>
      <c r="I1719" t="s">
        <v>20</v>
      </c>
      <c r="J1719" t="s">
        <v>20</v>
      </c>
      <c r="K1719" t="s">
        <v>31</v>
      </c>
      <c r="L1719" t="s">
        <v>89</v>
      </c>
      <c r="M1719" t="s">
        <v>144</v>
      </c>
      <c r="N1719">
        <v>40.558908000000002</v>
      </c>
      <c r="O1719">
        <v>-111.902743</v>
      </c>
      <c r="P1719">
        <v>4302.0760209999999</v>
      </c>
      <c r="Q1719">
        <v>1423</v>
      </c>
      <c r="R1719">
        <v>0</v>
      </c>
    </row>
    <row r="1720" spans="1:18" x14ac:dyDescent="0.25">
      <c r="A1720">
        <v>1719</v>
      </c>
      <c r="B1720">
        <v>94</v>
      </c>
      <c r="C1720">
        <v>31759516</v>
      </c>
      <c r="D1720" t="s">
        <v>105</v>
      </c>
      <c r="E1720">
        <v>3.891</v>
      </c>
      <c r="F1720" t="s">
        <v>21</v>
      </c>
      <c r="G1720" t="s">
        <v>26</v>
      </c>
      <c r="H1720" t="s">
        <v>21</v>
      </c>
      <c r="I1720" t="s">
        <v>20</v>
      </c>
      <c r="J1720" t="s">
        <v>20</v>
      </c>
      <c r="K1720" t="s">
        <v>27</v>
      </c>
      <c r="L1720" t="s">
        <v>51</v>
      </c>
      <c r="M1720" t="s">
        <v>106</v>
      </c>
      <c r="N1720">
        <v>37.885992999999999</v>
      </c>
      <c r="O1720">
        <v>-112.775038</v>
      </c>
      <c r="P1720">
        <v>5810.9424900000004</v>
      </c>
      <c r="Q1720">
        <v>432</v>
      </c>
      <c r="R1720">
        <v>0</v>
      </c>
    </row>
    <row r="1721" spans="1:18" x14ac:dyDescent="0.25">
      <c r="A1721">
        <v>1720</v>
      </c>
      <c r="B1721">
        <v>94</v>
      </c>
      <c r="C1721">
        <v>487652</v>
      </c>
      <c r="D1721" t="s">
        <v>83</v>
      </c>
      <c r="E1721">
        <v>3.8980000000000001</v>
      </c>
      <c r="F1721" t="s">
        <v>19</v>
      </c>
      <c r="G1721" t="s">
        <v>20</v>
      </c>
      <c r="H1721" t="s">
        <v>19</v>
      </c>
      <c r="I1721">
        <v>92</v>
      </c>
      <c r="J1721" t="s">
        <v>20</v>
      </c>
      <c r="K1721" t="s">
        <v>22</v>
      </c>
      <c r="L1721" t="s">
        <v>84</v>
      </c>
      <c r="M1721" t="s">
        <v>85</v>
      </c>
      <c r="N1721">
        <v>40.431907000000002</v>
      </c>
      <c r="O1721">
        <v>-111.78518</v>
      </c>
      <c r="P1721">
        <v>4855.0411869999998</v>
      </c>
      <c r="Q1721">
        <v>319</v>
      </c>
      <c r="R1721">
        <v>0</v>
      </c>
    </row>
    <row r="1722" spans="1:18" x14ac:dyDescent="0.25">
      <c r="A1722">
        <v>1721</v>
      </c>
      <c r="B1722">
        <v>94</v>
      </c>
      <c r="C1722">
        <v>1008528</v>
      </c>
      <c r="D1722" t="s">
        <v>171</v>
      </c>
      <c r="E1722">
        <v>3.899</v>
      </c>
      <c r="F1722" t="s">
        <v>21</v>
      </c>
      <c r="G1722" t="s">
        <v>26</v>
      </c>
      <c r="H1722" t="s">
        <v>21</v>
      </c>
      <c r="I1722" t="s">
        <v>20</v>
      </c>
      <c r="J1722" t="s">
        <v>20</v>
      </c>
      <c r="K1722" t="s">
        <v>31</v>
      </c>
      <c r="L1722" t="s">
        <v>78</v>
      </c>
      <c r="M1722" t="s">
        <v>79</v>
      </c>
      <c r="N1722">
        <v>40.696567999999999</v>
      </c>
      <c r="O1722">
        <v>-112.01734399999999</v>
      </c>
      <c r="P1722">
        <v>4235.5871399999996</v>
      </c>
      <c r="Q1722">
        <v>346</v>
      </c>
      <c r="R1722">
        <v>0</v>
      </c>
    </row>
    <row r="1723" spans="1:18" x14ac:dyDescent="0.25">
      <c r="A1723">
        <v>1722</v>
      </c>
      <c r="B1723">
        <v>94</v>
      </c>
      <c r="C1723">
        <v>31191101</v>
      </c>
      <c r="D1723" t="s">
        <v>309</v>
      </c>
      <c r="E1723">
        <v>3.903</v>
      </c>
      <c r="F1723" t="s">
        <v>21</v>
      </c>
      <c r="G1723" t="s">
        <v>26</v>
      </c>
      <c r="H1723" t="s">
        <v>21</v>
      </c>
      <c r="I1723" t="s">
        <v>20</v>
      </c>
      <c r="J1723" t="s">
        <v>20</v>
      </c>
      <c r="K1723" t="s">
        <v>22</v>
      </c>
      <c r="L1723" t="s">
        <v>198</v>
      </c>
      <c r="M1723" t="s">
        <v>125</v>
      </c>
      <c r="N1723">
        <v>40.097428999999998</v>
      </c>
      <c r="O1723">
        <v>-111.78797299999999</v>
      </c>
      <c r="P1723">
        <v>4443.938478</v>
      </c>
      <c r="Q1723">
        <v>339</v>
      </c>
      <c r="R1723">
        <v>0</v>
      </c>
    </row>
    <row r="1724" spans="1:18" x14ac:dyDescent="0.25">
      <c r="A1724">
        <v>1723</v>
      </c>
      <c r="B1724">
        <v>94</v>
      </c>
      <c r="C1724">
        <v>31191468</v>
      </c>
      <c r="D1724" t="s">
        <v>339</v>
      </c>
      <c r="E1724">
        <v>3.9049999999999998</v>
      </c>
      <c r="F1724" t="s">
        <v>21</v>
      </c>
      <c r="G1724" t="s">
        <v>20</v>
      </c>
      <c r="H1724" t="s">
        <v>21</v>
      </c>
      <c r="I1724" t="s">
        <v>20</v>
      </c>
      <c r="J1724" t="s">
        <v>20</v>
      </c>
      <c r="K1724" t="s">
        <v>41</v>
      </c>
      <c r="L1724" t="s">
        <v>95</v>
      </c>
      <c r="M1724" t="s">
        <v>73</v>
      </c>
      <c r="N1724">
        <v>41.904285000000002</v>
      </c>
      <c r="O1724">
        <v>-112.045643</v>
      </c>
      <c r="P1724">
        <v>4750.780702</v>
      </c>
      <c r="Q1724">
        <v>1417</v>
      </c>
      <c r="R1724">
        <v>0</v>
      </c>
    </row>
    <row r="1725" spans="1:18" x14ac:dyDescent="0.25">
      <c r="A1725">
        <v>1724</v>
      </c>
      <c r="B1725">
        <v>94</v>
      </c>
      <c r="C1725">
        <v>31350116</v>
      </c>
      <c r="D1725" t="s">
        <v>34</v>
      </c>
      <c r="E1725">
        <v>3.9049999999999998</v>
      </c>
      <c r="F1725" t="s">
        <v>21</v>
      </c>
      <c r="G1725" t="s">
        <v>26</v>
      </c>
      <c r="H1725" t="s">
        <v>19</v>
      </c>
      <c r="I1725">
        <v>222</v>
      </c>
      <c r="J1725" t="s">
        <v>20</v>
      </c>
      <c r="K1725" t="s">
        <v>22</v>
      </c>
      <c r="L1725" t="s">
        <v>35</v>
      </c>
      <c r="M1725" t="s">
        <v>36</v>
      </c>
      <c r="N1725">
        <v>40.512180999999998</v>
      </c>
      <c r="O1725">
        <v>-111.472275</v>
      </c>
      <c r="P1725">
        <v>5530.8757560000004</v>
      </c>
      <c r="Q1725">
        <v>1400</v>
      </c>
      <c r="R1725">
        <v>0</v>
      </c>
    </row>
    <row r="1726" spans="1:18" x14ac:dyDescent="0.25">
      <c r="A1726">
        <v>1725</v>
      </c>
      <c r="B1726">
        <v>94</v>
      </c>
      <c r="C1726">
        <v>31521186</v>
      </c>
      <c r="D1726" t="s">
        <v>390</v>
      </c>
      <c r="E1726">
        <v>3.9060000000000001</v>
      </c>
      <c r="F1726" t="s">
        <v>19</v>
      </c>
      <c r="G1726" t="s">
        <v>20</v>
      </c>
      <c r="H1726" t="s">
        <v>21</v>
      </c>
      <c r="I1726" t="s">
        <v>20</v>
      </c>
      <c r="J1726" t="s">
        <v>20</v>
      </c>
      <c r="K1726" t="s">
        <v>22</v>
      </c>
      <c r="L1726" t="s">
        <v>84</v>
      </c>
      <c r="M1726" t="s">
        <v>335</v>
      </c>
      <c r="N1726">
        <v>40.431688000000001</v>
      </c>
      <c r="O1726">
        <v>-111.821747</v>
      </c>
      <c r="P1726">
        <v>4774.9030309999998</v>
      </c>
      <c r="Q1726">
        <v>1386</v>
      </c>
      <c r="R1726">
        <v>0</v>
      </c>
    </row>
    <row r="1727" spans="1:18" x14ac:dyDescent="0.25">
      <c r="A1727">
        <v>1726</v>
      </c>
      <c r="B1727">
        <v>94</v>
      </c>
      <c r="C1727">
        <v>521529</v>
      </c>
      <c r="D1727" t="s">
        <v>262</v>
      </c>
      <c r="E1727">
        <v>3.9119999999999999</v>
      </c>
      <c r="F1727" t="s">
        <v>21</v>
      </c>
      <c r="G1727" t="s">
        <v>26</v>
      </c>
      <c r="H1727" t="s">
        <v>21</v>
      </c>
      <c r="I1727" t="s">
        <v>20</v>
      </c>
      <c r="J1727" t="s">
        <v>20</v>
      </c>
      <c r="K1727" t="s">
        <v>22</v>
      </c>
      <c r="L1727" t="s">
        <v>263</v>
      </c>
      <c r="M1727" t="s">
        <v>24</v>
      </c>
      <c r="N1727">
        <v>40.373466000000001</v>
      </c>
      <c r="O1727">
        <v>-111.84439399999999</v>
      </c>
      <c r="P1727">
        <v>4457.8676290000003</v>
      </c>
      <c r="Q1727">
        <v>1419</v>
      </c>
      <c r="R1727">
        <v>0</v>
      </c>
    </row>
    <row r="1728" spans="1:18" x14ac:dyDescent="0.25">
      <c r="A1728">
        <v>1727</v>
      </c>
      <c r="B1728">
        <v>94</v>
      </c>
      <c r="C1728">
        <v>31385914</v>
      </c>
      <c r="D1728" t="s">
        <v>184</v>
      </c>
      <c r="E1728">
        <v>3.9159999999999999</v>
      </c>
      <c r="F1728" t="s">
        <v>19</v>
      </c>
      <c r="G1728" t="s">
        <v>20</v>
      </c>
      <c r="H1728" t="s">
        <v>21</v>
      </c>
      <c r="I1728" t="s">
        <v>20</v>
      </c>
      <c r="J1728" t="s">
        <v>20</v>
      </c>
      <c r="K1728" t="s">
        <v>27</v>
      </c>
      <c r="L1728" t="s">
        <v>54</v>
      </c>
      <c r="M1728" t="s">
        <v>55</v>
      </c>
      <c r="N1728">
        <v>37.701062999999998</v>
      </c>
      <c r="O1728">
        <v>-113.06393199999999</v>
      </c>
      <c r="P1728">
        <v>5626.8574820000003</v>
      </c>
      <c r="Q1728">
        <v>1410</v>
      </c>
      <c r="R1728">
        <v>0</v>
      </c>
    </row>
    <row r="1729" spans="1:18" x14ac:dyDescent="0.25">
      <c r="A1729">
        <v>1728</v>
      </c>
      <c r="B1729">
        <v>94</v>
      </c>
      <c r="C1729" t="e">
        <f>-IouyoLbHuq82vSSvjm9vk</f>
        <v>#NAME?</v>
      </c>
      <c r="D1729" t="s">
        <v>176</v>
      </c>
      <c r="E1729">
        <v>3.919</v>
      </c>
      <c r="F1729" t="s">
        <v>21</v>
      </c>
      <c r="G1729" t="s">
        <v>26</v>
      </c>
      <c r="H1729" t="s">
        <v>21</v>
      </c>
      <c r="I1729" t="s">
        <v>20</v>
      </c>
      <c r="J1729" t="s">
        <v>20</v>
      </c>
      <c r="K1729" t="s">
        <v>41</v>
      </c>
      <c r="L1729" t="s">
        <v>177</v>
      </c>
      <c r="M1729" t="s">
        <v>178</v>
      </c>
      <c r="N1729">
        <v>41.529581999999998</v>
      </c>
      <c r="O1729">
        <v>-112.03506400000001</v>
      </c>
      <c r="P1729">
        <v>4187.1363359999996</v>
      </c>
      <c r="Q1729">
        <v>1329</v>
      </c>
      <c r="R1729">
        <v>0</v>
      </c>
    </row>
    <row r="1730" spans="1:18" x14ac:dyDescent="0.25">
      <c r="A1730">
        <v>1729</v>
      </c>
      <c r="B1730">
        <v>94</v>
      </c>
      <c r="C1730">
        <v>1260619</v>
      </c>
      <c r="D1730" t="s">
        <v>189</v>
      </c>
      <c r="E1730">
        <v>3.919</v>
      </c>
      <c r="F1730" t="s">
        <v>19</v>
      </c>
      <c r="G1730" t="s">
        <v>20</v>
      </c>
      <c r="H1730" t="s">
        <v>21</v>
      </c>
      <c r="I1730" t="s">
        <v>20</v>
      </c>
      <c r="J1730" t="s">
        <v>20</v>
      </c>
      <c r="K1730" t="s">
        <v>41</v>
      </c>
      <c r="L1730" t="s">
        <v>81</v>
      </c>
      <c r="M1730" t="s">
        <v>190</v>
      </c>
      <c r="N1730">
        <v>41.209901000000002</v>
      </c>
      <c r="O1730">
        <v>-111.948504</v>
      </c>
      <c r="P1730">
        <v>4488.1166199999998</v>
      </c>
      <c r="Q1730">
        <v>412</v>
      </c>
      <c r="R1730">
        <v>0</v>
      </c>
    </row>
    <row r="1731" spans="1:18" x14ac:dyDescent="0.25">
      <c r="A1731">
        <v>1730</v>
      </c>
      <c r="B1731">
        <v>94</v>
      </c>
      <c r="C1731">
        <v>28000388</v>
      </c>
      <c r="D1731" t="s">
        <v>346</v>
      </c>
      <c r="E1731">
        <v>3.92</v>
      </c>
      <c r="F1731" t="s">
        <v>21</v>
      </c>
      <c r="G1731" t="s">
        <v>26</v>
      </c>
      <c r="H1731" t="s">
        <v>21</v>
      </c>
      <c r="I1731" t="s">
        <v>20</v>
      </c>
      <c r="J1731" t="s">
        <v>20</v>
      </c>
      <c r="K1731" t="s">
        <v>27</v>
      </c>
      <c r="L1731" t="s">
        <v>307</v>
      </c>
      <c r="M1731" t="s">
        <v>159</v>
      </c>
      <c r="N1731">
        <v>39.697634000000001</v>
      </c>
      <c r="O1731">
        <v>-111.15763699999999</v>
      </c>
      <c r="P1731">
        <v>7793.388954</v>
      </c>
      <c r="Q1731">
        <v>1389</v>
      </c>
      <c r="R1731">
        <v>0</v>
      </c>
    </row>
    <row r="1732" spans="1:18" x14ac:dyDescent="0.25">
      <c r="A1732">
        <v>1731</v>
      </c>
      <c r="B1732">
        <v>94</v>
      </c>
      <c r="C1732" t="e">
        <f>-IoM5RuWFBLr7x-HgRFsoV</f>
        <v>#NAME?</v>
      </c>
      <c r="D1732" t="s">
        <v>272</v>
      </c>
      <c r="E1732">
        <v>228.017</v>
      </c>
      <c r="F1732" t="s">
        <v>21</v>
      </c>
      <c r="G1732" t="s">
        <v>26</v>
      </c>
      <c r="H1732" t="s">
        <v>21</v>
      </c>
      <c r="I1732" t="s">
        <v>20</v>
      </c>
      <c r="J1732" t="s">
        <v>20</v>
      </c>
      <c r="K1732" t="s">
        <v>27</v>
      </c>
      <c r="L1732" t="s">
        <v>183</v>
      </c>
      <c r="M1732" t="s">
        <v>174</v>
      </c>
      <c r="N1732">
        <v>38.970664999999997</v>
      </c>
      <c r="O1732">
        <v>-111.86005400000001</v>
      </c>
      <c r="P1732">
        <v>5073.9013869999999</v>
      </c>
      <c r="Q1732">
        <v>1384</v>
      </c>
      <c r="R1732">
        <v>0</v>
      </c>
    </row>
    <row r="1733" spans="1:18" x14ac:dyDescent="0.25">
      <c r="A1733">
        <v>1732</v>
      </c>
      <c r="B1733">
        <v>94</v>
      </c>
      <c r="C1733">
        <v>31305842</v>
      </c>
      <c r="D1733" t="s">
        <v>203</v>
      </c>
      <c r="E1733">
        <v>20.824999999999999</v>
      </c>
      <c r="F1733" t="s">
        <v>21</v>
      </c>
      <c r="G1733" t="s">
        <v>26</v>
      </c>
      <c r="H1733" t="s">
        <v>21</v>
      </c>
      <c r="I1733" t="s">
        <v>20</v>
      </c>
      <c r="J1733" t="s">
        <v>20</v>
      </c>
      <c r="K1733" t="s">
        <v>41</v>
      </c>
      <c r="L1733" t="s">
        <v>255</v>
      </c>
      <c r="M1733" t="s">
        <v>204</v>
      </c>
      <c r="N1733">
        <v>41.261927</v>
      </c>
      <c r="O1733">
        <v>-111.732536</v>
      </c>
      <c r="P1733">
        <v>4942.1674249999996</v>
      </c>
      <c r="Q1733">
        <v>1349</v>
      </c>
      <c r="R1733">
        <v>0</v>
      </c>
    </row>
    <row r="1734" spans="1:18" x14ac:dyDescent="0.25">
      <c r="A1734">
        <v>1733</v>
      </c>
      <c r="B1734">
        <v>94</v>
      </c>
      <c r="C1734">
        <v>31433332</v>
      </c>
      <c r="D1734" t="s">
        <v>333</v>
      </c>
      <c r="E1734">
        <v>20.832000000000001</v>
      </c>
      <c r="F1734" t="s">
        <v>19</v>
      </c>
      <c r="G1734" t="s">
        <v>20</v>
      </c>
      <c r="H1734" t="s">
        <v>21</v>
      </c>
      <c r="I1734" t="s">
        <v>20</v>
      </c>
      <c r="J1734" t="s">
        <v>20</v>
      </c>
      <c r="K1734" t="s">
        <v>31</v>
      </c>
      <c r="L1734" t="s">
        <v>78</v>
      </c>
      <c r="M1734" t="s">
        <v>49</v>
      </c>
      <c r="N1734">
        <v>40.722963</v>
      </c>
      <c r="O1734">
        <v>-111.986394</v>
      </c>
      <c r="P1734">
        <v>4197.1936830000004</v>
      </c>
      <c r="Q1734">
        <v>1426</v>
      </c>
      <c r="R1734">
        <v>0</v>
      </c>
    </row>
    <row r="1735" spans="1:18" x14ac:dyDescent="0.25">
      <c r="A1735">
        <v>1734</v>
      </c>
      <c r="B1735">
        <v>94</v>
      </c>
      <c r="C1735" t="e">
        <f>-JOD64-NHKHLeYrAAXE8sF</f>
        <v>#NAME?</v>
      </c>
      <c r="D1735" t="s">
        <v>116</v>
      </c>
      <c r="E1735">
        <v>20.838999999999999</v>
      </c>
      <c r="F1735" t="s">
        <v>21</v>
      </c>
      <c r="G1735" t="s">
        <v>26</v>
      </c>
      <c r="H1735" t="s">
        <v>21</v>
      </c>
      <c r="I1735" t="s">
        <v>20</v>
      </c>
      <c r="J1735" t="s">
        <v>20</v>
      </c>
      <c r="K1735" t="s">
        <v>41</v>
      </c>
      <c r="L1735" t="s">
        <v>42</v>
      </c>
      <c r="M1735" t="s">
        <v>43</v>
      </c>
      <c r="N1735">
        <v>41.664003000000001</v>
      </c>
      <c r="O1735">
        <v>-111.89454000000001</v>
      </c>
      <c r="P1735">
        <v>4441.7499180000004</v>
      </c>
      <c r="Q1735">
        <v>324</v>
      </c>
      <c r="R1735">
        <v>0</v>
      </c>
    </row>
    <row r="1736" spans="1:18" x14ac:dyDescent="0.25">
      <c r="A1736">
        <v>1735</v>
      </c>
      <c r="B1736">
        <v>94</v>
      </c>
      <c r="C1736">
        <v>31536084</v>
      </c>
      <c r="D1736" t="s">
        <v>244</v>
      </c>
      <c r="E1736">
        <v>20.847999999999999</v>
      </c>
      <c r="F1736" t="s">
        <v>21</v>
      </c>
      <c r="G1736" t="s">
        <v>26</v>
      </c>
      <c r="H1736" t="s">
        <v>21</v>
      </c>
      <c r="I1736" t="s">
        <v>20</v>
      </c>
      <c r="J1736" t="s">
        <v>20</v>
      </c>
      <c r="K1736" t="s">
        <v>27</v>
      </c>
      <c r="L1736" t="s">
        <v>75</v>
      </c>
      <c r="M1736" t="s">
        <v>58</v>
      </c>
      <c r="N1736">
        <v>38.709972999999998</v>
      </c>
      <c r="O1736">
        <v>-111.892865</v>
      </c>
      <c r="P1736">
        <v>7037.113241</v>
      </c>
      <c r="Q1736">
        <v>1340</v>
      </c>
      <c r="R1736">
        <v>0</v>
      </c>
    </row>
    <row r="1737" spans="1:18" x14ac:dyDescent="0.25">
      <c r="A1737">
        <v>1736</v>
      </c>
      <c r="B1737">
        <v>94</v>
      </c>
      <c r="C1737" t="e">
        <f>-JPu1AErHDyH7eXDuUyF5k</f>
        <v>#NAME?</v>
      </c>
      <c r="D1737" t="s">
        <v>167</v>
      </c>
      <c r="E1737">
        <v>3.0089999999999999</v>
      </c>
      <c r="F1737" t="s">
        <v>21</v>
      </c>
      <c r="G1737" t="s">
        <v>20</v>
      </c>
      <c r="H1737" t="s">
        <v>21</v>
      </c>
      <c r="I1737" t="s">
        <v>20</v>
      </c>
      <c r="J1737" t="s">
        <v>20</v>
      </c>
      <c r="K1737" t="s">
        <v>22</v>
      </c>
      <c r="L1737" t="s">
        <v>168</v>
      </c>
      <c r="M1737" t="s">
        <v>169</v>
      </c>
      <c r="N1737">
        <v>40.247127999999996</v>
      </c>
      <c r="O1737">
        <v>-110.711479</v>
      </c>
      <c r="P1737">
        <v>6709.3227939999997</v>
      </c>
      <c r="Q1737">
        <v>354</v>
      </c>
      <c r="R1737">
        <v>0</v>
      </c>
    </row>
    <row r="1738" spans="1:18" x14ac:dyDescent="0.25">
      <c r="A1738">
        <v>1737</v>
      </c>
      <c r="B1738">
        <v>94</v>
      </c>
      <c r="C1738" t="e">
        <f>-JWRXHg-Hz1znFcK_sd_LF</f>
        <v>#NAME?</v>
      </c>
      <c r="D1738" t="s">
        <v>254</v>
      </c>
      <c r="E1738">
        <v>3.867</v>
      </c>
      <c r="F1738" t="s">
        <v>21</v>
      </c>
      <c r="G1738" t="s">
        <v>26</v>
      </c>
      <c r="H1738" t="s">
        <v>21</v>
      </c>
      <c r="I1738" t="s">
        <v>20</v>
      </c>
      <c r="J1738" t="s">
        <v>20</v>
      </c>
      <c r="K1738" t="s">
        <v>41</v>
      </c>
      <c r="L1738" t="s">
        <v>255</v>
      </c>
      <c r="M1738" t="s">
        <v>204</v>
      </c>
      <c r="N1738">
        <v>41.297970999999997</v>
      </c>
      <c r="O1738">
        <v>-111.82533100000001</v>
      </c>
      <c r="P1738">
        <v>4870.2821389999999</v>
      </c>
      <c r="Q1738">
        <v>1429</v>
      </c>
      <c r="R1738">
        <v>0</v>
      </c>
    </row>
    <row r="1739" spans="1:18" x14ac:dyDescent="0.25">
      <c r="A1739">
        <v>1738</v>
      </c>
      <c r="B1739">
        <v>94</v>
      </c>
      <c r="C1739" t="e">
        <f>-IouxdWvHsqSzboWJXR66F</f>
        <v>#NAME?</v>
      </c>
      <c r="D1739" t="s">
        <v>176</v>
      </c>
      <c r="E1739">
        <v>3.1819999999999999</v>
      </c>
      <c r="F1739" t="s">
        <v>21</v>
      </c>
      <c r="G1739" t="s">
        <v>26</v>
      </c>
      <c r="H1739" t="s">
        <v>21</v>
      </c>
      <c r="I1739" t="s">
        <v>20</v>
      </c>
      <c r="J1739" t="s">
        <v>20</v>
      </c>
      <c r="K1739" t="s">
        <v>41</v>
      </c>
      <c r="L1739" t="s">
        <v>177</v>
      </c>
      <c r="M1739" t="s">
        <v>178</v>
      </c>
      <c r="N1739">
        <v>41.529716999999998</v>
      </c>
      <c r="O1739">
        <v>-112.02082799999999</v>
      </c>
      <c r="P1739">
        <v>4228.0728490000001</v>
      </c>
      <c r="Q1739">
        <v>1329</v>
      </c>
      <c r="R1739">
        <v>0</v>
      </c>
    </row>
    <row r="1740" spans="1:18" x14ac:dyDescent="0.25">
      <c r="A1740">
        <v>1739</v>
      </c>
      <c r="B1740">
        <v>94</v>
      </c>
      <c r="C1740">
        <v>31628169</v>
      </c>
      <c r="D1740" t="s">
        <v>217</v>
      </c>
      <c r="E1740">
        <v>3.1829999999999998</v>
      </c>
      <c r="F1740" t="s">
        <v>19</v>
      </c>
      <c r="G1740" t="s">
        <v>20</v>
      </c>
      <c r="H1740" t="s">
        <v>19</v>
      </c>
      <c r="I1740">
        <v>8</v>
      </c>
      <c r="J1740" t="s">
        <v>20</v>
      </c>
      <c r="K1740" t="s">
        <v>27</v>
      </c>
      <c r="L1740" t="s">
        <v>72</v>
      </c>
      <c r="M1740" t="s">
        <v>163</v>
      </c>
      <c r="N1740">
        <v>37.124611000000002</v>
      </c>
      <c r="O1740">
        <v>-113.60037800000001</v>
      </c>
      <c r="P1740">
        <v>2822.8088469999998</v>
      </c>
      <c r="Q1740">
        <v>304</v>
      </c>
      <c r="R1740">
        <v>0</v>
      </c>
    </row>
    <row r="1741" spans="1:18" x14ac:dyDescent="0.25">
      <c r="A1741">
        <v>1740</v>
      </c>
      <c r="B1741">
        <v>94</v>
      </c>
      <c r="C1741">
        <v>31658123</v>
      </c>
      <c r="D1741" t="s">
        <v>65</v>
      </c>
      <c r="E1741">
        <v>3.1840000000000002</v>
      </c>
      <c r="F1741" t="s">
        <v>21</v>
      </c>
      <c r="G1741" t="s">
        <v>26</v>
      </c>
      <c r="H1741" t="s">
        <v>21</v>
      </c>
      <c r="I1741" t="s">
        <v>20</v>
      </c>
      <c r="J1741" t="s">
        <v>20</v>
      </c>
      <c r="K1741" t="s">
        <v>31</v>
      </c>
      <c r="L1741" t="s">
        <v>66</v>
      </c>
      <c r="M1741" t="s">
        <v>67</v>
      </c>
      <c r="N1741">
        <v>40.760567999999999</v>
      </c>
      <c r="O1741">
        <v>-111.878169</v>
      </c>
      <c r="P1741">
        <v>4229.9267909999999</v>
      </c>
      <c r="Q1741">
        <v>402</v>
      </c>
      <c r="R1741">
        <v>0</v>
      </c>
    </row>
    <row r="1742" spans="1:18" x14ac:dyDescent="0.25">
      <c r="A1742">
        <v>1741</v>
      </c>
      <c r="B1742">
        <v>94</v>
      </c>
      <c r="C1742">
        <v>31310860</v>
      </c>
      <c r="D1742" t="s">
        <v>40</v>
      </c>
      <c r="E1742">
        <v>3.1850000000000001</v>
      </c>
      <c r="F1742" t="s">
        <v>21</v>
      </c>
      <c r="G1742" t="s">
        <v>26</v>
      </c>
      <c r="H1742" t="s">
        <v>21</v>
      </c>
      <c r="I1742" t="s">
        <v>20</v>
      </c>
      <c r="J1742" t="s">
        <v>20</v>
      </c>
      <c r="K1742" t="s">
        <v>41</v>
      </c>
      <c r="L1742" t="s">
        <v>42</v>
      </c>
      <c r="M1742" t="s">
        <v>43</v>
      </c>
      <c r="N1742">
        <v>41.640813999999999</v>
      </c>
      <c r="O1742">
        <v>-111.87675</v>
      </c>
      <c r="P1742">
        <v>4559.0621650000003</v>
      </c>
      <c r="Q1742">
        <v>1391</v>
      </c>
      <c r="R1742">
        <v>0</v>
      </c>
    </row>
    <row r="1743" spans="1:18" x14ac:dyDescent="0.25">
      <c r="A1743">
        <v>1742</v>
      </c>
      <c r="B1743">
        <v>94</v>
      </c>
      <c r="C1743">
        <v>31323278</v>
      </c>
      <c r="D1743" t="s">
        <v>160</v>
      </c>
      <c r="E1743">
        <v>3.1890000000000001</v>
      </c>
      <c r="F1743" t="s">
        <v>21</v>
      </c>
      <c r="G1743" t="s">
        <v>20</v>
      </c>
      <c r="H1743" t="s">
        <v>21</v>
      </c>
      <c r="I1743" t="s">
        <v>20</v>
      </c>
      <c r="J1743" t="s">
        <v>20</v>
      </c>
      <c r="K1743" t="s">
        <v>27</v>
      </c>
      <c r="L1743" t="s">
        <v>72</v>
      </c>
      <c r="M1743" t="s">
        <v>73</v>
      </c>
      <c r="N1743">
        <v>37.253625</v>
      </c>
      <c r="O1743">
        <v>-113.284874</v>
      </c>
      <c r="P1743">
        <v>3304.1752620000002</v>
      </c>
      <c r="Q1743">
        <v>1335</v>
      </c>
      <c r="R1743">
        <v>0</v>
      </c>
    </row>
    <row r="1744" spans="1:18" x14ac:dyDescent="0.25">
      <c r="A1744">
        <v>1743</v>
      </c>
      <c r="B1744">
        <v>94</v>
      </c>
      <c r="C1744" t="e">
        <f>-IpQAUHkFJ18AHpQWH90fk</f>
        <v>#NAME?</v>
      </c>
      <c r="D1744" t="s">
        <v>77</v>
      </c>
      <c r="E1744">
        <v>3.19</v>
      </c>
      <c r="F1744" t="s">
        <v>21</v>
      </c>
      <c r="G1744" t="s">
        <v>26</v>
      </c>
      <c r="H1744" t="s">
        <v>21</v>
      </c>
      <c r="I1744" t="s">
        <v>20</v>
      </c>
      <c r="J1744" t="s">
        <v>20</v>
      </c>
      <c r="K1744" t="s">
        <v>31</v>
      </c>
      <c r="L1744" t="s">
        <v>78</v>
      </c>
      <c r="M1744" t="s">
        <v>79</v>
      </c>
      <c r="N1744">
        <v>40.684905000000001</v>
      </c>
      <c r="O1744">
        <v>-112.024776</v>
      </c>
      <c r="P1744">
        <v>4377.5779309999998</v>
      </c>
      <c r="Q1744">
        <v>1436</v>
      </c>
      <c r="R1744">
        <v>0</v>
      </c>
    </row>
    <row r="1745" spans="1:18" x14ac:dyDescent="0.25">
      <c r="A1745">
        <v>1744</v>
      </c>
      <c r="B1745">
        <v>94</v>
      </c>
      <c r="C1745" t="e">
        <f>-JME2ZFkGH9aitJojxjA8k</f>
        <v>#NAME?</v>
      </c>
      <c r="D1745" t="s">
        <v>74</v>
      </c>
      <c r="E1745">
        <v>3.19</v>
      </c>
      <c r="F1745" t="s">
        <v>21</v>
      </c>
      <c r="G1745" t="s">
        <v>26</v>
      </c>
      <c r="H1745" t="s">
        <v>21</v>
      </c>
      <c r="I1745" t="s">
        <v>20</v>
      </c>
      <c r="J1745" t="s">
        <v>20</v>
      </c>
      <c r="K1745" t="s">
        <v>27</v>
      </c>
      <c r="L1745" t="s">
        <v>75</v>
      </c>
      <c r="M1745" t="s">
        <v>76</v>
      </c>
      <c r="N1745">
        <v>38.780839</v>
      </c>
      <c r="O1745">
        <v>-112.084783</v>
      </c>
      <c r="P1745">
        <v>5348.6256979999998</v>
      </c>
      <c r="Q1745">
        <v>332</v>
      </c>
      <c r="R1745">
        <v>0</v>
      </c>
    </row>
    <row r="1746" spans="1:18" x14ac:dyDescent="0.25">
      <c r="A1746">
        <v>1745</v>
      </c>
      <c r="B1746">
        <v>94</v>
      </c>
      <c r="C1746">
        <v>1244270</v>
      </c>
      <c r="D1746" t="s">
        <v>189</v>
      </c>
      <c r="E1746">
        <v>3.1949999999999998</v>
      </c>
      <c r="F1746" t="s">
        <v>21</v>
      </c>
      <c r="G1746" t="s">
        <v>26</v>
      </c>
      <c r="H1746" t="s">
        <v>21</v>
      </c>
      <c r="I1746" t="s">
        <v>20</v>
      </c>
      <c r="J1746" t="s">
        <v>20</v>
      </c>
      <c r="K1746" t="s">
        <v>41</v>
      </c>
      <c r="L1746" t="s">
        <v>81</v>
      </c>
      <c r="M1746" t="s">
        <v>190</v>
      </c>
      <c r="N1746">
        <v>41.199471000000003</v>
      </c>
      <c r="O1746">
        <v>-111.94875</v>
      </c>
      <c r="P1746">
        <v>4492.4571569999998</v>
      </c>
      <c r="Q1746">
        <v>412</v>
      </c>
      <c r="R1746">
        <v>0</v>
      </c>
    </row>
    <row r="1747" spans="1:18" x14ac:dyDescent="0.25">
      <c r="A1747">
        <v>1746</v>
      </c>
      <c r="B1747">
        <v>94</v>
      </c>
      <c r="C1747" t="e">
        <f>-JYd0cSHHA5jiMy99aMQIF</f>
        <v>#NAME?</v>
      </c>
      <c r="D1747" t="s">
        <v>199</v>
      </c>
      <c r="E1747">
        <v>3.1970000000000001</v>
      </c>
      <c r="F1747" t="s">
        <v>21</v>
      </c>
      <c r="G1747" t="s">
        <v>20</v>
      </c>
      <c r="H1747" t="s">
        <v>21</v>
      </c>
      <c r="I1747" t="s">
        <v>20</v>
      </c>
      <c r="J1747" t="s">
        <v>20</v>
      </c>
      <c r="K1747" t="s">
        <v>27</v>
      </c>
      <c r="L1747" t="s">
        <v>103</v>
      </c>
      <c r="M1747" t="s">
        <v>200</v>
      </c>
      <c r="N1747">
        <v>38.282409999999999</v>
      </c>
      <c r="O1747">
        <v>-112.586491</v>
      </c>
      <c r="P1747">
        <v>6083.0333419999997</v>
      </c>
      <c r="Q1747">
        <v>341</v>
      </c>
      <c r="R1747">
        <v>0</v>
      </c>
    </row>
    <row r="1748" spans="1:18" x14ac:dyDescent="0.25">
      <c r="A1748">
        <v>1747</v>
      </c>
      <c r="B1748">
        <v>94</v>
      </c>
      <c r="C1748">
        <v>31604502</v>
      </c>
      <c r="D1748" t="s">
        <v>232</v>
      </c>
      <c r="E1748">
        <v>3.1989999999999998</v>
      </c>
      <c r="F1748" t="s">
        <v>19</v>
      </c>
      <c r="G1748" t="s">
        <v>20</v>
      </c>
      <c r="H1748" t="s">
        <v>21</v>
      </c>
      <c r="I1748" t="s">
        <v>20</v>
      </c>
      <c r="J1748" t="s">
        <v>20</v>
      </c>
      <c r="K1748" t="s">
        <v>31</v>
      </c>
      <c r="L1748" t="s">
        <v>209</v>
      </c>
      <c r="M1748" t="s">
        <v>131</v>
      </c>
      <c r="N1748">
        <v>40.683584000000003</v>
      </c>
      <c r="O1748">
        <v>-111.46123</v>
      </c>
      <c r="P1748">
        <v>6555.1607489999997</v>
      </c>
      <c r="Q1748">
        <v>1279</v>
      </c>
      <c r="R1748">
        <v>0</v>
      </c>
    </row>
    <row r="1749" spans="1:18" x14ac:dyDescent="0.25">
      <c r="A1749">
        <v>1748</v>
      </c>
      <c r="B1749">
        <v>94</v>
      </c>
      <c r="C1749">
        <v>1114591</v>
      </c>
      <c r="D1749" t="s">
        <v>101</v>
      </c>
      <c r="E1749">
        <v>3.1989999999999998</v>
      </c>
      <c r="F1749" t="s">
        <v>21</v>
      </c>
      <c r="G1749" t="s">
        <v>26</v>
      </c>
      <c r="H1749" t="s">
        <v>21</v>
      </c>
      <c r="I1749" t="s">
        <v>20</v>
      </c>
      <c r="J1749" t="s">
        <v>20</v>
      </c>
      <c r="K1749" t="s">
        <v>41</v>
      </c>
      <c r="L1749" t="s">
        <v>57</v>
      </c>
      <c r="M1749" t="s">
        <v>58</v>
      </c>
      <c r="N1749">
        <v>41.118085999999998</v>
      </c>
      <c r="O1749">
        <v>-112.051288</v>
      </c>
      <c r="P1749">
        <v>4340.7489859999996</v>
      </c>
      <c r="Q1749">
        <v>328</v>
      </c>
      <c r="R1749">
        <v>0</v>
      </c>
    </row>
    <row r="1750" spans="1:18" x14ac:dyDescent="0.25">
      <c r="A1750">
        <v>1749</v>
      </c>
      <c r="B1750">
        <v>94</v>
      </c>
      <c r="C1750">
        <v>31751558</v>
      </c>
      <c r="D1750" t="s">
        <v>156</v>
      </c>
      <c r="E1750">
        <v>3.2010000000000001</v>
      </c>
      <c r="F1750" t="s">
        <v>19</v>
      </c>
      <c r="G1750" t="s">
        <v>20</v>
      </c>
      <c r="H1750" t="s">
        <v>19</v>
      </c>
      <c r="I1750">
        <v>134</v>
      </c>
      <c r="J1750" t="s">
        <v>20</v>
      </c>
      <c r="K1750" t="s">
        <v>41</v>
      </c>
      <c r="L1750" t="s">
        <v>81</v>
      </c>
      <c r="M1750" t="s">
        <v>93</v>
      </c>
      <c r="N1750">
        <v>41.305892</v>
      </c>
      <c r="O1750">
        <v>-111.968726</v>
      </c>
      <c r="P1750">
        <v>4330.8229760000004</v>
      </c>
      <c r="Q1750">
        <v>424</v>
      </c>
      <c r="R1750">
        <v>0</v>
      </c>
    </row>
    <row r="1751" spans="1:18" x14ac:dyDescent="0.25">
      <c r="A1751">
        <v>1750</v>
      </c>
      <c r="B1751">
        <v>94</v>
      </c>
      <c r="C1751">
        <v>1316259</v>
      </c>
      <c r="D1751" t="s">
        <v>191</v>
      </c>
      <c r="E1751">
        <v>3.202</v>
      </c>
      <c r="F1751" t="s">
        <v>21</v>
      </c>
      <c r="G1751" t="s">
        <v>26</v>
      </c>
      <c r="H1751" t="s">
        <v>21</v>
      </c>
      <c r="I1751" t="s">
        <v>20</v>
      </c>
      <c r="J1751" t="s">
        <v>20</v>
      </c>
      <c r="K1751" t="s">
        <v>41</v>
      </c>
      <c r="L1751" t="s">
        <v>57</v>
      </c>
      <c r="M1751" t="s">
        <v>190</v>
      </c>
      <c r="N1751">
        <v>41.135601000000001</v>
      </c>
      <c r="O1751">
        <v>-112.112542</v>
      </c>
      <c r="P1751">
        <v>4179.5720369999999</v>
      </c>
      <c r="Q1751">
        <v>329</v>
      </c>
      <c r="R1751">
        <v>0</v>
      </c>
    </row>
    <row r="1752" spans="1:18" x14ac:dyDescent="0.25">
      <c r="A1752">
        <v>1751</v>
      </c>
      <c r="B1752">
        <v>94</v>
      </c>
      <c r="C1752">
        <v>559007</v>
      </c>
      <c r="D1752" t="s">
        <v>115</v>
      </c>
      <c r="E1752">
        <v>3.2029999999999998</v>
      </c>
      <c r="F1752" t="s">
        <v>21</v>
      </c>
      <c r="G1752" t="s">
        <v>26</v>
      </c>
      <c r="H1752" t="s">
        <v>21</v>
      </c>
      <c r="I1752" t="s">
        <v>20</v>
      </c>
      <c r="J1752" t="s">
        <v>20</v>
      </c>
      <c r="K1752" t="s">
        <v>31</v>
      </c>
      <c r="L1752" t="s">
        <v>48</v>
      </c>
      <c r="M1752" t="s">
        <v>70</v>
      </c>
      <c r="N1752">
        <v>40.653038000000002</v>
      </c>
      <c r="O1752">
        <v>-112.016041</v>
      </c>
      <c r="P1752">
        <v>4650.1447150000004</v>
      </c>
      <c r="Q1752">
        <v>1437</v>
      </c>
      <c r="R1752">
        <v>0</v>
      </c>
    </row>
    <row r="1753" spans="1:18" x14ac:dyDescent="0.25">
      <c r="A1753">
        <v>1752</v>
      </c>
      <c r="B1753">
        <v>94</v>
      </c>
      <c r="C1753">
        <v>1739248</v>
      </c>
      <c r="D1753" t="s">
        <v>197</v>
      </c>
      <c r="E1753">
        <v>3.2050000000000001</v>
      </c>
      <c r="F1753" t="s">
        <v>21</v>
      </c>
      <c r="G1753" t="s">
        <v>20</v>
      </c>
      <c r="H1753" t="s">
        <v>21</v>
      </c>
      <c r="I1753" t="s">
        <v>20</v>
      </c>
      <c r="J1753" t="s">
        <v>20</v>
      </c>
      <c r="K1753" t="s">
        <v>22</v>
      </c>
      <c r="L1753" t="s">
        <v>198</v>
      </c>
      <c r="M1753" t="s">
        <v>125</v>
      </c>
      <c r="N1753">
        <v>40.004714999999997</v>
      </c>
      <c r="O1753">
        <v>-111.810385</v>
      </c>
      <c r="P1753">
        <v>4719.4985420000003</v>
      </c>
      <c r="Q1753">
        <v>1416</v>
      </c>
      <c r="R1753">
        <v>0</v>
      </c>
    </row>
    <row r="1754" spans="1:18" x14ac:dyDescent="0.25">
      <c r="A1754">
        <v>1753</v>
      </c>
      <c r="B1754">
        <v>94</v>
      </c>
      <c r="C1754">
        <v>31301587</v>
      </c>
      <c r="D1754" t="s">
        <v>116</v>
      </c>
      <c r="E1754">
        <v>3.2069999999999999</v>
      </c>
      <c r="F1754" t="s">
        <v>21</v>
      </c>
      <c r="G1754" t="s">
        <v>20</v>
      </c>
      <c r="H1754" t="s">
        <v>21</v>
      </c>
      <c r="I1754" t="s">
        <v>20</v>
      </c>
      <c r="J1754" t="s">
        <v>20</v>
      </c>
      <c r="K1754" t="s">
        <v>41</v>
      </c>
      <c r="L1754" t="s">
        <v>177</v>
      </c>
      <c r="M1754" t="s">
        <v>43</v>
      </c>
      <c r="N1754">
        <v>41.493997999999998</v>
      </c>
      <c r="O1754">
        <v>-111.996323</v>
      </c>
      <c r="P1754">
        <v>4598.3637120000003</v>
      </c>
      <c r="Q1754">
        <v>324</v>
      </c>
      <c r="R1754">
        <v>0</v>
      </c>
    </row>
    <row r="1755" spans="1:18" x14ac:dyDescent="0.25">
      <c r="A1755">
        <v>1754</v>
      </c>
      <c r="B1755">
        <v>94</v>
      </c>
      <c r="C1755" t="e">
        <f>-JN-XmY6FraVOOmEjLUjnF</f>
        <v>#NAME?</v>
      </c>
      <c r="D1755" t="s">
        <v>184</v>
      </c>
      <c r="E1755">
        <v>3.2109999999999999</v>
      </c>
      <c r="F1755" t="s">
        <v>21</v>
      </c>
      <c r="G1755" t="s">
        <v>26</v>
      </c>
      <c r="H1755" t="s">
        <v>21</v>
      </c>
      <c r="I1755" t="s">
        <v>20</v>
      </c>
      <c r="J1755" t="s">
        <v>20</v>
      </c>
      <c r="K1755" t="s">
        <v>27</v>
      </c>
      <c r="L1755" t="s">
        <v>54</v>
      </c>
      <c r="M1755" t="s">
        <v>55</v>
      </c>
      <c r="N1755">
        <v>37.691142999999997</v>
      </c>
      <c r="O1755">
        <v>-113.06195200000001</v>
      </c>
      <c r="P1755">
        <v>5707.1950889999998</v>
      </c>
      <c r="Q1755">
        <v>1410</v>
      </c>
      <c r="R1755">
        <v>0</v>
      </c>
    </row>
    <row r="1756" spans="1:18" x14ac:dyDescent="0.25">
      <c r="A1756">
        <v>1755</v>
      </c>
      <c r="B1756">
        <v>94</v>
      </c>
      <c r="C1756">
        <v>31388420</v>
      </c>
      <c r="D1756" t="s">
        <v>364</v>
      </c>
      <c r="E1756">
        <v>3.2120000000000002</v>
      </c>
      <c r="F1756" t="s">
        <v>21</v>
      </c>
      <c r="G1756" t="s">
        <v>26</v>
      </c>
      <c r="H1756" t="s">
        <v>21</v>
      </c>
      <c r="I1756" t="s">
        <v>20</v>
      </c>
      <c r="J1756" t="s">
        <v>20</v>
      </c>
      <c r="K1756" t="s">
        <v>22</v>
      </c>
      <c r="L1756" t="s">
        <v>198</v>
      </c>
      <c r="M1756" t="s">
        <v>85</v>
      </c>
      <c r="N1756">
        <v>40.091183999999998</v>
      </c>
      <c r="O1756">
        <v>-111.730949</v>
      </c>
      <c r="P1756">
        <v>4470.1563560000004</v>
      </c>
      <c r="Q1756">
        <v>1401</v>
      </c>
      <c r="R1756">
        <v>0</v>
      </c>
    </row>
    <row r="1757" spans="1:18" x14ac:dyDescent="0.25">
      <c r="A1757">
        <v>1756</v>
      </c>
      <c r="B1757">
        <v>94</v>
      </c>
      <c r="C1757">
        <v>31537372</v>
      </c>
      <c r="D1757" t="s">
        <v>244</v>
      </c>
      <c r="E1757">
        <v>30.661000000000001</v>
      </c>
      <c r="F1757" t="s">
        <v>21</v>
      </c>
      <c r="G1757" t="s">
        <v>26</v>
      </c>
      <c r="H1757" t="s">
        <v>21</v>
      </c>
      <c r="I1757" t="s">
        <v>20</v>
      </c>
      <c r="J1757" t="s">
        <v>20</v>
      </c>
      <c r="K1757" t="s">
        <v>27</v>
      </c>
      <c r="L1757" t="s">
        <v>266</v>
      </c>
      <c r="M1757" t="s">
        <v>58</v>
      </c>
      <c r="N1757">
        <v>38.591085</v>
      </c>
      <c r="O1757">
        <v>-111.849284</v>
      </c>
      <c r="P1757">
        <v>6951.0844530000004</v>
      </c>
      <c r="Q1757">
        <v>1340</v>
      </c>
      <c r="R1757">
        <v>0</v>
      </c>
    </row>
    <row r="1758" spans="1:18" x14ac:dyDescent="0.25">
      <c r="A1758">
        <v>1757</v>
      </c>
      <c r="B1758">
        <v>94</v>
      </c>
      <c r="C1758">
        <v>31537383</v>
      </c>
      <c r="D1758" t="s">
        <v>244</v>
      </c>
      <c r="E1758">
        <v>30.686</v>
      </c>
      <c r="F1758" t="s">
        <v>21</v>
      </c>
      <c r="G1758" t="s">
        <v>26</v>
      </c>
      <c r="H1758" t="s">
        <v>21</v>
      </c>
      <c r="I1758" t="s">
        <v>20</v>
      </c>
      <c r="J1758" t="s">
        <v>20</v>
      </c>
      <c r="K1758" t="s">
        <v>27</v>
      </c>
      <c r="L1758" t="s">
        <v>266</v>
      </c>
      <c r="M1758" t="s">
        <v>58</v>
      </c>
      <c r="N1758">
        <v>38.590741000000001</v>
      </c>
      <c r="O1758">
        <v>-111.84911</v>
      </c>
      <c r="P1758">
        <v>6947.6845119999998</v>
      </c>
      <c r="Q1758">
        <v>1340</v>
      </c>
      <c r="R1758">
        <v>0</v>
      </c>
    </row>
    <row r="1759" spans="1:18" x14ac:dyDescent="0.25">
      <c r="A1759">
        <v>1758</v>
      </c>
      <c r="B1759">
        <v>94</v>
      </c>
      <c r="C1759">
        <v>1192403</v>
      </c>
      <c r="D1759" t="s">
        <v>108</v>
      </c>
      <c r="E1759">
        <v>2.4169999999999998</v>
      </c>
      <c r="F1759" t="s">
        <v>19</v>
      </c>
      <c r="G1759" t="s">
        <v>20</v>
      </c>
      <c r="H1759" t="s">
        <v>21</v>
      </c>
      <c r="I1759" t="s">
        <v>20</v>
      </c>
      <c r="J1759" t="s">
        <v>20</v>
      </c>
      <c r="K1759" t="s">
        <v>41</v>
      </c>
      <c r="L1759" t="s">
        <v>81</v>
      </c>
      <c r="M1759" t="s">
        <v>93</v>
      </c>
      <c r="N1759">
        <v>41.185411999999999</v>
      </c>
      <c r="O1759">
        <v>-111.986619</v>
      </c>
      <c r="P1759">
        <v>4302.4082129999997</v>
      </c>
      <c r="Q1759">
        <v>1341</v>
      </c>
      <c r="R1759">
        <v>0</v>
      </c>
    </row>
    <row r="1760" spans="1:18" x14ac:dyDescent="0.25">
      <c r="A1760">
        <v>1759</v>
      </c>
      <c r="B1760">
        <v>94</v>
      </c>
      <c r="C1760">
        <v>31318873</v>
      </c>
      <c r="D1760" t="s">
        <v>413</v>
      </c>
      <c r="E1760">
        <v>2.4209999999999998</v>
      </c>
      <c r="F1760" t="s">
        <v>21</v>
      </c>
      <c r="G1760" t="s">
        <v>26</v>
      </c>
      <c r="H1760" t="s">
        <v>21</v>
      </c>
      <c r="I1760" t="s">
        <v>20</v>
      </c>
      <c r="J1760" t="s">
        <v>20</v>
      </c>
      <c r="K1760" t="s">
        <v>31</v>
      </c>
      <c r="L1760" t="s">
        <v>78</v>
      </c>
      <c r="M1760" t="s">
        <v>206</v>
      </c>
      <c r="N1760">
        <v>40.727891</v>
      </c>
      <c r="O1760">
        <v>-112.178049</v>
      </c>
      <c r="P1760">
        <v>4183.4694980000004</v>
      </c>
      <c r="Q1760">
        <v>411</v>
      </c>
      <c r="R1760">
        <v>0</v>
      </c>
    </row>
    <row r="1761" spans="1:18" x14ac:dyDescent="0.25">
      <c r="A1761">
        <v>1760</v>
      </c>
      <c r="B1761">
        <v>94</v>
      </c>
      <c r="C1761">
        <v>31641578</v>
      </c>
      <c r="D1761" t="s">
        <v>233</v>
      </c>
      <c r="E1761">
        <v>20.411999999999999</v>
      </c>
      <c r="F1761" t="s">
        <v>21</v>
      </c>
      <c r="G1761" t="s">
        <v>20</v>
      </c>
      <c r="H1761" t="s">
        <v>21</v>
      </c>
      <c r="I1761" t="s">
        <v>20</v>
      </c>
      <c r="J1761" t="s">
        <v>20</v>
      </c>
      <c r="K1761" t="s">
        <v>22</v>
      </c>
      <c r="L1761" t="s">
        <v>234</v>
      </c>
      <c r="M1761" t="s">
        <v>235</v>
      </c>
      <c r="N1761">
        <v>40.194594000000002</v>
      </c>
      <c r="O1761">
        <v>-109.332818</v>
      </c>
      <c r="P1761">
        <v>5528.4157100000002</v>
      </c>
      <c r="Q1761">
        <v>1354</v>
      </c>
      <c r="R1761">
        <v>0</v>
      </c>
    </row>
    <row r="1762" spans="1:18" x14ac:dyDescent="0.25">
      <c r="A1762">
        <v>1761</v>
      </c>
      <c r="B1762">
        <v>94</v>
      </c>
      <c r="C1762">
        <v>31316139</v>
      </c>
      <c r="D1762" t="s">
        <v>347</v>
      </c>
      <c r="E1762">
        <v>20.433</v>
      </c>
      <c r="F1762" t="s">
        <v>21</v>
      </c>
      <c r="G1762" t="s">
        <v>26</v>
      </c>
      <c r="H1762" t="s">
        <v>21</v>
      </c>
      <c r="I1762" t="s">
        <v>20</v>
      </c>
      <c r="J1762" t="s">
        <v>20</v>
      </c>
      <c r="K1762" t="s">
        <v>41</v>
      </c>
      <c r="L1762" t="s">
        <v>325</v>
      </c>
      <c r="M1762" t="s">
        <v>204</v>
      </c>
      <c r="N1762">
        <v>41.661315999999999</v>
      </c>
      <c r="O1762">
        <v>-111.18491899999999</v>
      </c>
      <c r="P1762">
        <v>6231.1830239999999</v>
      </c>
      <c r="Q1762">
        <v>1334</v>
      </c>
      <c r="R1762">
        <v>0</v>
      </c>
    </row>
    <row r="1763" spans="1:18" x14ac:dyDescent="0.25">
      <c r="A1763">
        <v>1762</v>
      </c>
      <c r="B1763">
        <v>94</v>
      </c>
      <c r="C1763">
        <v>31194133</v>
      </c>
      <c r="D1763" t="s">
        <v>310</v>
      </c>
      <c r="E1763">
        <v>20.434000000000001</v>
      </c>
      <c r="F1763" t="s">
        <v>19</v>
      </c>
      <c r="G1763" t="s">
        <v>20</v>
      </c>
      <c r="H1763" t="s">
        <v>19</v>
      </c>
      <c r="I1763">
        <v>36</v>
      </c>
      <c r="J1763" t="s">
        <v>20</v>
      </c>
      <c r="K1763" t="s">
        <v>31</v>
      </c>
      <c r="L1763" t="s">
        <v>285</v>
      </c>
      <c r="M1763" t="s">
        <v>206</v>
      </c>
      <c r="N1763">
        <v>40.653233</v>
      </c>
      <c r="O1763">
        <v>-112.28916599999999</v>
      </c>
      <c r="P1763">
        <v>4228.4451950000002</v>
      </c>
      <c r="Q1763">
        <v>1414</v>
      </c>
      <c r="R1763">
        <v>0</v>
      </c>
    </row>
    <row r="1764" spans="1:18" x14ac:dyDescent="0.25">
      <c r="A1764">
        <v>1763</v>
      </c>
      <c r="B1764">
        <v>94</v>
      </c>
      <c r="C1764">
        <v>31511553</v>
      </c>
      <c r="D1764" t="s">
        <v>292</v>
      </c>
      <c r="E1764">
        <v>20.443999999999999</v>
      </c>
      <c r="F1764" t="s">
        <v>21</v>
      </c>
      <c r="G1764" t="s">
        <v>26</v>
      </c>
      <c r="H1764" t="s">
        <v>21</v>
      </c>
      <c r="I1764" t="s">
        <v>20</v>
      </c>
      <c r="J1764" t="s">
        <v>20</v>
      </c>
      <c r="K1764" t="s">
        <v>22</v>
      </c>
      <c r="L1764" t="s">
        <v>253</v>
      </c>
      <c r="M1764" t="s">
        <v>134</v>
      </c>
      <c r="N1764">
        <v>40.359174000000003</v>
      </c>
      <c r="O1764">
        <v>-110.30364400000001</v>
      </c>
      <c r="P1764">
        <v>6365.6814679999998</v>
      </c>
      <c r="Q1764">
        <v>323</v>
      </c>
      <c r="R1764">
        <v>0</v>
      </c>
    </row>
    <row r="1765" spans="1:18" x14ac:dyDescent="0.25">
      <c r="A1765">
        <v>1764</v>
      </c>
      <c r="B1765">
        <v>94</v>
      </c>
      <c r="C1765">
        <v>31406229</v>
      </c>
      <c r="D1765" t="s">
        <v>30</v>
      </c>
      <c r="E1765">
        <v>2.3420000000000001</v>
      </c>
      <c r="F1765" t="s">
        <v>21</v>
      </c>
      <c r="G1765" t="s">
        <v>26</v>
      </c>
      <c r="H1765" t="s">
        <v>21</v>
      </c>
      <c r="I1765" t="s">
        <v>20</v>
      </c>
      <c r="J1765" t="s">
        <v>20</v>
      </c>
      <c r="K1765" t="s">
        <v>31</v>
      </c>
      <c r="L1765" t="s">
        <v>32</v>
      </c>
      <c r="M1765" t="s">
        <v>33</v>
      </c>
      <c r="N1765">
        <v>40.58764</v>
      </c>
      <c r="O1765">
        <v>-111.79269499999999</v>
      </c>
      <c r="P1765">
        <v>5089.172458</v>
      </c>
      <c r="Q1765">
        <v>415</v>
      </c>
      <c r="R1765">
        <v>0</v>
      </c>
    </row>
    <row r="1766" spans="1:18" x14ac:dyDescent="0.25">
      <c r="A1766">
        <v>1765</v>
      </c>
      <c r="B1766">
        <v>94</v>
      </c>
      <c r="C1766" t="e">
        <f>-IpVQjHpIb5C_hg7tGNlcF</f>
        <v>#NAME?</v>
      </c>
      <c r="D1766" t="s">
        <v>288</v>
      </c>
      <c r="E1766">
        <v>260.38200000000001</v>
      </c>
      <c r="F1766" t="s">
        <v>21</v>
      </c>
      <c r="G1766" t="s">
        <v>20</v>
      </c>
      <c r="H1766" t="s">
        <v>21</v>
      </c>
      <c r="I1766" t="s">
        <v>20</v>
      </c>
      <c r="J1766" t="s">
        <v>20</v>
      </c>
      <c r="K1766" t="s">
        <v>22</v>
      </c>
      <c r="L1766" t="s">
        <v>253</v>
      </c>
      <c r="M1766" t="s">
        <v>120</v>
      </c>
      <c r="N1766">
        <v>39.814534000000002</v>
      </c>
      <c r="O1766">
        <v>-110.78073999999999</v>
      </c>
      <c r="P1766">
        <v>7180.3486599999997</v>
      </c>
      <c r="Q1766">
        <v>350</v>
      </c>
      <c r="R1766">
        <v>0</v>
      </c>
    </row>
    <row r="1767" spans="1:18" x14ac:dyDescent="0.25">
      <c r="A1767">
        <v>1766</v>
      </c>
      <c r="B1767">
        <v>94</v>
      </c>
      <c r="C1767" t="s">
        <v>454</v>
      </c>
      <c r="D1767" t="s">
        <v>272</v>
      </c>
      <c r="E1767">
        <v>260.738</v>
      </c>
      <c r="F1767" t="s">
        <v>21</v>
      </c>
      <c r="G1767" t="s">
        <v>20</v>
      </c>
      <c r="H1767" t="s">
        <v>21</v>
      </c>
      <c r="I1767" t="s">
        <v>20</v>
      </c>
      <c r="J1767" t="s">
        <v>20</v>
      </c>
      <c r="K1767" t="s">
        <v>27</v>
      </c>
      <c r="L1767" t="s">
        <v>350</v>
      </c>
      <c r="M1767" t="s">
        <v>174</v>
      </c>
      <c r="N1767">
        <v>39.333713000000003</v>
      </c>
      <c r="O1767">
        <v>-111.598175</v>
      </c>
      <c r="P1767">
        <v>5504.079909</v>
      </c>
      <c r="Q1767">
        <v>1384</v>
      </c>
      <c r="R1767">
        <v>0</v>
      </c>
    </row>
    <row r="1768" spans="1:18" x14ac:dyDescent="0.25">
      <c r="A1768">
        <v>1767</v>
      </c>
      <c r="B1768">
        <v>94</v>
      </c>
      <c r="C1768" t="s">
        <v>455</v>
      </c>
      <c r="D1768" t="s">
        <v>272</v>
      </c>
      <c r="E1768">
        <v>261.02499999999998</v>
      </c>
      <c r="F1768" t="s">
        <v>21</v>
      </c>
      <c r="G1768" t="s">
        <v>26</v>
      </c>
      <c r="H1768" t="s">
        <v>21</v>
      </c>
      <c r="I1768" t="s">
        <v>20</v>
      </c>
      <c r="J1768" t="s">
        <v>20</v>
      </c>
      <c r="K1768" t="s">
        <v>27</v>
      </c>
      <c r="L1768" t="s">
        <v>350</v>
      </c>
      <c r="M1768" t="s">
        <v>174</v>
      </c>
      <c r="N1768">
        <v>39.337468000000001</v>
      </c>
      <c r="O1768">
        <v>-111.59587999999999</v>
      </c>
      <c r="P1768">
        <v>5506.8915049999996</v>
      </c>
      <c r="Q1768">
        <v>1384</v>
      </c>
      <c r="R1768">
        <v>0</v>
      </c>
    </row>
    <row r="1769" spans="1:18" x14ac:dyDescent="0.25">
      <c r="A1769">
        <v>1768</v>
      </c>
      <c r="B1769">
        <v>94</v>
      </c>
      <c r="C1769" t="e">
        <f>-IpeRkCCI6Tu4VRsLtuz9F</f>
        <v>#NAME?</v>
      </c>
      <c r="D1769" t="s">
        <v>272</v>
      </c>
      <c r="E1769">
        <v>261.24799999999999</v>
      </c>
      <c r="F1769" t="s">
        <v>21</v>
      </c>
      <c r="G1769" t="s">
        <v>20</v>
      </c>
      <c r="H1769" t="s">
        <v>21</v>
      </c>
      <c r="I1769" t="s">
        <v>20</v>
      </c>
      <c r="J1769" t="s">
        <v>20</v>
      </c>
      <c r="K1769" t="s">
        <v>27</v>
      </c>
      <c r="L1769" t="s">
        <v>350</v>
      </c>
      <c r="M1769" t="s">
        <v>174</v>
      </c>
      <c r="N1769">
        <v>39.340392999999999</v>
      </c>
      <c r="O1769">
        <v>-111.59408500000001</v>
      </c>
      <c r="P1769">
        <v>5502.5724280000004</v>
      </c>
      <c r="Q1769">
        <v>1384</v>
      </c>
      <c r="R1769">
        <v>0</v>
      </c>
    </row>
    <row r="1770" spans="1:18" x14ac:dyDescent="0.25">
      <c r="A1770">
        <v>1769</v>
      </c>
      <c r="B1770">
        <v>94</v>
      </c>
      <c r="C1770" t="e">
        <f>-IoLdxHGI3LUgC3k3mtuOk</f>
        <v>#NAME?</v>
      </c>
      <c r="D1770" t="s">
        <v>272</v>
      </c>
      <c r="E1770">
        <v>261.30900000000003</v>
      </c>
      <c r="F1770" t="s">
        <v>21</v>
      </c>
      <c r="G1770" t="s">
        <v>26</v>
      </c>
      <c r="H1770" t="s">
        <v>21</v>
      </c>
      <c r="I1770" t="s">
        <v>20</v>
      </c>
      <c r="J1770" t="s">
        <v>20</v>
      </c>
      <c r="K1770" t="s">
        <v>27</v>
      </c>
      <c r="L1770" t="s">
        <v>350</v>
      </c>
      <c r="M1770" t="s">
        <v>174</v>
      </c>
      <c r="N1770">
        <v>39.341191999999999</v>
      </c>
      <c r="O1770">
        <v>-111.593598</v>
      </c>
      <c r="P1770">
        <v>5502.0906379999997</v>
      </c>
      <c r="Q1770">
        <v>1384</v>
      </c>
      <c r="R1770">
        <v>0</v>
      </c>
    </row>
    <row r="1771" spans="1:18" x14ac:dyDescent="0.25">
      <c r="A1771">
        <v>1770</v>
      </c>
      <c r="B1771">
        <v>94</v>
      </c>
      <c r="C1771" t="s">
        <v>456</v>
      </c>
      <c r="D1771" t="s">
        <v>272</v>
      </c>
      <c r="E1771">
        <v>261.39600000000002</v>
      </c>
      <c r="F1771" t="s">
        <v>21</v>
      </c>
      <c r="G1771" t="s">
        <v>20</v>
      </c>
      <c r="H1771" t="s">
        <v>21</v>
      </c>
      <c r="I1771" t="s">
        <v>20</v>
      </c>
      <c r="J1771" t="s">
        <v>20</v>
      </c>
      <c r="K1771" t="s">
        <v>27</v>
      </c>
      <c r="L1771" t="s">
        <v>350</v>
      </c>
      <c r="M1771" t="s">
        <v>174</v>
      </c>
      <c r="N1771">
        <v>39.342328000000002</v>
      </c>
      <c r="O1771">
        <v>-111.592902</v>
      </c>
      <c r="P1771">
        <v>5498.9031320000004</v>
      </c>
      <c r="Q1771">
        <v>1384</v>
      </c>
      <c r="R1771">
        <v>0</v>
      </c>
    </row>
    <row r="1772" spans="1:18" x14ac:dyDescent="0.25">
      <c r="A1772">
        <v>1771</v>
      </c>
      <c r="B1772">
        <v>94</v>
      </c>
      <c r="C1772">
        <v>31597984</v>
      </c>
      <c r="D1772" t="s">
        <v>50</v>
      </c>
      <c r="E1772">
        <v>2.4220000000000002</v>
      </c>
      <c r="F1772" t="s">
        <v>21</v>
      </c>
      <c r="G1772" t="s">
        <v>26</v>
      </c>
      <c r="H1772" t="s">
        <v>21</v>
      </c>
      <c r="I1772" t="s">
        <v>20</v>
      </c>
      <c r="J1772" t="s">
        <v>20</v>
      </c>
      <c r="K1772" t="s">
        <v>27</v>
      </c>
      <c r="L1772" t="s">
        <v>51</v>
      </c>
      <c r="M1772" t="s">
        <v>52</v>
      </c>
      <c r="N1772">
        <v>37.838904999999997</v>
      </c>
      <c r="O1772">
        <v>-112.827524</v>
      </c>
      <c r="P1772">
        <v>5966.8260300000002</v>
      </c>
      <c r="Q1772">
        <v>1418</v>
      </c>
      <c r="R1772">
        <v>0</v>
      </c>
    </row>
    <row r="1773" spans="1:18" x14ac:dyDescent="0.25">
      <c r="A1773">
        <v>1772</v>
      </c>
      <c r="B1773">
        <v>94</v>
      </c>
      <c r="C1773">
        <v>31432722</v>
      </c>
      <c r="D1773" t="s">
        <v>216</v>
      </c>
      <c r="E1773">
        <v>2.4260000000000002</v>
      </c>
      <c r="F1773" t="s">
        <v>21</v>
      </c>
      <c r="G1773" t="s">
        <v>20</v>
      </c>
      <c r="H1773" t="s">
        <v>21</v>
      </c>
      <c r="I1773" t="s">
        <v>20</v>
      </c>
      <c r="J1773" t="s">
        <v>20</v>
      </c>
      <c r="K1773" t="s">
        <v>27</v>
      </c>
      <c r="L1773" t="s">
        <v>158</v>
      </c>
      <c r="M1773" t="s">
        <v>159</v>
      </c>
      <c r="N1773">
        <v>39.667515000000002</v>
      </c>
      <c r="O1773">
        <v>-110.838059</v>
      </c>
      <c r="P1773">
        <v>5853.3013929999997</v>
      </c>
      <c r="Q1773">
        <v>1428</v>
      </c>
      <c r="R1773">
        <v>0</v>
      </c>
    </row>
    <row r="1774" spans="1:18" x14ac:dyDescent="0.25">
      <c r="A1774">
        <v>1773</v>
      </c>
      <c r="B1774">
        <v>94</v>
      </c>
      <c r="C1774">
        <v>31520027</v>
      </c>
      <c r="D1774" t="s">
        <v>390</v>
      </c>
      <c r="E1774">
        <v>2.4279999999999999</v>
      </c>
      <c r="F1774" t="s">
        <v>19</v>
      </c>
      <c r="G1774" t="s">
        <v>20</v>
      </c>
      <c r="H1774" t="s">
        <v>21</v>
      </c>
      <c r="I1774" t="s">
        <v>20</v>
      </c>
      <c r="J1774" t="s">
        <v>20</v>
      </c>
      <c r="K1774" t="s">
        <v>22</v>
      </c>
      <c r="L1774" t="s">
        <v>84</v>
      </c>
      <c r="M1774" t="s">
        <v>335</v>
      </c>
      <c r="N1774">
        <v>40.432789999999997</v>
      </c>
      <c r="O1774">
        <v>-111.849739</v>
      </c>
      <c r="P1774">
        <v>4772.5914869999997</v>
      </c>
      <c r="Q1774">
        <v>1386</v>
      </c>
      <c r="R1774">
        <v>0</v>
      </c>
    </row>
    <row r="1775" spans="1:18" x14ac:dyDescent="0.25">
      <c r="A1775">
        <v>1774</v>
      </c>
      <c r="B1775">
        <v>94</v>
      </c>
      <c r="C1775">
        <v>31393325</v>
      </c>
      <c r="D1775" t="s">
        <v>124</v>
      </c>
      <c r="E1775">
        <v>28.788</v>
      </c>
      <c r="F1775" t="s">
        <v>21</v>
      </c>
      <c r="G1775" t="s">
        <v>26</v>
      </c>
      <c r="H1775" t="s">
        <v>21</v>
      </c>
      <c r="I1775" t="s">
        <v>20</v>
      </c>
      <c r="J1775" t="s">
        <v>20</v>
      </c>
      <c r="K1775" t="s">
        <v>22</v>
      </c>
      <c r="L1775" t="s">
        <v>84</v>
      </c>
      <c r="M1775" t="s">
        <v>194</v>
      </c>
      <c r="N1775">
        <v>40.331823999999997</v>
      </c>
      <c r="O1775">
        <v>-111.910701</v>
      </c>
      <c r="P1775">
        <v>4508.4045180000003</v>
      </c>
      <c r="Q1775">
        <v>1368</v>
      </c>
      <c r="R1775">
        <v>0</v>
      </c>
    </row>
    <row r="1776" spans="1:18" x14ac:dyDescent="0.25">
      <c r="A1776">
        <v>1775</v>
      </c>
      <c r="B1776">
        <v>94</v>
      </c>
      <c r="C1776">
        <v>31897233</v>
      </c>
      <c r="D1776" t="s">
        <v>61</v>
      </c>
      <c r="E1776">
        <v>28.800999999999998</v>
      </c>
      <c r="F1776" t="s">
        <v>21</v>
      </c>
      <c r="G1776" t="s">
        <v>26</v>
      </c>
      <c r="H1776" t="s">
        <v>21</v>
      </c>
      <c r="I1776" t="s">
        <v>20</v>
      </c>
      <c r="J1776" t="s">
        <v>20</v>
      </c>
      <c r="K1776" t="s">
        <v>22</v>
      </c>
      <c r="L1776" t="s">
        <v>35</v>
      </c>
      <c r="M1776" t="s">
        <v>328</v>
      </c>
      <c r="N1776">
        <v>40.492142000000001</v>
      </c>
      <c r="O1776">
        <v>-111.414663</v>
      </c>
      <c r="P1776">
        <v>5582.7568099999999</v>
      </c>
      <c r="Q1776">
        <v>403</v>
      </c>
      <c r="R1776">
        <v>0</v>
      </c>
    </row>
    <row r="1777" spans="1:18" x14ac:dyDescent="0.25">
      <c r="A1777">
        <v>1776</v>
      </c>
      <c r="B1777">
        <v>94</v>
      </c>
      <c r="C1777">
        <v>31714779</v>
      </c>
      <c r="D1777" t="s">
        <v>323</v>
      </c>
      <c r="E1777">
        <v>28.856000000000002</v>
      </c>
      <c r="F1777" t="s">
        <v>21</v>
      </c>
      <c r="G1777" t="s">
        <v>26</v>
      </c>
      <c r="H1777" t="s">
        <v>21</v>
      </c>
      <c r="I1777" t="s">
        <v>20</v>
      </c>
      <c r="J1777" t="s">
        <v>20</v>
      </c>
      <c r="K1777" t="s">
        <v>31</v>
      </c>
      <c r="L1777" t="s">
        <v>149</v>
      </c>
      <c r="M1777" t="s">
        <v>131</v>
      </c>
      <c r="N1777">
        <v>40.813124000000002</v>
      </c>
      <c r="O1777">
        <v>-111.40424400000001</v>
      </c>
      <c r="P1777">
        <v>5799.0225069999997</v>
      </c>
      <c r="Q1777">
        <v>1345</v>
      </c>
      <c r="R1777">
        <v>0</v>
      </c>
    </row>
    <row r="1778" spans="1:18" x14ac:dyDescent="0.25">
      <c r="A1778">
        <v>1777</v>
      </c>
      <c r="B1778">
        <v>94</v>
      </c>
      <c r="C1778">
        <v>31897244</v>
      </c>
      <c r="D1778" t="s">
        <v>61</v>
      </c>
      <c r="E1778">
        <v>28.882999999999999</v>
      </c>
      <c r="F1778" t="s">
        <v>19</v>
      </c>
      <c r="G1778" t="s">
        <v>20</v>
      </c>
      <c r="H1778" t="s">
        <v>19</v>
      </c>
      <c r="I1778">
        <v>40</v>
      </c>
      <c r="J1778" t="s">
        <v>20</v>
      </c>
      <c r="K1778" t="s">
        <v>22</v>
      </c>
      <c r="L1778" t="s">
        <v>35</v>
      </c>
      <c r="M1778" t="s">
        <v>328</v>
      </c>
      <c r="N1778">
        <v>40.492804999999997</v>
      </c>
      <c r="O1778">
        <v>-111.41313</v>
      </c>
      <c r="P1778">
        <v>5584.2149980000004</v>
      </c>
      <c r="Q1778">
        <v>403</v>
      </c>
      <c r="R1778">
        <v>0</v>
      </c>
    </row>
    <row r="1779" spans="1:18" x14ac:dyDescent="0.25">
      <c r="A1779">
        <v>1778</v>
      </c>
      <c r="B1779">
        <v>94</v>
      </c>
      <c r="C1779">
        <v>31401592</v>
      </c>
      <c r="D1779" t="s">
        <v>210</v>
      </c>
      <c r="E1779">
        <v>28.902000000000001</v>
      </c>
      <c r="F1779" t="s">
        <v>21</v>
      </c>
      <c r="G1779" t="s">
        <v>20</v>
      </c>
      <c r="H1779" t="s">
        <v>21</v>
      </c>
      <c r="I1779" t="s">
        <v>20</v>
      </c>
      <c r="J1779" t="s">
        <v>20</v>
      </c>
      <c r="K1779" t="s">
        <v>27</v>
      </c>
      <c r="L1779" t="s">
        <v>211</v>
      </c>
      <c r="M1779" t="s">
        <v>212</v>
      </c>
      <c r="N1779">
        <v>37.171345000000002</v>
      </c>
      <c r="O1779">
        <v>-109.09066</v>
      </c>
      <c r="P1779">
        <v>4786.1887120000001</v>
      </c>
      <c r="Q1779">
        <v>344</v>
      </c>
      <c r="R1779">
        <v>0</v>
      </c>
    </row>
    <row r="1780" spans="1:18" x14ac:dyDescent="0.25">
      <c r="A1780">
        <v>1779</v>
      </c>
      <c r="B1780">
        <v>94</v>
      </c>
      <c r="C1780" t="s">
        <v>457</v>
      </c>
      <c r="D1780" t="s">
        <v>221</v>
      </c>
      <c r="E1780">
        <v>28.928999999999998</v>
      </c>
      <c r="F1780" t="s">
        <v>21</v>
      </c>
      <c r="G1780" t="s">
        <v>20</v>
      </c>
      <c r="H1780" t="s">
        <v>21</v>
      </c>
      <c r="I1780" t="s">
        <v>20</v>
      </c>
      <c r="J1780" t="s">
        <v>20</v>
      </c>
      <c r="K1780" t="s">
        <v>22</v>
      </c>
      <c r="L1780" t="s">
        <v>155</v>
      </c>
      <c r="M1780" t="s">
        <v>174</v>
      </c>
      <c r="N1780">
        <v>39.543737</v>
      </c>
      <c r="O1780">
        <v>-111.863754</v>
      </c>
      <c r="P1780">
        <v>5240.9549589999997</v>
      </c>
      <c r="Q1780">
        <v>1342</v>
      </c>
      <c r="R1780">
        <v>0</v>
      </c>
    </row>
    <row r="1781" spans="1:18" x14ac:dyDescent="0.25">
      <c r="A1781">
        <v>1780</v>
      </c>
      <c r="B1781">
        <v>94</v>
      </c>
      <c r="C1781">
        <v>31379812</v>
      </c>
      <c r="D1781" t="s">
        <v>116</v>
      </c>
      <c r="E1781">
        <v>28.937000000000001</v>
      </c>
      <c r="F1781" t="s">
        <v>19</v>
      </c>
      <c r="G1781" t="s">
        <v>20</v>
      </c>
      <c r="H1781" t="s">
        <v>21</v>
      </c>
      <c r="I1781" t="s">
        <v>20</v>
      </c>
      <c r="J1781" t="s">
        <v>20</v>
      </c>
      <c r="K1781" t="s">
        <v>41</v>
      </c>
      <c r="L1781" t="s">
        <v>95</v>
      </c>
      <c r="M1781" t="s">
        <v>117</v>
      </c>
      <c r="N1781">
        <v>41.764974000000002</v>
      </c>
      <c r="O1781">
        <v>-111.83425200000001</v>
      </c>
      <c r="P1781">
        <v>4456.3462870000003</v>
      </c>
      <c r="Q1781">
        <v>324</v>
      </c>
      <c r="R1781">
        <v>0</v>
      </c>
    </row>
    <row r="1782" spans="1:18" x14ac:dyDescent="0.25">
      <c r="A1782">
        <v>1781</v>
      </c>
      <c r="B1782">
        <v>94</v>
      </c>
      <c r="C1782" t="e">
        <f>-IoMDLKdGkeB3RL2RNzS6F</f>
        <v>#NAME?</v>
      </c>
      <c r="D1782" t="s">
        <v>272</v>
      </c>
      <c r="E1782">
        <v>263.565</v>
      </c>
      <c r="F1782" t="s">
        <v>21</v>
      </c>
      <c r="G1782" t="s">
        <v>26</v>
      </c>
      <c r="H1782" t="s">
        <v>21</v>
      </c>
      <c r="I1782" t="s">
        <v>20</v>
      </c>
      <c r="J1782" t="s">
        <v>20</v>
      </c>
      <c r="K1782" t="s">
        <v>27</v>
      </c>
      <c r="L1782" t="s">
        <v>350</v>
      </c>
      <c r="M1782" t="s">
        <v>174</v>
      </c>
      <c r="N1782">
        <v>39.372822999999997</v>
      </c>
      <c r="O1782">
        <v>-111.587046</v>
      </c>
      <c r="P1782">
        <v>5444.124699</v>
      </c>
      <c r="Q1782">
        <v>1384</v>
      </c>
      <c r="R1782">
        <v>0</v>
      </c>
    </row>
    <row r="1783" spans="1:18" x14ac:dyDescent="0.25">
      <c r="A1783">
        <v>1782</v>
      </c>
      <c r="B1783">
        <v>94</v>
      </c>
      <c r="C1783" t="s">
        <v>458</v>
      </c>
      <c r="D1783" t="s">
        <v>272</v>
      </c>
      <c r="E1783">
        <v>263.68900000000002</v>
      </c>
      <c r="F1783" t="s">
        <v>21</v>
      </c>
      <c r="G1783" t="s">
        <v>20</v>
      </c>
      <c r="H1783" t="s">
        <v>21</v>
      </c>
      <c r="I1783" t="s">
        <v>20</v>
      </c>
      <c r="J1783" t="s">
        <v>20</v>
      </c>
      <c r="K1783" t="s">
        <v>27</v>
      </c>
      <c r="L1783" t="s">
        <v>350</v>
      </c>
      <c r="M1783" t="s">
        <v>174</v>
      </c>
      <c r="N1783">
        <v>39.374623</v>
      </c>
      <c r="O1783">
        <v>-111.58705399999999</v>
      </c>
      <c r="P1783">
        <v>5438.7261950000002</v>
      </c>
      <c r="Q1783">
        <v>1384</v>
      </c>
      <c r="R1783">
        <v>0</v>
      </c>
    </row>
    <row r="1784" spans="1:18" x14ac:dyDescent="0.25">
      <c r="A1784">
        <v>1783</v>
      </c>
      <c r="B1784">
        <v>94</v>
      </c>
      <c r="C1784" t="s">
        <v>459</v>
      </c>
      <c r="D1784" t="s">
        <v>272</v>
      </c>
      <c r="E1784">
        <v>263.91199999999998</v>
      </c>
      <c r="F1784" t="s">
        <v>21</v>
      </c>
      <c r="G1784" t="s">
        <v>20</v>
      </c>
      <c r="H1784" t="s">
        <v>21</v>
      </c>
      <c r="I1784" t="s">
        <v>20</v>
      </c>
      <c r="J1784" t="s">
        <v>20</v>
      </c>
      <c r="K1784" t="s">
        <v>27</v>
      </c>
      <c r="L1784" t="s">
        <v>350</v>
      </c>
      <c r="M1784" t="s">
        <v>174</v>
      </c>
      <c r="N1784">
        <v>39.377842000000001</v>
      </c>
      <c r="O1784">
        <v>-111.586653</v>
      </c>
      <c r="P1784">
        <v>5431.1512359999997</v>
      </c>
      <c r="Q1784">
        <v>1384</v>
      </c>
      <c r="R1784">
        <v>0</v>
      </c>
    </row>
    <row r="1785" spans="1:18" x14ac:dyDescent="0.25">
      <c r="A1785">
        <v>1784</v>
      </c>
      <c r="B1785">
        <v>94</v>
      </c>
      <c r="C1785">
        <v>31714890</v>
      </c>
      <c r="D1785" t="s">
        <v>213</v>
      </c>
      <c r="E1785">
        <v>263.94099999999997</v>
      </c>
      <c r="F1785" t="s">
        <v>21</v>
      </c>
      <c r="G1785" t="s">
        <v>20</v>
      </c>
      <c r="H1785" t="s">
        <v>21</v>
      </c>
      <c r="I1785" t="s">
        <v>20</v>
      </c>
      <c r="J1785" t="s">
        <v>20</v>
      </c>
      <c r="K1785" t="s">
        <v>27</v>
      </c>
      <c r="L1785" t="s">
        <v>158</v>
      </c>
      <c r="M1785" t="s">
        <v>422</v>
      </c>
      <c r="N1785">
        <v>39.446283000000001</v>
      </c>
      <c r="O1785">
        <v>-110.47026</v>
      </c>
      <c r="P1785">
        <v>5250.2290329999996</v>
      </c>
      <c r="Q1785">
        <v>1332</v>
      </c>
      <c r="R1785">
        <v>0</v>
      </c>
    </row>
    <row r="1786" spans="1:18" x14ac:dyDescent="0.25">
      <c r="A1786">
        <v>1785</v>
      </c>
      <c r="B1786">
        <v>94</v>
      </c>
      <c r="C1786" t="e">
        <f>-IoMK-isHkDvf2Ka7xBCtV</f>
        <v>#NAME?</v>
      </c>
      <c r="D1786" t="s">
        <v>272</v>
      </c>
      <c r="E1786">
        <v>264.08699999999999</v>
      </c>
      <c r="F1786" t="s">
        <v>21</v>
      </c>
      <c r="G1786" t="s">
        <v>26</v>
      </c>
      <c r="H1786" t="s">
        <v>21</v>
      </c>
      <c r="I1786" t="s">
        <v>20</v>
      </c>
      <c r="J1786" t="s">
        <v>20</v>
      </c>
      <c r="K1786" t="s">
        <v>27</v>
      </c>
      <c r="L1786" t="s">
        <v>350</v>
      </c>
      <c r="M1786" t="s">
        <v>174</v>
      </c>
      <c r="N1786">
        <v>39.380287000000003</v>
      </c>
      <c r="O1786">
        <v>-111.58574299999999</v>
      </c>
      <c r="P1786">
        <v>5426.7118049999999</v>
      </c>
      <c r="Q1786">
        <v>1384</v>
      </c>
      <c r="R1786">
        <v>0</v>
      </c>
    </row>
    <row r="1787" spans="1:18" x14ac:dyDescent="0.25">
      <c r="A1787">
        <v>1786</v>
      </c>
      <c r="B1787">
        <v>94</v>
      </c>
      <c r="C1787">
        <v>31714901</v>
      </c>
      <c r="D1787" t="s">
        <v>213</v>
      </c>
      <c r="E1787">
        <v>264.68900000000002</v>
      </c>
      <c r="F1787" t="s">
        <v>21</v>
      </c>
      <c r="G1787" t="s">
        <v>20</v>
      </c>
      <c r="H1787" t="s">
        <v>21</v>
      </c>
      <c r="I1787" t="s">
        <v>20</v>
      </c>
      <c r="J1787" t="s">
        <v>20</v>
      </c>
      <c r="K1787" t="s">
        <v>27</v>
      </c>
      <c r="L1787" t="s">
        <v>158</v>
      </c>
      <c r="M1787" t="s">
        <v>422</v>
      </c>
      <c r="N1787">
        <v>39.438217999999999</v>
      </c>
      <c r="O1787">
        <v>-110.460897</v>
      </c>
      <c r="P1787">
        <v>5292.5032860000001</v>
      </c>
      <c r="Q1787">
        <v>1332</v>
      </c>
      <c r="R1787">
        <v>0</v>
      </c>
    </row>
    <row r="1788" spans="1:18" x14ac:dyDescent="0.25">
      <c r="A1788">
        <v>1787</v>
      </c>
      <c r="B1788">
        <v>94</v>
      </c>
      <c r="C1788" t="s">
        <v>460</v>
      </c>
      <c r="D1788" t="s">
        <v>272</v>
      </c>
      <c r="E1788">
        <v>265.11200000000002</v>
      </c>
      <c r="F1788" t="s">
        <v>21</v>
      </c>
      <c r="G1788" t="s">
        <v>26</v>
      </c>
      <c r="H1788" t="s">
        <v>21</v>
      </c>
      <c r="I1788" t="s">
        <v>20</v>
      </c>
      <c r="J1788" t="s">
        <v>20</v>
      </c>
      <c r="K1788" t="s">
        <v>27</v>
      </c>
      <c r="L1788" t="s">
        <v>350</v>
      </c>
      <c r="M1788" t="s">
        <v>174</v>
      </c>
      <c r="N1788">
        <v>39.393559000000003</v>
      </c>
      <c r="O1788">
        <v>-111.577158</v>
      </c>
      <c r="P1788">
        <v>5467.5947349999997</v>
      </c>
      <c r="Q1788">
        <v>1384</v>
      </c>
      <c r="R1788">
        <v>0</v>
      </c>
    </row>
    <row r="1789" spans="1:18" x14ac:dyDescent="0.25">
      <c r="A1789">
        <v>1788</v>
      </c>
      <c r="B1789">
        <v>94</v>
      </c>
      <c r="C1789">
        <v>31792306</v>
      </c>
      <c r="D1789" t="s">
        <v>61</v>
      </c>
      <c r="E1789">
        <v>2.4649999999999999</v>
      </c>
      <c r="F1789" t="s">
        <v>21</v>
      </c>
      <c r="G1789" t="s">
        <v>26</v>
      </c>
      <c r="H1789" t="s">
        <v>21</v>
      </c>
      <c r="I1789" t="s">
        <v>20</v>
      </c>
      <c r="J1789" t="s">
        <v>20</v>
      </c>
      <c r="K1789" t="s">
        <v>22</v>
      </c>
      <c r="L1789" t="s">
        <v>23</v>
      </c>
      <c r="M1789" t="s">
        <v>62</v>
      </c>
      <c r="N1789">
        <v>40.241743999999997</v>
      </c>
      <c r="O1789">
        <v>-111.658661</v>
      </c>
      <c r="P1789">
        <v>4503.1665999999996</v>
      </c>
      <c r="Q1789">
        <v>403</v>
      </c>
      <c r="R1789">
        <v>0</v>
      </c>
    </row>
    <row r="1790" spans="1:18" x14ac:dyDescent="0.25">
      <c r="A1790">
        <v>1789</v>
      </c>
      <c r="B1790">
        <v>94</v>
      </c>
      <c r="C1790">
        <v>31634543</v>
      </c>
      <c r="D1790" t="s">
        <v>88</v>
      </c>
      <c r="E1790">
        <v>2.4670000000000001</v>
      </c>
      <c r="F1790" t="s">
        <v>21</v>
      </c>
      <c r="G1790" t="s">
        <v>26</v>
      </c>
      <c r="H1790" t="s">
        <v>21</v>
      </c>
      <c r="I1790" t="s">
        <v>20</v>
      </c>
      <c r="J1790" t="s">
        <v>20</v>
      </c>
      <c r="K1790" t="s">
        <v>31</v>
      </c>
      <c r="L1790" t="s">
        <v>89</v>
      </c>
      <c r="M1790" t="s">
        <v>90</v>
      </c>
      <c r="N1790">
        <v>40.522236999999997</v>
      </c>
      <c r="O1790">
        <v>-111.937037</v>
      </c>
      <c r="P1790">
        <v>4372.2175120000002</v>
      </c>
      <c r="Q1790">
        <v>318</v>
      </c>
      <c r="R1790">
        <v>0</v>
      </c>
    </row>
    <row r="1791" spans="1:18" x14ac:dyDescent="0.25">
      <c r="A1791">
        <v>1790</v>
      </c>
      <c r="B1791">
        <v>94</v>
      </c>
      <c r="C1791">
        <v>537861</v>
      </c>
      <c r="D1791" t="s">
        <v>77</v>
      </c>
      <c r="E1791">
        <v>2.472</v>
      </c>
      <c r="F1791" t="s">
        <v>21</v>
      </c>
      <c r="G1791" t="s">
        <v>26</v>
      </c>
      <c r="H1791" t="s">
        <v>21</v>
      </c>
      <c r="I1791" t="s">
        <v>20</v>
      </c>
      <c r="J1791" t="s">
        <v>20</v>
      </c>
      <c r="K1791" t="s">
        <v>31</v>
      </c>
      <c r="L1791" t="s">
        <v>78</v>
      </c>
      <c r="M1791" t="s">
        <v>79</v>
      </c>
      <c r="N1791">
        <v>40.674503000000001</v>
      </c>
      <c r="O1791">
        <v>-112.024719</v>
      </c>
      <c r="P1791">
        <v>4469.6136290000004</v>
      </c>
      <c r="Q1791">
        <v>1436</v>
      </c>
      <c r="R1791">
        <v>0</v>
      </c>
    </row>
    <row r="1792" spans="1:18" x14ac:dyDescent="0.25">
      <c r="A1792">
        <v>1791</v>
      </c>
      <c r="B1792">
        <v>94</v>
      </c>
      <c r="C1792">
        <v>28582628</v>
      </c>
      <c r="D1792" t="s">
        <v>142</v>
      </c>
      <c r="E1792">
        <v>2.4729999999999999</v>
      </c>
      <c r="F1792" t="s">
        <v>21</v>
      </c>
      <c r="G1792" t="s">
        <v>20</v>
      </c>
      <c r="H1792" t="s">
        <v>21</v>
      </c>
      <c r="I1792" t="s">
        <v>20</v>
      </c>
      <c r="J1792" t="s">
        <v>20</v>
      </c>
      <c r="K1792" t="s">
        <v>27</v>
      </c>
      <c r="L1792" t="s">
        <v>143</v>
      </c>
      <c r="M1792" t="s">
        <v>106</v>
      </c>
      <c r="N1792">
        <v>38.919885000000001</v>
      </c>
      <c r="O1792">
        <v>-114.029177</v>
      </c>
      <c r="P1792">
        <v>5217.1128600000002</v>
      </c>
      <c r="Q1792">
        <v>305</v>
      </c>
      <c r="R1792">
        <v>0</v>
      </c>
    </row>
    <row r="1793" spans="1:18" x14ac:dyDescent="0.25">
      <c r="A1793">
        <v>1792</v>
      </c>
      <c r="B1793">
        <v>94</v>
      </c>
      <c r="C1793">
        <v>27344217</v>
      </c>
      <c r="D1793" t="s">
        <v>185</v>
      </c>
      <c r="E1793">
        <v>2.4729999999999999</v>
      </c>
      <c r="F1793" t="s">
        <v>21</v>
      </c>
      <c r="G1793" t="s">
        <v>26</v>
      </c>
      <c r="H1793" t="s">
        <v>21</v>
      </c>
      <c r="I1793" t="s">
        <v>20</v>
      </c>
      <c r="J1793" t="s">
        <v>20</v>
      </c>
      <c r="K1793" t="s">
        <v>41</v>
      </c>
      <c r="L1793" t="s">
        <v>57</v>
      </c>
      <c r="M1793" t="s">
        <v>58</v>
      </c>
      <c r="N1793">
        <v>41.139882</v>
      </c>
      <c r="O1793">
        <v>-112.07360300000001</v>
      </c>
      <c r="P1793">
        <v>4259.306971</v>
      </c>
      <c r="Q1793">
        <v>309</v>
      </c>
      <c r="R1793">
        <v>0</v>
      </c>
    </row>
    <row r="1794" spans="1:18" x14ac:dyDescent="0.25">
      <c r="A1794">
        <v>1793</v>
      </c>
      <c r="B1794">
        <v>94</v>
      </c>
      <c r="C1794">
        <v>1374732</v>
      </c>
      <c r="D1794" t="s">
        <v>437</v>
      </c>
      <c r="E1794">
        <v>2.4740000000000002</v>
      </c>
      <c r="F1794" t="s">
        <v>21</v>
      </c>
      <c r="G1794" t="s">
        <v>26</v>
      </c>
      <c r="H1794" t="s">
        <v>21</v>
      </c>
      <c r="I1794" t="s">
        <v>20</v>
      </c>
      <c r="J1794" t="s">
        <v>20</v>
      </c>
      <c r="K1794" t="s">
        <v>41</v>
      </c>
      <c r="L1794" t="s">
        <v>223</v>
      </c>
      <c r="M1794" t="s">
        <v>43</v>
      </c>
      <c r="N1794">
        <v>41.814526999999998</v>
      </c>
      <c r="O1794">
        <v>-112.116162</v>
      </c>
      <c r="P1794">
        <v>4318.5898429999997</v>
      </c>
      <c r="Q1794">
        <v>1378</v>
      </c>
      <c r="R1794">
        <v>0</v>
      </c>
    </row>
    <row r="1795" spans="1:18" x14ac:dyDescent="0.25">
      <c r="A1795">
        <v>1794</v>
      </c>
      <c r="B1795">
        <v>94</v>
      </c>
      <c r="C1795">
        <v>31556263</v>
      </c>
      <c r="D1795" t="s">
        <v>102</v>
      </c>
      <c r="E1795">
        <v>2.4750000000000001</v>
      </c>
      <c r="F1795" t="s">
        <v>21</v>
      </c>
      <c r="G1795" t="s">
        <v>26</v>
      </c>
      <c r="H1795" t="s">
        <v>21</v>
      </c>
      <c r="I1795" t="s">
        <v>20</v>
      </c>
      <c r="J1795" t="s">
        <v>20</v>
      </c>
      <c r="K1795" t="s">
        <v>27</v>
      </c>
      <c r="L1795" t="s">
        <v>103</v>
      </c>
      <c r="M1795" t="s">
        <v>104</v>
      </c>
      <c r="N1795">
        <v>38.280966999999997</v>
      </c>
      <c r="O1795">
        <v>-112.641334</v>
      </c>
      <c r="P1795">
        <v>5850.3504750000002</v>
      </c>
      <c r="Q1795">
        <v>1430</v>
      </c>
      <c r="R1795">
        <v>0</v>
      </c>
    </row>
    <row r="1796" spans="1:18" x14ac:dyDescent="0.25">
      <c r="A1796">
        <v>1795</v>
      </c>
      <c r="B1796">
        <v>94</v>
      </c>
      <c r="C1796">
        <v>31566726</v>
      </c>
      <c r="D1796" t="s">
        <v>80</v>
      </c>
      <c r="E1796">
        <v>2.476</v>
      </c>
      <c r="F1796" t="s">
        <v>19</v>
      </c>
      <c r="G1796" t="s">
        <v>20</v>
      </c>
      <c r="H1796" t="s">
        <v>19</v>
      </c>
      <c r="I1796">
        <v>204</v>
      </c>
      <c r="J1796" t="s">
        <v>20</v>
      </c>
      <c r="K1796" t="s">
        <v>41</v>
      </c>
      <c r="L1796" t="s">
        <v>81</v>
      </c>
      <c r="M1796" t="s">
        <v>46</v>
      </c>
      <c r="N1796">
        <v>41.231242999999999</v>
      </c>
      <c r="O1796">
        <v>-111.97866</v>
      </c>
      <c r="P1796">
        <v>4234.8576800000001</v>
      </c>
      <c r="Q1796">
        <v>1393</v>
      </c>
      <c r="R1796">
        <v>0</v>
      </c>
    </row>
    <row r="1797" spans="1:18" x14ac:dyDescent="0.25">
      <c r="A1797">
        <v>1796</v>
      </c>
      <c r="B1797">
        <v>94</v>
      </c>
      <c r="C1797" t="e">
        <f>-Iova67-IMPG19B7MkkDxk</f>
        <v>#NAME?</v>
      </c>
      <c r="D1797" t="s">
        <v>272</v>
      </c>
      <c r="E1797">
        <v>368.36200000000002</v>
      </c>
      <c r="F1797" t="s">
        <v>19</v>
      </c>
      <c r="G1797" t="s">
        <v>20</v>
      </c>
      <c r="H1797" t="s">
        <v>21</v>
      </c>
      <c r="I1797" t="s">
        <v>20</v>
      </c>
      <c r="J1797" t="s">
        <v>20</v>
      </c>
      <c r="K1797" t="s">
        <v>31</v>
      </c>
      <c r="L1797" t="s">
        <v>69</v>
      </c>
      <c r="M1797" t="s">
        <v>49</v>
      </c>
      <c r="N1797">
        <v>40.610965999999998</v>
      </c>
      <c r="O1797">
        <v>-111.890715</v>
      </c>
      <c r="P1797">
        <v>4338.9436690000002</v>
      </c>
      <c r="Q1797">
        <v>1384</v>
      </c>
      <c r="R1797">
        <v>0</v>
      </c>
    </row>
    <row r="1798" spans="1:18" x14ac:dyDescent="0.25">
      <c r="A1798">
        <v>1797</v>
      </c>
      <c r="B1798">
        <v>94</v>
      </c>
      <c r="C1798" t="e">
        <f>-IovcfvhGLebuVhvNYRA7V</f>
        <v>#NAME?</v>
      </c>
      <c r="D1798" t="s">
        <v>272</v>
      </c>
      <c r="E1798">
        <v>368.435</v>
      </c>
      <c r="F1798" t="s">
        <v>21</v>
      </c>
      <c r="G1798" t="s">
        <v>26</v>
      </c>
      <c r="H1798" t="s">
        <v>21</v>
      </c>
      <c r="I1798" t="s">
        <v>20</v>
      </c>
      <c r="J1798" t="s">
        <v>20</v>
      </c>
      <c r="K1798" t="s">
        <v>31</v>
      </c>
      <c r="L1798" t="s">
        <v>69</v>
      </c>
      <c r="M1798" t="s">
        <v>49</v>
      </c>
      <c r="N1798">
        <v>40.612048000000001</v>
      </c>
      <c r="O1798">
        <v>-111.89070100000001</v>
      </c>
      <c r="P1798">
        <v>4336.7919680000005</v>
      </c>
      <c r="Q1798">
        <v>1384</v>
      </c>
      <c r="R1798">
        <v>0</v>
      </c>
    </row>
    <row r="1799" spans="1:18" x14ac:dyDescent="0.25">
      <c r="A1799">
        <v>1798</v>
      </c>
      <c r="B1799">
        <v>94</v>
      </c>
      <c r="C1799" t="e">
        <f>-IovdfahFteDV1kUTdj0FF</f>
        <v>#NAME?</v>
      </c>
      <c r="D1799" t="s">
        <v>272</v>
      </c>
      <c r="E1799">
        <v>368.49400000000003</v>
      </c>
      <c r="F1799" t="s">
        <v>21</v>
      </c>
      <c r="G1799" t="s">
        <v>26</v>
      </c>
      <c r="H1799" t="s">
        <v>21</v>
      </c>
      <c r="I1799" t="s">
        <v>20</v>
      </c>
      <c r="J1799" t="s">
        <v>20</v>
      </c>
      <c r="K1799" t="s">
        <v>31</v>
      </c>
      <c r="L1799" t="s">
        <v>69</v>
      </c>
      <c r="M1799" t="s">
        <v>49</v>
      </c>
      <c r="N1799">
        <v>40.612904999999998</v>
      </c>
      <c r="O1799">
        <v>-111.890687</v>
      </c>
      <c r="P1799">
        <v>4335.7560700000004</v>
      </c>
      <c r="Q1799">
        <v>1384</v>
      </c>
      <c r="R1799">
        <v>0</v>
      </c>
    </row>
    <row r="1800" spans="1:18" x14ac:dyDescent="0.25">
      <c r="A1800">
        <v>1799</v>
      </c>
      <c r="B1800">
        <v>94</v>
      </c>
      <c r="C1800" t="s">
        <v>461</v>
      </c>
      <c r="D1800" t="s">
        <v>272</v>
      </c>
      <c r="E1800">
        <v>294.26900000000001</v>
      </c>
      <c r="F1800" t="s">
        <v>21</v>
      </c>
      <c r="G1800" t="s">
        <v>26</v>
      </c>
      <c r="H1800" t="s">
        <v>21</v>
      </c>
      <c r="I1800" t="s">
        <v>20</v>
      </c>
      <c r="J1800" t="s">
        <v>20</v>
      </c>
      <c r="K1800" t="s">
        <v>27</v>
      </c>
      <c r="L1800" t="s">
        <v>230</v>
      </c>
      <c r="M1800" t="s">
        <v>174</v>
      </c>
      <c r="N1800">
        <v>39.774081000000002</v>
      </c>
      <c r="O1800">
        <v>-111.488963</v>
      </c>
      <c r="P1800">
        <v>5912.4052620000002</v>
      </c>
      <c r="Q1800">
        <v>1384</v>
      </c>
      <c r="R1800">
        <v>0</v>
      </c>
    </row>
    <row r="1801" spans="1:18" x14ac:dyDescent="0.25">
      <c r="A1801">
        <v>1800</v>
      </c>
      <c r="B1801">
        <v>94</v>
      </c>
      <c r="C1801" t="s">
        <v>462</v>
      </c>
      <c r="D1801" t="s">
        <v>272</v>
      </c>
      <c r="E1801">
        <v>371.76400000000001</v>
      </c>
      <c r="F1801" t="s">
        <v>21</v>
      </c>
      <c r="G1801" t="s">
        <v>20</v>
      </c>
      <c r="H1801" t="s">
        <v>21</v>
      </c>
      <c r="I1801" t="s">
        <v>20</v>
      </c>
      <c r="J1801" t="s">
        <v>20</v>
      </c>
      <c r="K1801" t="s">
        <v>31</v>
      </c>
      <c r="L1801" t="s">
        <v>69</v>
      </c>
      <c r="M1801" t="s">
        <v>49</v>
      </c>
      <c r="N1801">
        <v>40.660353000000001</v>
      </c>
      <c r="O1801">
        <v>-111.888306</v>
      </c>
      <c r="P1801">
        <v>4223.4878790000002</v>
      </c>
      <c r="Q1801">
        <v>1384</v>
      </c>
      <c r="R1801">
        <v>0</v>
      </c>
    </row>
    <row r="1802" spans="1:18" x14ac:dyDescent="0.25">
      <c r="A1802">
        <v>1801</v>
      </c>
      <c r="B1802">
        <v>94</v>
      </c>
      <c r="C1802" t="e">
        <f>-Ip-WhUDHFmndspjFITEmV</f>
        <v>#NAME?</v>
      </c>
      <c r="D1802" t="s">
        <v>272</v>
      </c>
      <c r="E1802">
        <v>371.83</v>
      </c>
      <c r="F1802" t="s">
        <v>21</v>
      </c>
      <c r="G1802" t="s">
        <v>26</v>
      </c>
      <c r="H1802" t="s">
        <v>21</v>
      </c>
      <c r="I1802" t="s">
        <v>20</v>
      </c>
      <c r="J1802" t="s">
        <v>20</v>
      </c>
      <c r="K1802" t="s">
        <v>31</v>
      </c>
      <c r="L1802" t="s">
        <v>69</v>
      </c>
      <c r="M1802" t="s">
        <v>49</v>
      </c>
      <c r="N1802">
        <v>40.661316999999997</v>
      </c>
      <c r="O1802">
        <v>-111.888311</v>
      </c>
      <c r="P1802">
        <v>4224.438247</v>
      </c>
      <c r="Q1802">
        <v>1384</v>
      </c>
      <c r="R1802">
        <v>0</v>
      </c>
    </row>
    <row r="1803" spans="1:18" x14ac:dyDescent="0.25">
      <c r="A1803">
        <v>1802</v>
      </c>
      <c r="B1803">
        <v>94</v>
      </c>
      <c r="C1803" t="e">
        <f>-Ip-WsqJHlyMTeLuN-ATqk</f>
        <v>#NAME?</v>
      </c>
      <c r="D1803" t="s">
        <v>272</v>
      </c>
      <c r="E1803">
        <v>371.93900000000002</v>
      </c>
      <c r="F1803" t="s">
        <v>21</v>
      </c>
      <c r="G1803" t="s">
        <v>26</v>
      </c>
      <c r="H1803" t="s">
        <v>21</v>
      </c>
      <c r="I1803" t="s">
        <v>20</v>
      </c>
      <c r="J1803" t="s">
        <v>20</v>
      </c>
      <c r="K1803" t="s">
        <v>31</v>
      </c>
      <c r="L1803" t="s">
        <v>69</v>
      </c>
      <c r="M1803" t="s">
        <v>49</v>
      </c>
      <c r="N1803">
        <v>40.662906</v>
      </c>
      <c r="O1803">
        <v>-111.888227</v>
      </c>
      <c r="P1803">
        <v>4232.7973140000004</v>
      </c>
      <c r="Q1803">
        <v>1384</v>
      </c>
      <c r="R1803">
        <v>0</v>
      </c>
    </row>
    <row r="1804" spans="1:18" x14ac:dyDescent="0.25">
      <c r="A1804">
        <v>1803</v>
      </c>
      <c r="B1804">
        <v>94</v>
      </c>
      <c r="C1804" t="e">
        <f>-Ip-Z4wWFQasSBb0dA5E7V</f>
        <v>#NAME?</v>
      </c>
      <c r="D1804" t="s">
        <v>272</v>
      </c>
      <c r="E1804">
        <v>372.03899999999999</v>
      </c>
      <c r="F1804" t="s">
        <v>19</v>
      </c>
      <c r="G1804" t="s">
        <v>20</v>
      </c>
      <c r="H1804" t="s">
        <v>21</v>
      </c>
      <c r="I1804" t="s">
        <v>20</v>
      </c>
      <c r="J1804" t="s">
        <v>20</v>
      </c>
      <c r="K1804" t="s">
        <v>31</v>
      </c>
      <c r="L1804" t="s">
        <v>69</v>
      </c>
      <c r="M1804" t="s">
        <v>49</v>
      </c>
      <c r="N1804">
        <v>40.664366000000001</v>
      </c>
      <c r="O1804">
        <v>-111.88831399999999</v>
      </c>
      <c r="P1804">
        <v>4242.6790360000005</v>
      </c>
      <c r="Q1804">
        <v>1384</v>
      </c>
      <c r="R1804">
        <v>0</v>
      </c>
    </row>
    <row r="1805" spans="1:18" x14ac:dyDescent="0.25">
      <c r="A1805">
        <v>1804</v>
      </c>
      <c r="B1805">
        <v>94</v>
      </c>
      <c r="C1805" t="s">
        <v>463</v>
      </c>
      <c r="D1805" t="s">
        <v>272</v>
      </c>
      <c r="E1805">
        <v>372.12099999999998</v>
      </c>
      <c r="F1805" t="s">
        <v>21</v>
      </c>
      <c r="G1805" t="s">
        <v>26</v>
      </c>
      <c r="H1805" t="s">
        <v>21</v>
      </c>
      <c r="I1805" t="s">
        <v>20</v>
      </c>
      <c r="J1805" t="s">
        <v>20</v>
      </c>
      <c r="K1805" t="s">
        <v>31</v>
      </c>
      <c r="L1805" t="s">
        <v>69</v>
      </c>
      <c r="M1805" t="s">
        <v>49</v>
      </c>
      <c r="N1805">
        <v>40.665559000000002</v>
      </c>
      <c r="O1805">
        <v>-111.888321</v>
      </c>
      <c r="P1805">
        <v>4246.7393629999997</v>
      </c>
      <c r="Q1805">
        <v>1384</v>
      </c>
      <c r="R1805">
        <v>0</v>
      </c>
    </row>
    <row r="1806" spans="1:18" x14ac:dyDescent="0.25">
      <c r="A1806">
        <v>1805</v>
      </c>
      <c r="B1806">
        <v>94</v>
      </c>
      <c r="C1806" t="e">
        <f>-Ip-ci69GvmfdbLmYhOJHk</f>
        <v>#NAME?</v>
      </c>
      <c r="D1806" t="s">
        <v>272</v>
      </c>
      <c r="E1806">
        <v>372.21699999999998</v>
      </c>
      <c r="F1806" t="s">
        <v>19</v>
      </c>
      <c r="G1806" t="s">
        <v>20</v>
      </c>
      <c r="H1806" t="s">
        <v>21</v>
      </c>
      <c r="I1806" t="s">
        <v>20</v>
      </c>
      <c r="J1806" t="s">
        <v>20</v>
      </c>
      <c r="K1806" t="s">
        <v>31</v>
      </c>
      <c r="L1806" t="s">
        <v>69</v>
      </c>
      <c r="M1806" t="s">
        <v>49</v>
      </c>
      <c r="N1806">
        <v>40.666960000000003</v>
      </c>
      <c r="O1806">
        <v>-111.88830400000001</v>
      </c>
      <c r="P1806">
        <v>4245.3245880000004</v>
      </c>
      <c r="Q1806">
        <v>1384</v>
      </c>
      <c r="R1806">
        <v>0</v>
      </c>
    </row>
    <row r="1807" spans="1:18" x14ac:dyDescent="0.25">
      <c r="A1807">
        <v>1806</v>
      </c>
      <c r="B1807">
        <v>94</v>
      </c>
      <c r="C1807">
        <v>31588112</v>
      </c>
      <c r="D1807" t="s">
        <v>288</v>
      </c>
      <c r="E1807">
        <v>372.28</v>
      </c>
      <c r="F1807" t="s">
        <v>21</v>
      </c>
      <c r="G1807" t="s">
        <v>26</v>
      </c>
      <c r="H1807" t="s">
        <v>21</v>
      </c>
      <c r="I1807" t="s">
        <v>20</v>
      </c>
      <c r="J1807" t="s">
        <v>20</v>
      </c>
      <c r="K1807" t="s">
        <v>22</v>
      </c>
      <c r="L1807" t="s">
        <v>234</v>
      </c>
      <c r="M1807" t="s">
        <v>98</v>
      </c>
      <c r="N1807">
        <v>40.677053999999998</v>
      </c>
      <c r="O1807">
        <v>-109.48576300000001</v>
      </c>
      <c r="P1807">
        <v>8194.8683529999998</v>
      </c>
      <c r="Q1807">
        <v>350</v>
      </c>
      <c r="R1807">
        <v>0</v>
      </c>
    </row>
    <row r="1808" spans="1:18" x14ac:dyDescent="0.25">
      <c r="A1808">
        <v>1807</v>
      </c>
      <c r="B1808">
        <v>94</v>
      </c>
      <c r="C1808" t="s">
        <v>464</v>
      </c>
      <c r="D1808" t="s">
        <v>272</v>
      </c>
      <c r="E1808">
        <v>372.339</v>
      </c>
      <c r="F1808" t="s">
        <v>21</v>
      </c>
      <c r="G1808" t="s">
        <v>26</v>
      </c>
      <c r="H1808" t="s">
        <v>21</v>
      </c>
      <c r="I1808" t="s">
        <v>20</v>
      </c>
      <c r="J1808" t="s">
        <v>20</v>
      </c>
      <c r="K1808" t="s">
        <v>31</v>
      </c>
      <c r="L1808" t="s">
        <v>69</v>
      </c>
      <c r="M1808" t="s">
        <v>49</v>
      </c>
      <c r="N1808">
        <v>40.668748000000001</v>
      </c>
      <c r="O1808">
        <v>-111.888306</v>
      </c>
      <c r="P1808">
        <v>4240.485925</v>
      </c>
      <c r="Q1808">
        <v>1384</v>
      </c>
      <c r="R1808">
        <v>0</v>
      </c>
    </row>
    <row r="1809" spans="1:18" x14ac:dyDescent="0.25">
      <c r="A1809">
        <v>1808</v>
      </c>
      <c r="B1809">
        <v>94</v>
      </c>
      <c r="C1809" t="e">
        <f>-Ip-exUQFcDkTHb2Naxt9F</f>
        <v>#NAME?</v>
      </c>
      <c r="D1809" t="s">
        <v>272</v>
      </c>
      <c r="E1809">
        <v>372.416</v>
      </c>
      <c r="F1809" t="s">
        <v>21</v>
      </c>
      <c r="G1809" t="s">
        <v>26</v>
      </c>
      <c r="H1809" t="s">
        <v>21</v>
      </c>
      <c r="I1809" t="s">
        <v>20</v>
      </c>
      <c r="J1809" t="s">
        <v>20</v>
      </c>
      <c r="K1809" t="s">
        <v>31</v>
      </c>
      <c r="L1809" t="s">
        <v>69</v>
      </c>
      <c r="M1809" t="s">
        <v>49</v>
      </c>
      <c r="N1809">
        <v>40.669865000000001</v>
      </c>
      <c r="O1809">
        <v>-111.888301</v>
      </c>
      <c r="P1809">
        <v>4239.3183360000003</v>
      </c>
      <c r="Q1809">
        <v>1384</v>
      </c>
      <c r="R1809">
        <v>0</v>
      </c>
    </row>
    <row r="1810" spans="1:18" x14ac:dyDescent="0.25">
      <c r="A1810">
        <v>1809</v>
      </c>
      <c r="B1810">
        <v>94</v>
      </c>
      <c r="C1810" t="s">
        <v>465</v>
      </c>
      <c r="D1810" t="s">
        <v>272</v>
      </c>
      <c r="E1810">
        <v>372.45</v>
      </c>
      <c r="F1810" t="s">
        <v>21</v>
      </c>
      <c r="G1810" t="s">
        <v>26</v>
      </c>
      <c r="H1810" t="s">
        <v>21</v>
      </c>
      <c r="I1810" t="s">
        <v>20</v>
      </c>
      <c r="J1810" t="s">
        <v>20</v>
      </c>
      <c r="K1810" t="s">
        <v>31</v>
      </c>
      <c r="L1810" t="s">
        <v>69</v>
      </c>
      <c r="M1810" t="s">
        <v>49</v>
      </c>
      <c r="N1810">
        <v>40.670363000000002</v>
      </c>
      <c r="O1810">
        <v>-111.888215</v>
      </c>
      <c r="P1810">
        <v>4238.5063760000003</v>
      </c>
      <c r="Q1810">
        <v>1384</v>
      </c>
      <c r="R1810">
        <v>0</v>
      </c>
    </row>
    <row r="1811" spans="1:18" x14ac:dyDescent="0.25">
      <c r="A1811">
        <v>1810</v>
      </c>
      <c r="B1811">
        <v>94</v>
      </c>
      <c r="C1811" t="e">
        <f>-Ip-fweTHcXZh6LMDlaiyF</f>
        <v>#NAME?</v>
      </c>
      <c r="D1811" t="s">
        <v>272</v>
      </c>
      <c r="E1811">
        <v>372.55700000000002</v>
      </c>
      <c r="F1811" t="s">
        <v>21</v>
      </c>
      <c r="G1811" t="s">
        <v>26</v>
      </c>
      <c r="H1811" t="s">
        <v>21</v>
      </c>
      <c r="I1811" t="s">
        <v>20</v>
      </c>
      <c r="J1811" t="s">
        <v>20</v>
      </c>
      <c r="K1811" t="s">
        <v>31</v>
      </c>
      <c r="L1811" t="s">
        <v>69</v>
      </c>
      <c r="M1811" t="s">
        <v>49</v>
      </c>
      <c r="N1811">
        <v>40.671933000000003</v>
      </c>
      <c r="O1811">
        <v>-111.8883</v>
      </c>
      <c r="P1811">
        <v>4233.9259039999997</v>
      </c>
      <c r="Q1811">
        <v>1384</v>
      </c>
      <c r="R1811">
        <v>0</v>
      </c>
    </row>
    <row r="1812" spans="1:18" x14ac:dyDescent="0.25">
      <c r="A1812">
        <v>1811</v>
      </c>
      <c r="B1812">
        <v>94</v>
      </c>
      <c r="C1812" t="e">
        <f>-Ip-gtV1F9yqdComRrPSmV</f>
        <v>#NAME?</v>
      </c>
      <c r="D1812" t="s">
        <v>272</v>
      </c>
      <c r="E1812">
        <v>372.72300000000001</v>
      </c>
      <c r="F1812" t="s">
        <v>19</v>
      </c>
      <c r="G1812" t="s">
        <v>20</v>
      </c>
      <c r="H1812" t="s">
        <v>19</v>
      </c>
      <c r="I1812">
        <v>266</v>
      </c>
      <c r="J1812" t="s">
        <v>20</v>
      </c>
      <c r="K1812" t="s">
        <v>31</v>
      </c>
      <c r="L1812" t="s">
        <v>69</v>
      </c>
      <c r="M1812" t="s">
        <v>49</v>
      </c>
      <c r="N1812">
        <v>40.674357999999998</v>
      </c>
      <c r="O1812">
        <v>-111.8883</v>
      </c>
      <c r="P1812">
        <v>4225.7066279999999</v>
      </c>
      <c r="Q1812">
        <v>1384</v>
      </c>
      <c r="R1812">
        <v>0</v>
      </c>
    </row>
    <row r="1813" spans="1:18" x14ac:dyDescent="0.25">
      <c r="A1813">
        <v>1812</v>
      </c>
      <c r="B1813">
        <v>94</v>
      </c>
      <c r="C1813" t="e">
        <f>-Ip-qUbXFm9q_eeM95r3WV</f>
        <v>#NAME?</v>
      </c>
      <c r="D1813" t="s">
        <v>272</v>
      </c>
      <c r="E1813">
        <v>372.82400000000001</v>
      </c>
      <c r="F1813" t="s">
        <v>21</v>
      </c>
      <c r="G1813" t="s">
        <v>26</v>
      </c>
      <c r="H1813" t="s">
        <v>21</v>
      </c>
      <c r="I1813" t="s">
        <v>20</v>
      </c>
      <c r="J1813" t="s">
        <v>20</v>
      </c>
      <c r="K1813" t="s">
        <v>31</v>
      </c>
      <c r="L1813" t="s">
        <v>69</v>
      </c>
      <c r="M1813" t="s">
        <v>49</v>
      </c>
      <c r="N1813">
        <v>40.675829999999998</v>
      </c>
      <c r="O1813">
        <v>-111.888277</v>
      </c>
      <c r="P1813">
        <v>4223.731401</v>
      </c>
      <c r="Q1813">
        <v>1384</v>
      </c>
      <c r="R1813">
        <v>0</v>
      </c>
    </row>
    <row r="1814" spans="1:18" x14ac:dyDescent="0.25">
      <c r="A1814">
        <v>1813</v>
      </c>
      <c r="B1814">
        <v>94</v>
      </c>
      <c r="C1814" t="e">
        <f>-Ip-rotoF7HGMP3Prc8rlF</f>
        <v>#NAME?</v>
      </c>
      <c r="D1814" t="s">
        <v>272</v>
      </c>
      <c r="E1814">
        <v>372.97300000000001</v>
      </c>
      <c r="F1814" t="s">
        <v>21</v>
      </c>
      <c r="G1814" t="s">
        <v>26</v>
      </c>
      <c r="H1814" t="s">
        <v>21</v>
      </c>
      <c r="I1814" t="s">
        <v>20</v>
      </c>
      <c r="J1814" t="s">
        <v>20</v>
      </c>
      <c r="K1814" t="s">
        <v>31</v>
      </c>
      <c r="L1814" t="s">
        <v>69</v>
      </c>
      <c r="M1814" t="s">
        <v>49</v>
      </c>
      <c r="N1814">
        <v>40.678001999999999</v>
      </c>
      <c r="O1814">
        <v>-111.888296</v>
      </c>
      <c r="P1814">
        <v>4216.0713519999999</v>
      </c>
      <c r="Q1814">
        <v>1384</v>
      </c>
      <c r="R1814">
        <v>0</v>
      </c>
    </row>
    <row r="1815" spans="1:18" x14ac:dyDescent="0.25">
      <c r="A1815">
        <v>1814</v>
      </c>
      <c r="B1815">
        <v>94</v>
      </c>
      <c r="C1815" t="e">
        <f>-Ip-s2dwHfy5AznkK7YKIF</f>
        <v>#NAME?</v>
      </c>
      <c r="D1815" t="s">
        <v>272</v>
      </c>
      <c r="E1815">
        <v>373.13299999999998</v>
      </c>
      <c r="F1815" t="s">
        <v>21</v>
      </c>
      <c r="G1815" t="s">
        <v>26</v>
      </c>
      <c r="H1815" t="s">
        <v>21</v>
      </c>
      <c r="I1815" t="s">
        <v>20</v>
      </c>
      <c r="J1815" t="s">
        <v>20</v>
      </c>
      <c r="K1815" t="s">
        <v>31</v>
      </c>
      <c r="L1815" t="s">
        <v>69</v>
      </c>
      <c r="M1815" t="s">
        <v>49</v>
      </c>
      <c r="N1815">
        <v>40.680337000000002</v>
      </c>
      <c r="O1815">
        <v>-111.888274</v>
      </c>
      <c r="P1815">
        <v>4207.2283930000003</v>
      </c>
      <c r="Q1815">
        <v>1384</v>
      </c>
      <c r="R1815">
        <v>0</v>
      </c>
    </row>
    <row r="1816" spans="1:18" x14ac:dyDescent="0.25">
      <c r="A1816">
        <v>1815</v>
      </c>
      <c r="B1816">
        <v>94</v>
      </c>
      <c r="C1816" t="s">
        <v>466</v>
      </c>
      <c r="D1816" t="s">
        <v>272</v>
      </c>
      <c r="E1816">
        <v>373.18700000000001</v>
      </c>
      <c r="F1816" t="s">
        <v>21</v>
      </c>
      <c r="G1816" t="s">
        <v>26</v>
      </c>
      <c r="H1816" t="s">
        <v>21</v>
      </c>
      <c r="I1816" t="s">
        <v>20</v>
      </c>
      <c r="J1816" t="s">
        <v>20</v>
      </c>
      <c r="K1816" t="s">
        <v>31</v>
      </c>
      <c r="L1816" t="s">
        <v>69</v>
      </c>
      <c r="M1816" t="s">
        <v>49</v>
      </c>
      <c r="N1816">
        <v>40.681131000000001</v>
      </c>
      <c r="O1816">
        <v>-111.888296</v>
      </c>
      <c r="P1816">
        <v>4207.208224</v>
      </c>
      <c r="Q1816">
        <v>1384</v>
      </c>
      <c r="R1816">
        <v>0</v>
      </c>
    </row>
    <row r="1817" spans="1:18" x14ac:dyDescent="0.25">
      <c r="A1817">
        <v>1816</v>
      </c>
      <c r="B1817">
        <v>94</v>
      </c>
      <c r="C1817" t="s">
        <v>467</v>
      </c>
      <c r="D1817" t="s">
        <v>272</v>
      </c>
      <c r="E1817">
        <v>373.25700000000001</v>
      </c>
      <c r="F1817" t="s">
        <v>21</v>
      </c>
      <c r="G1817" t="s">
        <v>26</v>
      </c>
      <c r="H1817" t="s">
        <v>21</v>
      </c>
      <c r="I1817" t="s">
        <v>20</v>
      </c>
      <c r="J1817" t="s">
        <v>20</v>
      </c>
      <c r="K1817" t="s">
        <v>31</v>
      </c>
      <c r="L1817" t="s">
        <v>69</v>
      </c>
      <c r="M1817" t="s">
        <v>49</v>
      </c>
      <c r="N1817">
        <v>40.682161000000001</v>
      </c>
      <c r="O1817">
        <v>-111.888279</v>
      </c>
      <c r="P1817">
        <v>4207.3176249999997</v>
      </c>
      <c r="Q1817">
        <v>1384</v>
      </c>
      <c r="R1817">
        <v>0</v>
      </c>
    </row>
    <row r="1818" spans="1:18" x14ac:dyDescent="0.25">
      <c r="A1818">
        <v>1817</v>
      </c>
      <c r="B1818">
        <v>94</v>
      </c>
      <c r="C1818">
        <v>28626359</v>
      </c>
      <c r="D1818" t="s">
        <v>142</v>
      </c>
      <c r="E1818">
        <v>26.797999999999998</v>
      </c>
      <c r="F1818" t="s">
        <v>21</v>
      </c>
      <c r="G1818" t="s">
        <v>26</v>
      </c>
      <c r="H1818" t="s">
        <v>21</v>
      </c>
      <c r="I1818" t="s">
        <v>20</v>
      </c>
      <c r="J1818" t="s">
        <v>20</v>
      </c>
      <c r="K1818" t="s">
        <v>27</v>
      </c>
      <c r="L1818" t="s">
        <v>143</v>
      </c>
      <c r="M1818" t="s">
        <v>106</v>
      </c>
      <c r="N1818">
        <v>38.608345</v>
      </c>
      <c r="O1818">
        <v>-113.835247</v>
      </c>
      <c r="P1818">
        <v>5958.4382969999997</v>
      </c>
      <c r="Q1818">
        <v>305</v>
      </c>
      <c r="R1818">
        <v>0</v>
      </c>
    </row>
    <row r="1819" spans="1:18" x14ac:dyDescent="0.25">
      <c r="A1819">
        <v>1818</v>
      </c>
      <c r="B1819">
        <v>94</v>
      </c>
      <c r="C1819">
        <v>558387</v>
      </c>
      <c r="D1819" t="s">
        <v>115</v>
      </c>
      <c r="E1819">
        <v>2.8650000000000002</v>
      </c>
      <c r="F1819" t="s">
        <v>21</v>
      </c>
      <c r="G1819" t="s">
        <v>26</v>
      </c>
      <c r="H1819" t="s">
        <v>21</v>
      </c>
      <c r="I1819" t="s">
        <v>20</v>
      </c>
      <c r="J1819" t="s">
        <v>20</v>
      </c>
      <c r="K1819" t="s">
        <v>31</v>
      </c>
      <c r="L1819" t="s">
        <v>48</v>
      </c>
      <c r="M1819" t="s">
        <v>70</v>
      </c>
      <c r="N1819">
        <v>40.653035000000003</v>
      </c>
      <c r="O1819">
        <v>-112.02243199999999</v>
      </c>
      <c r="P1819">
        <v>4698.7174279999999</v>
      </c>
      <c r="Q1819">
        <v>1437</v>
      </c>
      <c r="R1819">
        <v>0</v>
      </c>
    </row>
    <row r="1820" spans="1:18" x14ac:dyDescent="0.25">
      <c r="A1820">
        <v>1819</v>
      </c>
      <c r="B1820">
        <v>94</v>
      </c>
      <c r="C1820">
        <v>31508647</v>
      </c>
      <c r="D1820" t="s">
        <v>132</v>
      </c>
      <c r="E1820">
        <v>2.8679999999999999</v>
      </c>
      <c r="F1820" t="s">
        <v>21</v>
      </c>
      <c r="G1820" t="s">
        <v>20</v>
      </c>
      <c r="H1820" t="s">
        <v>21</v>
      </c>
      <c r="I1820" t="s">
        <v>20</v>
      </c>
      <c r="J1820" t="s">
        <v>20</v>
      </c>
      <c r="K1820" t="s">
        <v>22</v>
      </c>
      <c r="L1820" t="s">
        <v>133</v>
      </c>
      <c r="M1820" t="s">
        <v>134</v>
      </c>
      <c r="N1820">
        <v>40.331023999999999</v>
      </c>
      <c r="O1820">
        <v>-110.02036699999999</v>
      </c>
      <c r="P1820">
        <v>5202.5809490000001</v>
      </c>
      <c r="Q1820">
        <v>1405</v>
      </c>
      <c r="R1820">
        <v>0</v>
      </c>
    </row>
    <row r="1821" spans="1:18" x14ac:dyDescent="0.25">
      <c r="A1821">
        <v>1820</v>
      </c>
      <c r="B1821">
        <v>94</v>
      </c>
      <c r="C1821">
        <v>27368775</v>
      </c>
      <c r="D1821" t="s">
        <v>185</v>
      </c>
      <c r="E1821">
        <v>2.8679999999999999</v>
      </c>
      <c r="F1821" t="s">
        <v>21</v>
      </c>
      <c r="G1821" t="s">
        <v>26</v>
      </c>
      <c r="H1821" t="s">
        <v>21</v>
      </c>
      <c r="I1821" t="s">
        <v>20</v>
      </c>
      <c r="J1821" t="s">
        <v>20</v>
      </c>
      <c r="K1821" t="s">
        <v>41</v>
      </c>
      <c r="L1821" t="s">
        <v>57</v>
      </c>
      <c r="M1821" t="s">
        <v>58</v>
      </c>
      <c r="N1821">
        <v>41.139890000000001</v>
      </c>
      <c r="O1821">
        <v>-112.081152</v>
      </c>
      <c r="P1821">
        <v>4241.2531909999998</v>
      </c>
      <c r="Q1821">
        <v>309</v>
      </c>
      <c r="R1821">
        <v>0</v>
      </c>
    </row>
    <row r="1822" spans="1:18" x14ac:dyDescent="0.25">
      <c r="A1822">
        <v>1821</v>
      </c>
      <c r="B1822">
        <v>94</v>
      </c>
      <c r="C1822">
        <v>560437</v>
      </c>
      <c r="D1822" t="s">
        <v>47</v>
      </c>
      <c r="E1822">
        <v>2.8690000000000002</v>
      </c>
      <c r="F1822" t="s">
        <v>19</v>
      </c>
      <c r="G1822" t="s">
        <v>20</v>
      </c>
      <c r="H1822" t="s">
        <v>21</v>
      </c>
      <c r="I1822" t="s">
        <v>20</v>
      </c>
      <c r="J1822" t="s">
        <v>20</v>
      </c>
      <c r="K1822" t="s">
        <v>31</v>
      </c>
      <c r="L1822" t="s">
        <v>89</v>
      </c>
      <c r="M1822" t="s">
        <v>49</v>
      </c>
      <c r="N1822">
        <v>40.544155000000003</v>
      </c>
      <c r="O1822">
        <v>-111.92916200000001</v>
      </c>
      <c r="P1822">
        <v>4340.4340579999998</v>
      </c>
      <c r="Q1822">
        <v>6715</v>
      </c>
      <c r="R1822">
        <v>0</v>
      </c>
    </row>
    <row r="1823" spans="1:18" x14ac:dyDescent="0.25">
      <c r="A1823">
        <v>1822</v>
      </c>
      <c r="B1823">
        <v>94</v>
      </c>
      <c r="C1823">
        <v>31310688</v>
      </c>
      <c r="D1823" t="s">
        <v>40</v>
      </c>
      <c r="E1823">
        <v>2.8740000000000001</v>
      </c>
      <c r="F1823" t="s">
        <v>21</v>
      </c>
      <c r="G1823" t="s">
        <v>26</v>
      </c>
      <c r="H1823" t="s">
        <v>21</v>
      </c>
      <c r="I1823" t="s">
        <v>20</v>
      </c>
      <c r="J1823" t="s">
        <v>20</v>
      </c>
      <c r="K1823" t="s">
        <v>41</v>
      </c>
      <c r="L1823" t="s">
        <v>42</v>
      </c>
      <c r="M1823" t="s">
        <v>43</v>
      </c>
      <c r="N1823">
        <v>41.640962000000002</v>
      </c>
      <c r="O1823">
        <v>-111.88274199999999</v>
      </c>
      <c r="P1823">
        <v>4548.3567919999996</v>
      </c>
      <c r="Q1823">
        <v>1391</v>
      </c>
      <c r="R1823">
        <v>0</v>
      </c>
    </row>
    <row r="1824" spans="1:18" x14ac:dyDescent="0.25">
      <c r="A1824">
        <v>1823</v>
      </c>
      <c r="B1824">
        <v>94</v>
      </c>
      <c r="C1824">
        <v>31660714</v>
      </c>
      <c r="D1824" t="s">
        <v>187</v>
      </c>
      <c r="E1824">
        <v>2.8740000000000001</v>
      </c>
      <c r="F1824" t="s">
        <v>21</v>
      </c>
      <c r="G1824" t="s">
        <v>26</v>
      </c>
      <c r="H1824" t="s">
        <v>21</v>
      </c>
      <c r="I1824" t="s">
        <v>20</v>
      </c>
      <c r="J1824" t="s">
        <v>20</v>
      </c>
      <c r="K1824" t="s">
        <v>31</v>
      </c>
      <c r="L1824" t="s">
        <v>188</v>
      </c>
      <c r="M1824" t="s">
        <v>90</v>
      </c>
      <c r="N1824">
        <v>40.768053999999999</v>
      </c>
      <c r="O1824">
        <v>-111.84728699999999</v>
      </c>
      <c r="P1824">
        <v>4676.1092989999997</v>
      </c>
      <c r="Q1824">
        <v>435</v>
      </c>
      <c r="R1824">
        <v>0</v>
      </c>
    </row>
    <row r="1825" spans="1:18" x14ac:dyDescent="0.25">
      <c r="A1825">
        <v>1824</v>
      </c>
      <c r="B1825">
        <v>94</v>
      </c>
      <c r="C1825">
        <v>31476026</v>
      </c>
      <c r="D1825" t="s">
        <v>213</v>
      </c>
      <c r="E1825">
        <v>33.11</v>
      </c>
      <c r="F1825" t="s">
        <v>21</v>
      </c>
      <c r="G1825" t="s">
        <v>26</v>
      </c>
      <c r="H1825" t="s">
        <v>21</v>
      </c>
      <c r="I1825" t="s">
        <v>20</v>
      </c>
      <c r="J1825" t="s">
        <v>20</v>
      </c>
      <c r="K1825" t="s">
        <v>27</v>
      </c>
      <c r="L1825" t="s">
        <v>173</v>
      </c>
      <c r="M1825" t="s">
        <v>214</v>
      </c>
      <c r="N1825">
        <v>39.069333</v>
      </c>
      <c r="O1825">
        <v>-113.458703</v>
      </c>
      <c r="P1825">
        <v>4450.7690490000005</v>
      </c>
      <c r="Q1825">
        <v>1332</v>
      </c>
      <c r="R1825">
        <v>0</v>
      </c>
    </row>
    <row r="1826" spans="1:18" x14ac:dyDescent="0.25">
      <c r="A1826">
        <v>1825</v>
      </c>
      <c r="B1826">
        <v>94</v>
      </c>
      <c r="C1826">
        <v>31572468</v>
      </c>
      <c r="D1826" t="s">
        <v>172</v>
      </c>
      <c r="E1826">
        <v>33.119</v>
      </c>
      <c r="F1826" t="s">
        <v>21</v>
      </c>
      <c r="G1826" t="s">
        <v>26</v>
      </c>
      <c r="H1826" t="s">
        <v>21</v>
      </c>
      <c r="I1826" t="s">
        <v>20</v>
      </c>
      <c r="J1826" t="s">
        <v>20</v>
      </c>
      <c r="K1826" t="s">
        <v>22</v>
      </c>
      <c r="L1826" t="s">
        <v>155</v>
      </c>
      <c r="M1826" t="s">
        <v>174</v>
      </c>
      <c r="N1826">
        <v>39.71</v>
      </c>
      <c r="O1826">
        <v>-111.83810800000001</v>
      </c>
      <c r="P1826">
        <v>5067.9056650000002</v>
      </c>
      <c r="Q1826">
        <v>1411</v>
      </c>
      <c r="R1826">
        <v>0</v>
      </c>
    </row>
    <row r="1827" spans="1:18" x14ac:dyDescent="0.25">
      <c r="A1827">
        <v>1826</v>
      </c>
      <c r="B1827">
        <v>94</v>
      </c>
      <c r="C1827" t="e">
        <f>-IozvEf5G8HM9_o6ezWlnV</f>
        <v>#NAME?</v>
      </c>
      <c r="D1827" t="s">
        <v>203</v>
      </c>
      <c r="E1827">
        <v>33.119999999999997</v>
      </c>
      <c r="F1827" t="s">
        <v>21</v>
      </c>
      <c r="G1827" t="s">
        <v>20</v>
      </c>
      <c r="H1827" t="s">
        <v>21</v>
      </c>
      <c r="I1827" t="s">
        <v>20</v>
      </c>
      <c r="J1827" t="s">
        <v>20</v>
      </c>
      <c r="K1827" t="s">
        <v>41</v>
      </c>
      <c r="L1827" t="s">
        <v>255</v>
      </c>
      <c r="M1827" t="s">
        <v>204</v>
      </c>
      <c r="N1827">
        <v>41.368392999999998</v>
      </c>
      <c r="O1827">
        <v>-111.590476</v>
      </c>
      <c r="P1827">
        <v>6332.7186689999999</v>
      </c>
      <c r="Q1827">
        <v>1349</v>
      </c>
      <c r="R1827">
        <v>0</v>
      </c>
    </row>
    <row r="1828" spans="1:18" x14ac:dyDescent="0.25">
      <c r="A1828">
        <v>1827</v>
      </c>
      <c r="B1828">
        <v>94</v>
      </c>
      <c r="C1828" t="e">
        <f>-IoN9NWCHBitRNikpi4pXF</f>
        <v>#NAME?</v>
      </c>
      <c r="D1828" t="s">
        <v>272</v>
      </c>
      <c r="E1828">
        <v>294.28899999999999</v>
      </c>
      <c r="F1828" t="s">
        <v>21</v>
      </c>
      <c r="G1828" t="s">
        <v>26</v>
      </c>
      <c r="H1828" t="s">
        <v>21</v>
      </c>
      <c r="I1828" t="s">
        <v>20</v>
      </c>
      <c r="J1828" t="s">
        <v>20</v>
      </c>
      <c r="K1828" t="s">
        <v>27</v>
      </c>
      <c r="L1828" t="s">
        <v>230</v>
      </c>
      <c r="M1828" t="s">
        <v>174</v>
      </c>
      <c r="N1828">
        <v>39.774355</v>
      </c>
      <c r="O1828">
        <v>-111.489092</v>
      </c>
      <c r="P1828">
        <v>5911.5513099999998</v>
      </c>
      <c r="Q1828">
        <v>1384</v>
      </c>
      <c r="R1828">
        <v>0</v>
      </c>
    </row>
    <row r="1829" spans="1:18" x14ac:dyDescent="0.25">
      <c r="A1829">
        <v>1828</v>
      </c>
      <c r="B1829">
        <v>94</v>
      </c>
      <c r="C1829" t="e">
        <f>-JScUOEYGgaKJNosgnxVck</f>
        <v>#NAME?</v>
      </c>
      <c r="D1829" t="s">
        <v>288</v>
      </c>
      <c r="E1829">
        <v>294.34300000000002</v>
      </c>
      <c r="F1829" t="s">
        <v>21</v>
      </c>
      <c r="G1829" t="s">
        <v>20</v>
      </c>
      <c r="H1829" t="s">
        <v>21</v>
      </c>
      <c r="I1829" t="s">
        <v>20</v>
      </c>
      <c r="J1829" t="s">
        <v>20</v>
      </c>
      <c r="K1829" t="s">
        <v>22</v>
      </c>
      <c r="L1829" t="s">
        <v>253</v>
      </c>
      <c r="M1829" t="s">
        <v>120</v>
      </c>
      <c r="N1829">
        <v>40.157339</v>
      </c>
      <c r="O1829">
        <v>-110.40608899999999</v>
      </c>
      <c r="P1829">
        <v>5470.8137829999996</v>
      </c>
      <c r="Q1829">
        <v>350</v>
      </c>
      <c r="R1829">
        <v>0</v>
      </c>
    </row>
    <row r="1830" spans="1:18" x14ac:dyDescent="0.25">
      <c r="A1830">
        <v>1829</v>
      </c>
      <c r="B1830">
        <v>94</v>
      </c>
      <c r="C1830">
        <v>31561230</v>
      </c>
      <c r="D1830" t="s">
        <v>288</v>
      </c>
      <c r="E1830">
        <v>294.52699999999999</v>
      </c>
      <c r="F1830" t="s">
        <v>21</v>
      </c>
      <c r="G1830" t="s">
        <v>26</v>
      </c>
      <c r="H1830" t="s">
        <v>21</v>
      </c>
      <c r="I1830" t="s">
        <v>20</v>
      </c>
      <c r="J1830" t="s">
        <v>20</v>
      </c>
      <c r="K1830" t="s">
        <v>22</v>
      </c>
      <c r="L1830" t="s">
        <v>253</v>
      </c>
      <c r="M1830" t="s">
        <v>120</v>
      </c>
      <c r="N1830">
        <v>40.15878</v>
      </c>
      <c r="O1830">
        <v>-110.40325900000001</v>
      </c>
      <c r="P1830">
        <v>5459.4480620000004</v>
      </c>
      <c r="Q1830">
        <v>350</v>
      </c>
      <c r="R1830">
        <v>0</v>
      </c>
    </row>
    <row r="1831" spans="1:18" x14ac:dyDescent="0.25">
      <c r="A1831">
        <v>1830</v>
      </c>
      <c r="B1831">
        <v>94</v>
      </c>
      <c r="C1831">
        <v>31561241</v>
      </c>
      <c r="D1831" t="s">
        <v>288</v>
      </c>
      <c r="E1831">
        <v>294.60700000000003</v>
      </c>
      <c r="F1831" t="s">
        <v>21</v>
      </c>
      <c r="G1831" t="s">
        <v>26</v>
      </c>
      <c r="H1831" t="s">
        <v>21</v>
      </c>
      <c r="I1831" t="s">
        <v>20</v>
      </c>
      <c r="J1831" t="s">
        <v>20</v>
      </c>
      <c r="K1831" t="s">
        <v>22</v>
      </c>
      <c r="L1831" t="s">
        <v>253</v>
      </c>
      <c r="M1831" t="s">
        <v>120</v>
      </c>
      <c r="N1831">
        <v>40.159922999999999</v>
      </c>
      <c r="O1831">
        <v>-110.403086</v>
      </c>
      <c r="P1831">
        <v>5458.6407339999996</v>
      </c>
      <c r="Q1831">
        <v>350</v>
      </c>
      <c r="R1831">
        <v>0</v>
      </c>
    </row>
    <row r="1832" spans="1:18" x14ac:dyDescent="0.25">
      <c r="A1832">
        <v>1831</v>
      </c>
      <c r="B1832">
        <v>94</v>
      </c>
      <c r="C1832" t="e">
        <f>-IoN9h_eHkeuHKqO5VK04k</f>
        <v>#NAME?</v>
      </c>
      <c r="D1832" t="s">
        <v>272</v>
      </c>
      <c r="E1832">
        <v>294.65800000000002</v>
      </c>
      <c r="F1832" t="s">
        <v>21</v>
      </c>
      <c r="G1832" t="s">
        <v>26</v>
      </c>
      <c r="H1832" t="s">
        <v>21</v>
      </c>
      <c r="I1832" t="s">
        <v>20</v>
      </c>
      <c r="J1832" t="s">
        <v>20</v>
      </c>
      <c r="K1832" t="s">
        <v>27</v>
      </c>
      <c r="L1832" t="s">
        <v>230</v>
      </c>
      <c r="M1832" t="s">
        <v>174</v>
      </c>
      <c r="N1832">
        <v>39.779418999999997</v>
      </c>
      <c r="O1832">
        <v>-111.491435</v>
      </c>
      <c r="P1832">
        <v>5892.8072249999996</v>
      </c>
      <c r="Q1832">
        <v>1384</v>
      </c>
      <c r="R1832">
        <v>0</v>
      </c>
    </row>
    <row r="1833" spans="1:18" x14ac:dyDescent="0.25">
      <c r="A1833">
        <v>1832</v>
      </c>
      <c r="B1833">
        <v>94</v>
      </c>
      <c r="C1833">
        <v>31563652</v>
      </c>
      <c r="D1833" t="s">
        <v>288</v>
      </c>
      <c r="E1833">
        <v>294.68900000000002</v>
      </c>
      <c r="F1833" t="s">
        <v>21</v>
      </c>
      <c r="G1833" t="s">
        <v>26</v>
      </c>
      <c r="H1833" t="s">
        <v>21</v>
      </c>
      <c r="I1833" t="s">
        <v>20</v>
      </c>
      <c r="J1833" t="s">
        <v>20</v>
      </c>
      <c r="K1833" t="s">
        <v>22</v>
      </c>
      <c r="L1833" t="s">
        <v>253</v>
      </c>
      <c r="M1833" t="s">
        <v>120</v>
      </c>
      <c r="N1833">
        <v>40.161104999999999</v>
      </c>
      <c r="O1833">
        <v>-110.403085</v>
      </c>
      <c r="P1833">
        <v>5458.7867489999999</v>
      </c>
      <c r="Q1833">
        <v>350</v>
      </c>
      <c r="R1833">
        <v>0</v>
      </c>
    </row>
    <row r="1834" spans="1:18" x14ac:dyDescent="0.25">
      <c r="A1834">
        <v>1833</v>
      </c>
      <c r="B1834">
        <v>94</v>
      </c>
      <c r="C1834" t="e">
        <f>-JScWteNF1miKLQhbQbyWk</f>
        <v>#NAME?</v>
      </c>
      <c r="D1834" t="s">
        <v>288</v>
      </c>
      <c r="E1834">
        <v>294.72800000000001</v>
      </c>
      <c r="F1834" t="s">
        <v>21</v>
      </c>
      <c r="G1834" t="s">
        <v>20</v>
      </c>
      <c r="H1834" t="s">
        <v>21</v>
      </c>
      <c r="I1834" t="s">
        <v>20</v>
      </c>
      <c r="J1834" t="s">
        <v>20</v>
      </c>
      <c r="K1834" t="s">
        <v>22</v>
      </c>
      <c r="L1834" t="s">
        <v>253</v>
      </c>
      <c r="M1834" t="s">
        <v>120</v>
      </c>
      <c r="N1834">
        <v>40.161678999999999</v>
      </c>
      <c r="O1834">
        <v>-110.403083</v>
      </c>
      <c r="P1834">
        <v>5459.0117060000002</v>
      </c>
      <c r="Q1834">
        <v>350</v>
      </c>
      <c r="R1834">
        <v>0</v>
      </c>
    </row>
    <row r="1835" spans="1:18" x14ac:dyDescent="0.25">
      <c r="A1835">
        <v>1834</v>
      </c>
      <c r="B1835">
        <v>94</v>
      </c>
      <c r="C1835">
        <v>31563663</v>
      </c>
      <c r="D1835" t="s">
        <v>288</v>
      </c>
      <c r="E1835">
        <v>294.767</v>
      </c>
      <c r="F1835" t="s">
        <v>21</v>
      </c>
      <c r="G1835" t="s">
        <v>26</v>
      </c>
      <c r="H1835" t="s">
        <v>21</v>
      </c>
      <c r="I1835" t="s">
        <v>20</v>
      </c>
      <c r="J1835" t="s">
        <v>20</v>
      </c>
      <c r="K1835" t="s">
        <v>22</v>
      </c>
      <c r="L1835" t="s">
        <v>253</v>
      </c>
      <c r="M1835" t="s">
        <v>120</v>
      </c>
      <c r="N1835">
        <v>40.162241000000002</v>
      </c>
      <c r="O1835">
        <v>-110.40307900000001</v>
      </c>
      <c r="P1835">
        <v>5459.3236919999999</v>
      </c>
      <c r="Q1835">
        <v>350</v>
      </c>
      <c r="R1835">
        <v>0</v>
      </c>
    </row>
    <row r="1836" spans="1:18" x14ac:dyDescent="0.25">
      <c r="A1836">
        <v>1835</v>
      </c>
      <c r="B1836">
        <v>94</v>
      </c>
      <c r="C1836">
        <v>31563674</v>
      </c>
      <c r="D1836" t="s">
        <v>288</v>
      </c>
      <c r="E1836">
        <v>294.83699999999999</v>
      </c>
      <c r="F1836" t="s">
        <v>21</v>
      </c>
      <c r="G1836" t="s">
        <v>26</v>
      </c>
      <c r="H1836" t="s">
        <v>19</v>
      </c>
      <c r="I1836">
        <v>40</v>
      </c>
      <c r="J1836" t="s">
        <v>20</v>
      </c>
      <c r="K1836" t="s">
        <v>22</v>
      </c>
      <c r="L1836" t="s">
        <v>253</v>
      </c>
      <c r="M1836" t="s">
        <v>120</v>
      </c>
      <c r="N1836">
        <v>40.163412000000001</v>
      </c>
      <c r="O1836">
        <v>-110.403075</v>
      </c>
      <c r="P1836">
        <v>5459.3738759999997</v>
      </c>
      <c r="Q1836">
        <v>350</v>
      </c>
      <c r="R1836">
        <v>0</v>
      </c>
    </row>
    <row r="1837" spans="1:18" x14ac:dyDescent="0.25">
      <c r="A1837">
        <v>1836</v>
      </c>
      <c r="B1837">
        <v>94</v>
      </c>
      <c r="C1837">
        <v>31730722</v>
      </c>
      <c r="D1837" t="s">
        <v>213</v>
      </c>
      <c r="E1837">
        <v>295.233</v>
      </c>
      <c r="F1837" t="s">
        <v>21</v>
      </c>
      <c r="G1837" t="s">
        <v>26</v>
      </c>
      <c r="H1837" t="s">
        <v>21</v>
      </c>
      <c r="I1837" t="s">
        <v>20</v>
      </c>
      <c r="J1837" t="s">
        <v>20</v>
      </c>
      <c r="K1837" t="s">
        <v>27</v>
      </c>
      <c r="L1837" t="s">
        <v>158</v>
      </c>
      <c r="M1837" t="s">
        <v>422</v>
      </c>
      <c r="N1837">
        <v>39.025632000000002</v>
      </c>
      <c r="O1837">
        <v>-110.299497</v>
      </c>
      <c r="P1837">
        <v>4294.2347120000004</v>
      </c>
      <c r="Q1837">
        <v>1332</v>
      </c>
      <c r="R1837">
        <v>0</v>
      </c>
    </row>
    <row r="1838" spans="1:18" x14ac:dyDescent="0.25">
      <c r="A1838">
        <v>1837</v>
      </c>
      <c r="B1838">
        <v>94</v>
      </c>
      <c r="C1838" t="e">
        <f>-IoNAdb4Hpu8LFwBS2maMF</f>
        <v>#NAME?</v>
      </c>
      <c r="D1838" t="s">
        <v>272</v>
      </c>
      <c r="E1838">
        <v>296.50599999999997</v>
      </c>
      <c r="F1838" t="s">
        <v>21</v>
      </c>
      <c r="G1838" t="s">
        <v>26</v>
      </c>
      <c r="H1838" t="s">
        <v>21</v>
      </c>
      <c r="I1838" t="s">
        <v>20</v>
      </c>
      <c r="J1838" t="s">
        <v>20</v>
      </c>
      <c r="K1838" t="s">
        <v>27</v>
      </c>
      <c r="L1838" t="s">
        <v>230</v>
      </c>
      <c r="M1838" t="s">
        <v>174</v>
      </c>
      <c r="N1838">
        <v>39.804692000000003</v>
      </c>
      <c r="O1838">
        <v>-111.503136</v>
      </c>
      <c r="P1838">
        <v>5862.4825389999996</v>
      </c>
      <c r="Q1838">
        <v>1384</v>
      </c>
      <c r="R1838">
        <v>0</v>
      </c>
    </row>
    <row r="1839" spans="1:18" x14ac:dyDescent="0.25">
      <c r="A1839">
        <v>1838</v>
      </c>
      <c r="B1839">
        <v>94</v>
      </c>
      <c r="C1839">
        <v>31730733</v>
      </c>
      <c r="D1839" t="s">
        <v>213</v>
      </c>
      <c r="E1839">
        <v>299.17</v>
      </c>
      <c r="F1839" t="s">
        <v>21</v>
      </c>
      <c r="G1839" t="s">
        <v>26</v>
      </c>
      <c r="H1839" t="s">
        <v>21</v>
      </c>
      <c r="I1839" t="s">
        <v>20</v>
      </c>
      <c r="J1839" t="s">
        <v>20</v>
      </c>
      <c r="K1839" t="s">
        <v>27</v>
      </c>
      <c r="L1839" t="s">
        <v>158</v>
      </c>
      <c r="M1839" t="s">
        <v>422</v>
      </c>
      <c r="N1839">
        <v>38.988477000000003</v>
      </c>
      <c r="O1839">
        <v>-110.24460999999999</v>
      </c>
      <c r="P1839">
        <v>4187.3673280000003</v>
      </c>
      <c r="Q1839">
        <v>1332</v>
      </c>
      <c r="R1839">
        <v>0</v>
      </c>
    </row>
    <row r="1840" spans="1:18" x14ac:dyDescent="0.25">
      <c r="A1840">
        <v>1839</v>
      </c>
      <c r="B1840">
        <v>94</v>
      </c>
      <c r="C1840">
        <v>31192677</v>
      </c>
      <c r="D1840" t="s">
        <v>153</v>
      </c>
      <c r="E1840">
        <v>3.0009999999999999</v>
      </c>
      <c r="F1840" t="s">
        <v>21</v>
      </c>
      <c r="G1840" t="s">
        <v>26</v>
      </c>
      <c r="H1840" t="s">
        <v>21</v>
      </c>
      <c r="I1840" t="s">
        <v>20</v>
      </c>
      <c r="J1840" t="s">
        <v>20</v>
      </c>
      <c r="K1840" t="s">
        <v>22</v>
      </c>
      <c r="L1840" t="s">
        <v>84</v>
      </c>
      <c r="M1840" t="s">
        <v>85</v>
      </c>
      <c r="N1840">
        <v>40.39967</v>
      </c>
      <c r="O1840">
        <v>-111.746729</v>
      </c>
      <c r="P1840">
        <v>4798.0733799999998</v>
      </c>
      <c r="R1840">
        <v>0</v>
      </c>
    </row>
    <row r="1841" spans="1:18" x14ac:dyDescent="0.25">
      <c r="A1841">
        <v>1840</v>
      </c>
      <c r="B1841">
        <v>94</v>
      </c>
      <c r="C1841" t="e">
        <f>-IpYzp38He5jSOVoUbczXk</f>
        <v>#NAME?</v>
      </c>
      <c r="D1841" t="s">
        <v>219</v>
      </c>
      <c r="E1841">
        <v>3.0019999999999998</v>
      </c>
      <c r="F1841" t="s">
        <v>21</v>
      </c>
      <c r="G1841" t="s">
        <v>20</v>
      </c>
      <c r="H1841" t="s">
        <v>21</v>
      </c>
      <c r="I1841" t="s">
        <v>20</v>
      </c>
      <c r="J1841" t="s">
        <v>20</v>
      </c>
      <c r="K1841" t="s">
        <v>27</v>
      </c>
      <c r="L1841" t="s">
        <v>211</v>
      </c>
      <c r="M1841" t="s">
        <v>212</v>
      </c>
      <c r="N1841">
        <v>37.200118000000003</v>
      </c>
      <c r="O1841">
        <v>-109.888077</v>
      </c>
      <c r="P1841">
        <v>4679.5312830000003</v>
      </c>
      <c r="Q1841">
        <v>446</v>
      </c>
      <c r="R1841">
        <v>0</v>
      </c>
    </row>
    <row r="1842" spans="1:18" x14ac:dyDescent="0.25">
      <c r="A1842">
        <v>1841</v>
      </c>
      <c r="B1842">
        <v>94</v>
      </c>
      <c r="C1842">
        <v>1370415</v>
      </c>
      <c r="D1842" t="s">
        <v>100</v>
      </c>
      <c r="E1842">
        <v>3.0019999999999998</v>
      </c>
      <c r="F1842" t="s">
        <v>19</v>
      </c>
      <c r="G1842" t="s">
        <v>20</v>
      </c>
      <c r="H1842" t="s">
        <v>21</v>
      </c>
      <c r="I1842" t="s">
        <v>20</v>
      </c>
      <c r="J1842" t="s">
        <v>20</v>
      </c>
      <c r="K1842" t="s">
        <v>41</v>
      </c>
      <c r="L1842" t="s">
        <v>57</v>
      </c>
      <c r="M1842" t="s">
        <v>46</v>
      </c>
      <c r="N1842">
        <v>41.089157</v>
      </c>
      <c r="O1842">
        <v>-112.045349</v>
      </c>
      <c r="P1842">
        <v>4269.9202590000004</v>
      </c>
      <c r="Q1842">
        <v>1396</v>
      </c>
      <c r="R1842">
        <v>0</v>
      </c>
    </row>
    <row r="1843" spans="1:18" x14ac:dyDescent="0.25">
      <c r="A1843">
        <v>1842</v>
      </c>
      <c r="B1843">
        <v>94</v>
      </c>
      <c r="C1843">
        <v>1007645</v>
      </c>
      <c r="D1843" t="s">
        <v>171</v>
      </c>
      <c r="E1843">
        <v>3.0049999999999999</v>
      </c>
      <c r="F1843" t="s">
        <v>21</v>
      </c>
      <c r="G1843" t="s">
        <v>26</v>
      </c>
      <c r="H1843" t="s">
        <v>21</v>
      </c>
      <c r="I1843" t="s">
        <v>20</v>
      </c>
      <c r="J1843" t="s">
        <v>20</v>
      </c>
      <c r="K1843" t="s">
        <v>31</v>
      </c>
      <c r="L1843" t="s">
        <v>78</v>
      </c>
      <c r="M1843" t="s">
        <v>79</v>
      </c>
      <c r="N1843">
        <v>40.696541000000003</v>
      </c>
      <c r="O1843">
        <v>-112.03440999999999</v>
      </c>
      <c r="P1843">
        <v>4253.6499190000004</v>
      </c>
      <c r="Q1843">
        <v>346</v>
      </c>
      <c r="R1843">
        <v>0</v>
      </c>
    </row>
    <row r="1844" spans="1:18" x14ac:dyDescent="0.25">
      <c r="A1844">
        <v>1843</v>
      </c>
      <c r="B1844">
        <v>94</v>
      </c>
      <c r="C1844">
        <v>522966</v>
      </c>
      <c r="D1844" t="s">
        <v>434</v>
      </c>
      <c r="E1844">
        <v>3.0070000000000001</v>
      </c>
      <c r="F1844" t="s">
        <v>19</v>
      </c>
      <c r="G1844" t="s">
        <v>20</v>
      </c>
      <c r="H1844" t="s">
        <v>21</v>
      </c>
      <c r="I1844" t="s">
        <v>20</v>
      </c>
      <c r="J1844" t="s">
        <v>20</v>
      </c>
      <c r="K1844" t="s">
        <v>31</v>
      </c>
      <c r="L1844" t="s">
        <v>32</v>
      </c>
      <c r="M1844" t="s">
        <v>70</v>
      </c>
      <c r="N1844">
        <v>40.631757999999998</v>
      </c>
      <c r="O1844">
        <v>-111.834014</v>
      </c>
      <c r="P1844">
        <v>4410.6406280000001</v>
      </c>
      <c r="Q1844">
        <v>1424</v>
      </c>
      <c r="R1844">
        <v>0</v>
      </c>
    </row>
    <row r="1845" spans="1:18" x14ac:dyDescent="0.25">
      <c r="A1845">
        <v>1844</v>
      </c>
      <c r="B1845">
        <v>94</v>
      </c>
      <c r="C1845">
        <v>27370063</v>
      </c>
      <c r="D1845" t="s">
        <v>185</v>
      </c>
      <c r="E1845">
        <v>3.0070000000000001</v>
      </c>
      <c r="F1845" t="s">
        <v>21</v>
      </c>
      <c r="G1845" t="s">
        <v>26</v>
      </c>
      <c r="H1845" t="s">
        <v>21</v>
      </c>
      <c r="I1845" t="s">
        <v>20</v>
      </c>
      <c r="J1845" t="s">
        <v>20</v>
      </c>
      <c r="K1845" t="s">
        <v>41</v>
      </c>
      <c r="L1845" t="s">
        <v>57</v>
      </c>
      <c r="M1845" t="s">
        <v>58</v>
      </c>
      <c r="N1845">
        <v>41.139879000000001</v>
      </c>
      <c r="O1845">
        <v>-112.083798</v>
      </c>
      <c r="P1845">
        <v>4230.0263619999996</v>
      </c>
      <c r="Q1845">
        <v>309</v>
      </c>
      <c r="R1845">
        <v>0</v>
      </c>
    </row>
    <row r="1846" spans="1:18" x14ac:dyDescent="0.25">
      <c r="A1846">
        <v>1845</v>
      </c>
      <c r="B1846">
        <v>94</v>
      </c>
      <c r="C1846">
        <v>28335295</v>
      </c>
      <c r="D1846" t="s">
        <v>160</v>
      </c>
      <c r="E1846">
        <v>3.008</v>
      </c>
      <c r="F1846" t="s">
        <v>21</v>
      </c>
      <c r="G1846" t="s">
        <v>26</v>
      </c>
      <c r="H1846" t="s">
        <v>21</v>
      </c>
      <c r="I1846" t="s">
        <v>20</v>
      </c>
      <c r="J1846" t="s">
        <v>20</v>
      </c>
      <c r="K1846" t="s">
        <v>27</v>
      </c>
      <c r="L1846" t="s">
        <v>72</v>
      </c>
      <c r="M1846" t="s">
        <v>73</v>
      </c>
      <c r="N1846">
        <v>37.251052999999999</v>
      </c>
      <c r="O1846">
        <v>-113.284229</v>
      </c>
      <c r="P1846">
        <v>3285.3199330000002</v>
      </c>
      <c r="Q1846">
        <v>1335</v>
      </c>
      <c r="R1846">
        <v>0</v>
      </c>
    </row>
    <row r="1847" spans="1:18" x14ac:dyDescent="0.25">
      <c r="A1847">
        <v>1846</v>
      </c>
      <c r="B1847">
        <v>94</v>
      </c>
      <c r="C1847" t="e">
        <f>-JWX_JyxF6PsvR9sHXNGFV</f>
        <v>#NAME?</v>
      </c>
      <c r="D1847" t="s">
        <v>254</v>
      </c>
      <c r="E1847">
        <v>2.31</v>
      </c>
      <c r="F1847" t="s">
        <v>21</v>
      </c>
      <c r="G1847" t="s">
        <v>20</v>
      </c>
      <c r="H1847" t="s">
        <v>21</v>
      </c>
      <c r="I1847" t="s">
        <v>20</v>
      </c>
      <c r="J1847" t="s">
        <v>20</v>
      </c>
      <c r="K1847" t="s">
        <v>41</v>
      </c>
      <c r="L1847" t="s">
        <v>255</v>
      </c>
      <c r="M1847" t="s">
        <v>204</v>
      </c>
      <c r="N1847">
        <v>41.278151000000001</v>
      </c>
      <c r="O1847">
        <v>-111.820497</v>
      </c>
      <c r="P1847">
        <v>4894.7376549999999</v>
      </c>
      <c r="Q1847">
        <v>1429</v>
      </c>
      <c r="R1847">
        <v>0</v>
      </c>
    </row>
    <row r="1848" spans="1:18" x14ac:dyDescent="0.25">
      <c r="A1848">
        <v>1847</v>
      </c>
      <c r="B1848">
        <v>94</v>
      </c>
      <c r="C1848">
        <v>31750807</v>
      </c>
      <c r="D1848" t="s">
        <v>156</v>
      </c>
      <c r="E1848">
        <v>2.9460000000000002</v>
      </c>
      <c r="F1848" t="s">
        <v>21</v>
      </c>
      <c r="G1848" t="s">
        <v>26</v>
      </c>
      <c r="H1848" t="s">
        <v>21</v>
      </c>
      <c r="I1848" t="s">
        <v>20</v>
      </c>
      <c r="J1848" t="s">
        <v>20</v>
      </c>
      <c r="K1848" t="s">
        <v>41</v>
      </c>
      <c r="L1848" t="s">
        <v>81</v>
      </c>
      <c r="M1848" t="s">
        <v>93</v>
      </c>
      <c r="N1848">
        <v>41.302132</v>
      </c>
      <c r="O1848">
        <v>-111.968778</v>
      </c>
      <c r="P1848">
        <v>4316.2737349999998</v>
      </c>
      <c r="Q1848">
        <v>424</v>
      </c>
      <c r="R1848">
        <v>0</v>
      </c>
    </row>
    <row r="1849" spans="1:18" x14ac:dyDescent="0.25">
      <c r="A1849">
        <v>1848</v>
      </c>
      <c r="B1849">
        <v>94</v>
      </c>
      <c r="C1849">
        <v>31557718</v>
      </c>
      <c r="D1849" t="s">
        <v>102</v>
      </c>
      <c r="E1849">
        <v>2.948</v>
      </c>
      <c r="F1849" t="s">
        <v>21</v>
      </c>
      <c r="G1849" t="s">
        <v>26</v>
      </c>
      <c r="H1849" t="s">
        <v>21</v>
      </c>
      <c r="I1849" t="s">
        <v>20</v>
      </c>
      <c r="J1849" t="s">
        <v>20</v>
      </c>
      <c r="K1849" t="s">
        <v>27</v>
      </c>
      <c r="L1849" t="s">
        <v>103</v>
      </c>
      <c r="M1849" t="s">
        <v>104</v>
      </c>
      <c r="N1849">
        <v>38.287820000000004</v>
      </c>
      <c r="O1849">
        <v>-112.641407</v>
      </c>
      <c r="P1849">
        <v>5878.4573909999999</v>
      </c>
      <c r="Q1849">
        <v>1430</v>
      </c>
      <c r="R1849">
        <v>0</v>
      </c>
    </row>
    <row r="1850" spans="1:18" x14ac:dyDescent="0.25">
      <c r="A1850">
        <v>1849</v>
      </c>
      <c r="B1850">
        <v>94</v>
      </c>
      <c r="C1850">
        <v>28602563</v>
      </c>
      <c r="D1850" t="s">
        <v>148</v>
      </c>
      <c r="E1850">
        <v>2.9489999999999998</v>
      </c>
      <c r="F1850" t="s">
        <v>21</v>
      </c>
      <c r="G1850" t="s">
        <v>20</v>
      </c>
      <c r="H1850" t="s">
        <v>21</v>
      </c>
      <c r="I1850" t="s">
        <v>20</v>
      </c>
      <c r="J1850" t="s">
        <v>20</v>
      </c>
      <c r="K1850" t="s">
        <v>31</v>
      </c>
      <c r="L1850" t="s">
        <v>149</v>
      </c>
      <c r="M1850" t="s">
        <v>131</v>
      </c>
      <c r="N1850">
        <v>40.779361999999999</v>
      </c>
      <c r="O1850">
        <v>-111.391998</v>
      </c>
      <c r="P1850">
        <v>6017.9387189999998</v>
      </c>
      <c r="Q1850">
        <v>263</v>
      </c>
      <c r="R1850">
        <v>0</v>
      </c>
    </row>
    <row r="1851" spans="1:18" x14ac:dyDescent="0.25">
      <c r="A1851">
        <v>1850</v>
      </c>
      <c r="B1851">
        <v>94</v>
      </c>
      <c r="C1851">
        <v>31347900</v>
      </c>
      <c r="D1851" t="s">
        <v>34</v>
      </c>
      <c r="E1851">
        <v>2.9489999999999998</v>
      </c>
      <c r="F1851" t="s">
        <v>21</v>
      </c>
      <c r="G1851" t="s">
        <v>26</v>
      </c>
      <c r="H1851" t="s">
        <v>21</v>
      </c>
      <c r="I1851" t="s">
        <v>20</v>
      </c>
      <c r="J1851" t="s">
        <v>20</v>
      </c>
      <c r="K1851" t="s">
        <v>22</v>
      </c>
      <c r="L1851" t="s">
        <v>35</v>
      </c>
      <c r="M1851" t="s">
        <v>36</v>
      </c>
      <c r="N1851">
        <v>40.498296000000003</v>
      </c>
      <c r="O1851">
        <v>-111.472038</v>
      </c>
      <c r="P1851">
        <v>5428.2146990000001</v>
      </c>
      <c r="Q1851">
        <v>1400</v>
      </c>
      <c r="R1851">
        <v>0</v>
      </c>
    </row>
    <row r="1852" spans="1:18" x14ac:dyDescent="0.25">
      <c r="A1852">
        <v>1851</v>
      </c>
      <c r="B1852">
        <v>94</v>
      </c>
      <c r="C1852">
        <v>31794477</v>
      </c>
      <c r="D1852" t="s">
        <v>61</v>
      </c>
      <c r="E1852">
        <v>2.95</v>
      </c>
      <c r="F1852" t="s">
        <v>19</v>
      </c>
      <c r="G1852" t="s">
        <v>20</v>
      </c>
      <c r="H1852" t="s">
        <v>21</v>
      </c>
      <c r="I1852" t="s">
        <v>20</v>
      </c>
      <c r="J1852" t="s">
        <v>20</v>
      </c>
      <c r="K1852" t="s">
        <v>22</v>
      </c>
      <c r="L1852" t="s">
        <v>23</v>
      </c>
      <c r="M1852" t="s">
        <v>62</v>
      </c>
      <c r="N1852">
        <v>40.248775999999999</v>
      </c>
      <c r="O1852">
        <v>-111.658625</v>
      </c>
      <c r="P1852">
        <v>4534.7360699999999</v>
      </c>
      <c r="Q1852">
        <v>403</v>
      </c>
      <c r="R1852">
        <v>0</v>
      </c>
    </row>
    <row r="1853" spans="1:18" x14ac:dyDescent="0.25">
      <c r="A1853">
        <v>1852</v>
      </c>
      <c r="B1853">
        <v>94</v>
      </c>
      <c r="C1853">
        <v>31756035</v>
      </c>
      <c r="D1853" t="s">
        <v>88</v>
      </c>
      <c r="E1853">
        <v>20.449000000000002</v>
      </c>
      <c r="F1853" t="s">
        <v>21</v>
      </c>
      <c r="G1853" t="s">
        <v>26</v>
      </c>
      <c r="H1853" t="s">
        <v>21</v>
      </c>
      <c r="I1853" t="s">
        <v>20</v>
      </c>
      <c r="J1853" t="s">
        <v>20</v>
      </c>
      <c r="K1853" t="s">
        <v>31</v>
      </c>
      <c r="L1853" t="s">
        <v>66</v>
      </c>
      <c r="M1853" t="s">
        <v>49</v>
      </c>
      <c r="N1853">
        <v>40.731366000000001</v>
      </c>
      <c r="O1853">
        <v>-111.87128199999999</v>
      </c>
      <c r="P1853">
        <v>4236.8304330000001</v>
      </c>
      <c r="Q1853">
        <v>318</v>
      </c>
      <c r="R1853">
        <v>0</v>
      </c>
    </row>
    <row r="1854" spans="1:18" x14ac:dyDescent="0.25">
      <c r="A1854">
        <v>1853</v>
      </c>
      <c r="B1854">
        <v>94</v>
      </c>
      <c r="C1854">
        <v>28134985</v>
      </c>
      <c r="D1854" t="s">
        <v>220</v>
      </c>
      <c r="E1854">
        <v>20.462</v>
      </c>
      <c r="F1854" t="s">
        <v>21</v>
      </c>
      <c r="G1854" t="s">
        <v>26</v>
      </c>
      <c r="H1854" t="s">
        <v>21</v>
      </c>
      <c r="I1854" t="s">
        <v>20</v>
      </c>
      <c r="J1854" t="s">
        <v>20</v>
      </c>
      <c r="K1854" t="s">
        <v>27</v>
      </c>
      <c r="L1854" t="s">
        <v>28</v>
      </c>
      <c r="M1854" t="s">
        <v>29</v>
      </c>
      <c r="N1854">
        <v>37.632818</v>
      </c>
      <c r="O1854">
        <v>-112.081889</v>
      </c>
      <c r="P1854">
        <v>6266.5697890000001</v>
      </c>
      <c r="Q1854">
        <v>1328</v>
      </c>
      <c r="R1854">
        <v>0</v>
      </c>
    </row>
    <row r="1855" spans="1:18" x14ac:dyDescent="0.25">
      <c r="A1855">
        <v>1854</v>
      </c>
      <c r="B1855">
        <v>94</v>
      </c>
      <c r="C1855">
        <v>31391421</v>
      </c>
      <c r="D1855" t="s">
        <v>184</v>
      </c>
      <c r="E1855">
        <v>20.463000000000001</v>
      </c>
      <c r="F1855" t="s">
        <v>21</v>
      </c>
      <c r="G1855" t="s">
        <v>26</v>
      </c>
      <c r="H1855" t="s">
        <v>21</v>
      </c>
      <c r="I1855" t="s">
        <v>20</v>
      </c>
      <c r="J1855" t="s">
        <v>20</v>
      </c>
      <c r="K1855" t="s">
        <v>27</v>
      </c>
      <c r="L1855" t="s">
        <v>54</v>
      </c>
      <c r="M1855" t="s">
        <v>55</v>
      </c>
      <c r="N1855">
        <v>37.926817</v>
      </c>
      <c r="O1855">
        <v>-113.031301</v>
      </c>
      <c r="P1855">
        <v>5548.8045899999997</v>
      </c>
      <c r="Q1855">
        <v>1410</v>
      </c>
      <c r="R1855">
        <v>0</v>
      </c>
    </row>
    <row r="1856" spans="1:18" x14ac:dyDescent="0.25">
      <c r="A1856">
        <v>1855</v>
      </c>
      <c r="B1856">
        <v>94</v>
      </c>
      <c r="C1856">
        <v>31517011</v>
      </c>
      <c r="D1856" t="s">
        <v>132</v>
      </c>
      <c r="E1856">
        <v>20.475999999999999</v>
      </c>
      <c r="F1856" t="s">
        <v>21</v>
      </c>
      <c r="G1856" t="s">
        <v>26</v>
      </c>
      <c r="H1856" t="s">
        <v>21</v>
      </c>
      <c r="I1856" t="s">
        <v>20</v>
      </c>
      <c r="J1856" t="s">
        <v>20</v>
      </c>
      <c r="K1856" t="s">
        <v>22</v>
      </c>
      <c r="L1856" t="s">
        <v>133</v>
      </c>
      <c r="M1856" t="s">
        <v>134</v>
      </c>
      <c r="N1856">
        <v>40.403703999999998</v>
      </c>
      <c r="O1856">
        <v>-109.859678</v>
      </c>
      <c r="P1856">
        <v>5362.025455</v>
      </c>
      <c r="Q1856">
        <v>1405</v>
      </c>
      <c r="R1856">
        <v>0</v>
      </c>
    </row>
    <row r="1857" spans="1:18" x14ac:dyDescent="0.25">
      <c r="A1857">
        <v>1856</v>
      </c>
      <c r="B1857">
        <v>94</v>
      </c>
      <c r="C1857">
        <v>1562484</v>
      </c>
      <c r="D1857" t="s">
        <v>88</v>
      </c>
      <c r="E1857">
        <v>20.481999999999999</v>
      </c>
      <c r="F1857" t="s">
        <v>21</v>
      </c>
      <c r="G1857" t="s">
        <v>26</v>
      </c>
      <c r="H1857" t="s">
        <v>21</v>
      </c>
      <c r="I1857" t="s">
        <v>20</v>
      </c>
      <c r="J1857" t="s">
        <v>20</v>
      </c>
      <c r="K1857" t="s">
        <v>31</v>
      </c>
      <c r="L1857" t="s">
        <v>66</v>
      </c>
      <c r="M1857" t="s">
        <v>90</v>
      </c>
      <c r="N1857">
        <v>40.731844000000002</v>
      </c>
      <c r="O1857">
        <v>-111.87110300000001</v>
      </c>
      <c r="P1857">
        <v>4236.5387069999997</v>
      </c>
      <c r="Q1857">
        <v>318</v>
      </c>
      <c r="R1857">
        <v>0</v>
      </c>
    </row>
    <row r="1858" spans="1:18" x14ac:dyDescent="0.25">
      <c r="A1858">
        <v>1857</v>
      </c>
      <c r="B1858">
        <v>94</v>
      </c>
      <c r="C1858">
        <v>31672300</v>
      </c>
      <c r="D1858" t="s">
        <v>217</v>
      </c>
      <c r="E1858">
        <v>20.495999999999999</v>
      </c>
      <c r="F1858" t="s">
        <v>21</v>
      </c>
      <c r="G1858" t="s">
        <v>20</v>
      </c>
      <c r="H1858" t="s">
        <v>21</v>
      </c>
      <c r="I1858" t="s">
        <v>20</v>
      </c>
      <c r="J1858" t="s">
        <v>20</v>
      </c>
      <c r="K1858" t="s">
        <v>27</v>
      </c>
      <c r="L1858" t="s">
        <v>162</v>
      </c>
      <c r="M1858" t="s">
        <v>163</v>
      </c>
      <c r="N1858">
        <v>37.342979</v>
      </c>
      <c r="O1858">
        <v>-113.693133</v>
      </c>
      <c r="P1858">
        <v>4460.8521620000001</v>
      </c>
      <c r="Q1858">
        <v>304</v>
      </c>
      <c r="R1858">
        <v>0</v>
      </c>
    </row>
    <row r="1859" spans="1:18" x14ac:dyDescent="0.25">
      <c r="A1859">
        <v>1858</v>
      </c>
      <c r="B1859">
        <v>94</v>
      </c>
      <c r="C1859">
        <v>31720217</v>
      </c>
      <c r="D1859" t="s">
        <v>118</v>
      </c>
      <c r="E1859">
        <v>20.5</v>
      </c>
      <c r="F1859" t="s">
        <v>21</v>
      </c>
      <c r="G1859" t="s">
        <v>26</v>
      </c>
      <c r="H1859" t="s">
        <v>21</v>
      </c>
      <c r="I1859" t="s">
        <v>20</v>
      </c>
      <c r="J1859" t="s">
        <v>20</v>
      </c>
      <c r="K1859" t="s">
        <v>22</v>
      </c>
      <c r="L1859" t="s">
        <v>119</v>
      </c>
      <c r="M1859" t="s">
        <v>120</v>
      </c>
      <c r="N1859">
        <v>40.463500000000003</v>
      </c>
      <c r="O1859">
        <v>-111.383278</v>
      </c>
      <c r="P1859">
        <v>5837.8216460000003</v>
      </c>
      <c r="Q1859">
        <v>310</v>
      </c>
      <c r="R1859">
        <v>0</v>
      </c>
    </row>
    <row r="1860" spans="1:18" x14ac:dyDescent="0.25">
      <c r="A1860">
        <v>1859</v>
      </c>
      <c r="B1860">
        <v>94</v>
      </c>
      <c r="C1860">
        <v>31590584</v>
      </c>
      <c r="D1860" t="s">
        <v>271</v>
      </c>
      <c r="E1860">
        <v>20.501000000000001</v>
      </c>
      <c r="F1860" t="s">
        <v>21</v>
      </c>
      <c r="G1860" t="s">
        <v>26</v>
      </c>
      <c r="H1860" t="s">
        <v>21</v>
      </c>
      <c r="I1860" t="s">
        <v>20</v>
      </c>
      <c r="J1860" t="s">
        <v>20</v>
      </c>
      <c r="K1860" t="s">
        <v>22</v>
      </c>
      <c r="L1860" t="s">
        <v>263</v>
      </c>
      <c r="M1860" t="s">
        <v>24</v>
      </c>
      <c r="N1860">
        <v>40.258868</v>
      </c>
      <c r="O1860">
        <v>-112.09733300000001</v>
      </c>
      <c r="P1860">
        <v>4832.3203569999996</v>
      </c>
      <c r="Q1860">
        <v>1372</v>
      </c>
      <c r="R1860">
        <v>0</v>
      </c>
    </row>
    <row r="1861" spans="1:18" x14ac:dyDescent="0.25">
      <c r="A1861">
        <v>1860</v>
      </c>
      <c r="B1861">
        <v>94</v>
      </c>
      <c r="C1861">
        <v>31395439</v>
      </c>
      <c r="D1861" t="s">
        <v>352</v>
      </c>
      <c r="E1861">
        <v>20.507000000000001</v>
      </c>
      <c r="F1861" t="s">
        <v>21</v>
      </c>
      <c r="G1861" t="s">
        <v>20</v>
      </c>
      <c r="H1861" t="s">
        <v>21</v>
      </c>
      <c r="I1861" t="s">
        <v>20</v>
      </c>
      <c r="J1861" t="s">
        <v>20</v>
      </c>
      <c r="K1861" t="s">
        <v>31</v>
      </c>
      <c r="L1861" t="s">
        <v>282</v>
      </c>
      <c r="M1861" t="s">
        <v>206</v>
      </c>
      <c r="N1861">
        <v>40.336739000000001</v>
      </c>
      <c r="O1861">
        <v>-112.437039</v>
      </c>
      <c r="P1861">
        <v>4994.2485029999998</v>
      </c>
      <c r="Q1861">
        <v>409</v>
      </c>
      <c r="R1861">
        <v>0</v>
      </c>
    </row>
    <row r="1862" spans="1:18" x14ac:dyDescent="0.25">
      <c r="A1862">
        <v>1861</v>
      </c>
      <c r="B1862">
        <v>94</v>
      </c>
      <c r="C1862">
        <v>31432456</v>
      </c>
      <c r="D1862" t="s">
        <v>333</v>
      </c>
      <c r="E1862">
        <v>20.509</v>
      </c>
      <c r="F1862" t="s">
        <v>19</v>
      </c>
      <c r="G1862" t="s">
        <v>20</v>
      </c>
      <c r="H1862" t="s">
        <v>21</v>
      </c>
      <c r="I1862" t="s">
        <v>20</v>
      </c>
      <c r="J1862" t="s">
        <v>20</v>
      </c>
      <c r="K1862" t="s">
        <v>31</v>
      </c>
      <c r="L1862" t="s">
        <v>78</v>
      </c>
      <c r="M1862" t="s">
        <v>49</v>
      </c>
      <c r="N1862">
        <v>40.718328999999997</v>
      </c>
      <c r="O1862">
        <v>-111.985686</v>
      </c>
      <c r="P1862">
        <v>4188.008202</v>
      </c>
      <c r="Q1862">
        <v>1426</v>
      </c>
      <c r="R1862">
        <v>0</v>
      </c>
    </row>
    <row r="1863" spans="1:18" x14ac:dyDescent="0.25">
      <c r="A1863">
        <v>1862</v>
      </c>
      <c r="B1863">
        <v>94</v>
      </c>
      <c r="C1863">
        <v>31756024</v>
      </c>
      <c r="D1863" t="s">
        <v>88</v>
      </c>
      <c r="E1863">
        <v>20.51</v>
      </c>
      <c r="F1863" t="s">
        <v>21</v>
      </c>
      <c r="G1863" t="s">
        <v>26</v>
      </c>
      <c r="H1863" t="s">
        <v>21</v>
      </c>
      <c r="I1863" t="s">
        <v>20</v>
      </c>
      <c r="J1863" t="s">
        <v>20</v>
      </c>
      <c r="K1863" t="s">
        <v>31</v>
      </c>
      <c r="L1863" t="s">
        <v>66</v>
      </c>
      <c r="M1863" t="s">
        <v>49</v>
      </c>
      <c r="N1863">
        <v>40.732233999999998</v>
      </c>
      <c r="O1863">
        <v>-111.871275</v>
      </c>
      <c r="P1863">
        <v>4234.0259050000004</v>
      </c>
      <c r="Q1863">
        <v>318</v>
      </c>
      <c r="R1863">
        <v>0</v>
      </c>
    </row>
    <row r="1864" spans="1:18" x14ac:dyDescent="0.25">
      <c r="A1864">
        <v>1863</v>
      </c>
      <c r="B1864">
        <v>94</v>
      </c>
      <c r="C1864">
        <v>31305831</v>
      </c>
      <c r="D1864" t="s">
        <v>203</v>
      </c>
      <c r="E1864">
        <v>20.515000000000001</v>
      </c>
      <c r="F1864" t="s">
        <v>21</v>
      </c>
      <c r="G1864" t="s">
        <v>26</v>
      </c>
      <c r="H1864" t="s">
        <v>21</v>
      </c>
      <c r="I1864" t="s">
        <v>20</v>
      </c>
      <c r="J1864" t="s">
        <v>20</v>
      </c>
      <c r="K1864" t="s">
        <v>41</v>
      </c>
      <c r="L1864" t="s">
        <v>255</v>
      </c>
      <c r="M1864" t="s">
        <v>204</v>
      </c>
      <c r="N1864">
        <v>41.26202</v>
      </c>
      <c r="O1864">
        <v>-111.738501</v>
      </c>
      <c r="P1864">
        <v>4927.0865830000002</v>
      </c>
      <c r="Q1864">
        <v>1349</v>
      </c>
      <c r="R1864">
        <v>0</v>
      </c>
    </row>
    <row r="1865" spans="1:18" x14ac:dyDescent="0.25">
      <c r="A1865">
        <v>1864</v>
      </c>
      <c r="B1865">
        <v>94</v>
      </c>
      <c r="C1865">
        <v>31388310</v>
      </c>
      <c r="D1865" t="s">
        <v>284</v>
      </c>
      <c r="E1865">
        <v>27.337</v>
      </c>
      <c r="F1865" t="s">
        <v>21</v>
      </c>
      <c r="G1865" t="s">
        <v>20</v>
      </c>
      <c r="H1865" t="s">
        <v>21</v>
      </c>
      <c r="I1865" t="s">
        <v>20</v>
      </c>
      <c r="J1865" t="s">
        <v>20</v>
      </c>
      <c r="K1865" t="s">
        <v>31</v>
      </c>
      <c r="L1865" t="s">
        <v>285</v>
      </c>
      <c r="M1865" t="s">
        <v>206</v>
      </c>
      <c r="N1865">
        <v>40.613993000000001</v>
      </c>
      <c r="O1865">
        <v>-112.704148</v>
      </c>
      <c r="P1865">
        <v>4277.1095219999997</v>
      </c>
      <c r="Q1865">
        <v>407</v>
      </c>
      <c r="R1865">
        <v>0</v>
      </c>
    </row>
    <row r="1866" spans="1:18" x14ac:dyDescent="0.25">
      <c r="A1866">
        <v>1865</v>
      </c>
      <c r="B1866">
        <v>94</v>
      </c>
      <c r="C1866">
        <v>31393192</v>
      </c>
      <c r="D1866" t="s">
        <v>124</v>
      </c>
      <c r="E1866">
        <v>27.375</v>
      </c>
      <c r="F1866" t="s">
        <v>21</v>
      </c>
      <c r="G1866" t="s">
        <v>26</v>
      </c>
      <c r="H1866" t="s">
        <v>21</v>
      </c>
      <c r="I1866" t="s">
        <v>20</v>
      </c>
      <c r="J1866" t="s">
        <v>20</v>
      </c>
      <c r="K1866" t="s">
        <v>22</v>
      </c>
      <c r="L1866" t="s">
        <v>84</v>
      </c>
      <c r="M1866" t="s">
        <v>194</v>
      </c>
      <c r="N1866">
        <v>40.315683999999997</v>
      </c>
      <c r="O1866">
        <v>-111.894733</v>
      </c>
      <c r="P1866">
        <v>4533.7799800000003</v>
      </c>
      <c r="Q1866">
        <v>1368</v>
      </c>
      <c r="R1866">
        <v>0</v>
      </c>
    </row>
    <row r="1867" spans="1:18" x14ac:dyDescent="0.25">
      <c r="A1867">
        <v>1866</v>
      </c>
      <c r="B1867">
        <v>94</v>
      </c>
      <c r="C1867">
        <v>31423967</v>
      </c>
      <c r="D1867" t="s">
        <v>221</v>
      </c>
      <c r="E1867">
        <v>27.39</v>
      </c>
      <c r="F1867" t="s">
        <v>21</v>
      </c>
      <c r="G1867" t="s">
        <v>20</v>
      </c>
      <c r="H1867" t="s">
        <v>21</v>
      </c>
      <c r="I1867" t="s">
        <v>20</v>
      </c>
      <c r="J1867" t="s">
        <v>20</v>
      </c>
      <c r="K1867" t="s">
        <v>22</v>
      </c>
      <c r="L1867" t="s">
        <v>155</v>
      </c>
      <c r="M1867" t="s">
        <v>174</v>
      </c>
      <c r="N1867">
        <v>39.521895999999998</v>
      </c>
      <c r="O1867">
        <v>-111.867816</v>
      </c>
      <c r="P1867">
        <v>5209.0302579999998</v>
      </c>
      <c r="Q1867">
        <v>1342</v>
      </c>
      <c r="R1867">
        <v>0</v>
      </c>
    </row>
    <row r="1868" spans="1:18" x14ac:dyDescent="0.25">
      <c r="A1868">
        <v>1867</v>
      </c>
      <c r="B1868">
        <v>94</v>
      </c>
      <c r="C1868">
        <v>31310475</v>
      </c>
      <c r="D1868" t="s">
        <v>116</v>
      </c>
      <c r="E1868">
        <v>27.391999999999999</v>
      </c>
      <c r="F1868" t="s">
        <v>21</v>
      </c>
      <c r="G1868" t="s">
        <v>26</v>
      </c>
      <c r="H1868" t="s">
        <v>21</v>
      </c>
      <c r="I1868" t="s">
        <v>20</v>
      </c>
      <c r="J1868" t="s">
        <v>20</v>
      </c>
      <c r="K1868" t="s">
        <v>41</v>
      </c>
      <c r="L1868" t="s">
        <v>95</v>
      </c>
      <c r="M1868" t="s">
        <v>117</v>
      </c>
      <c r="N1868">
        <v>41.742609000000002</v>
      </c>
      <c r="O1868">
        <v>-111.834681</v>
      </c>
      <c r="P1868">
        <v>4472.9235440000002</v>
      </c>
      <c r="Q1868">
        <v>324</v>
      </c>
      <c r="R1868">
        <v>0</v>
      </c>
    </row>
    <row r="1869" spans="1:18" x14ac:dyDescent="0.25">
      <c r="A1869">
        <v>1868</v>
      </c>
      <c r="B1869">
        <v>94</v>
      </c>
      <c r="C1869">
        <v>31304796</v>
      </c>
      <c r="D1869" t="s">
        <v>116</v>
      </c>
      <c r="E1869">
        <v>20.634</v>
      </c>
      <c r="F1869" t="s">
        <v>21</v>
      </c>
      <c r="G1869" t="s">
        <v>26</v>
      </c>
      <c r="H1869" t="s">
        <v>21</v>
      </c>
      <c r="I1869" t="s">
        <v>20</v>
      </c>
      <c r="J1869" t="s">
        <v>20</v>
      </c>
      <c r="K1869" t="s">
        <v>41</v>
      </c>
      <c r="L1869" t="s">
        <v>42</v>
      </c>
      <c r="M1869" t="s">
        <v>43</v>
      </c>
      <c r="N1869">
        <v>41.661645999999998</v>
      </c>
      <c r="O1869">
        <v>-111.89693800000001</v>
      </c>
      <c r="P1869">
        <v>4442.9406230000004</v>
      </c>
      <c r="Q1869">
        <v>324</v>
      </c>
      <c r="R1869">
        <v>0</v>
      </c>
    </row>
    <row r="1870" spans="1:18" x14ac:dyDescent="0.25">
      <c r="A1870">
        <v>1869</v>
      </c>
      <c r="B1870">
        <v>94</v>
      </c>
      <c r="C1870">
        <v>31399855</v>
      </c>
      <c r="D1870" t="s">
        <v>210</v>
      </c>
      <c r="E1870">
        <v>20.635999999999999</v>
      </c>
      <c r="F1870" t="s">
        <v>21</v>
      </c>
      <c r="G1870" t="s">
        <v>26</v>
      </c>
      <c r="H1870" t="s">
        <v>21</v>
      </c>
      <c r="I1870" t="s">
        <v>20</v>
      </c>
      <c r="J1870" t="s">
        <v>20</v>
      </c>
      <c r="K1870" t="s">
        <v>27</v>
      </c>
      <c r="L1870" t="s">
        <v>211</v>
      </c>
      <c r="M1870" t="s">
        <v>212</v>
      </c>
      <c r="N1870">
        <v>37.228231999999998</v>
      </c>
      <c r="O1870">
        <v>-109.212373</v>
      </c>
      <c r="P1870">
        <v>4422.2666040000004</v>
      </c>
      <c r="Q1870">
        <v>344</v>
      </c>
      <c r="R1870">
        <v>0</v>
      </c>
    </row>
    <row r="1871" spans="1:18" x14ac:dyDescent="0.25">
      <c r="A1871">
        <v>1870</v>
      </c>
      <c r="B1871">
        <v>94</v>
      </c>
      <c r="C1871">
        <v>28137690</v>
      </c>
      <c r="D1871" t="s">
        <v>220</v>
      </c>
      <c r="E1871">
        <v>20.65</v>
      </c>
      <c r="F1871" t="s">
        <v>21</v>
      </c>
      <c r="G1871" t="s">
        <v>26</v>
      </c>
      <c r="H1871" t="s">
        <v>21</v>
      </c>
      <c r="I1871" t="s">
        <v>20</v>
      </c>
      <c r="J1871" t="s">
        <v>20</v>
      </c>
      <c r="K1871" t="s">
        <v>27</v>
      </c>
      <c r="L1871" t="s">
        <v>28</v>
      </c>
      <c r="M1871" t="s">
        <v>29</v>
      </c>
      <c r="N1871">
        <v>37.630071999999998</v>
      </c>
      <c r="O1871">
        <v>-112.08186600000001</v>
      </c>
      <c r="P1871">
        <v>6254.0611980000003</v>
      </c>
      <c r="Q1871">
        <v>1328</v>
      </c>
      <c r="R1871">
        <v>0</v>
      </c>
    </row>
    <row r="1872" spans="1:18" x14ac:dyDescent="0.25">
      <c r="A1872">
        <v>1871</v>
      </c>
      <c r="B1872">
        <v>94</v>
      </c>
      <c r="C1872">
        <v>31590595</v>
      </c>
      <c r="D1872" t="s">
        <v>271</v>
      </c>
      <c r="E1872">
        <v>20.652000000000001</v>
      </c>
      <c r="F1872" t="s">
        <v>21</v>
      </c>
      <c r="G1872" t="s">
        <v>26</v>
      </c>
      <c r="H1872" t="s">
        <v>21</v>
      </c>
      <c r="I1872" t="s">
        <v>20</v>
      </c>
      <c r="J1872" t="s">
        <v>20</v>
      </c>
      <c r="K1872" t="s">
        <v>22</v>
      </c>
      <c r="L1872" t="s">
        <v>263</v>
      </c>
      <c r="M1872" t="s">
        <v>24</v>
      </c>
      <c r="N1872">
        <v>40.260612999999999</v>
      </c>
      <c r="O1872">
        <v>-112.09560500000001</v>
      </c>
      <c r="P1872">
        <v>4827.2285339999999</v>
      </c>
      <c r="Q1872">
        <v>1372</v>
      </c>
      <c r="R1872">
        <v>0</v>
      </c>
    </row>
    <row r="1873" spans="1:18" x14ac:dyDescent="0.25">
      <c r="A1873">
        <v>1872</v>
      </c>
      <c r="B1873">
        <v>94</v>
      </c>
      <c r="C1873">
        <v>1563165</v>
      </c>
      <c r="D1873" t="s">
        <v>88</v>
      </c>
      <c r="E1873">
        <v>20.664999999999999</v>
      </c>
      <c r="F1873" t="s">
        <v>21</v>
      </c>
      <c r="G1873" t="s">
        <v>26</v>
      </c>
      <c r="H1873" t="s">
        <v>21</v>
      </c>
      <c r="I1873" t="s">
        <v>20</v>
      </c>
      <c r="J1873" t="s">
        <v>20</v>
      </c>
      <c r="K1873" t="s">
        <v>31</v>
      </c>
      <c r="L1873" t="s">
        <v>66</v>
      </c>
      <c r="M1873" t="s">
        <v>90</v>
      </c>
      <c r="N1873">
        <v>40.734489000000004</v>
      </c>
      <c r="O1873">
        <v>-111.871099</v>
      </c>
      <c r="P1873">
        <v>4229.7726899999998</v>
      </c>
      <c r="Q1873">
        <v>318</v>
      </c>
      <c r="R1873">
        <v>0</v>
      </c>
    </row>
    <row r="1874" spans="1:18" x14ac:dyDescent="0.25">
      <c r="A1874">
        <v>1873</v>
      </c>
      <c r="B1874">
        <v>94</v>
      </c>
      <c r="C1874" t="e">
        <f>-Iov9OhvHr1iJkMIlt8FNV</f>
        <v>#NAME?</v>
      </c>
      <c r="D1874" t="s">
        <v>176</v>
      </c>
      <c r="E1874">
        <v>20.678000000000001</v>
      </c>
      <c r="F1874" t="s">
        <v>21</v>
      </c>
      <c r="G1874" t="s">
        <v>26</v>
      </c>
      <c r="H1874" t="s">
        <v>21</v>
      </c>
      <c r="I1874" t="s">
        <v>20</v>
      </c>
      <c r="J1874" t="s">
        <v>20</v>
      </c>
      <c r="K1874" t="s">
        <v>41</v>
      </c>
      <c r="L1874" t="s">
        <v>223</v>
      </c>
      <c r="M1874" t="s">
        <v>178</v>
      </c>
      <c r="N1874">
        <v>41.719552</v>
      </c>
      <c r="O1874">
        <v>-112.142594</v>
      </c>
      <c r="P1874">
        <v>4278.7170340000002</v>
      </c>
      <c r="Q1874">
        <v>1329</v>
      </c>
      <c r="R1874">
        <v>0</v>
      </c>
    </row>
    <row r="1875" spans="1:18" x14ac:dyDescent="0.25">
      <c r="A1875">
        <v>1874</v>
      </c>
      <c r="B1875">
        <v>94</v>
      </c>
      <c r="C1875">
        <v>31756013</v>
      </c>
      <c r="D1875" t="s">
        <v>88</v>
      </c>
      <c r="E1875">
        <v>20.687000000000001</v>
      </c>
      <c r="F1875" t="s">
        <v>21</v>
      </c>
      <c r="G1875" t="s">
        <v>26</v>
      </c>
      <c r="H1875" t="s">
        <v>21</v>
      </c>
      <c r="I1875" t="s">
        <v>20</v>
      </c>
      <c r="J1875" t="s">
        <v>20</v>
      </c>
      <c r="K1875" t="s">
        <v>31</v>
      </c>
      <c r="L1875" t="s">
        <v>66</v>
      </c>
      <c r="M1875" t="s">
        <v>49</v>
      </c>
      <c r="N1875">
        <v>40.7348</v>
      </c>
      <c r="O1875">
        <v>-111.871274</v>
      </c>
      <c r="P1875">
        <v>4227.4775280000003</v>
      </c>
      <c r="Q1875">
        <v>318</v>
      </c>
      <c r="R1875">
        <v>0</v>
      </c>
    </row>
    <row r="1876" spans="1:18" x14ac:dyDescent="0.25">
      <c r="A1876">
        <v>1875</v>
      </c>
      <c r="B1876">
        <v>94</v>
      </c>
      <c r="C1876">
        <v>27965004</v>
      </c>
      <c r="D1876" t="s">
        <v>281</v>
      </c>
      <c r="E1876">
        <v>20.696999999999999</v>
      </c>
      <c r="F1876" t="s">
        <v>21</v>
      </c>
      <c r="G1876" t="s">
        <v>26</v>
      </c>
      <c r="H1876" t="s">
        <v>21</v>
      </c>
      <c r="I1876" t="s">
        <v>20</v>
      </c>
      <c r="J1876" t="s">
        <v>20</v>
      </c>
      <c r="K1876" t="s">
        <v>31</v>
      </c>
      <c r="L1876" t="s">
        <v>282</v>
      </c>
      <c r="M1876" t="s">
        <v>174</v>
      </c>
      <c r="N1876">
        <v>40.085090000000001</v>
      </c>
      <c r="O1876">
        <v>-112.42149499999999</v>
      </c>
      <c r="P1876">
        <v>5519.4156430000003</v>
      </c>
      <c r="Q1876">
        <v>1347</v>
      </c>
      <c r="R1876">
        <v>0</v>
      </c>
    </row>
    <row r="1877" spans="1:18" x14ac:dyDescent="0.25">
      <c r="A1877">
        <v>1876</v>
      </c>
      <c r="B1877">
        <v>94</v>
      </c>
      <c r="C1877">
        <v>31720239</v>
      </c>
      <c r="D1877" t="s">
        <v>118</v>
      </c>
      <c r="E1877">
        <v>20.702000000000002</v>
      </c>
      <c r="F1877" t="s">
        <v>21</v>
      </c>
      <c r="G1877" t="s">
        <v>26</v>
      </c>
      <c r="H1877" t="s">
        <v>21</v>
      </c>
      <c r="I1877" t="s">
        <v>20</v>
      </c>
      <c r="J1877" t="s">
        <v>20</v>
      </c>
      <c r="K1877" t="s">
        <v>22</v>
      </c>
      <c r="L1877" t="s">
        <v>119</v>
      </c>
      <c r="M1877" t="s">
        <v>120</v>
      </c>
      <c r="N1877">
        <v>40.461199999999998</v>
      </c>
      <c r="O1877">
        <v>-111.380926</v>
      </c>
      <c r="P1877">
        <v>5855.9516610000001</v>
      </c>
      <c r="Q1877">
        <v>310</v>
      </c>
      <c r="R1877">
        <v>0</v>
      </c>
    </row>
    <row r="1878" spans="1:18" x14ac:dyDescent="0.25">
      <c r="A1878">
        <v>1877</v>
      </c>
      <c r="B1878">
        <v>94</v>
      </c>
      <c r="C1878" t="s">
        <v>468</v>
      </c>
      <c r="D1878" t="s">
        <v>281</v>
      </c>
      <c r="E1878">
        <v>20.722999999999999</v>
      </c>
      <c r="F1878" t="s">
        <v>21</v>
      </c>
      <c r="G1878" t="s">
        <v>26</v>
      </c>
      <c r="H1878" t="s">
        <v>21</v>
      </c>
      <c r="I1878" t="s">
        <v>20</v>
      </c>
      <c r="J1878" t="s">
        <v>20</v>
      </c>
      <c r="K1878" t="s">
        <v>31</v>
      </c>
      <c r="L1878" t="s">
        <v>282</v>
      </c>
      <c r="M1878" t="s">
        <v>174</v>
      </c>
      <c r="N1878">
        <v>40.085211999999999</v>
      </c>
      <c r="O1878">
        <v>-112.42195100000001</v>
      </c>
      <c r="P1878">
        <v>5519.2276419999998</v>
      </c>
      <c r="Q1878">
        <v>1347</v>
      </c>
      <c r="R1878">
        <v>0</v>
      </c>
    </row>
    <row r="1879" spans="1:18" x14ac:dyDescent="0.25">
      <c r="A1879">
        <v>1878</v>
      </c>
      <c r="B1879">
        <v>94</v>
      </c>
      <c r="C1879">
        <v>31517022</v>
      </c>
      <c r="D1879" t="s">
        <v>132</v>
      </c>
      <c r="E1879">
        <v>20.725000000000001</v>
      </c>
      <c r="F1879" t="s">
        <v>21</v>
      </c>
      <c r="G1879" t="s">
        <v>26</v>
      </c>
      <c r="H1879" t="s">
        <v>21</v>
      </c>
      <c r="I1879" t="s">
        <v>20</v>
      </c>
      <c r="J1879" t="s">
        <v>20</v>
      </c>
      <c r="K1879" t="s">
        <v>22</v>
      </c>
      <c r="L1879" t="s">
        <v>133</v>
      </c>
      <c r="M1879" t="s">
        <v>134</v>
      </c>
      <c r="N1879">
        <v>40.403686</v>
      </c>
      <c r="O1879">
        <v>-109.85496000000001</v>
      </c>
      <c r="P1879">
        <v>5354.7821809999996</v>
      </c>
      <c r="Q1879">
        <v>1405</v>
      </c>
      <c r="R1879">
        <v>0</v>
      </c>
    </row>
    <row r="1880" spans="1:18" x14ac:dyDescent="0.25">
      <c r="A1880">
        <v>1879</v>
      </c>
      <c r="B1880">
        <v>94</v>
      </c>
      <c r="C1880">
        <v>31908416</v>
      </c>
      <c r="D1880" t="s">
        <v>272</v>
      </c>
      <c r="E1880">
        <v>130.017</v>
      </c>
      <c r="F1880" t="s">
        <v>21</v>
      </c>
      <c r="G1880" t="s">
        <v>26</v>
      </c>
      <c r="H1880" t="s">
        <v>21</v>
      </c>
      <c r="I1880" t="s">
        <v>20</v>
      </c>
      <c r="J1880" t="s">
        <v>20</v>
      </c>
      <c r="K1880" t="s">
        <v>27</v>
      </c>
      <c r="L1880" t="s">
        <v>247</v>
      </c>
      <c r="M1880" t="s">
        <v>214</v>
      </c>
      <c r="N1880">
        <v>37.822983000000001</v>
      </c>
      <c r="O1880">
        <v>-112.415942</v>
      </c>
      <c r="P1880">
        <v>6526.0932750000002</v>
      </c>
      <c r="Q1880">
        <v>1384</v>
      </c>
      <c r="R1880">
        <v>0</v>
      </c>
    </row>
    <row r="1881" spans="1:18" x14ac:dyDescent="0.25">
      <c r="A1881">
        <v>1880</v>
      </c>
      <c r="B1881">
        <v>94</v>
      </c>
      <c r="C1881">
        <v>31491927</v>
      </c>
      <c r="D1881" t="s">
        <v>320</v>
      </c>
      <c r="E1881">
        <v>130.14099999999999</v>
      </c>
      <c r="F1881" t="s">
        <v>21</v>
      </c>
      <c r="G1881" t="s">
        <v>26</v>
      </c>
      <c r="H1881" t="s">
        <v>21</v>
      </c>
      <c r="I1881" t="s">
        <v>20</v>
      </c>
      <c r="J1881" t="s">
        <v>20</v>
      </c>
      <c r="K1881" t="s">
        <v>27</v>
      </c>
      <c r="L1881" t="s">
        <v>202</v>
      </c>
      <c r="M1881" t="s">
        <v>76</v>
      </c>
      <c r="N1881">
        <v>39.251565999999997</v>
      </c>
      <c r="O1881">
        <v>-112.11021700000001</v>
      </c>
      <c r="P1881">
        <v>5223.1433880000004</v>
      </c>
      <c r="Q1881">
        <v>1356</v>
      </c>
      <c r="R1881">
        <v>0</v>
      </c>
    </row>
    <row r="1882" spans="1:18" x14ac:dyDescent="0.25">
      <c r="A1882">
        <v>1881</v>
      </c>
      <c r="B1882">
        <v>94</v>
      </c>
      <c r="C1882">
        <v>31699612</v>
      </c>
      <c r="D1882" t="s">
        <v>175</v>
      </c>
      <c r="E1882">
        <v>2.9529999999999998</v>
      </c>
      <c r="F1882" t="s">
        <v>19</v>
      </c>
      <c r="G1882" t="s">
        <v>20</v>
      </c>
      <c r="H1882" t="s">
        <v>19</v>
      </c>
      <c r="I1882">
        <v>89</v>
      </c>
      <c r="J1882" t="s">
        <v>20</v>
      </c>
      <c r="K1882" t="s">
        <v>41</v>
      </c>
      <c r="L1882" t="s">
        <v>87</v>
      </c>
      <c r="M1882" t="s">
        <v>93</v>
      </c>
      <c r="N1882">
        <v>41.066183000000002</v>
      </c>
      <c r="O1882">
        <v>-111.91073900000001</v>
      </c>
      <c r="P1882">
        <v>4748.6714499999998</v>
      </c>
      <c r="Q1882">
        <v>1397</v>
      </c>
      <c r="R1882">
        <v>0</v>
      </c>
    </row>
    <row r="1883" spans="1:18" x14ac:dyDescent="0.25">
      <c r="A1883">
        <v>1882</v>
      </c>
      <c r="B1883">
        <v>94</v>
      </c>
      <c r="C1883">
        <v>31636463</v>
      </c>
      <c r="D1883" t="s">
        <v>233</v>
      </c>
      <c r="E1883">
        <v>2.9540000000000002</v>
      </c>
      <c r="F1883" t="s">
        <v>21</v>
      </c>
      <c r="G1883" t="s">
        <v>20</v>
      </c>
      <c r="H1883" t="s">
        <v>21</v>
      </c>
      <c r="I1883" t="s">
        <v>20</v>
      </c>
      <c r="J1883" t="s">
        <v>20</v>
      </c>
      <c r="K1883" t="s">
        <v>22</v>
      </c>
      <c r="L1883" t="s">
        <v>234</v>
      </c>
      <c r="M1883" t="s">
        <v>235</v>
      </c>
      <c r="N1883">
        <v>39.995438999999998</v>
      </c>
      <c r="O1883">
        <v>-109.178265</v>
      </c>
      <c r="P1883">
        <v>5281.4587110000002</v>
      </c>
      <c r="Q1883">
        <v>1354</v>
      </c>
      <c r="R1883">
        <v>0</v>
      </c>
    </row>
    <row r="1884" spans="1:18" x14ac:dyDescent="0.25">
      <c r="A1884">
        <v>1883</v>
      </c>
      <c r="B1884">
        <v>94</v>
      </c>
      <c r="C1884">
        <v>968242</v>
      </c>
      <c r="D1884" t="s">
        <v>65</v>
      </c>
      <c r="E1884">
        <v>2.9569999999999999</v>
      </c>
      <c r="F1884" t="s">
        <v>19</v>
      </c>
      <c r="G1884" t="s">
        <v>20</v>
      </c>
      <c r="H1884" t="s">
        <v>21</v>
      </c>
      <c r="I1884" t="s">
        <v>20</v>
      </c>
      <c r="J1884" t="s">
        <v>20</v>
      </c>
      <c r="K1884" t="s">
        <v>31</v>
      </c>
      <c r="L1884" t="s">
        <v>66</v>
      </c>
      <c r="M1884" t="s">
        <v>67</v>
      </c>
      <c r="N1884">
        <v>40.760660000000001</v>
      </c>
      <c r="O1884">
        <v>-111.88249399999999</v>
      </c>
      <c r="P1884">
        <v>4214.6395979999998</v>
      </c>
      <c r="Q1884">
        <v>402</v>
      </c>
      <c r="R1884">
        <v>0</v>
      </c>
    </row>
    <row r="1885" spans="1:18" x14ac:dyDescent="0.25">
      <c r="A1885">
        <v>1884</v>
      </c>
      <c r="B1885">
        <v>94</v>
      </c>
      <c r="C1885">
        <v>503900</v>
      </c>
      <c r="D1885" t="s">
        <v>135</v>
      </c>
      <c r="E1885">
        <v>2.96</v>
      </c>
      <c r="F1885" t="s">
        <v>19</v>
      </c>
      <c r="G1885" t="s">
        <v>20</v>
      </c>
      <c r="H1885" t="s">
        <v>21</v>
      </c>
      <c r="I1885" t="s">
        <v>20</v>
      </c>
      <c r="J1885" t="s">
        <v>20</v>
      </c>
      <c r="K1885" t="s">
        <v>31</v>
      </c>
      <c r="L1885" t="s">
        <v>89</v>
      </c>
      <c r="M1885" t="s">
        <v>144</v>
      </c>
      <c r="N1885">
        <v>40.560521000000001</v>
      </c>
      <c r="O1885">
        <v>-111.92050999999999</v>
      </c>
      <c r="P1885">
        <v>4337.7837520000003</v>
      </c>
      <c r="Q1885">
        <v>1423</v>
      </c>
      <c r="R1885">
        <v>0</v>
      </c>
    </row>
    <row r="1886" spans="1:18" x14ac:dyDescent="0.25">
      <c r="A1886">
        <v>1885</v>
      </c>
      <c r="B1886">
        <v>94</v>
      </c>
      <c r="C1886">
        <v>31501884</v>
      </c>
      <c r="D1886" t="s">
        <v>150</v>
      </c>
      <c r="E1886">
        <v>2.964</v>
      </c>
      <c r="F1886" t="s">
        <v>21</v>
      </c>
      <c r="G1886" t="s">
        <v>26</v>
      </c>
      <c r="H1886" t="s">
        <v>21</v>
      </c>
      <c r="I1886" t="s">
        <v>20</v>
      </c>
      <c r="J1886" t="s">
        <v>20</v>
      </c>
      <c r="K1886" t="s">
        <v>27</v>
      </c>
      <c r="L1886" t="s">
        <v>151</v>
      </c>
      <c r="M1886" t="s">
        <v>152</v>
      </c>
      <c r="N1886">
        <v>38.992294000000001</v>
      </c>
      <c r="O1886">
        <v>-110.137196</v>
      </c>
      <c r="P1886">
        <v>4018.8014290000001</v>
      </c>
      <c r="Q1886">
        <v>1336</v>
      </c>
      <c r="R1886">
        <v>0</v>
      </c>
    </row>
    <row r="1887" spans="1:18" x14ac:dyDescent="0.25">
      <c r="A1887">
        <v>1886</v>
      </c>
      <c r="B1887">
        <v>94</v>
      </c>
      <c r="C1887">
        <v>31388148</v>
      </c>
      <c r="D1887" t="s">
        <v>364</v>
      </c>
      <c r="E1887">
        <v>2.9649999999999999</v>
      </c>
      <c r="F1887" t="s">
        <v>21</v>
      </c>
      <c r="G1887" t="s">
        <v>26</v>
      </c>
      <c r="H1887" t="s">
        <v>21</v>
      </c>
      <c r="I1887" t="s">
        <v>20</v>
      </c>
      <c r="J1887" t="s">
        <v>20</v>
      </c>
      <c r="K1887" t="s">
        <v>22</v>
      </c>
      <c r="L1887" t="s">
        <v>198</v>
      </c>
      <c r="M1887" t="s">
        <v>85</v>
      </c>
      <c r="N1887">
        <v>40.087586999999999</v>
      </c>
      <c r="O1887">
        <v>-111.730949</v>
      </c>
      <c r="P1887">
        <v>4467.4623730000003</v>
      </c>
      <c r="Q1887">
        <v>1401</v>
      </c>
      <c r="R1887">
        <v>0</v>
      </c>
    </row>
    <row r="1888" spans="1:18" x14ac:dyDescent="0.25">
      <c r="A1888">
        <v>1887</v>
      </c>
      <c r="B1888">
        <v>94</v>
      </c>
      <c r="C1888">
        <v>1226977</v>
      </c>
      <c r="D1888" t="s">
        <v>108</v>
      </c>
      <c r="E1888">
        <v>2.9689999999999999</v>
      </c>
      <c r="F1888" t="s">
        <v>21</v>
      </c>
      <c r="G1888" t="s">
        <v>26</v>
      </c>
      <c r="H1888" t="s">
        <v>21</v>
      </c>
      <c r="I1888" t="s">
        <v>20</v>
      </c>
      <c r="J1888" t="s">
        <v>20</v>
      </c>
      <c r="K1888" t="s">
        <v>41</v>
      </c>
      <c r="L1888" t="s">
        <v>81</v>
      </c>
      <c r="M1888" t="s">
        <v>93</v>
      </c>
      <c r="N1888">
        <v>41.191676999999999</v>
      </c>
      <c r="O1888">
        <v>-111.98014499999999</v>
      </c>
      <c r="P1888">
        <v>4316.9778660000002</v>
      </c>
      <c r="Q1888">
        <v>1341</v>
      </c>
      <c r="R1888">
        <v>0</v>
      </c>
    </row>
    <row r="1889" spans="1:18" x14ac:dyDescent="0.25">
      <c r="A1889">
        <v>1888</v>
      </c>
      <c r="B1889">
        <v>94</v>
      </c>
      <c r="C1889" t="s">
        <v>469</v>
      </c>
      <c r="D1889" t="s">
        <v>167</v>
      </c>
      <c r="E1889">
        <v>2.97</v>
      </c>
      <c r="F1889" t="s">
        <v>21</v>
      </c>
      <c r="G1889" t="s">
        <v>20</v>
      </c>
      <c r="H1889" t="s">
        <v>21</v>
      </c>
      <c r="I1889" t="s">
        <v>20</v>
      </c>
      <c r="J1889" t="s">
        <v>20</v>
      </c>
      <c r="K1889" t="s">
        <v>22</v>
      </c>
      <c r="L1889" t="s">
        <v>168</v>
      </c>
      <c r="M1889" t="s">
        <v>169</v>
      </c>
      <c r="N1889">
        <v>40.246600999999998</v>
      </c>
      <c r="O1889">
        <v>-110.711698</v>
      </c>
      <c r="P1889">
        <v>6710.333971</v>
      </c>
      <c r="Q1889">
        <v>354</v>
      </c>
      <c r="R1889">
        <v>0</v>
      </c>
    </row>
    <row r="1890" spans="1:18" x14ac:dyDescent="0.25">
      <c r="A1890">
        <v>1889</v>
      </c>
      <c r="B1890">
        <v>94</v>
      </c>
      <c r="C1890" t="e">
        <f>-JLypE3sG8iNV7ZZa3byok</f>
        <v>#NAME?</v>
      </c>
      <c r="D1890" t="s">
        <v>322</v>
      </c>
      <c r="E1890">
        <v>2.972</v>
      </c>
      <c r="F1890" t="s">
        <v>19</v>
      </c>
      <c r="G1890" t="s">
        <v>20</v>
      </c>
      <c r="H1890" t="s">
        <v>19</v>
      </c>
      <c r="I1890">
        <v>68</v>
      </c>
      <c r="J1890" t="s">
        <v>20</v>
      </c>
      <c r="K1890" t="s">
        <v>22</v>
      </c>
      <c r="L1890" t="s">
        <v>84</v>
      </c>
      <c r="M1890" t="s">
        <v>24</v>
      </c>
      <c r="N1890">
        <v>40.462681000000003</v>
      </c>
      <c r="O1890">
        <v>-111.94299700000001</v>
      </c>
      <c r="P1890">
        <v>4580.9129780000003</v>
      </c>
      <c r="Q1890">
        <v>6660</v>
      </c>
      <c r="R1890">
        <v>0</v>
      </c>
    </row>
    <row r="1891" spans="1:18" x14ac:dyDescent="0.25">
      <c r="A1891">
        <v>1890</v>
      </c>
      <c r="B1891">
        <v>94</v>
      </c>
      <c r="C1891">
        <v>558586</v>
      </c>
      <c r="D1891" t="s">
        <v>115</v>
      </c>
      <c r="E1891">
        <v>2.9769999999999999</v>
      </c>
      <c r="F1891" t="s">
        <v>21</v>
      </c>
      <c r="G1891" t="s">
        <v>26</v>
      </c>
      <c r="H1891" t="s">
        <v>21</v>
      </c>
      <c r="I1891" t="s">
        <v>20</v>
      </c>
      <c r="J1891" t="s">
        <v>20</v>
      </c>
      <c r="K1891" t="s">
        <v>31</v>
      </c>
      <c r="L1891" t="s">
        <v>48</v>
      </c>
      <c r="M1891" t="s">
        <v>70</v>
      </c>
      <c r="N1891">
        <v>40.653036</v>
      </c>
      <c r="O1891">
        <v>-112.020332</v>
      </c>
      <c r="P1891">
        <v>4681.7595959999999</v>
      </c>
      <c r="Q1891">
        <v>1437</v>
      </c>
      <c r="R1891">
        <v>0</v>
      </c>
    </row>
    <row r="1892" spans="1:18" x14ac:dyDescent="0.25">
      <c r="A1892">
        <v>1891</v>
      </c>
      <c r="B1892">
        <v>94</v>
      </c>
      <c r="C1892">
        <v>1316252</v>
      </c>
      <c r="D1892" t="s">
        <v>191</v>
      </c>
      <c r="E1892">
        <v>2.9820000000000002</v>
      </c>
      <c r="F1892" t="s">
        <v>21</v>
      </c>
      <c r="G1892" t="s">
        <v>26</v>
      </c>
      <c r="H1892" t="s">
        <v>21</v>
      </c>
      <c r="I1892" t="s">
        <v>20</v>
      </c>
      <c r="J1892" t="s">
        <v>20</v>
      </c>
      <c r="K1892" t="s">
        <v>41</v>
      </c>
      <c r="L1892" t="s">
        <v>57</v>
      </c>
      <c r="M1892" t="s">
        <v>190</v>
      </c>
      <c r="N1892">
        <v>41.132415000000002</v>
      </c>
      <c r="O1892">
        <v>-112.112583</v>
      </c>
      <c r="P1892">
        <v>4181.1842100000003</v>
      </c>
      <c r="Q1892">
        <v>329</v>
      </c>
      <c r="R1892">
        <v>0</v>
      </c>
    </row>
    <row r="1893" spans="1:18" x14ac:dyDescent="0.25">
      <c r="A1893">
        <v>1892</v>
      </c>
      <c r="B1893">
        <v>94</v>
      </c>
      <c r="C1893">
        <v>31385512</v>
      </c>
      <c r="D1893" t="s">
        <v>184</v>
      </c>
      <c r="E1893">
        <v>2.984</v>
      </c>
      <c r="F1893" t="s">
        <v>21</v>
      </c>
      <c r="G1893" t="s">
        <v>26</v>
      </c>
      <c r="H1893" t="s">
        <v>21</v>
      </c>
      <c r="I1893" t="s">
        <v>20</v>
      </c>
      <c r="J1893" t="s">
        <v>20</v>
      </c>
      <c r="K1893" t="s">
        <v>27</v>
      </c>
      <c r="L1893" t="s">
        <v>54</v>
      </c>
      <c r="M1893" t="s">
        <v>55</v>
      </c>
      <c r="N1893">
        <v>37.687879000000002</v>
      </c>
      <c r="O1893">
        <v>-113.061916</v>
      </c>
      <c r="P1893">
        <v>5713.9458109999996</v>
      </c>
      <c r="Q1893">
        <v>1410</v>
      </c>
      <c r="R1893">
        <v>0</v>
      </c>
    </row>
    <row r="1894" spans="1:18" x14ac:dyDescent="0.25">
      <c r="A1894">
        <v>1893</v>
      </c>
      <c r="B1894">
        <v>94</v>
      </c>
      <c r="C1894">
        <v>484771</v>
      </c>
      <c r="D1894" t="s">
        <v>83</v>
      </c>
      <c r="E1894">
        <v>2.4060000000000001</v>
      </c>
      <c r="F1894" t="s">
        <v>21</v>
      </c>
      <c r="G1894" t="s">
        <v>26</v>
      </c>
      <c r="H1894" t="s">
        <v>21</v>
      </c>
      <c r="I1894" t="s">
        <v>20</v>
      </c>
      <c r="J1894" t="s">
        <v>20</v>
      </c>
      <c r="K1894" t="s">
        <v>22</v>
      </c>
      <c r="L1894" t="s">
        <v>84</v>
      </c>
      <c r="M1894" t="s">
        <v>85</v>
      </c>
      <c r="N1894">
        <v>40.410567999999998</v>
      </c>
      <c r="O1894">
        <v>-111.788865</v>
      </c>
      <c r="P1894">
        <v>4773.8508970000003</v>
      </c>
      <c r="Q1894">
        <v>319</v>
      </c>
      <c r="R1894">
        <v>0</v>
      </c>
    </row>
    <row r="1895" spans="1:18" x14ac:dyDescent="0.25">
      <c r="A1895">
        <v>1894</v>
      </c>
      <c r="B1895">
        <v>94</v>
      </c>
      <c r="C1895">
        <v>31370688</v>
      </c>
      <c r="D1895" t="s">
        <v>199</v>
      </c>
      <c r="E1895">
        <v>2.407</v>
      </c>
      <c r="F1895" t="s">
        <v>21</v>
      </c>
      <c r="G1895" t="s">
        <v>26</v>
      </c>
      <c r="H1895" t="s">
        <v>21</v>
      </c>
      <c r="I1895" t="s">
        <v>20</v>
      </c>
      <c r="J1895" t="s">
        <v>20</v>
      </c>
      <c r="K1895" t="s">
        <v>27</v>
      </c>
      <c r="L1895" t="s">
        <v>103</v>
      </c>
      <c r="M1895" t="s">
        <v>200</v>
      </c>
      <c r="N1895">
        <v>38.281267</v>
      </c>
      <c r="O1895">
        <v>-112.600837</v>
      </c>
      <c r="P1895">
        <v>6031.5098319999997</v>
      </c>
      <c r="Q1895">
        <v>341</v>
      </c>
      <c r="R1895">
        <v>0</v>
      </c>
    </row>
    <row r="1896" spans="1:18" x14ac:dyDescent="0.25">
      <c r="A1896">
        <v>1895</v>
      </c>
      <c r="B1896">
        <v>94</v>
      </c>
      <c r="C1896">
        <v>31601333</v>
      </c>
      <c r="D1896" t="s">
        <v>232</v>
      </c>
      <c r="E1896">
        <v>2.4159999999999999</v>
      </c>
      <c r="F1896" t="s">
        <v>21</v>
      </c>
      <c r="G1896" t="s">
        <v>26</v>
      </c>
      <c r="H1896" t="s">
        <v>21</v>
      </c>
      <c r="I1896" t="s">
        <v>20</v>
      </c>
      <c r="J1896" t="s">
        <v>20</v>
      </c>
      <c r="K1896" t="s">
        <v>31</v>
      </c>
      <c r="L1896" t="s">
        <v>209</v>
      </c>
      <c r="M1896" t="s">
        <v>131</v>
      </c>
      <c r="N1896">
        <v>40.674523999999998</v>
      </c>
      <c r="O1896">
        <v>-111.46912399999999</v>
      </c>
      <c r="P1896">
        <v>6643.1647229999999</v>
      </c>
      <c r="Q1896">
        <v>1279</v>
      </c>
      <c r="R1896">
        <v>0</v>
      </c>
    </row>
    <row r="1897" spans="1:18" x14ac:dyDescent="0.25">
      <c r="A1897">
        <v>1896</v>
      </c>
      <c r="B1897">
        <v>94</v>
      </c>
      <c r="C1897" t="e">
        <f>-JN-KQC4GQTZDbG_xQmcFF</f>
        <v>#NAME?</v>
      </c>
      <c r="D1897" t="s">
        <v>184</v>
      </c>
      <c r="E1897">
        <v>2.4159999999999999</v>
      </c>
      <c r="F1897" t="s">
        <v>21</v>
      </c>
      <c r="G1897" t="s">
        <v>20</v>
      </c>
      <c r="H1897" t="s">
        <v>21</v>
      </c>
      <c r="I1897" t="s">
        <v>20</v>
      </c>
      <c r="J1897" t="s">
        <v>20</v>
      </c>
      <c r="K1897" t="s">
        <v>27</v>
      </c>
      <c r="L1897" t="s">
        <v>54</v>
      </c>
      <c r="M1897" t="s">
        <v>55</v>
      </c>
      <c r="N1897">
        <v>37.679685999999997</v>
      </c>
      <c r="O1897">
        <v>-113.06179400000001</v>
      </c>
      <c r="P1897">
        <v>5751.9064230000004</v>
      </c>
      <c r="Q1897">
        <v>1410</v>
      </c>
      <c r="R1897">
        <v>0</v>
      </c>
    </row>
    <row r="1898" spans="1:18" x14ac:dyDescent="0.25">
      <c r="A1898">
        <v>1897</v>
      </c>
      <c r="B1898">
        <v>94</v>
      </c>
      <c r="C1898">
        <v>31366474</v>
      </c>
      <c r="D1898" t="s">
        <v>229</v>
      </c>
      <c r="E1898">
        <v>2.9950000000000001</v>
      </c>
      <c r="F1898" t="s">
        <v>21</v>
      </c>
      <c r="G1898" t="s">
        <v>26</v>
      </c>
      <c r="H1898" t="s">
        <v>21</v>
      </c>
      <c r="I1898" t="s">
        <v>20</v>
      </c>
      <c r="J1898" t="s">
        <v>20</v>
      </c>
      <c r="K1898" t="s">
        <v>27</v>
      </c>
      <c r="L1898" t="s">
        <v>230</v>
      </c>
      <c r="M1898" t="s">
        <v>82</v>
      </c>
      <c r="N1898">
        <v>39.475687999999998</v>
      </c>
      <c r="O1898">
        <v>-111.598615</v>
      </c>
      <c r="P1898">
        <v>5426.4076640000003</v>
      </c>
      <c r="Q1898">
        <v>331</v>
      </c>
      <c r="R1898">
        <v>0</v>
      </c>
    </row>
    <row r="1899" spans="1:18" x14ac:dyDescent="0.25">
      <c r="A1899">
        <v>1898</v>
      </c>
      <c r="B1899">
        <v>94</v>
      </c>
      <c r="C1899">
        <v>28170491</v>
      </c>
      <c r="D1899" t="s">
        <v>239</v>
      </c>
      <c r="E1899">
        <v>20.004000000000001</v>
      </c>
      <c r="F1899" t="s">
        <v>21</v>
      </c>
      <c r="G1899" t="s">
        <v>20</v>
      </c>
      <c r="H1899" t="s">
        <v>21</v>
      </c>
      <c r="I1899" t="s">
        <v>20</v>
      </c>
      <c r="J1899" t="s">
        <v>20</v>
      </c>
      <c r="K1899" t="s">
        <v>41</v>
      </c>
      <c r="L1899" t="s">
        <v>223</v>
      </c>
      <c r="M1899" t="s">
        <v>178</v>
      </c>
      <c r="N1899">
        <v>41.715373</v>
      </c>
      <c r="O1899">
        <v>-112.09411299999999</v>
      </c>
      <c r="P1899">
        <v>4281.0683870000003</v>
      </c>
      <c r="Q1899">
        <v>1392</v>
      </c>
      <c r="R1899">
        <v>0</v>
      </c>
    </row>
    <row r="1900" spans="1:18" x14ac:dyDescent="0.25">
      <c r="A1900">
        <v>1899</v>
      </c>
      <c r="B1900">
        <v>94</v>
      </c>
      <c r="C1900">
        <v>31323394</v>
      </c>
      <c r="D1900" t="s">
        <v>303</v>
      </c>
      <c r="E1900">
        <v>20.004000000000001</v>
      </c>
      <c r="F1900" t="s">
        <v>21</v>
      </c>
      <c r="G1900" t="s">
        <v>20</v>
      </c>
      <c r="H1900" t="s">
        <v>21</v>
      </c>
      <c r="I1900" t="s">
        <v>20</v>
      </c>
      <c r="J1900" t="s">
        <v>20</v>
      </c>
      <c r="K1900" t="s">
        <v>27</v>
      </c>
      <c r="L1900" t="s">
        <v>72</v>
      </c>
      <c r="M1900" t="s">
        <v>73</v>
      </c>
      <c r="N1900">
        <v>37.197783000000001</v>
      </c>
      <c r="O1900">
        <v>-113.164959</v>
      </c>
      <c r="P1900">
        <v>3478.325589</v>
      </c>
      <c r="Q1900">
        <v>1326</v>
      </c>
      <c r="R1900">
        <v>0</v>
      </c>
    </row>
    <row r="1901" spans="1:18" x14ac:dyDescent="0.25">
      <c r="A1901">
        <v>1900</v>
      </c>
      <c r="B1901">
        <v>94</v>
      </c>
      <c r="C1901">
        <v>31641556</v>
      </c>
      <c r="D1901" t="s">
        <v>233</v>
      </c>
      <c r="E1901">
        <v>20.013000000000002</v>
      </c>
      <c r="F1901" t="s">
        <v>21</v>
      </c>
      <c r="G1901" t="s">
        <v>20</v>
      </c>
      <c r="H1901" t="s">
        <v>21</v>
      </c>
      <c r="I1901" t="s">
        <v>20</v>
      </c>
      <c r="J1901" t="s">
        <v>20</v>
      </c>
      <c r="K1901" t="s">
        <v>22</v>
      </c>
      <c r="L1901" t="s">
        <v>234</v>
      </c>
      <c r="M1901" t="s">
        <v>235</v>
      </c>
      <c r="N1901">
        <v>40.189182000000002</v>
      </c>
      <c r="O1901">
        <v>-109.330974</v>
      </c>
      <c r="P1901">
        <v>5540.3137370000004</v>
      </c>
      <c r="Q1901">
        <v>1354</v>
      </c>
      <c r="R1901">
        <v>0</v>
      </c>
    </row>
    <row r="1902" spans="1:18" x14ac:dyDescent="0.25">
      <c r="A1902">
        <v>1901</v>
      </c>
      <c r="B1902">
        <v>94</v>
      </c>
      <c r="C1902">
        <v>31194111</v>
      </c>
      <c r="D1902" t="s">
        <v>310</v>
      </c>
      <c r="E1902">
        <v>20.015000000000001</v>
      </c>
      <c r="F1902" t="s">
        <v>21</v>
      </c>
      <c r="G1902" t="s">
        <v>26</v>
      </c>
      <c r="H1902" t="s">
        <v>21</v>
      </c>
      <c r="I1902" t="s">
        <v>20</v>
      </c>
      <c r="J1902" t="s">
        <v>20</v>
      </c>
      <c r="K1902" t="s">
        <v>31</v>
      </c>
      <c r="L1902" t="s">
        <v>285</v>
      </c>
      <c r="M1902" t="s">
        <v>206</v>
      </c>
      <c r="N1902">
        <v>40.65081</v>
      </c>
      <c r="O1902">
        <v>-112.29636499999999</v>
      </c>
      <c r="P1902">
        <v>4209.4336469999998</v>
      </c>
      <c r="Q1902">
        <v>1414</v>
      </c>
      <c r="R1902">
        <v>0</v>
      </c>
    </row>
    <row r="1903" spans="1:18" x14ac:dyDescent="0.25">
      <c r="A1903">
        <v>1902</v>
      </c>
      <c r="B1903">
        <v>94</v>
      </c>
      <c r="C1903">
        <v>31304785</v>
      </c>
      <c r="D1903" t="s">
        <v>116</v>
      </c>
      <c r="E1903">
        <v>20.015999999999998</v>
      </c>
      <c r="F1903" t="s">
        <v>21</v>
      </c>
      <c r="G1903" t="s">
        <v>26</v>
      </c>
      <c r="H1903" t="s">
        <v>21</v>
      </c>
      <c r="I1903" t="s">
        <v>20</v>
      </c>
      <c r="J1903" t="s">
        <v>20</v>
      </c>
      <c r="K1903" t="s">
        <v>41</v>
      </c>
      <c r="L1903" t="s">
        <v>42</v>
      </c>
      <c r="M1903" t="s">
        <v>43</v>
      </c>
      <c r="N1903">
        <v>41.654525999999997</v>
      </c>
      <c r="O1903">
        <v>-111.904205</v>
      </c>
      <c r="P1903">
        <v>4446.4345599999997</v>
      </c>
      <c r="Q1903">
        <v>324</v>
      </c>
      <c r="R1903">
        <v>0</v>
      </c>
    </row>
    <row r="1904" spans="1:18" x14ac:dyDescent="0.25">
      <c r="A1904">
        <v>1903</v>
      </c>
      <c r="B1904">
        <v>94</v>
      </c>
      <c r="C1904">
        <v>31672289</v>
      </c>
      <c r="D1904" t="s">
        <v>217</v>
      </c>
      <c r="E1904">
        <v>20.021999999999998</v>
      </c>
      <c r="F1904" t="s">
        <v>21</v>
      </c>
      <c r="G1904" t="s">
        <v>20</v>
      </c>
      <c r="H1904" t="s">
        <v>21</v>
      </c>
      <c r="I1904" t="s">
        <v>20</v>
      </c>
      <c r="J1904" t="s">
        <v>20</v>
      </c>
      <c r="K1904" t="s">
        <v>27</v>
      </c>
      <c r="L1904" t="s">
        <v>162</v>
      </c>
      <c r="M1904" t="s">
        <v>163</v>
      </c>
      <c r="N1904">
        <v>37.335867</v>
      </c>
      <c r="O1904">
        <v>-113.693235</v>
      </c>
      <c r="P1904">
        <v>4378.8806100000002</v>
      </c>
      <c r="Q1904">
        <v>304</v>
      </c>
      <c r="R1904">
        <v>0</v>
      </c>
    </row>
    <row r="1905" spans="1:18" x14ac:dyDescent="0.25">
      <c r="A1905">
        <v>1904</v>
      </c>
      <c r="B1905">
        <v>94</v>
      </c>
      <c r="C1905">
        <v>1561414</v>
      </c>
      <c r="D1905" t="s">
        <v>88</v>
      </c>
      <c r="E1905">
        <v>20.041</v>
      </c>
      <c r="F1905" t="s">
        <v>19</v>
      </c>
      <c r="G1905" t="s">
        <v>20</v>
      </c>
      <c r="H1905" t="s">
        <v>21</v>
      </c>
      <c r="I1905" t="s">
        <v>20</v>
      </c>
      <c r="J1905" t="s">
        <v>20</v>
      </c>
      <c r="K1905" t="s">
        <v>31</v>
      </c>
      <c r="L1905" t="s">
        <v>66</v>
      </c>
      <c r="M1905" t="s">
        <v>90</v>
      </c>
      <c r="N1905">
        <v>40.725422999999999</v>
      </c>
      <c r="O1905">
        <v>-111.87120899999999</v>
      </c>
      <c r="P1905">
        <v>4252.9059200000002</v>
      </c>
      <c r="Q1905">
        <v>318</v>
      </c>
      <c r="R1905">
        <v>0</v>
      </c>
    </row>
    <row r="1906" spans="1:18" x14ac:dyDescent="0.25">
      <c r="A1906">
        <v>1905</v>
      </c>
      <c r="B1906">
        <v>94</v>
      </c>
      <c r="C1906">
        <v>31395428</v>
      </c>
      <c r="D1906" t="s">
        <v>352</v>
      </c>
      <c r="E1906">
        <v>20.047999999999998</v>
      </c>
      <c r="F1906" t="s">
        <v>21</v>
      </c>
      <c r="G1906" t="s">
        <v>26</v>
      </c>
      <c r="H1906" t="s">
        <v>21</v>
      </c>
      <c r="I1906" t="s">
        <v>20</v>
      </c>
      <c r="J1906" t="s">
        <v>20</v>
      </c>
      <c r="K1906" t="s">
        <v>31</v>
      </c>
      <c r="L1906" t="s">
        <v>282</v>
      </c>
      <c r="M1906" t="s">
        <v>206</v>
      </c>
      <c r="N1906">
        <v>40.336655</v>
      </c>
      <c r="O1906">
        <v>-112.445723</v>
      </c>
      <c r="P1906">
        <v>5027.1391839999997</v>
      </c>
      <c r="Q1906">
        <v>409</v>
      </c>
      <c r="R1906">
        <v>0</v>
      </c>
    </row>
    <row r="1907" spans="1:18" x14ac:dyDescent="0.25">
      <c r="A1907">
        <v>1906</v>
      </c>
      <c r="B1907">
        <v>94</v>
      </c>
      <c r="C1907">
        <v>28172909</v>
      </c>
      <c r="D1907" t="s">
        <v>239</v>
      </c>
      <c r="E1907">
        <v>20.067</v>
      </c>
      <c r="F1907" t="s">
        <v>21</v>
      </c>
      <c r="G1907" t="s">
        <v>26</v>
      </c>
      <c r="H1907" t="s">
        <v>19</v>
      </c>
      <c r="I1907">
        <v>38</v>
      </c>
      <c r="J1907" t="s">
        <v>20</v>
      </c>
      <c r="K1907" t="s">
        <v>41</v>
      </c>
      <c r="L1907" t="s">
        <v>223</v>
      </c>
      <c r="M1907" t="s">
        <v>178</v>
      </c>
      <c r="N1907">
        <v>41.715384999999998</v>
      </c>
      <c r="O1907">
        <v>-112.092792</v>
      </c>
      <c r="P1907">
        <v>4289.9053590000003</v>
      </c>
      <c r="Q1907">
        <v>1392</v>
      </c>
      <c r="R1907">
        <v>0</v>
      </c>
    </row>
    <row r="1908" spans="1:18" x14ac:dyDescent="0.25">
      <c r="A1908">
        <v>1907</v>
      </c>
      <c r="B1908">
        <v>94</v>
      </c>
      <c r="C1908">
        <v>31316117</v>
      </c>
      <c r="D1908" t="s">
        <v>347</v>
      </c>
      <c r="E1908">
        <v>20.087</v>
      </c>
      <c r="F1908" t="s">
        <v>21</v>
      </c>
      <c r="G1908" t="s">
        <v>26</v>
      </c>
      <c r="H1908" t="s">
        <v>21</v>
      </c>
      <c r="I1908" t="s">
        <v>20</v>
      </c>
      <c r="J1908" t="s">
        <v>20</v>
      </c>
      <c r="K1908" t="s">
        <v>41</v>
      </c>
      <c r="L1908" t="s">
        <v>325</v>
      </c>
      <c r="M1908" t="s">
        <v>204</v>
      </c>
      <c r="N1908">
        <v>41.656365999999998</v>
      </c>
      <c r="O1908">
        <v>-111.184859</v>
      </c>
      <c r="P1908">
        <v>6228.9157690000002</v>
      </c>
      <c r="Q1908">
        <v>1334</v>
      </c>
      <c r="R1908">
        <v>0</v>
      </c>
    </row>
    <row r="1909" spans="1:18" x14ac:dyDescent="0.25">
      <c r="A1909">
        <v>1908</v>
      </c>
      <c r="B1909">
        <v>94</v>
      </c>
      <c r="C1909">
        <v>31408027</v>
      </c>
      <c r="D1909" t="s">
        <v>63</v>
      </c>
      <c r="E1909">
        <v>20.093</v>
      </c>
      <c r="F1909" t="s">
        <v>21</v>
      </c>
      <c r="G1909" t="s">
        <v>26</v>
      </c>
      <c r="H1909" t="s">
        <v>21</v>
      </c>
      <c r="I1909" t="s">
        <v>20</v>
      </c>
      <c r="J1909" t="s">
        <v>20</v>
      </c>
      <c r="K1909" t="s">
        <v>27</v>
      </c>
      <c r="L1909" t="s">
        <v>64</v>
      </c>
      <c r="M1909" t="s">
        <v>29</v>
      </c>
      <c r="N1909">
        <v>38.270926000000003</v>
      </c>
      <c r="O1909">
        <v>-111.98657</v>
      </c>
      <c r="P1909">
        <v>6507.6731959999997</v>
      </c>
      <c r="Q1909">
        <v>1365</v>
      </c>
      <c r="R1909">
        <v>0</v>
      </c>
    </row>
    <row r="1910" spans="1:18" x14ac:dyDescent="0.25">
      <c r="A1910">
        <v>1909</v>
      </c>
      <c r="B1910">
        <v>94</v>
      </c>
      <c r="C1910">
        <v>31310655</v>
      </c>
      <c r="D1910" t="s">
        <v>40</v>
      </c>
      <c r="E1910">
        <v>2.4500000000000002</v>
      </c>
      <c r="F1910" t="s">
        <v>21</v>
      </c>
      <c r="G1910" t="s">
        <v>26</v>
      </c>
      <c r="H1910" t="s">
        <v>21</v>
      </c>
      <c r="I1910" t="s">
        <v>20</v>
      </c>
      <c r="J1910" t="s">
        <v>20</v>
      </c>
      <c r="K1910" t="s">
        <v>41</v>
      </c>
      <c r="L1910" t="s">
        <v>42</v>
      </c>
      <c r="M1910" t="s">
        <v>43</v>
      </c>
      <c r="N1910">
        <v>41.641013000000001</v>
      </c>
      <c r="O1910">
        <v>-111.890936</v>
      </c>
      <c r="P1910">
        <v>4529.7316350000001</v>
      </c>
      <c r="Q1910">
        <v>1391</v>
      </c>
      <c r="R1910">
        <v>0</v>
      </c>
    </row>
    <row r="1911" spans="1:18" x14ac:dyDescent="0.25">
      <c r="A1911">
        <v>1910</v>
      </c>
      <c r="B1911">
        <v>94</v>
      </c>
      <c r="C1911">
        <v>31275469</v>
      </c>
      <c r="D1911" t="s">
        <v>288</v>
      </c>
      <c r="E1911">
        <v>2.4510000000000001</v>
      </c>
      <c r="F1911" t="s">
        <v>21</v>
      </c>
      <c r="G1911" t="s">
        <v>20</v>
      </c>
      <c r="H1911" t="s">
        <v>21</v>
      </c>
      <c r="I1911" t="s">
        <v>20</v>
      </c>
      <c r="J1911" t="s">
        <v>20</v>
      </c>
      <c r="K1911" t="s">
        <v>27</v>
      </c>
      <c r="L1911" t="s">
        <v>211</v>
      </c>
      <c r="M1911" t="s">
        <v>318</v>
      </c>
      <c r="N1911">
        <v>37.029483999999997</v>
      </c>
      <c r="O1911">
        <v>-109.59687599999999</v>
      </c>
      <c r="P1911">
        <v>5026.4638210000003</v>
      </c>
      <c r="Q1911">
        <v>350</v>
      </c>
      <c r="R1911">
        <v>0</v>
      </c>
    </row>
    <row r="1912" spans="1:18" x14ac:dyDescent="0.25">
      <c r="A1912">
        <v>1911</v>
      </c>
      <c r="B1912">
        <v>94</v>
      </c>
      <c r="C1912">
        <v>31654951</v>
      </c>
      <c r="D1912" t="s">
        <v>65</v>
      </c>
      <c r="E1912">
        <v>2.452</v>
      </c>
      <c r="F1912" t="s">
        <v>21</v>
      </c>
      <c r="G1912" t="s">
        <v>26</v>
      </c>
      <c r="H1912" t="s">
        <v>21</v>
      </c>
      <c r="I1912" t="s">
        <v>20</v>
      </c>
      <c r="J1912" t="s">
        <v>20</v>
      </c>
      <c r="K1912" t="s">
        <v>31</v>
      </c>
      <c r="L1912" t="s">
        <v>66</v>
      </c>
      <c r="M1912" t="s">
        <v>67</v>
      </c>
      <c r="N1912">
        <v>40.763660000000002</v>
      </c>
      <c r="O1912">
        <v>-111.888296</v>
      </c>
      <c r="P1912">
        <v>4225.7461720000001</v>
      </c>
      <c r="Q1912">
        <v>402</v>
      </c>
      <c r="R1912">
        <v>0</v>
      </c>
    </row>
    <row r="1913" spans="1:18" x14ac:dyDescent="0.25">
      <c r="A1913">
        <v>1912</v>
      </c>
      <c r="B1913">
        <v>94</v>
      </c>
      <c r="C1913">
        <v>502936</v>
      </c>
      <c r="D1913" t="s">
        <v>249</v>
      </c>
      <c r="E1913">
        <v>2.4540000000000002</v>
      </c>
      <c r="F1913" t="s">
        <v>19</v>
      </c>
      <c r="G1913" t="s">
        <v>20</v>
      </c>
      <c r="H1913" t="s">
        <v>21</v>
      </c>
      <c r="I1913" t="s">
        <v>20</v>
      </c>
      <c r="J1913" t="s">
        <v>20</v>
      </c>
      <c r="K1913" t="s">
        <v>31</v>
      </c>
      <c r="L1913" t="s">
        <v>89</v>
      </c>
      <c r="M1913" t="s">
        <v>24</v>
      </c>
      <c r="N1913">
        <v>40.484560000000002</v>
      </c>
      <c r="O1913">
        <v>-111.899586</v>
      </c>
      <c r="P1913">
        <v>4518.8371939999997</v>
      </c>
      <c r="Q1913">
        <v>337</v>
      </c>
      <c r="R1913">
        <v>0</v>
      </c>
    </row>
    <row r="1914" spans="1:18" x14ac:dyDescent="0.25">
      <c r="A1914">
        <v>1913</v>
      </c>
      <c r="B1914">
        <v>94</v>
      </c>
      <c r="C1914" t="e">
        <f>-JWSuRnuGUP6NF_JoN9MvF</f>
        <v>#NAME?</v>
      </c>
      <c r="D1914" t="s">
        <v>114</v>
      </c>
      <c r="E1914">
        <v>2.4550000000000001</v>
      </c>
      <c r="F1914" t="s">
        <v>19</v>
      </c>
      <c r="G1914" t="s">
        <v>20</v>
      </c>
      <c r="H1914" t="s">
        <v>21</v>
      </c>
      <c r="I1914" t="s">
        <v>20</v>
      </c>
      <c r="J1914" t="s">
        <v>20</v>
      </c>
      <c r="K1914" t="s">
        <v>41</v>
      </c>
      <c r="L1914" t="s">
        <v>87</v>
      </c>
      <c r="M1914" t="s">
        <v>256</v>
      </c>
      <c r="N1914">
        <v>41.103634</v>
      </c>
      <c r="O1914">
        <v>-112.021646</v>
      </c>
      <c r="P1914">
        <v>4429.8945709999998</v>
      </c>
      <c r="Q1914">
        <v>405</v>
      </c>
      <c r="R1914">
        <v>0</v>
      </c>
    </row>
    <row r="1915" spans="1:18" x14ac:dyDescent="0.25">
      <c r="A1915">
        <v>1914</v>
      </c>
      <c r="B1915">
        <v>94</v>
      </c>
      <c r="C1915">
        <v>31288841</v>
      </c>
      <c r="D1915" t="s">
        <v>315</v>
      </c>
      <c r="E1915">
        <v>2.4550000000000001</v>
      </c>
      <c r="F1915" t="s">
        <v>21</v>
      </c>
      <c r="G1915" t="s">
        <v>26</v>
      </c>
      <c r="H1915" t="s">
        <v>21</v>
      </c>
      <c r="I1915" t="s">
        <v>20</v>
      </c>
      <c r="J1915" t="s">
        <v>20</v>
      </c>
      <c r="K1915" t="s">
        <v>27</v>
      </c>
      <c r="L1915" t="s">
        <v>111</v>
      </c>
      <c r="M1915" t="s">
        <v>243</v>
      </c>
      <c r="N1915">
        <v>39.320388000000001</v>
      </c>
      <c r="O1915">
        <v>-111.276439</v>
      </c>
      <c r="P1915">
        <v>6988.9852019999998</v>
      </c>
      <c r="Q1915">
        <v>307</v>
      </c>
      <c r="R1915">
        <v>0</v>
      </c>
    </row>
    <row r="1916" spans="1:18" x14ac:dyDescent="0.25">
      <c r="A1916">
        <v>1915</v>
      </c>
      <c r="B1916">
        <v>94</v>
      </c>
      <c r="C1916">
        <v>521991</v>
      </c>
      <c r="D1916" t="s">
        <v>44</v>
      </c>
      <c r="E1916">
        <v>2.4630000000000001</v>
      </c>
      <c r="F1916" t="s">
        <v>21</v>
      </c>
      <c r="G1916" t="s">
        <v>26</v>
      </c>
      <c r="H1916" t="s">
        <v>21</v>
      </c>
      <c r="I1916" t="s">
        <v>20</v>
      </c>
      <c r="J1916" t="s">
        <v>20</v>
      </c>
      <c r="K1916" t="s">
        <v>41</v>
      </c>
      <c r="L1916" t="s">
        <v>45</v>
      </c>
      <c r="M1916" t="s">
        <v>46</v>
      </c>
      <c r="N1916">
        <v>40.913083999999998</v>
      </c>
      <c r="O1916">
        <v>-111.878981</v>
      </c>
      <c r="P1916">
        <v>4236.4392790000002</v>
      </c>
      <c r="Q1916">
        <v>1395</v>
      </c>
      <c r="R1916">
        <v>0</v>
      </c>
    </row>
    <row r="1917" spans="1:18" x14ac:dyDescent="0.25">
      <c r="A1917">
        <v>1916</v>
      </c>
      <c r="B1917">
        <v>94</v>
      </c>
      <c r="C1917">
        <v>27871791</v>
      </c>
      <c r="D1917" t="s">
        <v>245</v>
      </c>
      <c r="E1917">
        <v>20.622</v>
      </c>
      <c r="F1917" t="s">
        <v>21</v>
      </c>
      <c r="G1917" t="s">
        <v>26</v>
      </c>
      <c r="H1917" t="s">
        <v>21</v>
      </c>
      <c r="I1917" t="s">
        <v>20</v>
      </c>
      <c r="J1917" t="s">
        <v>20</v>
      </c>
      <c r="K1917" t="s">
        <v>22</v>
      </c>
      <c r="L1917" t="s">
        <v>97</v>
      </c>
      <c r="M1917" t="s">
        <v>98</v>
      </c>
      <c r="N1917">
        <v>40.920054</v>
      </c>
      <c r="O1917">
        <v>-109.69692499999999</v>
      </c>
      <c r="P1917">
        <v>6076.2823829999998</v>
      </c>
      <c r="Q1917">
        <v>1353</v>
      </c>
      <c r="R1917">
        <v>0</v>
      </c>
    </row>
    <row r="1918" spans="1:18" x14ac:dyDescent="0.25">
      <c r="A1918">
        <v>1917</v>
      </c>
      <c r="B1918">
        <v>94</v>
      </c>
      <c r="C1918">
        <v>31432656</v>
      </c>
      <c r="D1918" t="s">
        <v>319</v>
      </c>
      <c r="E1918">
        <v>20.632000000000001</v>
      </c>
      <c r="F1918" t="s">
        <v>21</v>
      </c>
      <c r="G1918" t="s">
        <v>26</v>
      </c>
      <c r="H1918" t="s">
        <v>21</v>
      </c>
      <c r="I1918" t="s">
        <v>20</v>
      </c>
      <c r="J1918" t="s">
        <v>20</v>
      </c>
      <c r="K1918" t="s">
        <v>27</v>
      </c>
      <c r="L1918" t="s">
        <v>162</v>
      </c>
      <c r="M1918" t="s">
        <v>55</v>
      </c>
      <c r="N1918">
        <v>37.736182999999997</v>
      </c>
      <c r="O1918">
        <v>-113.73061300000001</v>
      </c>
      <c r="P1918">
        <v>5128.892965</v>
      </c>
      <c r="Q1918">
        <v>314</v>
      </c>
      <c r="R1918">
        <v>0</v>
      </c>
    </row>
    <row r="1919" spans="1:18" x14ac:dyDescent="0.25">
      <c r="A1919">
        <v>1918</v>
      </c>
      <c r="B1919">
        <v>94</v>
      </c>
      <c r="C1919">
        <v>31568456</v>
      </c>
      <c r="D1919" t="s">
        <v>172</v>
      </c>
      <c r="E1919">
        <v>20.632000000000001</v>
      </c>
      <c r="F1919" t="s">
        <v>21</v>
      </c>
      <c r="G1919" t="s">
        <v>26</v>
      </c>
      <c r="H1919" t="s">
        <v>21</v>
      </c>
      <c r="I1919" t="s">
        <v>20</v>
      </c>
      <c r="J1919" t="s">
        <v>20</v>
      </c>
      <c r="K1919" t="s">
        <v>22</v>
      </c>
      <c r="L1919" t="s">
        <v>155</v>
      </c>
      <c r="M1919" t="s">
        <v>174</v>
      </c>
      <c r="N1919">
        <v>39.666873000000002</v>
      </c>
      <c r="O1919">
        <v>-112.054636</v>
      </c>
      <c r="P1919">
        <v>5519.5982359999998</v>
      </c>
      <c r="Q1919">
        <v>1411</v>
      </c>
      <c r="R1919">
        <v>0</v>
      </c>
    </row>
    <row r="1920" spans="1:18" x14ac:dyDescent="0.25">
      <c r="A1920">
        <v>1919</v>
      </c>
      <c r="B1920">
        <v>94</v>
      </c>
      <c r="C1920">
        <v>31385140</v>
      </c>
      <c r="D1920" t="s">
        <v>184</v>
      </c>
      <c r="E1920">
        <v>2.875</v>
      </c>
      <c r="F1920" t="s">
        <v>19</v>
      </c>
      <c r="G1920" t="s">
        <v>20</v>
      </c>
      <c r="H1920" t="s">
        <v>21</v>
      </c>
      <c r="I1920" t="s">
        <v>20</v>
      </c>
      <c r="J1920" t="s">
        <v>20</v>
      </c>
      <c r="K1920" t="s">
        <v>27</v>
      </c>
      <c r="L1920" t="s">
        <v>54</v>
      </c>
      <c r="M1920" t="s">
        <v>55</v>
      </c>
      <c r="N1920">
        <v>37.686312000000001</v>
      </c>
      <c r="O1920">
        <v>-113.06189500000001</v>
      </c>
      <c r="P1920">
        <v>5714.0129429999997</v>
      </c>
      <c r="Q1920">
        <v>1410</v>
      </c>
      <c r="R1920">
        <v>0</v>
      </c>
    </row>
    <row r="1921" spans="1:18" x14ac:dyDescent="0.25">
      <c r="A1921">
        <v>1920</v>
      </c>
      <c r="B1921">
        <v>94</v>
      </c>
      <c r="C1921">
        <v>1420776</v>
      </c>
      <c r="D1921" t="s">
        <v>88</v>
      </c>
      <c r="E1921">
        <v>2.8769999999999998</v>
      </c>
      <c r="F1921" t="s">
        <v>19</v>
      </c>
      <c r="G1921" t="s">
        <v>20</v>
      </c>
      <c r="H1921" t="s">
        <v>21</v>
      </c>
      <c r="I1921" t="s">
        <v>20</v>
      </c>
      <c r="J1921" t="s">
        <v>20</v>
      </c>
      <c r="K1921" t="s">
        <v>31</v>
      </c>
      <c r="L1921" t="s">
        <v>89</v>
      </c>
      <c r="M1921" t="s">
        <v>90</v>
      </c>
      <c r="N1921">
        <v>40.522294000000002</v>
      </c>
      <c r="O1921">
        <v>-111.92919999999999</v>
      </c>
      <c r="P1921">
        <v>4354.9928579999996</v>
      </c>
      <c r="Q1921">
        <v>318</v>
      </c>
      <c r="R1921">
        <v>0</v>
      </c>
    </row>
    <row r="1922" spans="1:18" x14ac:dyDescent="0.25">
      <c r="A1922">
        <v>1921</v>
      </c>
      <c r="B1922">
        <v>94</v>
      </c>
      <c r="C1922">
        <v>28335284</v>
      </c>
      <c r="D1922" t="s">
        <v>160</v>
      </c>
      <c r="E1922">
        <v>2.8780000000000001</v>
      </c>
      <c r="F1922" t="s">
        <v>21</v>
      </c>
      <c r="G1922" t="s">
        <v>26</v>
      </c>
      <c r="H1922" t="s">
        <v>21</v>
      </c>
      <c r="I1922" t="s">
        <v>20</v>
      </c>
      <c r="J1922" t="s">
        <v>20</v>
      </c>
      <c r="K1922" t="s">
        <v>27</v>
      </c>
      <c r="L1922" t="s">
        <v>72</v>
      </c>
      <c r="M1922" t="s">
        <v>73</v>
      </c>
      <c r="N1922">
        <v>37.249201999999997</v>
      </c>
      <c r="O1922">
        <v>-113.28375200000001</v>
      </c>
      <c r="P1922">
        <v>3287.8313199999998</v>
      </c>
      <c r="Q1922">
        <v>1335</v>
      </c>
      <c r="R1922">
        <v>0</v>
      </c>
    </row>
    <row r="1923" spans="1:18" x14ac:dyDescent="0.25">
      <c r="A1923">
        <v>1922</v>
      </c>
      <c r="B1923">
        <v>94</v>
      </c>
      <c r="C1923">
        <v>31652999</v>
      </c>
      <c r="D1923" t="s">
        <v>197</v>
      </c>
      <c r="E1923">
        <v>2.8780000000000001</v>
      </c>
      <c r="F1923" t="s">
        <v>21</v>
      </c>
      <c r="G1923" t="s">
        <v>20</v>
      </c>
      <c r="H1923" t="s">
        <v>21</v>
      </c>
      <c r="I1923" t="s">
        <v>20</v>
      </c>
      <c r="J1923" t="s">
        <v>20</v>
      </c>
      <c r="K1923" t="s">
        <v>22</v>
      </c>
      <c r="L1923" t="s">
        <v>198</v>
      </c>
      <c r="M1923" t="s">
        <v>125</v>
      </c>
      <c r="N1923">
        <v>40.002498000000003</v>
      </c>
      <c r="O1923">
        <v>-111.815454</v>
      </c>
      <c r="P1923">
        <v>4720.2585529999997</v>
      </c>
      <c r="Q1923">
        <v>1416</v>
      </c>
      <c r="R1923">
        <v>0</v>
      </c>
    </row>
    <row r="1924" spans="1:18" x14ac:dyDescent="0.25">
      <c r="A1924">
        <v>1923</v>
      </c>
      <c r="B1924">
        <v>94</v>
      </c>
      <c r="C1924">
        <v>31599128</v>
      </c>
      <c r="D1924" t="s">
        <v>50</v>
      </c>
      <c r="E1924">
        <v>2.879</v>
      </c>
      <c r="F1924" t="s">
        <v>21</v>
      </c>
      <c r="G1924" t="s">
        <v>26</v>
      </c>
      <c r="H1924" t="s">
        <v>21</v>
      </c>
      <c r="I1924" t="s">
        <v>20</v>
      </c>
      <c r="J1924" t="s">
        <v>20</v>
      </c>
      <c r="K1924" t="s">
        <v>27</v>
      </c>
      <c r="L1924" t="s">
        <v>51</v>
      </c>
      <c r="M1924" t="s">
        <v>52</v>
      </c>
      <c r="N1924">
        <v>37.84225</v>
      </c>
      <c r="O1924">
        <v>-112.82348</v>
      </c>
      <c r="P1924">
        <v>5961.5216849999997</v>
      </c>
      <c r="Q1924">
        <v>1418</v>
      </c>
      <c r="R1924">
        <v>0</v>
      </c>
    </row>
    <row r="1925" spans="1:18" x14ac:dyDescent="0.25">
      <c r="A1925">
        <v>1924</v>
      </c>
      <c r="B1925">
        <v>94</v>
      </c>
      <c r="C1925">
        <v>31395037</v>
      </c>
      <c r="D1925" t="s">
        <v>399</v>
      </c>
      <c r="E1925">
        <v>2.8849999999999998</v>
      </c>
      <c r="F1925" t="s">
        <v>21</v>
      </c>
      <c r="G1925" t="s">
        <v>26</v>
      </c>
      <c r="H1925" t="s">
        <v>19</v>
      </c>
      <c r="I1925">
        <v>15</v>
      </c>
      <c r="J1925" t="s">
        <v>20</v>
      </c>
      <c r="K1925" t="s">
        <v>27</v>
      </c>
      <c r="L1925" t="s">
        <v>400</v>
      </c>
      <c r="M1925" t="s">
        <v>166</v>
      </c>
      <c r="N1925">
        <v>38.615932000000001</v>
      </c>
      <c r="O1925">
        <v>-112.608329</v>
      </c>
      <c r="P1925">
        <v>5907.2255379999997</v>
      </c>
      <c r="Q1925">
        <v>1431</v>
      </c>
      <c r="R1925">
        <v>0</v>
      </c>
    </row>
    <row r="1926" spans="1:18" x14ac:dyDescent="0.25">
      <c r="A1926">
        <v>1925</v>
      </c>
      <c r="B1926">
        <v>94</v>
      </c>
      <c r="C1926">
        <v>31310910</v>
      </c>
      <c r="D1926" t="s">
        <v>215</v>
      </c>
      <c r="E1926">
        <v>2.4940000000000002</v>
      </c>
      <c r="F1926" t="s">
        <v>21</v>
      </c>
      <c r="G1926" t="s">
        <v>26</v>
      </c>
      <c r="H1926" t="s">
        <v>21</v>
      </c>
      <c r="I1926" t="s">
        <v>20</v>
      </c>
      <c r="J1926" t="s">
        <v>20</v>
      </c>
      <c r="K1926" t="s">
        <v>22</v>
      </c>
      <c r="L1926" t="s">
        <v>23</v>
      </c>
      <c r="M1926" t="s">
        <v>85</v>
      </c>
      <c r="N1926">
        <v>40.246468</v>
      </c>
      <c r="O1926">
        <v>-111.69926100000001</v>
      </c>
      <c r="P1926">
        <v>4474.6709819999996</v>
      </c>
      <c r="Q1926">
        <v>330</v>
      </c>
      <c r="R1926">
        <v>0</v>
      </c>
    </row>
    <row r="1927" spans="1:18" x14ac:dyDescent="0.25">
      <c r="A1927">
        <v>1926</v>
      </c>
      <c r="B1927">
        <v>94</v>
      </c>
      <c r="C1927">
        <v>1414148</v>
      </c>
      <c r="D1927" t="s">
        <v>109</v>
      </c>
      <c r="E1927">
        <v>2.4950000000000001</v>
      </c>
      <c r="F1927" t="s">
        <v>21</v>
      </c>
      <c r="G1927" t="s">
        <v>26</v>
      </c>
      <c r="H1927" t="s">
        <v>21</v>
      </c>
      <c r="I1927" t="s">
        <v>20</v>
      </c>
      <c r="J1927" t="s">
        <v>20</v>
      </c>
      <c r="K1927" t="s">
        <v>41</v>
      </c>
      <c r="L1927" t="s">
        <v>42</v>
      </c>
      <c r="M1927" t="s">
        <v>73</v>
      </c>
      <c r="N1927">
        <v>41.598368000000001</v>
      </c>
      <c r="O1927">
        <v>-111.83475</v>
      </c>
      <c r="P1927">
        <v>4775.0742129999999</v>
      </c>
      <c r="Q1927">
        <v>345</v>
      </c>
      <c r="R1927">
        <v>0</v>
      </c>
    </row>
    <row r="1928" spans="1:18" x14ac:dyDescent="0.25">
      <c r="A1928">
        <v>1927</v>
      </c>
      <c r="B1928">
        <v>94</v>
      </c>
      <c r="C1928">
        <v>484777</v>
      </c>
      <c r="D1928" t="s">
        <v>83</v>
      </c>
      <c r="E1928">
        <v>2.4980000000000002</v>
      </c>
      <c r="F1928" t="s">
        <v>21</v>
      </c>
      <c r="G1928" t="s">
        <v>26</v>
      </c>
      <c r="H1928" t="s">
        <v>21</v>
      </c>
      <c r="I1928" t="s">
        <v>20</v>
      </c>
      <c r="J1928" t="s">
        <v>20</v>
      </c>
      <c r="K1928" t="s">
        <v>22</v>
      </c>
      <c r="L1928" t="s">
        <v>84</v>
      </c>
      <c r="M1928" t="s">
        <v>85</v>
      </c>
      <c r="N1928">
        <v>40.411881999999999</v>
      </c>
      <c r="O1928">
        <v>-111.788607</v>
      </c>
      <c r="P1928">
        <v>4780.0648920000003</v>
      </c>
      <c r="Q1928">
        <v>319</v>
      </c>
      <c r="R1928">
        <v>0</v>
      </c>
    </row>
    <row r="1929" spans="1:18" x14ac:dyDescent="0.25">
      <c r="A1929">
        <v>1928</v>
      </c>
      <c r="B1929">
        <v>94</v>
      </c>
      <c r="C1929">
        <v>504694</v>
      </c>
      <c r="D1929" t="s">
        <v>135</v>
      </c>
      <c r="E1929">
        <v>2.4980000000000002</v>
      </c>
      <c r="F1929" t="s">
        <v>19</v>
      </c>
      <c r="G1929" t="s">
        <v>20</v>
      </c>
      <c r="H1929" t="s">
        <v>21</v>
      </c>
      <c r="I1929" t="s">
        <v>20</v>
      </c>
      <c r="J1929" t="s">
        <v>20</v>
      </c>
      <c r="K1929" t="s">
        <v>31</v>
      </c>
      <c r="L1929" t="s">
        <v>89</v>
      </c>
      <c r="M1929" t="s">
        <v>144</v>
      </c>
      <c r="N1929">
        <v>40.562165</v>
      </c>
      <c r="O1929">
        <v>-111.929151</v>
      </c>
      <c r="P1929">
        <v>4382.5428400000001</v>
      </c>
      <c r="Q1929">
        <v>1423</v>
      </c>
      <c r="R1929">
        <v>0</v>
      </c>
    </row>
    <row r="1930" spans="1:18" x14ac:dyDescent="0.25">
      <c r="A1930">
        <v>1929</v>
      </c>
      <c r="B1930">
        <v>94</v>
      </c>
      <c r="C1930">
        <v>2542369</v>
      </c>
      <c r="D1930" t="s">
        <v>176</v>
      </c>
      <c r="E1930">
        <v>2.4980000000000002</v>
      </c>
      <c r="F1930" t="s">
        <v>21</v>
      </c>
      <c r="G1930" t="s">
        <v>26</v>
      </c>
      <c r="H1930" t="s">
        <v>21</v>
      </c>
      <c r="I1930" t="s">
        <v>20</v>
      </c>
      <c r="J1930" t="s">
        <v>20</v>
      </c>
      <c r="K1930" t="s">
        <v>41</v>
      </c>
      <c r="L1930" t="s">
        <v>177</v>
      </c>
      <c r="M1930" t="s">
        <v>178</v>
      </c>
      <c r="N1930">
        <v>41.522846999999999</v>
      </c>
      <c r="O1930">
        <v>-112.015535</v>
      </c>
      <c r="P1930">
        <v>4283.4426299999996</v>
      </c>
      <c r="Q1930">
        <v>1329</v>
      </c>
      <c r="R1930">
        <v>0</v>
      </c>
    </row>
    <row r="1931" spans="1:18" x14ac:dyDescent="0.25">
      <c r="A1931">
        <v>1930</v>
      </c>
      <c r="B1931">
        <v>94</v>
      </c>
      <c r="C1931">
        <v>31407673</v>
      </c>
      <c r="D1931" t="s">
        <v>74</v>
      </c>
      <c r="E1931">
        <v>2.5</v>
      </c>
      <c r="F1931" t="s">
        <v>21</v>
      </c>
      <c r="G1931" t="s">
        <v>26</v>
      </c>
      <c r="H1931" t="s">
        <v>21</v>
      </c>
      <c r="I1931" t="s">
        <v>20</v>
      </c>
      <c r="J1931" t="s">
        <v>20</v>
      </c>
      <c r="K1931" t="s">
        <v>27</v>
      </c>
      <c r="L1931" t="s">
        <v>75</v>
      </c>
      <c r="M1931" t="s">
        <v>76</v>
      </c>
      <c r="N1931">
        <v>38.770856000000002</v>
      </c>
      <c r="O1931">
        <v>-112.084794</v>
      </c>
      <c r="P1931">
        <v>5282.8453470000004</v>
      </c>
      <c r="Q1931">
        <v>332</v>
      </c>
      <c r="R1931">
        <v>0</v>
      </c>
    </row>
    <row r="1932" spans="1:18" x14ac:dyDescent="0.25">
      <c r="A1932">
        <v>1931</v>
      </c>
      <c r="B1932">
        <v>94</v>
      </c>
      <c r="C1932">
        <v>31384582</v>
      </c>
      <c r="D1932" t="s">
        <v>184</v>
      </c>
      <c r="E1932">
        <v>2.5009999999999999</v>
      </c>
      <c r="F1932" t="s">
        <v>19</v>
      </c>
      <c r="G1932" t="s">
        <v>20</v>
      </c>
      <c r="H1932" t="s">
        <v>19</v>
      </c>
      <c r="I1932">
        <v>56</v>
      </c>
      <c r="J1932" t="s">
        <v>20</v>
      </c>
      <c r="K1932" t="s">
        <v>27</v>
      </c>
      <c r="L1932" t="s">
        <v>54</v>
      </c>
      <c r="M1932" t="s">
        <v>55</v>
      </c>
      <c r="N1932">
        <v>37.680908000000002</v>
      </c>
      <c r="O1932">
        <v>-113.061813</v>
      </c>
      <c r="P1932">
        <v>5740.3480010000003</v>
      </c>
      <c r="Q1932">
        <v>1410</v>
      </c>
      <c r="R1932">
        <v>0</v>
      </c>
    </row>
    <row r="1933" spans="1:18" x14ac:dyDescent="0.25">
      <c r="A1933">
        <v>1932</v>
      </c>
      <c r="B1933">
        <v>94</v>
      </c>
      <c r="C1933">
        <v>31191181</v>
      </c>
      <c r="D1933" t="s">
        <v>470</v>
      </c>
      <c r="E1933">
        <v>2.504</v>
      </c>
      <c r="F1933" t="s">
        <v>21</v>
      </c>
      <c r="G1933" t="s">
        <v>26</v>
      </c>
      <c r="H1933" t="s">
        <v>21</v>
      </c>
      <c r="I1933" t="s">
        <v>20</v>
      </c>
      <c r="J1933" t="s">
        <v>20</v>
      </c>
      <c r="K1933" t="s">
        <v>27</v>
      </c>
      <c r="L1933" t="s">
        <v>173</v>
      </c>
      <c r="M1933" t="s">
        <v>392</v>
      </c>
      <c r="N1933">
        <v>39.389363000000003</v>
      </c>
      <c r="O1933">
        <v>-112.49926499999999</v>
      </c>
      <c r="P1933">
        <v>4695.2911270000004</v>
      </c>
      <c r="Q1933">
        <v>1413</v>
      </c>
      <c r="R1933">
        <v>0</v>
      </c>
    </row>
    <row r="1934" spans="1:18" x14ac:dyDescent="0.25">
      <c r="A1934">
        <v>1933</v>
      </c>
      <c r="B1934">
        <v>94</v>
      </c>
      <c r="C1934" t="e">
        <f>-Ip_J3dJG7TdXlmkgr0d9F</f>
        <v>#NAME?</v>
      </c>
      <c r="D1934" t="s">
        <v>272</v>
      </c>
      <c r="E1934">
        <v>20.777999999999999</v>
      </c>
      <c r="F1934" t="s">
        <v>21</v>
      </c>
      <c r="G1934" t="s">
        <v>26</v>
      </c>
      <c r="H1934" t="s">
        <v>21</v>
      </c>
      <c r="I1934" t="s">
        <v>20</v>
      </c>
      <c r="J1934" t="s">
        <v>20</v>
      </c>
      <c r="K1934" t="s">
        <v>27</v>
      </c>
      <c r="L1934" t="s">
        <v>259</v>
      </c>
      <c r="M1934" t="s">
        <v>214</v>
      </c>
      <c r="N1934">
        <v>37.106681000000002</v>
      </c>
      <c r="O1934">
        <v>-111.899704</v>
      </c>
      <c r="P1934">
        <v>4327.0564000000004</v>
      </c>
      <c r="Q1934">
        <v>1384</v>
      </c>
      <c r="R1934">
        <v>0</v>
      </c>
    </row>
    <row r="1935" spans="1:18" x14ac:dyDescent="0.25">
      <c r="A1935">
        <v>1934</v>
      </c>
      <c r="B1935">
        <v>94</v>
      </c>
      <c r="C1935">
        <v>1563214</v>
      </c>
      <c r="D1935" t="s">
        <v>88</v>
      </c>
      <c r="E1935">
        <v>20.797000000000001</v>
      </c>
      <c r="F1935" t="s">
        <v>21</v>
      </c>
      <c r="G1935" t="s">
        <v>26</v>
      </c>
      <c r="H1935" t="s">
        <v>21</v>
      </c>
      <c r="I1935" t="s">
        <v>20</v>
      </c>
      <c r="J1935" t="s">
        <v>20</v>
      </c>
      <c r="K1935" t="s">
        <v>31</v>
      </c>
      <c r="L1935" t="s">
        <v>66</v>
      </c>
      <c r="M1935" t="s">
        <v>90</v>
      </c>
      <c r="N1935">
        <v>40.736401000000001</v>
      </c>
      <c r="O1935">
        <v>-111.871165</v>
      </c>
      <c r="P1935">
        <v>4225.2154630000005</v>
      </c>
      <c r="Q1935">
        <v>318</v>
      </c>
      <c r="R1935">
        <v>0</v>
      </c>
    </row>
    <row r="1936" spans="1:18" x14ac:dyDescent="0.25">
      <c r="A1936">
        <v>1935</v>
      </c>
      <c r="B1936">
        <v>94</v>
      </c>
      <c r="C1936">
        <v>31755064</v>
      </c>
      <c r="D1936" t="s">
        <v>231</v>
      </c>
      <c r="E1936">
        <v>20.800999999999998</v>
      </c>
      <c r="F1936" t="s">
        <v>21</v>
      </c>
      <c r="G1936" t="s">
        <v>26</v>
      </c>
      <c r="H1936" t="s">
        <v>21</v>
      </c>
      <c r="I1936" t="s">
        <v>20</v>
      </c>
      <c r="J1936" t="s">
        <v>20</v>
      </c>
      <c r="K1936" t="s">
        <v>41</v>
      </c>
      <c r="L1936" t="s">
        <v>57</v>
      </c>
      <c r="M1936" t="s">
        <v>93</v>
      </c>
      <c r="N1936">
        <v>41.33578</v>
      </c>
      <c r="O1936">
        <v>-112.03717</v>
      </c>
      <c r="P1936">
        <v>4191.8100750000003</v>
      </c>
      <c r="Q1936">
        <v>1409</v>
      </c>
      <c r="R1936">
        <v>0</v>
      </c>
    </row>
    <row r="1937" spans="1:18" x14ac:dyDescent="0.25">
      <c r="A1937">
        <v>1936</v>
      </c>
      <c r="B1937">
        <v>94</v>
      </c>
      <c r="C1937">
        <v>31755191</v>
      </c>
      <c r="D1937" t="s">
        <v>88</v>
      </c>
      <c r="E1937">
        <v>20.823</v>
      </c>
      <c r="F1937" t="s">
        <v>21</v>
      </c>
      <c r="G1937" t="s">
        <v>26</v>
      </c>
      <c r="H1937" t="s">
        <v>21</v>
      </c>
      <c r="I1937" t="s">
        <v>20</v>
      </c>
      <c r="J1937" t="s">
        <v>20</v>
      </c>
      <c r="K1937" t="s">
        <v>31</v>
      </c>
      <c r="L1937" t="s">
        <v>66</v>
      </c>
      <c r="M1937" t="s">
        <v>49</v>
      </c>
      <c r="N1937">
        <v>40.736775000000002</v>
      </c>
      <c r="O1937">
        <v>-111.871275</v>
      </c>
      <c r="P1937">
        <v>4222.8883070000002</v>
      </c>
      <c r="Q1937">
        <v>318</v>
      </c>
      <c r="R1937">
        <v>0</v>
      </c>
    </row>
    <row r="1938" spans="1:18" x14ac:dyDescent="0.25">
      <c r="A1938">
        <v>1937</v>
      </c>
      <c r="B1938">
        <v>94</v>
      </c>
      <c r="C1938" t="s">
        <v>471</v>
      </c>
      <c r="D1938" t="s">
        <v>272</v>
      </c>
      <c r="E1938">
        <v>277.36399999999998</v>
      </c>
      <c r="F1938" t="s">
        <v>21</v>
      </c>
      <c r="G1938" t="s">
        <v>26</v>
      </c>
      <c r="H1938" t="s">
        <v>21</v>
      </c>
      <c r="I1938" t="s">
        <v>20</v>
      </c>
      <c r="J1938" t="s">
        <v>20</v>
      </c>
      <c r="K1938" t="s">
        <v>27</v>
      </c>
      <c r="L1938" t="s">
        <v>230</v>
      </c>
      <c r="M1938" t="s">
        <v>174</v>
      </c>
      <c r="N1938">
        <v>39.539450000000002</v>
      </c>
      <c r="O1938">
        <v>-111.455305</v>
      </c>
      <c r="P1938">
        <v>5865.2287589999996</v>
      </c>
      <c r="Q1938">
        <v>1384</v>
      </c>
      <c r="R1938">
        <v>0</v>
      </c>
    </row>
    <row r="1939" spans="1:18" x14ac:dyDescent="0.25">
      <c r="A1939">
        <v>1938</v>
      </c>
      <c r="B1939">
        <v>94</v>
      </c>
      <c r="C1939" t="e">
        <f>-IoMpaacFxHHgOIOkB026k</f>
        <v>#NAME?</v>
      </c>
      <c r="D1939" t="s">
        <v>272</v>
      </c>
      <c r="E1939">
        <v>277.464</v>
      </c>
      <c r="F1939" t="s">
        <v>21</v>
      </c>
      <c r="G1939" t="s">
        <v>26</v>
      </c>
      <c r="H1939" t="s">
        <v>21</v>
      </c>
      <c r="I1939" t="s">
        <v>20</v>
      </c>
      <c r="J1939" t="s">
        <v>20</v>
      </c>
      <c r="K1939" t="s">
        <v>27</v>
      </c>
      <c r="L1939" t="s">
        <v>230</v>
      </c>
      <c r="M1939" t="s">
        <v>174</v>
      </c>
      <c r="N1939">
        <v>39.540905000000002</v>
      </c>
      <c r="O1939">
        <v>-111.45529999999999</v>
      </c>
      <c r="P1939">
        <v>5868.2348609999999</v>
      </c>
      <c r="Q1939">
        <v>1384</v>
      </c>
      <c r="R1939">
        <v>0</v>
      </c>
    </row>
    <row r="1940" spans="1:18" x14ac:dyDescent="0.25">
      <c r="A1940">
        <v>1939</v>
      </c>
      <c r="B1940">
        <v>94</v>
      </c>
      <c r="C1940" t="e">
        <f>-IoMpu7hH8Xh9PUXkFYdpV</f>
        <v>#NAME?</v>
      </c>
      <c r="D1940" t="s">
        <v>272</v>
      </c>
      <c r="E1940">
        <v>277.56299999999999</v>
      </c>
      <c r="F1940" t="s">
        <v>21</v>
      </c>
      <c r="G1940" t="s">
        <v>26</v>
      </c>
      <c r="H1940" t="s">
        <v>21</v>
      </c>
      <c r="I1940" t="s">
        <v>20</v>
      </c>
      <c r="J1940" t="s">
        <v>20</v>
      </c>
      <c r="K1940" t="s">
        <v>27</v>
      </c>
      <c r="L1940" t="s">
        <v>230</v>
      </c>
      <c r="M1940" t="s">
        <v>174</v>
      </c>
      <c r="N1940">
        <v>39.542338000000001</v>
      </c>
      <c r="O1940">
        <v>-111.45531800000001</v>
      </c>
      <c r="P1940">
        <v>5867.7135710000002</v>
      </c>
      <c r="Q1940">
        <v>1384</v>
      </c>
      <c r="R1940">
        <v>0</v>
      </c>
    </row>
    <row r="1941" spans="1:18" x14ac:dyDescent="0.25">
      <c r="A1941">
        <v>1940</v>
      </c>
      <c r="B1941">
        <v>94</v>
      </c>
      <c r="C1941" t="e">
        <f>-IoMq1riI7yksJCmPzKG4F</f>
        <v>#NAME?</v>
      </c>
      <c r="D1941" t="s">
        <v>272</v>
      </c>
      <c r="E1941">
        <v>277.66300000000001</v>
      </c>
      <c r="F1941" t="s">
        <v>21</v>
      </c>
      <c r="G1941" t="s">
        <v>26</v>
      </c>
      <c r="H1941" t="s">
        <v>21</v>
      </c>
      <c r="I1941" t="s">
        <v>20</v>
      </c>
      <c r="J1941" t="s">
        <v>20</v>
      </c>
      <c r="K1941" t="s">
        <v>27</v>
      </c>
      <c r="L1941" t="s">
        <v>230</v>
      </c>
      <c r="M1941" t="s">
        <v>174</v>
      </c>
      <c r="N1941">
        <v>39.543813</v>
      </c>
      <c r="O1941">
        <v>-111.45533500000001</v>
      </c>
      <c r="P1941">
        <v>5866.1471959999999</v>
      </c>
      <c r="Q1941">
        <v>1384</v>
      </c>
      <c r="R1941">
        <v>0</v>
      </c>
    </row>
    <row r="1942" spans="1:18" x14ac:dyDescent="0.25">
      <c r="A1942">
        <v>1941</v>
      </c>
      <c r="B1942">
        <v>94</v>
      </c>
      <c r="C1942" t="e">
        <f>-IoMqXZoITqfMrs2HSNoRF</f>
        <v>#NAME?</v>
      </c>
      <c r="D1942" t="s">
        <v>272</v>
      </c>
      <c r="E1942">
        <v>277.76400000000001</v>
      </c>
      <c r="F1942" t="s">
        <v>21</v>
      </c>
      <c r="G1942" t="s">
        <v>26</v>
      </c>
      <c r="H1942" t="s">
        <v>21</v>
      </c>
      <c r="I1942" t="s">
        <v>20</v>
      </c>
      <c r="J1942" t="s">
        <v>20</v>
      </c>
      <c r="K1942" t="s">
        <v>27</v>
      </c>
      <c r="L1942" t="s">
        <v>230</v>
      </c>
      <c r="M1942" t="s">
        <v>174</v>
      </c>
      <c r="N1942">
        <v>39.545271999999997</v>
      </c>
      <c r="O1942">
        <v>-111.455349</v>
      </c>
      <c r="P1942">
        <v>5866.8835740000004</v>
      </c>
      <c r="Q1942">
        <v>1384</v>
      </c>
      <c r="R1942">
        <v>0</v>
      </c>
    </row>
    <row r="1943" spans="1:18" x14ac:dyDescent="0.25">
      <c r="A1943">
        <v>1942</v>
      </c>
      <c r="B1943">
        <v>94</v>
      </c>
      <c r="C1943" t="e">
        <f>-IoMrOkZG5Pr54nY1q8RlF</f>
        <v>#NAME?</v>
      </c>
      <c r="D1943" t="s">
        <v>272</v>
      </c>
      <c r="E1943">
        <v>277.86700000000002</v>
      </c>
      <c r="F1943" t="s">
        <v>19</v>
      </c>
      <c r="G1943" t="s">
        <v>20</v>
      </c>
      <c r="H1943" t="s">
        <v>19</v>
      </c>
      <c r="I1943">
        <v>116</v>
      </c>
      <c r="J1943" t="s">
        <v>20</v>
      </c>
      <c r="K1943" t="s">
        <v>27</v>
      </c>
      <c r="L1943" t="s">
        <v>230</v>
      </c>
      <c r="M1943" t="s">
        <v>174</v>
      </c>
      <c r="N1943">
        <v>39.546779000000001</v>
      </c>
      <c r="O1943">
        <v>-111.455354</v>
      </c>
      <c r="P1943">
        <v>5867.7604419999998</v>
      </c>
      <c r="Q1943">
        <v>1384</v>
      </c>
      <c r="R1943">
        <v>0</v>
      </c>
    </row>
    <row r="1944" spans="1:18" x14ac:dyDescent="0.25">
      <c r="A1944">
        <v>1943</v>
      </c>
      <c r="B1944">
        <v>94</v>
      </c>
      <c r="C1944" t="e">
        <f>-IoMsSePFguPfU1wTGEuUF</f>
        <v>#NAME?</v>
      </c>
      <c r="D1944" t="s">
        <v>272</v>
      </c>
      <c r="E1944">
        <v>277.96600000000001</v>
      </c>
      <c r="F1944" t="s">
        <v>21</v>
      </c>
      <c r="G1944" t="s">
        <v>26</v>
      </c>
      <c r="H1944" t="s">
        <v>21</v>
      </c>
      <c r="I1944" t="s">
        <v>20</v>
      </c>
      <c r="J1944" t="s">
        <v>20</v>
      </c>
      <c r="K1944" t="s">
        <v>27</v>
      </c>
      <c r="L1944" t="s">
        <v>230</v>
      </c>
      <c r="M1944" t="s">
        <v>174</v>
      </c>
      <c r="N1944">
        <v>39.548214999999999</v>
      </c>
      <c r="O1944">
        <v>-111.45536199999999</v>
      </c>
      <c r="P1944">
        <v>5864.848473</v>
      </c>
      <c r="Q1944">
        <v>1384</v>
      </c>
      <c r="R1944">
        <v>0</v>
      </c>
    </row>
    <row r="1945" spans="1:18" x14ac:dyDescent="0.25">
      <c r="A1945">
        <v>1944</v>
      </c>
      <c r="B1945">
        <v>94</v>
      </c>
      <c r="C1945" t="s">
        <v>472</v>
      </c>
      <c r="D1945" t="s">
        <v>272</v>
      </c>
      <c r="E1945">
        <v>278.06599999999997</v>
      </c>
      <c r="F1945" t="s">
        <v>21</v>
      </c>
      <c r="G1945" t="s">
        <v>26</v>
      </c>
      <c r="H1945" t="s">
        <v>21</v>
      </c>
      <c r="I1945" t="s">
        <v>20</v>
      </c>
      <c r="J1945" t="s">
        <v>20</v>
      </c>
      <c r="K1945" t="s">
        <v>27</v>
      </c>
      <c r="L1945" t="s">
        <v>230</v>
      </c>
      <c r="M1945" t="s">
        <v>174</v>
      </c>
      <c r="N1945">
        <v>39.549666999999999</v>
      </c>
      <c r="O1945">
        <v>-111.455369</v>
      </c>
      <c r="P1945">
        <v>5862.4646720000001</v>
      </c>
      <c r="Q1945">
        <v>1384</v>
      </c>
      <c r="R1945">
        <v>0</v>
      </c>
    </row>
    <row r="1946" spans="1:18" x14ac:dyDescent="0.25">
      <c r="A1946">
        <v>1945</v>
      </c>
      <c r="B1946">
        <v>94</v>
      </c>
      <c r="C1946">
        <v>31722178</v>
      </c>
      <c r="D1946" t="s">
        <v>213</v>
      </c>
      <c r="E1946">
        <v>278.10500000000002</v>
      </c>
      <c r="F1946" t="s">
        <v>21</v>
      </c>
      <c r="G1946" t="s">
        <v>26</v>
      </c>
      <c r="H1946" t="s">
        <v>21</v>
      </c>
      <c r="I1946" t="s">
        <v>20</v>
      </c>
      <c r="J1946" t="s">
        <v>20</v>
      </c>
      <c r="K1946" t="s">
        <v>27</v>
      </c>
      <c r="L1946" t="s">
        <v>158</v>
      </c>
      <c r="M1946" t="s">
        <v>422</v>
      </c>
      <c r="N1946">
        <v>39.268661000000002</v>
      </c>
      <c r="O1946">
        <v>-110.344745</v>
      </c>
      <c r="P1946">
        <v>4586.7752609999998</v>
      </c>
      <c r="Q1946">
        <v>1332</v>
      </c>
      <c r="R1946">
        <v>0</v>
      </c>
    </row>
    <row r="1947" spans="1:18" x14ac:dyDescent="0.25">
      <c r="A1947">
        <v>1946</v>
      </c>
      <c r="B1947">
        <v>94</v>
      </c>
      <c r="C1947" t="e">
        <f>-IoMsnyGHUTTEg2HDYQZIF</f>
        <v>#NAME?</v>
      </c>
      <c r="D1947" t="s">
        <v>272</v>
      </c>
      <c r="E1947">
        <v>278.16500000000002</v>
      </c>
      <c r="F1947" t="s">
        <v>21</v>
      </c>
      <c r="G1947" t="s">
        <v>26</v>
      </c>
      <c r="H1947" t="s">
        <v>21</v>
      </c>
      <c r="I1947" t="s">
        <v>20</v>
      </c>
      <c r="J1947" t="s">
        <v>20</v>
      </c>
      <c r="K1947" t="s">
        <v>27</v>
      </c>
      <c r="L1947" t="s">
        <v>230</v>
      </c>
      <c r="M1947" t="s">
        <v>174</v>
      </c>
      <c r="N1947">
        <v>39.551108999999997</v>
      </c>
      <c r="O1947">
        <v>-111.455364</v>
      </c>
      <c r="P1947">
        <v>5860.7117950000002</v>
      </c>
      <c r="Q1947">
        <v>1384</v>
      </c>
      <c r="R1947">
        <v>0</v>
      </c>
    </row>
    <row r="1948" spans="1:18" x14ac:dyDescent="0.25">
      <c r="A1948">
        <v>1947</v>
      </c>
      <c r="B1948">
        <v>94</v>
      </c>
      <c r="C1948" t="s">
        <v>473</v>
      </c>
      <c r="D1948" t="s">
        <v>272</v>
      </c>
      <c r="E1948">
        <v>278.26799999999997</v>
      </c>
      <c r="F1948" t="s">
        <v>21</v>
      </c>
      <c r="G1948" t="s">
        <v>26</v>
      </c>
      <c r="H1948" t="s">
        <v>21</v>
      </c>
      <c r="I1948" t="s">
        <v>20</v>
      </c>
      <c r="J1948" t="s">
        <v>20</v>
      </c>
      <c r="K1948" t="s">
        <v>27</v>
      </c>
      <c r="L1948" t="s">
        <v>230</v>
      </c>
      <c r="M1948" t="s">
        <v>174</v>
      </c>
      <c r="N1948">
        <v>39.552605</v>
      </c>
      <c r="O1948">
        <v>-111.455393</v>
      </c>
      <c r="P1948">
        <v>5857.8971609999999</v>
      </c>
      <c r="Q1948">
        <v>1384</v>
      </c>
      <c r="R1948">
        <v>0</v>
      </c>
    </row>
    <row r="1949" spans="1:18" x14ac:dyDescent="0.25">
      <c r="A1949">
        <v>1948</v>
      </c>
      <c r="B1949">
        <v>94</v>
      </c>
      <c r="C1949" t="e">
        <f>-IoMtC3QHPqOOhQqnb6hnF</f>
        <v>#NAME?</v>
      </c>
      <c r="D1949" t="s">
        <v>272</v>
      </c>
      <c r="E1949">
        <v>278.38299999999998</v>
      </c>
      <c r="F1949" t="s">
        <v>21</v>
      </c>
      <c r="G1949" t="s">
        <v>26</v>
      </c>
      <c r="H1949" t="s">
        <v>21</v>
      </c>
      <c r="I1949" t="s">
        <v>20</v>
      </c>
      <c r="J1949" t="s">
        <v>20</v>
      </c>
      <c r="K1949" t="s">
        <v>27</v>
      </c>
      <c r="L1949" t="s">
        <v>230</v>
      </c>
      <c r="M1949" t="s">
        <v>174</v>
      </c>
      <c r="N1949">
        <v>39.554257999999997</v>
      </c>
      <c r="O1949">
        <v>-111.45539100000001</v>
      </c>
      <c r="P1949">
        <v>5854.0359150000004</v>
      </c>
      <c r="Q1949">
        <v>1384</v>
      </c>
      <c r="R1949">
        <v>0</v>
      </c>
    </row>
    <row r="1950" spans="1:18" x14ac:dyDescent="0.25">
      <c r="A1950">
        <v>1949</v>
      </c>
      <c r="B1950">
        <v>94</v>
      </c>
      <c r="C1950">
        <v>31406814</v>
      </c>
      <c r="D1950" t="s">
        <v>257</v>
      </c>
      <c r="E1950">
        <v>2.2989999999999999</v>
      </c>
      <c r="F1950" t="s">
        <v>19</v>
      </c>
      <c r="G1950" t="s">
        <v>20</v>
      </c>
      <c r="H1950" t="s">
        <v>21</v>
      </c>
      <c r="I1950" t="s">
        <v>20</v>
      </c>
      <c r="J1950" t="s">
        <v>20</v>
      </c>
      <c r="K1950" t="s">
        <v>22</v>
      </c>
      <c r="L1950" t="s">
        <v>140</v>
      </c>
      <c r="M1950" t="s">
        <v>76</v>
      </c>
      <c r="N1950">
        <v>40.090282000000002</v>
      </c>
      <c r="O1950">
        <v>-111.662018</v>
      </c>
      <c r="P1950">
        <v>4579.3010270000004</v>
      </c>
      <c r="Q1950">
        <v>1433</v>
      </c>
      <c r="R1950">
        <v>0</v>
      </c>
    </row>
    <row r="1951" spans="1:18" x14ac:dyDescent="0.25">
      <c r="A1951">
        <v>1950</v>
      </c>
      <c r="B1951">
        <v>94</v>
      </c>
      <c r="C1951">
        <v>31467922</v>
      </c>
      <c r="D1951" t="s">
        <v>264</v>
      </c>
      <c r="E1951">
        <v>2.302</v>
      </c>
      <c r="F1951" t="s">
        <v>21</v>
      </c>
      <c r="G1951" t="s">
        <v>26</v>
      </c>
      <c r="H1951" t="s">
        <v>21</v>
      </c>
      <c r="I1951" t="s">
        <v>20</v>
      </c>
      <c r="J1951" t="s">
        <v>20</v>
      </c>
      <c r="K1951" t="s">
        <v>22</v>
      </c>
      <c r="L1951" t="s">
        <v>35</v>
      </c>
      <c r="M1951" t="s">
        <v>36</v>
      </c>
      <c r="N1951">
        <v>40.532522999999998</v>
      </c>
      <c r="O1951">
        <v>-111.489456</v>
      </c>
      <c r="P1951">
        <v>5720.3795120000004</v>
      </c>
      <c r="Q1951">
        <v>420</v>
      </c>
      <c r="R1951">
        <v>0</v>
      </c>
    </row>
    <row r="1952" spans="1:18" x14ac:dyDescent="0.25">
      <c r="A1952">
        <v>1951</v>
      </c>
      <c r="B1952">
        <v>94</v>
      </c>
      <c r="C1952">
        <v>28003228</v>
      </c>
      <c r="D1952" t="s">
        <v>59</v>
      </c>
      <c r="E1952">
        <v>2.3079999999999998</v>
      </c>
      <c r="F1952" t="s">
        <v>21</v>
      </c>
      <c r="G1952" t="s">
        <v>26</v>
      </c>
      <c r="H1952" t="s">
        <v>21</v>
      </c>
      <c r="I1952" t="s">
        <v>20</v>
      </c>
      <c r="J1952" t="s">
        <v>20</v>
      </c>
      <c r="K1952" t="s">
        <v>22</v>
      </c>
      <c r="L1952" t="s">
        <v>60</v>
      </c>
      <c r="M1952" t="s">
        <v>24</v>
      </c>
      <c r="N1952">
        <v>40.311967000000003</v>
      </c>
      <c r="O1952">
        <v>-111.69104299999999</v>
      </c>
      <c r="P1952">
        <v>4743.4113129999996</v>
      </c>
      <c r="Q1952">
        <v>313</v>
      </c>
      <c r="R1952">
        <v>0</v>
      </c>
    </row>
    <row r="1953" spans="1:18" x14ac:dyDescent="0.25">
      <c r="A1953">
        <v>1952</v>
      </c>
      <c r="B1953">
        <v>94</v>
      </c>
      <c r="C1953">
        <v>31406882</v>
      </c>
      <c r="D1953" t="s">
        <v>74</v>
      </c>
      <c r="E1953">
        <v>2.3090000000000002</v>
      </c>
      <c r="F1953" t="s">
        <v>19</v>
      </c>
      <c r="G1953" t="s">
        <v>20</v>
      </c>
      <c r="H1953" t="s">
        <v>21</v>
      </c>
      <c r="I1953" t="s">
        <v>20</v>
      </c>
      <c r="J1953" t="s">
        <v>20</v>
      </c>
      <c r="K1953" t="s">
        <v>27</v>
      </c>
      <c r="L1953" t="s">
        <v>75</v>
      </c>
      <c r="M1953" t="s">
        <v>76</v>
      </c>
      <c r="N1953">
        <v>38.768085999999997</v>
      </c>
      <c r="O1953">
        <v>-112.084789</v>
      </c>
      <c r="P1953">
        <v>5271.3178170000001</v>
      </c>
      <c r="Q1953">
        <v>332</v>
      </c>
      <c r="R1953">
        <v>0</v>
      </c>
    </row>
    <row r="1954" spans="1:18" x14ac:dyDescent="0.25">
      <c r="A1954">
        <v>1953</v>
      </c>
      <c r="B1954">
        <v>94</v>
      </c>
      <c r="C1954" t="e">
        <f>-JMTDel7F9PNAeNfPmyQzV</f>
        <v>#NAME?</v>
      </c>
      <c r="D1954" t="s">
        <v>308</v>
      </c>
      <c r="E1954">
        <v>28.027000000000001</v>
      </c>
      <c r="F1954" t="s">
        <v>21</v>
      </c>
      <c r="G1954" t="s">
        <v>20</v>
      </c>
      <c r="H1954" t="s">
        <v>21</v>
      </c>
      <c r="I1954" t="s">
        <v>20</v>
      </c>
      <c r="J1954" t="s">
        <v>20</v>
      </c>
      <c r="K1954" t="s">
        <v>27</v>
      </c>
      <c r="L1954" t="s">
        <v>111</v>
      </c>
      <c r="M1954" t="s">
        <v>82</v>
      </c>
      <c r="N1954">
        <v>39.530237999999997</v>
      </c>
      <c r="O1954">
        <v>-111.155316</v>
      </c>
      <c r="P1954">
        <v>7877.892562</v>
      </c>
      <c r="Q1954">
        <v>1344</v>
      </c>
      <c r="R1954">
        <v>0</v>
      </c>
    </row>
    <row r="1955" spans="1:18" x14ac:dyDescent="0.25">
      <c r="A1955">
        <v>1954</v>
      </c>
      <c r="B1955">
        <v>94</v>
      </c>
      <c r="C1955">
        <v>31330015</v>
      </c>
      <c r="D1955" t="s">
        <v>303</v>
      </c>
      <c r="E1955">
        <v>28.103000000000002</v>
      </c>
      <c r="F1955" t="s">
        <v>21</v>
      </c>
      <c r="G1955" t="s">
        <v>20</v>
      </c>
      <c r="H1955" t="s">
        <v>21</v>
      </c>
      <c r="I1955" t="s">
        <v>20</v>
      </c>
      <c r="J1955" t="s">
        <v>20</v>
      </c>
      <c r="K1955" t="s">
        <v>27</v>
      </c>
      <c r="L1955" t="s">
        <v>72</v>
      </c>
      <c r="M1955" t="s">
        <v>73</v>
      </c>
      <c r="N1955">
        <v>37.161216000000003</v>
      </c>
      <c r="O1955">
        <v>-113.03769800000001</v>
      </c>
      <c r="P1955">
        <v>3672.936733</v>
      </c>
      <c r="Q1955">
        <v>1326</v>
      </c>
      <c r="R1955">
        <v>0</v>
      </c>
    </row>
    <row r="1956" spans="1:18" x14ac:dyDescent="0.25">
      <c r="A1956">
        <v>1955</v>
      </c>
      <c r="B1956">
        <v>94</v>
      </c>
      <c r="C1956" t="e">
        <f>-IpPGBn9FRqi9Lc52BMEXV</f>
        <v>#NAME?</v>
      </c>
      <c r="D1956" t="s">
        <v>50</v>
      </c>
      <c r="E1956">
        <v>28.114000000000001</v>
      </c>
      <c r="F1956" t="s">
        <v>21</v>
      </c>
      <c r="G1956" t="s">
        <v>20</v>
      </c>
      <c r="H1956" t="s">
        <v>21</v>
      </c>
      <c r="I1956" t="s">
        <v>20</v>
      </c>
      <c r="J1956" t="s">
        <v>20</v>
      </c>
      <c r="K1956" t="s">
        <v>27</v>
      </c>
      <c r="L1956" t="s">
        <v>247</v>
      </c>
      <c r="M1956" t="s">
        <v>52</v>
      </c>
      <c r="N1956">
        <v>37.654910999999998</v>
      </c>
      <c r="O1956">
        <v>-112.68424400000001</v>
      </c>
      <c r="P1956">
        <v>8720.8061409999991</v>
      </c>
      <c r="Q1956">
        <v>1418</v>
      </c>
      <c r="R1956">
        <v>0</v>
      </c>
    </row>
    <row r="1957" spans="1:18" x14ac:dyDescent="0.25">
      <c r="A1957">
        <v>1956</v>
      </c>
      <c r="B1957">
        <v>94</v>
      </c>
      <c r="C1957">
        <v>31440759</v>
      </c>
      <c r="D1957" t="s">
        <v>319</v>
      </c>
      <c r="E1957">
        <v>28.116</v>
      </c>
      <c r="F1957" t="s">
        <v>21</v>
      </c>
      <c r="G1957" t="s">
        <v>20</v>
      </c>
      <c r="H1957" t="s">
        <v>21</v>
      </c>
      <c r="I1957" t="s">
        <v>20</v>
      </c>
      <c r="J1957" t="s">
        <v>20</v>
      </c>
      <c r="K1957" t="s">
        <v>27</v>
      </c>
      <c r="L1957" t="s">
        <v>162</v>
      </c>
      <c r="M1957" t="s">
        <v>55</v>
      </c>
      <c r="N1957">
        <v>37.691498000000003</v>
      </c>
      <c r="O1957">
        <v>-113.60622600000001</v>
      </c>
      <c r="P1957">
        <v>5115.2714050000004</v>
      </c>
      <c r="Q1957">
        <v>314</v>
      </c>
      <c r="R1957">
        <v>0</v>
      </c>
    </row>
    <row r="1958" spans="1:18" x14ac:dyDescent="0.25">
      <c r="A1958">
        <v>1957</v>
      </c>
      <c r="B1958">
        <v>94</v>
      </c>
      <c r="C1958">
        <v>31741467</v>
      </c>
      <c r="D1958" t="s">
        <v>290</v>
      </c>
      <c r="E1958">
        <v>28.119</v>
      </c>
      <c r="F1958" t="s">
        <v>21</v>
      </c>
      <c r="G1958" t="s">
        <v>20</v>
      </c>
      <c r="H1958" t="s">
        <v>21</v>
      </c>
      <c r="I1958" t="s">
        <v>20</v>
      </c>
      <c r="J1958" t="s">
        <v>20</v>
      </c>
      <c r="K1958" t="s">
        <v>41</v>
      </c>
      <c r="L1958" t="s">
        <v>291</v>
      </c>
      <c r="M1958" t="s">
        <v>238</v>
      </c>
      <c r="N1958">
        <v>41.541502999999999</v>
      </c>
      <c r="O1958">
        <v>-113.589995</v>
      </c>
      <c r="P1958">
        <v>4746.241274</v>
      </c>
      <c r="Q1958">
        <v>1343</v>
      </c>
      <c r="R1958">
        <v>0</v>
      </c>
    </row>
    <row r="1959" spans="1:18" x14ac:dyDescent="0.25">
      <c r="A1959">
        <v>1958</v>
      </c>
      <c r="B1959">
        <v>94</v>
      </c>
      <c r="C1959">
        <v>31330026</v>
      </c>
      <c r="D1959" t="s">
        <v>303</v>
      </c>
      <c r="E1959">
        <v>28.134</v>
      </c>
      <c r="F1959" t="s">
        <v>21</v>
      </c>
      <c r="G1959" t="s">
        <v>20</v>
      </c>
      <c r="H1959" t="s">
        <v>21</v>
      </c>
      <c r="I1959" t="s">
        <v>20</v>
      </c>
      <c r="J1959" t="s">
        <v>20</v>
      </c>
      <c r="K1959" t="s">
        <v>27</v>
      </c>
      <c r="L1959" t="s">
        <v>72</v>
      </c>
      <c r="M1959" t="s">
        <v>73</v>
      </c>
      <c r="N1959">
        <v>37.161233000000003</v>
      </c>
      <c r="O1959">
        <v>-113.03713500000001</v>
      </c>
      <c r="P1959">
        <v>3675.385432</v>
      </c>
      <c r="Q1959">
        <v>1326</v>
      </c>
      <c r="R1959">
        <v>0</v>
      </c>
    </row>
    <row r="1960" spans="1:18" x14ac:dyDescent="0.25">
      <c r="A1960">
        <v>1959</v>
      </c>
      <c r="B1960">
        <v>94</v>
      </c>
      <c r="C1960">
        <v>31287218</v>
      </c>
      <c r="D1960" t="s">
        <v>278</v>
      </c>
      <c r="E1960">
        <v>28.137</v>
      </c>
      <c r="F1960" t="s">
        <v>21</v>
      </c>
      <c r="G1960" t="s">
        <v>26</v>
      </c>
      <c r="H1960" t="s">
        <v>21</v>
      </c>
      <c r="I1960" t="s">
        <v>20</v>
      </c>
      <c r="J1960" t="s">
        <v>20</v>
      </c>
      <c r="K1960" t="s">
        <v>27</v>
      </c>
      <c r="L1960" t="s">
        <v>279</v>
      </c>
      <c r="M1960" t="s">
        <v>280</v>
      </c>
      <c r="N1960">
        <v>37.516281999999997</v>
      </c>
      <c r="O1960">
        <v>-112.698926</v>
      </c>
      <c r="P1960">
        <v>8490.8994330000005</v>
      </c>
      <c r="Q1960">
        <v>1330</v>
      </c>
      <c r="R1960">
        <v>0</v>
      </c>
    </row>
    <row r="1961" spans="1:18" x14ac:dyDescent="0.25">
      <c r="A1961">
        <v>1960</v>
      </c>
      <c r="B1961">
        <v>94</v>
      </c>
      <c r="C1961" t="e">
        <f>-JQDTn8SIvLG2g0m-Yd80F</f>
        <v>#NAME?</v>
      </c>
      <c r="D1961" t="s">
        <v>132</v>
      </c>
      <c r="E1961">
        <v>28.143000000000001</v>
      </c>
      <c r="F1961" t="s">
        <v>21</v>
      </c>
      <c r="G1961" t="s">
        <v>20</v>
      </c>
      <c r="H1961" t="s">
        <v>21</v>
      </c>
      <c r="I1961" t="s">
        <v>20</v>
      </c>
      <c r="J1961" t="s">
        <v>20</v>
      </c>
      <c r="K1961" t="s">
        <v>22</v>
      </c>
      <c r="L1961" t="s">
        <v>133</v>
      </c>
      <c r="M1961" t="s">
        <v>277</v>
      </c>
      <c r="N1961">
        <v>40.411560000000001</v>
      </c>
      <c r="O1961">
        <v>-109.729309</v>
      </c>
      <c r="P1961">
        <v>5534.9059200000002</v>
      </c>
      <c r="Q1961">
        <v>1405</v>
      </c>
      <c r="R1961">
        <v>0</v>
      </c>
    </row>
    <row r="1962" spans="1:18" x14ac:dyDescent="0.25">
      <c r="A1962">
        <v>1961</v>
      </c>
      <c r="B1962">
        <v>94</v>
      </c>
      <c r="C1962">
        <v>31330047</v>
      </c>
      <c r="D1962" t="s">
        <v>303</v>
      </c>
      <c r="E1962">
        <v>28.152999999999999</v>
      </c>
      <c r="F1962" t="s">
        <v>21</v>
      </c>
      <c r="G1962" t="s">
        <v>26</v>
      </c>
      <c r="H1962" t="s">
        <v>21</v>
      </c>
      <c r="I1962" t="s">
        <v>20</v>
      </c>
      <c r="J1962" t="s">
        <v>20</v>
      </c>
      <c r="K1962" t="s">
        <v>27</v>
      </c>
      <c r="L1962" t="s">
        <v>72</v>
      </c>
      <c r="M1962" t="s">
        <v>73</v>
      </c>
      <c r="N1962">
        <v>37.161244000000003</v>
      </c>
      <c r="O1962">
        <v>-113.036778</v>
      </c>
      <c r="P1962">
        <v>3676.189484</v>
      </c>
      <c r="Q1962">
        <v>1326</v>
      </c>
      <c r="R1962">
        <v>0</v>
      </c>
    </row>
    <row r="1963" spans="1:18" x14ac:dyDescent="0.25">
      <c r="A1963">
        <v>1962</v>
      </c>
      <c r="B1963">
        <v>94</v>
      </c>
      <c r="C1963">
        <v>31771677</v>
      </c>
      <c r="D1963" t="s">
        <v>353</v>
      </c>
      <c r="E1963">
        <v>28.198</v>
      </c>
      <c r="F1963" t="s">
        <v>21</v>
      </c>
      <c r="G1963" t="s">
        <v>26</v>
      </c>
      <c r="H1963" t="s">
        <v>21</v>
      </c>
      <c r="I1963" t="s">
        <v>20</v>
      </c>
      <c r="J1963" t="s">
        <v>20</v>
      </c>
      <c r="K1963" t="s">
        <v>31</v>
      </c>
      <c r="L1963" t="s">
        <v>433</v>
      </c>
      <c r="M1963" t="s">
        <v>138</v>
      </c>
      <c r="N1963">
        <v>41.015518999999998</v>
      </c>
      <c r="O1963">
        <v>-111.491058</v>
      </c>
      <c r="P1963">
        <v>5301.6239349999996</v>
      </c>
      <c r="Q1963">
        <v>1367</v>
      </c>
      <c r="R1963">
        <v>0</v>
      </c>
    </row>
    <row r="1964" spans="1:18" x14ac:dyDescent="0.25">
      <c r="A1964">
        <v>1963</v>
      </c>
      <c r="B1964">
        <v>94</v>
      </c>
      <c r="C1964">
        <v>31313916</v>
      </c>
      <c r="D1964" t="s">
        <v>116</v>
      </c>
      <c r="E1964">
        <v>28.202999999999999</v>
      </c>
      <c r="F1964" t="s">
        <v>19</v>
      </c>
      <c r="G1964" t="s">
        <v>20</v>
      </c>
      <c r="H1964" t="s">
        <v>21</v>
      </c>
      <c r="I1964" t="s">
        <v>20</v>
      </c>
      <c r="J1964" t="s">
        <v>20</v>
      </c>
      <c r="K1964" t="s">
        <v>41</v>
      </c>
      <c r="L1964" t="s">
        <v>95</v>
      </c>
      <c r="M1964" t="s">
        <v>117</v>
      </c>
      <c r="N1964">
        <v>41.754351999999997</v>
      </c>
      <c r="O1964">
        <v>-111.834452</v>
      </c>
      <c r="P1964">
        <v>4468.8093680000002</v>
      </c>
      <c r="Q1964">
        <v>324</v>
      </c>
      <c r="R1964">
        <v>0</v>
      </c>
    </row>
    <row r="1965" spans="1:18" x14ac:dyDescent="0.25">
      <c r="A1965">
        <v>1964</v>
      </c>
      <c r="B1965">
        <v>94</v>
      </c>
      <c r="C1965">
        <v>31741478</v>
      </c>
      <c r="D1965" t="s">
        <v>290</v>
      </c>
      <c r="E1965">
        <v>28.22</v>
      </c>
      <c r="F1965" t="s">
        <v>21</v>
      </c>
      <c r="G1965" t="s">
        <v>20</v>
      </c>
      <c r="H1965" t="s">
        <v>21</v>
      </c>
      <c r="I1965" t="s">
        <v>20</v>
      </c>
      <c r="J1965" t="s">
        <v>20</v>
      </c>
      <c r="K1965" t="s">
        <v>41</v>
      </c>
      <c r="L1965" t="s">
        <v>291</v>
      </c>
      <c r="M1965" t="s">
        <v>238</v>
      </c>
      <c r="N1965">
        <v>41.542912999999999</v>
      </c>
      <c r="O1965">
        <v>-113.58949699999999</v>
      </c>
      <c r="P1965">
        <v>4749.4534240000003</v>
      </c>
      <c r="Q1965">
        <v>1343</v>
      </c>
      <c r="R1965">
        <v>0</v>
      </c>
    </row>
    <row r="1966" spans="1:18" x14ac:dyDescent="0.25">
      <c r="A1966">
        <v>1965</v>
      </c>
      <c r="B1966">
        <v>94</v>
      </c>
      <c r="C1966">
        <v>31679623</v>
      </c>
      <c r="D1966" t="s">
        <v>258</v>
      </c>
      <c r="E1966">
        <v>2.3450000000000002</v>
      </c>
      <c r="F1966" t="s">
        <v>21</v>
      </c>
      <c r="G1966" t="s">
        <v>26</v>
      </c>
      <c r="H1966" t="s">
        <v>21</v>
      </c>
      <c r="I1966" t="s">
        <v>20</v>
      </c>
      <c r="J1966" t="s">
        <v>20</v>
      </c>
      <c r="K1966" t="s">
        <v>27</v>
      </c>
      <c r="L1966" t="s">
        <v>259</v>
      </c>
      <c r="M1966" t="s">
        <v>29</v>
      </c>
      <c r="N1966">
        <v>37.034249000000003</v>
      </c>
      <c r="O1966">
        <v>-112.524801</v>
      </c>
      <c r="P1966">
        <v>4841.9329889999999</v>
      </c>
      <c r="Q1966">
        <v>301</v>
      </c>
      <c r="R1966">
        <v>0</v>
      </c>
    </row>
    <row r="1967" spans="1:18" x14ac:dyDescent="0.25">
      <c r="A1967">
        <v>1966</v>
      </c>
      <c r="B1967">
        <v>94</v>
      </c>
      <c r="C1967">
        <v>31490315</v>
      </c>
      <c r="D1967" t="s">
        <v>288</v>
      </c>
      <c r="E1967">
        <v>142.267</v>
      </c>
      <c r="F1967" t="s">
        <v>21</v>
      </c>
      <c r="G1967" t="s">
        <v>26</v>
      </c>
      <c r="H1967" t="s">
        <v>21</v>
      </c>
      <c r="I1967" t="s">
        <v>20</v>
      </c>
      <c r="J1967" t="s">
        <v>20</v>
      </c>
      <c r="K1967" t="s">
        <v>27</v>
      </c>
      <c r="L1967" t="s">
        <v>38</v>
      </c>
      <c r="M1967" t="s">
        <v>152</v>
      </c>
      <c r="N1967">
        <v>38.740640999999997</v>
      </c>
      <c r="O1967">
        <v>-109.73436700000001</v>
      </c>
      <c r="P1967">
        <v>4423.7851549999996</v>
      </c>
      <c r="Q1967">
        <v>350</v>
      </c>
      <c r="R1967">
        <v>0</v>
      </c>
    </row>
    <row r="1968" spans="1:18" x14ac:dyDescent="0.25">
      <c r="A1968">
        <v>1967</v>
      </c>
      <c r="B1968">
        <v>94</v>
      </c>
      <c r="C1968">
        <v>31831566</v>
      </c>
      <c r="D1968" t="s">
        <v>118</v>
      </c>
      <c r="E1968">
        <v>142.30799999999999</v>
      </c>
      <c r="F1968" t="s">
        <v>21</v>
      </c>
      <c r="G1968" t="s">
        <v>26</v>
      </c>
      <c r="H1968" t="s">
        <v>21</v>
      </c>
      <c r="I1968" t="s">
        <v>20</v>
      </c>
      <c r="J1968" t="s">
        <v>20</v>
      </c>
      <c r="K1968" t="s">
        <v>22</v>
      </c>
      <c r="L1968" t="s">
        <v>234</v>
      </c>
      <c r="M1968" t="s">
        <v>169</v>
      </c>
      <c r="N1968">
        <v>40.443120999999998</v>
      </c>
      <c r="O1968">
        <v>-109.55992999999999</v>
      </c>
      <c r="P1968">
        <v>5393.4469220000001</v>
      </c>
      <c r="Q1968">
        <v>310</v>
      </c>
      <c r="R1968">
        <v>0</v>
      </c>
    </row>
    <row r="1969" spans="1:18" x14ac:dyDescent="0.25">
      <c r="A1969">
        <v>1968</v>
      </c>
      <c r="B1969">
        <v>94</v>
      </c>
      <c r="C1969">
        <v>31420096</v>
      </c>
      <c r="D1969" t="s">
        <v>345</v>
      </c>
      <c r="E1969">
        <v>15.154999999999999</v>
      </c>
      <c r="F1969" t="s">
        <v>21</v>
      </c>
      <c r="G1969" t="s">
        <v>26</v>
      </c>
      <c r="H1969" t="s">
        <v>21</v>
      </c>
      <c r="I1969" t="s">
        <v>20</v>
      </c>
      <c r="J1969" t="s">
        <v>20</v>
      </c>
      <c r="K1969" t="s">
        <v>27</v>
      </c>
      <c r="L1969" t="s">
        <v>75</v>
      </c>
      <c r="M1969" t="s">
        <v>76</v>
      </c>
      <c r="N1969">
        <v>38.772269999999999</v>
      </c>
      <c r="O1969">
        <v>-112.075864</v>
      </c>
      <c r="P1969">
        <v>5263.9536889999999</v>
      </c>
      <c r="Q1969">
        <v>1403</v>
      </c>
      <c r="R1969">
        <v>0</v>
      </c>
    </row>
    <row r="1970" spans="1:18" x14ac:dyDescent="0.25">
      <c r="A1970">
        <v>1969</v>
      </c>
      <c r="B1970">
        <v>94</v>
      </c>
      <c r="C1970">
        <v>31399061</v>
      </c>
      <c r="D1970" t="s">
        <v>210</v>
      </c>
      <c r="E1970">
        <v>15.166</v>
      </c>
      <c r="F1970" t="s">
        <v>21</v>
      </c>
      <c r="G1970" t="s">
        <v>20</v>
      </c>
      <c r="H1970" t="s">
        <v>21</v>
      </c>
      <c r="I1970" t="s">
        <v>20</v>
      </c>
      <c r="J1970" t="s">
        <v>20</v>
      </c>
      <c r="K1970" t="s">
        <v>27</v>
      </c>
      <c r="L1970" t="s">
        <v>211</v>
      </c>
      <c r="M1970" t="s">
        <v>212</v>
      </c>
      <c r="N1970">
        <v>37.258634999999998</v>
      </c>
      <c r="O1970">
        <v>-109.296711</v>
      </c>
      <c r="P1970">
        <v>4385.5856750000003</v>
      </c>
      <c r="Q1970">
        <v>344</v>
      </c>
      <c r="R1970">
        <v>0</v>
      </c>
    </row>
    <row r="1971" spans="1:18" x14ac:dyDescent="0.25">
      <c r="A1971">
        <v>1970</v>
      </c>
      <c r="B1971">
        <v>94</v>
      </c>
      <c r="C1971">
        <v>28134952</v>
      </c>
      <c r="D1971" t="s">
        <v>220</v>
      </c>
      <c r="E1971">
        <v>19.963000000000001</v>
      </c>
      <c r="F1971" t="s">
        <v>21</v>
      </c>
      <c r="G1971" t="s">
        <v>26</v>
      </c>
      <c r="H1971" t="s">
        <v>21</v>
      </c>
      <c r="I1971" t="s">
        <v>20</v>
      </c>
      <c r="J1971" t="s">
        <v>20</v>
      </c>
      <c r="K1971" t="s">
        <v>27</v>
      </c>
      <c r="L1971" t="s">
        <v>28</v>
      </c>
      <c r="M1971" t="s">
        <v>29</v>
      </c>
      <c r="N1971">
        <v>37.640067000000002</v>
      </c>
      <c r="O1971">
        <v>-112.081683</v>
      </c>
      <c r="P1971">
        <v>6329.7449020000004</v>
      </c>
      <c r="Q1971">
        <v>1328</v>
      </c>
      <c r="R1971">
        <v>0</v>
      </c>
    </row>
    <row r="1972" spans="1:18" x14ac:dyDescent="0.25">
      <c r="A1972">
        <v>1971</v>
      </c>
      <c r="B1972">
        <v>94</v>
      </c>
      <c r="C1972">
        <v>31565945</v>
      </c>
      <c r="D1972" t="s">
        <v>172</v>
      </c>
      <c r="E1972">
        <v>19.969000000000001</v>
      </c>
      <c r="F1972" t="s">
        <v>21</v>
      </c>
      <c r="G1972" t="s">
        <v>26</v>
      </c>
      <c r="H1972" t="s">
        <v>21</v>
      </c>
      <c r="I1972" t="s">
        <v>20</v>
      </c>
      <c r="J1972" t="s">
        <v>20</v>
      </c>
      <c r="K1972" t="s">
        <v>22</v>
      </c>
      <c r="L1972" t="s">
        <v>155</v>
      </c>
      <c r="M1972" t="s">
        <v>174</v>
      </c>
      <c r="N1972">
        <v>39.660552000000003</v>
      </c>
      <c r="O1972">
        <v>-112.063872</v>
      </c>
      <c r="P1972">
        <v>5425.0243600000003</v>
      </c>
      <c r="Q1972">
        <v>1411</v>
      </c>
      <c r="R1972">
        <v>0</v>
      </c>
    </row>
    <row r="1973" spans="1:18" x14ac:dyDescent="0.25">
      <c r="A1973">
        <v>1972</v>
      </c>
      <c r="B1973">
        <v>94</v>
      </c>
      <c r="C1973">
        <v>31432266</v>
      </c>
      <c r="D1973" t="s">
        <v>345</v>
      </c>
      <c r="E1973">
        <v>19.972000000000001</v>
      </c>
      <c r="F1973" t="s">
        <v>21</v>
      </c>
      <c r="G1973" t="s">
        <v>26</v>
      </c>
      <c r="H1973" t="s">
        <v>21</v>
      </c>
      <c r="I1973" t="s">
        <v>20</v>
      </c>
      <c r="J1973" t="s">
        <v>20</v>
      </c>
      <c r="K1973" t="s">
        <v>27</v>
      </c>
      <c r="L1973" t="s">
        <v>75</v>
      </c>
      <c r="M1973" t="s">
        <v>76</v>
      </c>
      <c r="N1973">
        <v>38.816355000000001</v>
      </c>
      <c r="O1973">
        <v>-112.008843</v>
      </c>
      <c r="P1973">
        <v>5187.575382</v>
      </c>
      <c r="Q1973">
        <v>1403</v>
      </c>
      <c r="R1973">
        <v>0</v>
      </c>
    </row>
    <row r="1974" spans="1:18" x14ac:dyDescent="0.25">
      <c r="A1974">
        <v>1973</v>
      </c>
      <c r="B1974">
        <v>94</v>
      </c>
      <c r="C1974">
        <v>31429616</v>
      </c>
      <c r="D1974" t="s">
        <v>333</v>
      </c>
      <c r="E1974">
        <v>19.989999999999998</v>
      </c>
      <c r="F1974" t="s">
        <v>19</v>
      </c>
      <c r="G1974" t="s">
        <v>20</v>
      </c>
      <c r="H1974" t="s">
        <v>21</v>
      </c>
      <c r="I1974" t="s">
        <v>20</v>
      </c>
      <c r="J1974" t="s">
        <v>20</v>
      </c>
      <c r="K1974" t="s">
        <v>31</v>
      </c>
      <c r="L1974" t="s">
        <v>78</v>
      </c>
      <c r="M1974" t="s">
        <v>49</v>
      </c>
      <c r="N1974">
        <v>40.711525000000002</v>
      </c>
      <c r="O1974">
        <v>-111.981415</v>
      </c>
      <c r="P1974">
        <v>4191.4532140000001</v>
      </c>
      <c r="Q1974">
        <v>1426</v>
      </c>
      <c r="R1974">
        <v>0</v>
      </c>
    </row>
    <row r="1975" spans="1:18" x14ac:dyDescent="0.25">
      <c r="A1975">
        <v>1974</v>
      </c>
      <c r="B1975">
        <v>94</v>
      </c>
      <c r="C1975" t="e">
        <f>-IoIczhhGO1qR9s4ZWcArF</f>
        <v>#NAME?</v>
      </c>
      <c r="D1975" t="s">
        <v>272</v>
      </c>
      <c r="E1975">
        <v>190.03299999999999</v>
      </c>
      <c r="F1975" t="s">
        <v>21</v>
      </c>
      <c r="G1975" t="s">
        <v>20</v>
      </c>
      <c r="H1975" t="s">
        <v>21</v>
      </c>
      <c r="I1975" t="s">
        <v>20</v>
      </c>
      <c r="J1975" t="s">
        <v>20</v>
      </c>
      <c r="K1975" t="s">
        <v>27</v>
      </c>
      <c r="L1975" t="s">
        <v>337</v>
      </c>
      <c r="M1975" t="s">
        <v>214</v>
      </c>
      <c r="N1975">
        <v>38.577559999999998</v>
      </c>
      <c r="O1975">
        <v>-112.258151</v>
      </c>
      <c r="P1975">
        <v>5482.1826129999999</v>
      </c>
      <c r="Q1975">
        <v>1384</v>
      </c>
      <c r="R1975">
        <v>0</v>
      </c>
    </row>
    <row r="1976" spans="1:18" x14ac:dyDescent="0.25">
      <c r="A1976">
        <v>1975</v>
      </c>
      <c r="B1976">
        <v>94</v>
      </c>
      <c r="C1976">
        <v>31626583</v>
      </c>
      <c r="D1976" t="s">
        <v>213</v>
      </c>
      <c r="E1976">
        <v>190.40199999999999</v>
      </c>
      <c r="F1976" t="s">
        <v>21</v>
      </c>
      <c r="G1976" t="s">
        <v>26</v>
      </c>
      <c r="H1976" t="s">
        <v>21</v>
      </c>
      <c r="I1976" t="s">
        <v>20</v>
      </c>
      <c r="J1976" t="s">
        <v>20</v>
      </c>
      <c r="K1976" t="s">
        <v>22</v>
      </c>
      <c r="L1976" t="s">
        <v>140</v>
      </c>
      <c r="M1976" t="s">
        <v>159</v>
      </c>
      <c r="N1976">
        <v>39.997349</v>
      </c>
      <c r="O1976">
        <v>-111.414079</v>
      </c>
      <c r="P1976">
        <v>5281.8722770000004</v>
      </c>
      <c r="Q1976">
        <v>1332</v>
      </c>
      <c r="R1976">
        <v>0</v>
      </c>
    </row>
    <row r="1977" spans="1:18" x14ac:dyDescent="0.25">
      <c r="A1977">
        <v>1976</v>
      </c>
      <c r="B1977">
        <v>94</v>
      </c>
      <c r="C1977" t="e">
        <f>-Ipe5md2IUyzpmRNtpyEgF</f>
        <v>#NAME?</v>
      </c>
      <c r="D1977" t="s">
        <v>272</v>
      </c>
      <c r="E1977">
        <v>190.62</v>
      </c>
      <c r="F1977" t="s">
        <v>21</v>
      </c>
      <c r="G1977" t="s">
        <v>20</v>
      </c>
      <c r="H1977" t="s">
        <v>21</v>
      </c>
      <c r="I1977" t="s">
        <v>20</v>
      </c>
      <c r="J1977" t="s">
        <v>20</v>
      </c>
      <c r="K1977" t="s">
        <v>27</v>
      </c>
      <c r="L1977" t="s">
        <v>337</v>
      </c>
      <c r="M1977" t="s">
        <v>214</v>
      </c>
      <c r="N1977">
        <v>38.586044000000001</v>
      </c>
      <c r="O1977">
        <v>-112.258706</v>
      </c>
      <c r="P1977">
        <v>5516.1603500000001</v>
      </c>
      <c r="Q1977">
        <v>1384</v>
      </c>
      <c r="R1977">
        <v>0</v>
      </c>
    </row>
    <row r="1978" spans="1:18" x14ac:dyDescent="0.25">
      <c r="A1978">
        <v>1977</v>
      </c>
      <c r="B1978">
        <v>94</v>
      </c>
      <c r="C1978" t="e">
        <f>-IoIdu9rHUXr1BOpVLkJJF</f>
        <v>#NAME?</v>
      </c>
      <c r="D1978" t="s">
        <v>272</v>
      </c>
      <c r="E1978">
        <v>190.63800000000001</v>
      </c>
      <c r="F1978" t="s">
        <v>21</v>
      </c>
      <c r="G1978" t="s">
        <v>26</v>
      </c>
      <c r="H1978" t="s">
        <v>21</v>
      </c>
      <c r="I1978" t="s">
        <v>20</v>
      </c>
      <c r="J1978" t="s">
        <v>20</v>
      </c>
      <c r="K1978" t="s">
        <v>27</v>
      </c>
      <c r="L1978" t="s">
        <v>337</v>
      </c>
      <c r="M1978" t="s">
        <v>214</v>
      </c>
      <c r="N1978">
        <v>38.586308000000002</v>
      </c>
      <c r="O1978">
        <v>-112.25873799999999</v>
      </c>
      <c r="P1978">
        <v>5521.2482360000004</v>
      </c>
      <c r="Q1978">
        <v>1384</v>
      </c>
      <c r="R1978">
        <v>0</v>
      </c>
    </row>
    <row r="1979" spans="1:18" x14ac:dyDescent="0.25">
      <c r="A1979">
        <v>1978</v>
      </c>
      <c r="B1979">
        <v>94</v>
      </c>
      <c r="C1979" t="e">
        <f>-IoIe82GFd5BRbQ0NsqPwF</f>
        <v>#NAME?</v>
      </c>
      <c r="D1979" t="s">
        <v>272</v>
      </c>
      <c r="E1979">
        <v>190.86099999999999</v>
      </c>
      <c r="F1979" t="s">
        <v>21</v>
      </c>
      <c r="G1979" t="s">
        <v>26</v>
      </c>
      <c r="H1979" t="s">
        <v>21</v>
      </c>
      <c r="I1979" t="s">
        <v>20</v>
      </c>
      <c r="J1979" t="s">
        <v>20</v>
      </c>
      <c r="K1979" t="s">
        <v>27</v>
      </c>
      <c r="L1979" t="s">
        <v>337</v>
      </c>
      <c r="M1979" t="s">
        <v>214</v>
      </c>
      <c r="N1979">
        <v>38.589474000000003</v>
      </c>
      <c r="O1979">
        <v>-112.25823099999999</v>
      </c>
      <c r="P1979">
        <v>5555.6285280000002</v>
      </c>
      <c r="Q1979">
        <v>1384</v>
      </c>
      <c r="R1979">
        <v>0</v>
      </c>
    </row>
    <row r="1980" spans="1:18" x14ac:dyDescent="0.25">
      <c r="A1980">
        <v>1979</v>
      </c>
      <c r="B1980">
        <v>94</v>
      </c>
      <c r="C1980">
        <v>31663723</v>
      </c>
      <c r="D1980" t="s">
        <v>213</v>
      </c>
      <c r="E1980">
        <v>193.25</v>
      </c>
      <c r="F1980" t="s">
        <v>21</v>
      </c>
      <c r="G1980" t="s">
        <v>20</v>
      </c>
      <c r="H1980" t="s">
        <v>21</v>
      </c>
      <c r="I1980" t="s">
        <v>20</v>
      </c>
      <c r="J1980" t="s">
        <v>20</v>
      </c>
      <c r="K1980" t="s">
        <v>22</v>
      </c>
      <c r="L1980" t="s">
        <v>140</v>
      </c>
      <c r="M1980" t="s">
        <v>159</v>
      </c>
      <c r="N1980">
        <v>39.986274999999999</v>
      </c>
      <c r="O1980">
        <v>-111.364754</v>
      </c>
      <c r="P1980">
        <v>5556.1366090000001</v>
      </c>
      <c r="Q1980">
        <v>1332</v>
      </c>
      <c r="R1980">
        <v>0</v>
      </c>
    </row>
    <row r="1981" spans="1:18" x14ac:dyDescent="0.25">
      <c r="A1981">
        <v>1980</v>
      </c>
      <c r="B1981">
        <v>94</v>
      </c>
      <c r="C1981">
        <v>31666623</v>
      </c>
      <c r="D1981" t="s">
        <v>213</v>
      </c>
      <c r="E1981">
        <v>194.77600000000001</v>
      </c>
      <c r="F1981" t="s">
        <v>21</v>
      </c>
      <c r="G1981" t="s">
        <v>26</v>
      </c>
      <c r="H1981" t="s">
        <v>21</v>
      </c>
      <c r="I1981" t="s">
        <v>20</v>
      </c>
      <c r="J1981" t="s">
        <v>20</v>
      </c>
      <c r="K1981" t="s">
        <v>22</v>
      </c>
      <c r="L1981" t="s">
        <v>140</v>
      </c>
      <c r="M1981" t="s">
        <v>159</v>
      </c>
      <c r="N1981">
        <v>39.974645000000002</v>
      </c>
      <c r="O1981">
        <v>-111.340493</v>
      </c>
      <c r="P1981">
        <v>5638.0756570000003</v>
      </c>
      <c r="Q1981">
        <v>1332</v>
      </c>
      <c r="R1981">
        <v>0</v>
      </c>
    </row>
    <row r="1982" spans="1:18" x14ac:dyDescent="0.25">
      <c r="A1982">
        <v>1981</v>
      </c>
      <c r="B1982">
        <v>94</v>
      </c>
      <c r="C1982">
        <v>31666634</v>
      </c>
      <c r="D1982" t="s">
        <v>213</v>
      </c>
      <c r="E1982">
        <v>194.916</v>
      </c>
      <c r="F1982" t="s">
        <v>21</v>
      </c>
      <c r="G1982" t="s">
        <v>26</v>
      </c>
      <c r="H1982" t="s">
        <v>21</v>
      </c>
      <c r="I1982" t="s">
        <v>20</v>
      </c>
      <c r="J1982" t="s">
        <v>20</v>
      </c>
      <c r="K1982" t="s">
        <v>22</v>
      </c>
      <c r="L1982" t="s">
        <v>140</v>
      </c>
      <c r="M1982" t="s">
        <v>159</v>
      </c>
      <c r="N1982">
        <v>39.973691000000002</v>
      </c>
      <c r="O1982">
        <v>-111.338159</v>
      </c>
      <c r="P1982">
        <v>5640.0973919999997</v>
      </c>
      <c r="Q1982">
        <v>1332</v>
      </c>
      <c r="R1982">
        <v>0</v>
      </c>
    </row>
    <row r="1983" spans="1:18" x14ac:dyDescent="0.25">
      <c r="A1983">
        <v>1982</v>
      </c>
      <c r="B1983">
        <v>94</v>
      </c>
      <c r="C1983">
        <v>28621741</v>
      </c>
      <c r="D1983" t="s">
        <v>192</v>
      </c>
      <c r="E1983">
        <v>2.0009999999999999</v>
      </c>
      <c r="F1983" t="s">
        <v>21</v>
      </c>
      <c r="G1983" t="s">
        <v>26</v>
      </c>
      <c r="H1983" t="s">
        <v>21</v>
      </c>
      <c r="I1983" t="s">
        <v>20</v>
      </c>
      <c r="J1983" t="s">
        <v>20</v>
      </c>
      <c r="K1983" t="s">
        <v>22</v>
      </c>
      <c r="L1983" t="s">
        <v>140</v>
      </c>
      <c r="M1983" t="s">
        <v>125</v>
      </c>
      <c r="N1983">
        <v>40.143777</v>
      </c>
      <c r="O1983">
        <v>-111.730442</v>
      </c>
      <c r="P1983">
        <v>4444.7747849999996</v>
      </c>
      <c r="Q1983">
        <v>1375</v>
      </c>
      <c r="R1983">
        <v>0</v>
      </c>
    </row>
    <row r="1984" spans="1:18" x14ac:dyDescent="0.25">
      <c r="A1984">
        <v>1983</v>
      </c>
      <c r="B1984">
        <v>94</v>
      </c>
      <c r="C1984">
        <v>1005712</v>
      </c>
      <c r="D1984" t="s">
        <v>171</v>
      </c>
      <c r="E1984">
        <v>2.004</v>
      </c>
      <c r="F1984" t="s">
        <v>21</v>
      </c>
      <c r="G1984" t="s">
        <v>26</v>
      </c>
      <c r="H1984" t="s">
        <v>21</v>
      </c>
      <c r="I1984" t="s">
        <v>20</v>
      </c>
      <c r="J1984" t="s">
        <v>20</v>
      </c>
      <c r="K1984" t="s">
        <v>31</v>
      </c>
      <c r="L1984" t="s">
        <v>78</v>
      </c>
      <c r="M1984" t="s">
        <v>79</v>
      </c>
      <c r="N1984">
        <v>40.696522999999999</v>
      </c>
      <c r="O1984">
        <v>-112.053556</v>
      </c>
      <c r="P1984">
        <v>4259.7461949999997</v>
      </c>
      <c r="Q1984">
        <v>346</v>
      </c>
      <c r="R1984">
        <v>0</v>
      </c>
    </row>
    <row r="1985" spans="1:18" x14ac:dyDescent="0.25">
      <c r="A1985">
        <v>1984</v>
      </c>
      <c r="B1985">
        <v>94</v>
      </c>
      <c r="C1985" t="e">
        <f>-IpZWWePIQqRKmyL69zA1k</f>
        <v>#NAME?</v>
      </c>
      <c r="D1985" t="s">
        <v>272</v>
      </c>
      <c r="E1985">
        <v>498.51100000000002</v>
      </c>
      <c r="F1985" t="s">
        <v>21</v>
      </c>
      <c r="G1985" t="s">
        <v>26</v>
      </c>
      <c r="H1985" t="s">
        <v>19</v>
      </c>
      <c r="I1985">
        <v>30</v>
      </c>
      <c r="J1985" t="s">
        <v>20</v>
      </c>
      <c r="K1985" t="s">
        <v>41</v>
      </c>
      <c r="L1985" t="s">
        <v>325</v>
      </c>
      <c r="M1985" t="s">
        <v>152</v>
      </c>
      <c r="N1985">
        <v>41.946652999999998</v>
      </c>
      <c r="O1985">
        <v>-111.393422</v>
      </c>
      <c r="P1985">
        <v>5914.1101179999996</v>
      </c>
      <c r="Q1985">
        <v>1384</v>
      </c>
      <c r="R1985">
        <v>0</v>
      </c>
    </row>
    <row r="1986" spans="1:18" x14ac:dyDescent="0.25">
      <c r="A1986">
        <v>1985</v>
      </c>
      <c r="B1986">
        <v>94</v>
      </c>
      <c r="C1986" t="e">
        <f>-IpZX2IaIqyRODbhqUc7-k</f>
        <v>#NAME?</v>
      </c>
      <c r="D1986" t="s">
        <v>272</v>
      </c>
      <c r="E1986">
        <v>498.59699999999998</v>
      </c>
      <c r="F1986" t="s">
        <v>21</v>
      </c>
      <c r="G1986" t="s">
        <v>26</v>
      </c>
      <c r="H1986" t="s">
        <v>21</v>
      </c>
      <c r="I1986" t="s">
        <v>20</v>
      </c>
      <c r="J1986" t="s">
        <v>20</v>
      </c>
      <c r="K1986" t="s">
        <v>41</v>
      </c>
      <c r="L1986" t="s">
        <v>325</v>
      </c>
      <c r="M1986" t="s">
        <v>152</v>
      </c>
      <c r="N1986">
        <v>41.947885999999997</v>
      </c>
      <c r="O1986">
        <v>-111.393351</v>
      </c>
      <c r="P1986">
        <v>5916.0948390000003</v>
      </c>
      <c r="Q1986">
        <v>1384</v>
      </c>
      <c r="R1986">
        <v>0</v>
      </c>
    </row>
    <row r="1987" spans="1:18" x14ac:dyDescent="0.25">
      <c r="A1987">
        <v>1986</v>
      </c>
      <c r="B1987">
        <v>94</v>
      </c>
      <c r="C1987">
        <v>31587307</v>
      </c>
      <c r="D1987" t="s">
        <v>213</v>
      </c>
      <c r="E1987">
        <v>154.77000000000001</v>
      </c>
      <c r="F1987" t="s">
        <v>21</v>
      </c>
      <c r="G1987" t="s">
        <v>26</v>
      </c>
      <c r="H1987" t="s">
        <v>21</v>
      </c>
      <c r="I1987" t="s">
        <v>20</v>
      </c>
      <c r="J1987" t="s">
        <v>20</v>
      </c>
      <c r="K1987" t="s">
        <v>22</v>
      </c>
      <c r="L1987" t="s">
        <v>198</v>
      </c>
      <c r="M1987" t="s">
        <v>214</v>
      </c>
      <c r="N1987">
        <v>39.960569</v>
      </c>
      <c r="O1987">
        <v>-111.866088</v>
      </c>
      <c r="P1987">
        <v>4465.4851209999997</v>
      </c>
      <c r="Q1987">
        <v>1332</v>
      </c>
      <c r="R1987">
        <v>0</v>
      </c>
    </row>
    <row r="1988" spans="1:18" x14ac:dyDescent="0.25">
      <c r="A1988">
        <v>1987</v>
      </c>
      <c r="B1988">
        <v>94</v>
      </c>
      <c r="C1988">
        <v>31544195</v>
      </c>
      <c r="D1988" t="s">
        <v>320</v>
      </c>
      <c r="E1988">
        <v>154.81</v>
      </c>
      <c r="F1988" t="s">
        <v>21</v>
      </c>
      <c r="G1988" t="s">
        <v>26</v>
      </c>
      <c r="H1988" t="s">
        <v>19</v>
      </c>
      <c r="I1988">
        <v>260</v>
      </c>
      <c r="J1988" t="s">
        <v>20</v>
      </c>
      <c r="K1988" t="s">
        <v>27</v>
      </c>
      <c r="L1988" t="s">
        <v>183</v>
      </c>
      <c r="M1988" t="s">
        <v>76</v>
      </c>
      <c r="N1988">
        <v>38.959893000000001</v>
      </c>
      <c r="O1988">
        <v>-111.92700499999999</v>
      </c>
      <c r="P1988">
        <v>5279.2046280000004</v>
      </c>
      <c r="Q1988">
        <v>1356</v>
      </c>
      <c r="R1988">
        <v>0</v>
      </c>
    </row>
    <row r="1989" spans="1:18" x14ac:dyDescent="0.25">
      <c r="A1989">
        <v>1988</v>
      </c>
      <c r="B1989">
        <v>94</v>
      </c>
      <c r="C1989" t="e">
        <f>-IoI-pKaH89vq-yp1Hfk5V</f>
        <v>#NAME?</v>
      </c>
      <c r="D1989" t="s">
        <v>272</v>
      </c>
      <c r="E1989">
        <v>155.18199999999999</v>
      </c>
      <c r="F1989" t="s">
        <v>21</v>
      </c>
      <c r="G1989" t="s">
        <v>20</v>
      </c>
      <c r="H1989" t="s">
        <v>21</v>
      </c>
      <c r="I1989" t="s">
        <v>20</v>
      </c>
      <c r="J1989" t="s">
        <v>20</v>
      </c>
      <c r="K1989" t="s">
        <v>27</v>
      </c>
      <c r="L1989" t="s">
        <v>64</v>
      </c>
      <c r="M1989" t="s">
        <v>214</v>
      </c>
      <c r="N1989">
        <v>38.141311000000002</v>
      </c>
      <c r="O1989">
        <v>-112.30875899999999</v>
      </c>
      <c r="P1989">
        <v>6090.4792040000002</v>
      </c>
      <c r="Q1989">
        <v>1384</v>
      </c>
      <c r="R1989">
        <v>0</v>
      </c>
    </row>
    <row r="1990" spans="1:18" x14ac:dyDescent="0.25">
      <c r="A1990">
        <v>1989</v>
      </c>
      <c r="B1990">
        <v>94</v>
      </c>
      <c r="C1990">
        <v>31869526</v>
      </c>
      <c r="D1990" t="s">
        <v>118</v>
      </c>
      <c r="E1990">
        <v>155.267</v>
      </c>
      <c r="F1990" t="s">
        <v>21</v>
      </c>
      <c r="G1990" t="s">
        <v>20</v>
      </c>
      <c r="H1990" t="s">
        <v>21</v>
      </c>
      <c r="I1990" t="s">
        <v>20</v>
      </c>
      <c r="J1990" t="s">
        <v>20</v>
      </c>
      <c r="K1990" t="s">
        <v>22</v>
      </c>
      <c r="L1990" t="s">
        <v>234</v>
      </c>
      <c r="M1990" t="s">
        <v>169</v>
      </c>
      <c r="N1990">
        <v>40.369329999999998</v>
      </c>
      <c r="O1990">
        <v>-109.380595</v>
      </c>
      <c r="P1990">
        <v>4778.6668129999998</v>
      </c>
      <c r="Q1990">
        <v>310</v>
      </c>
      <c r="R1990">
        <v>0</v>
      </c>
    </row>
    <row r="1991" spans="1:18" x14ac:dyDescent="0.25">
      <c r="A1991">
        <v>1990</v>
      </c>
      <c r="B1991">
        <v>94</v>
      </c>
      <c r="C1991">
        <v>31869537</v>
      </c>
      <c r="D1991" t="s">
        <v>118</v>
      </c>
      <c r="E1991">
        <v>155.34299999999999</v>
      </c>
      <c r="F1991" t="s">
        <v>21</v>
      </c>
      <c r="G1991" t="s">
        <v>26</v>
      </c>
      <c r="H1991" t="s">
        <v>21</v>
      </c>
      <c r="I1991" t="s">
        <v>20</v>
      </c>
      <c r="J1991" t="s">
        <v>20</v>
      </c>
      <c r="K1991" t="s">
        <v>22</v>
      </c>
      <c r="L1991" t="s">
        <v>234</v>
      </c>
      <c r="M1991" t="s">
        <v>169</v>
      </c>
      <c r="N1991">
        <v>40.369345000000003</v>
      </c>
      <c r="O1991">
        <v>-109.379148</v>
      </c>
      <c r="P1991">
        <v>4775.8917579999998</v>
      </c>
      <c r="Q1991">
        <v>310</v>
      </c>
      <c r="R1991">
        <v>0</v>
      </c>
    </row>
    <row r="1992" spans="1:18" x14ac:dyDescent="0.25">
      <c r="A1992">
        <v>1991</v>
      </c>
      <c r="B1992">
        <v>94</v>
      </c>
      <c r="C1992">
        <v>31492498</v>
      </c>
      <c r="D1992" t="s">
        <v>288</v>
      </c>
      <c r="E1992">
        <v>155.42599999999999</v>
      </c>
      <c r="F1992" t="s">
        <v>21</v>
      </c>
      <c r="G1992" t="s">
        <v>20</v>
      </c>
      <c r="H1992" t="s">
        <v>21</v>
      </c>
      <c r="I1992" t="s">
        <v>20</v>
      </c>
      <c r="J1992" t="s">
        <v>20</v>
      </c>
      <c r="K1992" t="s">
        <v>27</v>
      </c>
      <c r="L1992" t="s">
        <v>38</v>
      </c>
      <c r="M1992" t="s">
        <v>152</v>
      </c>
      <c r="N1992">
        <v>38.917437</v>
      </c>
      <c r="O1992">
        <v>-109.815062</v>
      </c>
      <c r="P1992">
        <v>4707.6564449999996</v>
      </c>
      <c r="Q1992">
        <v>350</v>
      </c>
      <c r="R1992">
        <v>0</v>
      </c>
    </row>
    <row r="1993" spans="1:18" x14ac:dyDescent="0.25">
      <c r="A1993">
        <v>1992</v>
      </c>
      <c r="B1993">
        <v>94</v>
      </c>
      <c r="C1993" t="s">
        <v>474</v>
      </c>
      <c r="D1993" t="s">
        <v>412</v>
      </c>
      <c r="E1993">
        <v>19.256</v>
      </c>
      <c r="F1993" t="s">
        <v>21</v>
      </c>
      <c r="G1993" t="s">
        <v>26</v>
      </c>
      <c r="H1993" t="s">
        <v>21</v>
      </c>
      <c r="I1993" t="s">
        <v>20</v>
      </c>
      <c r="J1993" t="s">
        <v>20</v>
      </c>
      <c r="K1993" t="s">
        <v>27</v>
      </c>
      <c r="L1993" t="s">
        <v>173</v>
      </c>
      <c r="M1993" t="s">
        <v>267</v>
      </c>
      <c r="N1993">
        <v>39.499090000000002</v>
      </c>
      <c r="O1993">
        <v>-112.268974</v>
      </c>
      <c r="P1993">
        <v>4845.4409260000002</v>
      </c>
      <c r="Q1993">
        <v>1408</v>
      </c>
      <c r="R1993">
        <v>0</v>
      </c>
    </row>
    <row r="1994" spans="1:18" x14ac:dyDescent="0.25">
      <c r="A1994">
        <v>1993</v>
      </c>
      <c r="B1994">
        <v>94</v>
      </c>
      <c r="C1994">
        <v>31504965</v>
      </c>
      <c r="D1994" t="s">
        <v>317</v>
      </c>
      <c r="E1994">
        <v>19.257000000000001</v>
      </c>
      <c r="F1994" t="s">
        <v>21</v>
      </c>
      <c r="G1994" t="s">
        <v>26</v>
      </c>
      <c r="H1994" t="s">
        <v>21</v>
      </c>
      <c r="I1994" t="s">
        <v>20</v>
      </c>
      <c r="J1994" t="s">
        <v>20</v>
      </c>
      <c r="K1994" t="s">
        <v>27</v>
      </c>
      <c r="L1994" t="s">
        <v>211</v>
      </c>
      <c r="M1994" t="s">
        <v>212</v>
      </c>
      <c r="N1994">
        <v>37.133266999999996</v>
      </c>
      <c r="O1994">
        <v>-109.887568</v>
      </c>
      <c r="P1994">
        <v>4288.6918750000004</v>
      </c>
      <c r="Q1994">
        <v>1432</v>
      </c>
      <c r="R1994">
        <v>0</v>
      </c>
    </row>
    <row r="1995" spans="1:18" x14ac:dyDescent="0.25">
      <c r="A1995">
        <v>1994</v>
      </c>
      <c r="B1995">
        <v>94</v>
      </c>
      <c r="C1995">
        <v>31770545</v>
      </c>
      <c r="D1995" t="s">
        <v>353</v>
      </c>
      <c r="E1995">
        <v>26.803000000000001</v>
      </c>
      <c r="F1995" t="s">
        <v>21</v>
      </c>
      <c r="G1995" t="s">
        <v>26</v>
      </c>
      <c r="H1995" t="s">
        <v>21</v>
      </c>
      <c r="I1995" t="s">
        <v>20</v>
      </c>
      <c r="J1995" t="s">
        <v>20</v>
      </c>
      <c r="K1995" t="s">
        <v>31</v>
      </c>
      <c r="L1995" t="s">
        <v>433</v>
      </c>
      <c r="M1995" t="s">
        <v>138</v>
      </c>
      <c r="N1995">
        <v>41.016117000000001</v>
      </c>
      <c r="O1995">
        <v>-111.51123699999999</v>
      </c>
      <c r="P1995">
        <v>5305.6600340000005</v>
      </c>
      <c r="Q1995">
        <v>1367</v>
      </c>
      <c r="R1995">
        <v>0</v>
      </c>
    </row>
    <row r="1996" spans="1:18" x14ac:dyDescent="0.25">
      <c r="A1996">
        <v>1995</v>
      </c>
      <c r="B1996">
        <v>94</v>
      </c>
      <c r="C1996">
        <v>31309147</v>
      </c>
      <c r="D1996" t="s">
        <v>116</v>
      </c>
      <c r="E1996">
        <v>26.812999999999999</v>
      </c>
      <c r="F1996" t="s">
        <v>21</v>
      </c>
      <c r="G1996" t="s">
        <v>20</v>
      </c>
      <c r="H1996" t="s">
        <v>21</v>
      </c>
      <c r="I1996" t="s">
        <v>20</v>
      </c>
      <c r="J1996" t="s">
        <v>20</v>
      </c>
      <c r="K1996" t="s">
        <v>41</v>
      </c>
      <c r="L1996" t="s">
        <v>95</v>
      </c>
      <c r="M1996" t="s">
        <v>43</v>
      </c>
      <c r="N1996">
        <v>41.734175999999998</v>
      </c>
      <c r="O1996">
        <v>-111.83492</v>
      </c>
      <c r="P1996">
        <v>4481.0802210000002</v>
      </c>
      <c r="Q1996">
        <v>324</v>
      </c>
      <c r="R1996">
        <v>0</v>
      </c>
    </row>
    <row r="1997" spans="1:18" x14ac:dyDescent="0.25">
      <c r="A1997">
        <v>1996</v>
      </c>
      <c r="B1997">
        <v>94</v>
      </c>
      <c r="C1997">
        <v>27866317</v>
      </c>
      <c r="D1997" t="s">
        <v>91</v>
      </c>
      <c r="E1997">
        <v>2.3820000000000001</v>
      </c>
      <c r="F1997" t="s">
        <v>21</v>
      </c>
      <c r="G1997" t="s">
        <v>26</v>
      </c>
      <c r="H1997" t="s">
        <v>21</v>
      </c>
      <c r="I1997" t="s">
        <v>20</v>
      </c>
      <c r="J1997" t="s">
        <v>20</v>
      </c>
      <c r="K1997" t="s">
        <v>41</v>
      </c>
      <c r="L1997" t="s">
        <v>42</v>
      </c>
      <c r="M1997" t="s">
        <v>73</v>
      </c>
      <c r="N1997">
        <v>41.648710999999999</v>
      </c>
      <c r="O1997">
        <v>-111.936798</v>
      </c>
      <c r="P1997">
        <v>4498.5339309999999</v>
      </c>
      <c r="Q1997">
        <v>1339</v>
      </c>
      <c r="R1997">
        <v>0</v>
      </c>
    </row>
    <row r="1998" spans="1:18" x14ac:dyDescent="0.25">
      <c r="A1998">
        <v>1997</v>
      </c>
      <c r="B1998">
        <v>94</v>
      </c>
      <c r="C1998">
        <v>31556252</v>
      </c>
      <c r="D1998" t="s">
        <v>102</v>
      </c>
      <c r="E1998">
        <v>2.3820000000000001</v>
      </c>
      <c r="F1998" t="s">
        <v>21</v>
      </c>
      <c r="G1998" t="s">
        <v>26</v>
      </c>
      <c r="H1998" t="s">
        <v>21</v>
      </c>
      <c r="I1998" t="s">
        <v>20</v>
      </c>
      <c r="J1998" t="s">
        <v>20</v>
      </c>
      <c r="K1998" t="s">
        <v>27</v>
      </c>
      <c r="L1998" t="s">
        <v>103</v>
      </c>
      <c r="M1998" t="s">
        <v>104</v>
      </c>
      <c r="N1998">
        <v>38.279620000000001</v>
      </c>
      <c r="O1998">
        <v>-112.64131</v>
      </c>
      <c r="P1998">
        <v>5843.9787470000001</v>
      </c>
      <c r="Q1998">
        <v>1430</v>
      </c>
      <c r="R1998">
        <v>0</v>
      </c>
    </row>
    <row r="1999" spans="1:18" x14ac:dyDescent="0.25">
      <c r="A1999">
        <v>1998</v>
      </c>
      <c r="B1999">
        <v>94</v>
      </c>
      <c r="C1999">
        <v>31565393</v>
      </c>
      <c r="D1999" t="s">
        <v>80</v>
      </c>
      <c r="E1999">
        <v>2.3849999999999998</v>
      </c>
      <c r="F1999" t="s">
        <v>21</v>
      </c>
      <c r="G1999" t="s">
        <v>26</v>
      </c>
      <c r="H1999" t="s">
        <v>21</v>
      </c>
      <c r="I1999" t="s">
        <v>20</v>
      </c>
      <c r="J1999" t="s">
        <v>20</v>
      </c>
      <c r="K1999" t="s">
        <v>41</v>
      </c>
      <c r="L1999" t="s">
        <v>81</v>
      </c>
      <c r="M1999" t="s">
        <v>82</v>
      </c>
      <c r="N1999">
        <v>41.229159000000003</v>
      </c>
      <c r="O1999">
        <v>-111.98079799999999</v>
      </c>
      <c r="P1999">
        <v>4233.9980919999998</v>
      </c>
      <c r="Q1999">
        <v>1393</v>
      </c>
      <c r="R1999">
        <v>0</v>
      </c>
    </row>
    <row r="2000" spans="1:18" x14ac:dyDescent="0.25">
      <c r="A2000">
        <v>1999</v>
      </c>
      <c r="B2000">
        <v>94</v>
      </c>
      <c r="C2000">
        <v>31291912</v>
      </c>
      <c r="D2000" t="s">
        <v>203</v>
      </c>
      <c r="E2000">
        <v>2.387</v>
      </c>
      <c r="F2000" t="s">
        <v>21</v>
      </c>
      <c r="G2000" t="s">
        <v>26</v>
      </c>
      <c r="H2000" t="s">
        <v>21</v>
      </c>
      <c r="I2000" t="s">
        <v>20</v>
      </c>
      <c r="J2000" t="s">
        <v>20</v>
      </c>
      <c r="K2000" t="s">
        <v>41</v>
      </c>
      <c r="L2000" t="s">
        <v>57</v>
      </c>
      <c r="M2000" t="s">
        <v>204</v>
      </c>
      <c r="N2000">
        <v>41.244450000000001</v>
      </c>
      <c r="O2000">
        <v>-112.04698999999999</v>
      </c>
      <c r="P2000">
        <v>4200.9057750000002</v>
      </c>
      <c r="Q2000">
        <v>1349</v>
      </c>
      <c r="R2000">
        <v>0</v>
      </c>
    </row>
    <row r="2001" spans="1:18" x14ac:dyDescent="0.25">
      <c r="A2001">
        <v>2000</v>
      </c>
      <c r="B2001">
        <v>94</v>
      </c>
      <c r="C2001">
        <v>522520</v>
      </c>
      <c r="D2001" t="s">
        <v>44</v>
      </c>
      <c r="E2001">
        <v>2.3889999999999998</v>
      </c>
      <c r="F2001" t="s">
        <v>21</v>
      </c>
      <c r="G2001" t="s">
        <v>26</v>
      </c>
      <c r="H2001" t="s">
        <v>21</v>
      </c>
      <c r="I2001" t="s">
        <v>20</v>
      </c>
      <c r="J2001" t="s">
        <v>20</v>
      </c>
      <c r="K2001" t="s">
        <v>41</v>
      </c>
      <c r="L2001" t="s">
        <v>45</v>
      </c>
      <c r="M2001" t="s">
        <v>46</v>
      </c>
      <c r="N2001">
        <v>40.912019000000001</v>
      </c>
      <c r="O2001">
        <v>-111.878979</v>
      </c>
      <c r="P2001">
        <v>4235.6220069999999</v>
      </c>
      <c r="Q2001">
        <v>1395</v>
      </c>
      <c r="R2001">
        <v>0</v>
      </c>
    </row>
    <row r="2002" spans="1:18" x14ac:dyDescent="0.25">
      <c r="A2002">
        <v>2001</v>
      </c>
      <c r="B2002">
        <v>94</v>
      </c>
      <c r="C2002">
        <v>511530</v>
      </c>
      <c r="D2002" t="s">
        <v>434</v>
      </c>
      <c r="E2002">
        <v>2.3889999999999998</v>
      </c>
      <c r="F2002" t="s">
        <v>19</v>
      </c>
      <c r="G2002" t="s">
        <v>20</v>
      </c>
      <c r="H2002" t="s">
        <v>21</v>
      </c>
      <c r="I2002" t="s">
        <v>20</v>
      </c>
      <c r="J2002" t="s">
        <v>20</v>
      </c>
      <c r="K2002" t="s">
        <v>31</v>
      </c>
      <c r="L2002" t="s">
        <v>32</v>
      </c>
      <c r="M2002" t="s">
        <v>70</v>
      </c>
      <c r="N2002">
        <v>40.640692999999999</v>
      </c>
      <c r="O2002">
        <v>-111.836365</v>
      </c>
      <c r="P2002">
        <v>4377.0659230000001</v>
      </c>
      <c r="Q2002">
        <v>1424</v>
      </c>
      <c r="R2002">
        <v>0</v>
      </c>
    </row>
    <row r="2003" spans="1:18" x14ac:dyDescent="0.25">
      <c r="A2003">
        <v>2002</v>
      </c>
      <c r="B2003">
        <v>94</v>
      </c>
      <c r="C2003">
        <v>554964</v>
      </c>
      <c r="D2003" t="s">
        <v>115</v>
      </c>
      <c r="E2003">
        <v>2.39</v>
      </c>
      <c r="F2003" t="s">
        <v>21</v>
      </c>
      <c r="G2003" t="s">
        <v>26</v>
      </c>
      <c r="H2003" t="s">
        <v>21</v>
      </c>
      <c r="I2003" t="s">
        <v>20</v>
      </c>
      <c r="J2003" t="s">
        <v>20</v>
      </c>
      <c r="K2003" t="s">
        <v>31</v>
      </c>
      <c r="L2003" t="s">
        <v>48</v>
      </c>
      <c r="M2003" t="s">
        <v>70</v>
      </c>
      <c r="N2003">
        <v>40.653064999999998</v>
      </c>
      <c r="O2003">
        <v>-112.031443</v>
      </c>
      <c r="P2003">
        <v>4794.5574809999998</v>
      </c>
      <c r="Q2003">
        <v>1437</v>
      </c>
      <c r="R2003">
        <v>0</v>
      </c>
    </row>
    <row r="2004" spans="1:18" x14ac:dyDescent="0.25">
      <c r="A2004">
        <v>2003</v>
      </c>
      <c r="B2004">
        <v>94</v>
      </c>
      <c r="C2004" t="s">
        <v>475</v>
      </c>
      <c r="D2004" t="s">
        <v>258</v>
      </c>
      <c r="E2004">
        <v>2.391</v>
      </c>
      <c r="F2004" t="s">
        <v>21</v>
      </c>
      <c r="G2004" t="s">
        <v>20</v>
      </c>
      <c r="H2004" t="s">
        <v>21</v>
      </c>
      <c r="I2004" t="s">
        <v>20</v>
      </c>
      <c r="J2004" t="s">
        <v>20</v>
      </c>
      <c r="K2004" t="s">
        <v>27</v>
      </c>
      <c r="L2004" t="s">
        <v>259</v>
      </c>
      <c r="M2004" t="s">
        <v>29</v>
      </c>
      <c r="N2004">
        <v>37.034931</v>
      </c>
      <c r="O2004">
        <v>-112.52479200000001</v>
      </c>
      <c r="P2004">
        <v>4843.4627950000004</v>
      </c>
      <c r="Q2004">
        <v>301</v>
      </c>
      <c r="R2004">
        <v>0</v>
      </c>
    </row>
    <row r="2005" spans="1:18" x14ac:dyDescent="0.25">
      <c r="A2005">
        <v>2004</v>
      </c>
      <c r="B2005">
        <v>94</v>
      </c>
      <c r="C2005">
        <v>31727745</v>
      </c>
      <c r="D2005" t="s">
        <v>290</v>
      </c>
      <c r="E2005">
        <v>2.391</v>
      </c>
      <c r="F2005" t="s">
        <v>21</v>
      </c>
      <c r="G2005" t="s">
        <v>20</v>
      </c>
      <c r="H2005" t="s">
        <v>21</v>
      </c>
      <c r="I2005" t="s">
        <v>20</v>
      </c>
      <c r="J2005" t="s">
        <v>20</v>
      </c>
      <c r="K2005" t="s">
        <v>41</v>
      </c>
      <c r="L2005" t="s">
        <v>291</v>
      </c>
      <c r="M2005" t="s">
        <v>238</v>
      </c>
      <c r="N2005">
        <v>41.379752000000003</v>
      </c>
      <c r="O2005">
        <v>-113.997185</v>
      </c>
      <c r="P2005">
        <v>4585.2090900000003</v>
      </c>
      <c r="Q2005">
        <v>1343</v>
      </c>
      <c r="R2005">
        <v>0</v>
      </c>
    </row>
    <row r="2006" spans="1:18" x14ac:dyDescent="0.25">
      <c r="A2006">
        <v>2005</v>
      </c>
      <c r="B2006">
        <v>94</v>
      </c>
      <c r="C2006">
        <v>27159658</v>
      </c>
      <c r="D2006" t="s">
        <v>351</v>
      </c>
      <c r="E2006">
        <v>2.3969999999999998</v>
      </c>
      <c r="F2006" t="s">
        <v>21</v>
      </c>
      <c r="G2006" t="s">
        <v>26</v>
      </c>
      <c r="H2006" t="s">
        <v>21</v>
      </c>
      <c r="I2006" t="s">
        <v>20</v>
      </c>
      <c r="J2006" t="s">
        <v>20</v>
      </c>
      <c r="K2006" t="s">
        <v>22</v>
      </c>
      <c r="L2006" t="s">
        <v>140</v>
      </c>
      <c r="M2006" t="s">
        <v>125</v>
      </c>
      <c r="N2006">
        <v>40.144764000000002</v>
      </c>
      <c r="O2006">
        <v>-111.61149899999999</v>
      </c>
      <c r="P2006">
        <v>4536.5515699999996</v>
      </c>
      <c r="Q2006">
        <v>1357</v>
      </c>
      <c r="R2006">
        <v>0</v>
      </c>
    </row>
    <row r="2007" spans="1:18" x14ac:dyDescent="0.25">
      <c r="A2007">
        <v>2006</v>
      </c>
      <c r="B2007">
        <v>94</v>
      </c>
      <c r="C2007">
        <v>31491054</v>
      </c>
      <c r="D2007" t="s">
        <v>353</v>
      </c>
      <c r="E2007">
        <v>2.3980000000000001</v>
      </c>
      <c r="F2007" t="s">
        <v>21</v>
      </c>
      <c r="G2007" t="s">
        <v>26</v>
      </c>
      <c r="H2007" t="s">
        <v>21</v>
      </c>
      <c r="I2007" t="s">
        <v>20</v>
      </c>
      <c r="J2007" t="s">
        <v>20</v>
      </c>
      <c r="K2007" t="s">
        <v>31</v>
      </c>
      <c r="L2007" t="s">
        <v>188</v>
      </c>
      <c r="M2007" t="s">
        <v>138</v>
      </c>
      <c r="N2007">
        <v>40.778314999999999</v>
      </c>
      <c r="O2007">
        <v>-111.70001000000001</v>
      </c>
      <c r="P2007">
        <v>5905.2332329999999</v>
      </c>
      <c r="Q2007">
        <v>1367</v>
      </c>
      <c r="R2007">
        <v>0</v>
      </c>
    </row>
    <row r="2008" spans="1:18" x14ac:dyDescent="0.25">
      <c r="A2008">
        <v>2007</v>
      </c>
      <c r="B2008">
        <v>94</v>
      </c>
      <c r="C2008">
        <v>1681353</v>
      </c>
      <c r="D2008" t="s">
        <v>180</v>
      </c>
      <c r="E2008">
        <v>2.4020000000000001</v>
      </c>
      <c r="F2008" t="s">
        <v>21</v>
      </c>
      <c r="G2008" t="s">
        <v>20</v>
      </c>
      <c r="H2008" t="s">
        <v>21</v>
      </c>
      <c r="I2008" t="s">
        <v>20</v>
      </c>
      <c r="J2008" t="s">
        <v>20</v>
      </c>
      <c r="K2008" t="s">
        <v>41</v>
      </c>
      <c r="L2008" t="s">
        <v>181</v>
      </c>
      <c r="M2008" t="s">
        <v>117</v>
      </c>
      <c r="N2008">
        <v>41.741323000000001</v>
      </c>
      <c r="O2008">
        <v>-112.154678</v>
      </c>
      <c r="P2008">
        <v>4284.83374</v>
      </c>
      <c r="Q2008">
        <v>1379</v>
      </c>
      <c r="R2008">
        <v>0</v>
      </c>
    </row>
    <row r="2009" spans="1:18" x14ac:dyDescent="0.25">
      <c r="A2009">
        <v>2008</v>
      </c>
      <c r="B2009">
        <v>94</v>
      </c>
      <c r="C2009">
        <v>1103037</v>
      </c>
      <c r="D2009" t="s">
        <v>195</v>
      </c>
      <c r="E2009">
        <v>2.4020000000000001</v>
      </c>
      <c r="F2009" t="s">
        <v>21</v>
      </c>
      <c r="G2009" t="s">
        <v>26</v>
      </c>
      <c r="H2009" t="s">
        <v>21</v>
      </c>
      <c r="I2009" t="s">
        <v>20</v>
      </c>
      <c r="J2009" t="s">
        <v>20</v>
      </c>
      <c r="K2009" t="s">
        <v>41</v>
      </c>
      <c r="L2009" t="s">
        <v>57</v>
      </c>
      <c r="M2009" t="s">
        <v>190</v>
      </c>
      <c r="N2009">
        <v>41.089185999999998</v>
      </c>
      <c r="O2009">
        <v>-112.06661</v>
      </c>
      <c r="P2009">
        <v>4223.1981809999997</v>
      </c>
      <c r="Q2009">
        <v>334</v>
      </c>
      <c r="R2009">
        <v>0</v>
      </c>
    </row>
    <row r="2010" spans="1:18" x14ac:dyDescent="0.25">
      <c r="A2010">
        <v>2009</v>
      </c>
      <c r="B2010">
        <v>94</v>
      </c>
      <c r="C2010" t="e">
        <f>-JLjL82qH4apwoFbzmQzGF</f>
        <v>#NAME?</v>
      </c>
      <c r="D2010" t="s">
        <v>59</v>
      </c>
      <c r="E2010">
        <v>2.403</v>
      </c>
      <c r="F2010" t="s">
        <v>21</v>
      </c>
      <c r="G2010" t="s">
        <v>26</v>
      </c>
      <c r="H2010" t="s">
        <v>21</v>
      </c>
      <c r="I2010" t="s">
        <v>20</v>
      </c>
      <c r="J2010" t="s">
        <v>20</v>
      </c>
      <c r="K2010" t="s">
        <v>22</v>
      </c>
      <c r="L2010" t="s">
        <v>60</v>
      </c>
      <c r="M2010" t="s">
        <v>24</v>
      </c>
      <c r="N2010">
        <v>40.312057000000003</v>
      </c>
      <c r="O2010">
        <v>-111.689229</v>
      </c>
      <c r="P2010">
        <v>4747.5181030000003</v>
      </c>
      <c r="Q2010">
        <v>313</v>
      </c>
      <c r="R2010">
        <v>0</v>
      </c>
    </row>
    <row r="2011" spans="1:18" x14ac:dyDescent="0.25">
      <c r="A2011">
        <v>2010</v>
      </c>
      <c r="B2011">
        <v>94</v>
      </c>
      <c r="C2011">
        <v>31323267</v>
      </c>
      <c r="D2011" t="s">
        <v>160</v>
      </c>
      <c r="E2011">
        <v>2.4039999999999999</v>
      </c>
      <c r="F2011" t="s">
        <v>21</v>
      </c>
      <c r="G2011" t="s">
        <v>20</v>
      </c>
      <c r="H2011" t="s">
        <v>21</v>
      </c>
      <c r="I2011" t="s">
        <v>20</v>
      </c>
      <c r="J2011" t="s">
        <v>20</v>
      </c>
      <c r="K2011" t="s">
        <v>27</v>
      </c>
      <c r="L2011" t="s">
        <v>72</v>
      </c>
      <c r="M2011" t="s">
        <v>73</v>
      </c>
      <c r="N2011">
        <v>37.242533000000002</v>
      </c>
      <c r="O2011">
        <v>-113.282354</v>
      </c>
      <c r="P2011">
        <v>3275.2429609999999</v>
      </c>
      <c r="Q2011">
        <v>1335</v>
      </c>
      <c r="R2011">
        <v>0</v>
      </c>
    </row>
    <row r="2012" spans="1:18" x14ac:dyDescent="0.25">
      <c r="A2012">
        <v>2011</v>
      </c>
      <c r="B2012">
        <v>94</v>
      </c>
      <c r="C2012">
        <v>31407662</v>
      </c>
      <c r="D2012" t="s">
        <v>74</v>
      </c>
      <c r="E2012">
        <v>2.4049999999999998</v>
      </c>
      <c r="F2012" t="s">
        <v>21</v>
      </c>
      <c r="G2012" t="s">
        <v>26</v>
      </c>
      <c r="H2012" t="s">
        <v>21</v>
      </c>
      <c r="I2012" t="s">
        <v>20</v>
      </c>
      <c r="J2012" t="s">
        <v>20</v>
      </c>
      <c r="K2012" t="s">
        <v>27</v>
      </c>
      <c r="L2012" t="s">
        <v>75</v>
      </c>
      <c r="M2012" t="s">
        <v>76</v>
      </c>
      <c r="N2012">
        <v>38.769477999999999</v>
      </c>
      <c r="O2012">
        <v>-112.084772</v>
      </c>
      <c r="P2012">
        <v>5275.9006529999997</v>
      </c>
      <c r="Q2012">
        <v>332</v>
      </c>
      <c r="R2012">
        <v>0</v>
      </c>
    </row>
    <row r="2013" spans="1:18" x14ac:dyDescent="0.25">
      <c r="A2013">
        <v>2012</v>
      </c>
      <c r="B2013">
        <v>94</v>
      </c>
      <c r="C2013">
        <v>31391554</v>
      </c>
      <c r="D2013" t="s">
        <v>124</v>
      </c>
      <c r="E2013">
        <v>15.613</v>
      </c>
      <c r="F2013" t="s">
        <v>21</v>
      </c>
      <c r="G2013" t="s">
        <v>26</v>
      </c>
      <c r="H2013" t="s">
        <v>21</v>
      </c>
      <c r="I2013" t="s">
        <v>20</v>
      </c>
      <c r="J2013" t="s">
        <v>20</v>
      </c>
      <c r="K2013" t="s">
        <v>22</v>
      </c>
      <c r="L2013" t="s">
        <v>193</v>
      </c>
      <c r="M2013" t="s">
        <v>194</v>
      </c>
      <c r="N2013">
        <v>40.170751000000003</v>
      </c>
      <c r="O2013">
        <v>-111.934793</v>
      </c>
      <c r="P2013">
        <v>4593.9246880000001</v>
      </c>
      <c r="Q2013">
        <v>1368</v>
      </c>
      <c r="R2013">
        <v>0</v>
      </c>
    </row>
    <row r="2014" spans="1:18" x14ac:dyDescent="0.25">
      <c r="A2014">
        <v>2013</v>
      </c>
      <c r="B2014">
        <v>94</v>
      </c>
      <c r="C2014">
        <v>28154298</v>
      </c>
      <c r="D2014" t="s">
        <v>239</v>
      </c>
      <c r="E2014">
        <v>15.614000000000001</v>
      </c>
      <c r="F2014" t="s">
        <v>21</v>
      </c>
      <c r="G2014" t="s">
        <v>26</v>
      </c>
      <c r="H2014" t="s">
        <v>21</v>
      </c>
      <c r="I2014" t="s">
        <v>20</v>
      </c>
      <c r="J2014" t="s">
        <v>20</v>
      </c>
      <c r="K2014" t="s">
        <v>41</v>
      </c>
      <c r="L2014" t="s">
        <v>181</v>
      </c>
      <c r="M2014" t="s">
        <v>178</v>
      </c>
      <c r="N2014">
        <v>41.711382</v>
      </c>
      <c r="O2014">
        <v>-112.178741</v>
      </c>
      <c r="P2014">
        <v>4271.6896219999999</v>
      </c>
      <c r="Q2014">
        <v>1392</v>
      </c>
      <c r="R2014">
        <v>0</v>
      </c>
    </row>
    <row r="2015" spans="1:18" x14ac:dyDescent="0.25">
      <c r="A2015">
        <v>2014</v>
      </c>
      <c r="B2015">
        <v>94</v>
      </c>
      <c r="C2015" t="s">
        <v>476</v>
      </c>
      <c r="D2015" t="s">
        <v>118</v>
      </c>
      <c r="E2015">
        <v>15.625</v>
      </c>
      <c r="F2015" t="s">
        <v>21</v>
      </c>
      <c r="G2015" t="s">
        <v>26</v>
      </c>
      <c r="H2015" t="s">
        <v>21</v>
      </c>
      <c r="I2015" t="s">
        <v>20</v>
      </c>
      <c r="J2015" t="s">
        <v>20</v>
      </c>
      <c r="K2015" t="s">
        <v>22</v>
      </c>
      <c r="L2015" t="s">
        <v>35</v>
      </c>
      <c r="M2015" t="s">
        <v>120</v>
      </c>
      <c r="N2015">
        <v>40.526161000000002</v>
      </c>
      <c r="O2015">
        <v>-111.409763</v>
      </c>
      <c r="P2015">
        <v>5547.3068709999998</v>
      </c>
      <c r="Q2015">
        <v>310</v>
      </c>
      <c r="R2015">
        <v>0</v>
      </c>
    </row>
    <row r="2016" spans="1:18" x14ac:dyDescent="0.25">
      <c r="A2016">
        <v>2015</v>
      </c>
      <c r="B2016">
        <v>94</v>
      </c>
      <c r="C2016">
        <v>31410932</v>
      </c>
      <c r="D2016" t="s">
        <v>477</v>
      </c>
      <c r="E2016">
        <v>2.4279999999999999</v>
      </c>
      <c r="F2016" t="s">
        <v>21</v>
      </c>
      <c r="G2016" t="s">
        <v>26</v>
      </c>
      <c r="H2016" t="s">
        <v>19</v>
      </c>
      <c r="I2016">
        <v>72</v>
      </c>
      <c r="J2016" t="s">
        <v>20</v>
      </c>
      <c r="K2016" t="s">
        <v>27</v>
      </c>
      <c r="L2016" t="s">
        <v>183</v>
      </c>
      <c r="M2016" t="s">
        <v>366</v>
      </c>
      <c r="N2016">
        <v>38.755400000000002</v>
      </c>
      <c r="O2016">
        <v>-111.38095800000001</v>
      </c>
      <c r="P2016">
        <v>6762.1039330000003</v>
      </c>
      <c r="Q2016">
        <v>1374</v>
      </c>
      <c r="R2016">
        <v>0</v>
      </c>
    </row>
    <row r="2017" spans="1:18" x14ac:dyDescent="0.25">
      <c r="A2017">
        <v>2016</v>
      </c>
      <c r="B2017">
        <v>94</v>
      </c>
      <c r="C2017">
        <v>31749077</v>
      </c>
      <c r="D2017" t="s">
        <v>156</v>
      </c>
      <c r="E2017">
        <v>2.4289999999999998</v>
      </c>
      <c r="F2017" t="s">
        <v>19</v>
      </c>
      <c r="G2017" t="s">
        <v>20</v>
      </c>
      <c r="H2017" t="s">
        <v>21</v>
      </c>
      <c r="I2017" t="s">
        <v>20</v>
      </c>
      <c r="J2017" t="s">
        <v>20</v>
      </c>
      <c r="K2017" t="s">
        <v>41</v>
      </c>
      <c r="L2017" t="s">
        <v>81</v>
      </c>
      <c r="M2017" t="s">
        <v>93</v>
      </c>
      <c r="N2017">
        <v>41.294600000000003</v>
      </c>
      <c r="O2017">
        <v>-111.968959</v>
      </c>
      <c r="P2017">
        <v>4302.0533850000002</v>
      </c>
      <c r="Q2017">
        <v>424</v>
      </c>
      <c r="R2017">
        <v>0</v>
      </c>
    </row>
    <row r="2018" spans="1:18" x14ac:dyDescent="0.25">
      <c r="A2018">
        <v>2017</v>
      </c>
      <c r="B2018">
        <v>94</v>
      </c>
      <c r="C2018">
        <v>31660224</v>
      </c>
      <c r="D2018" t="s">
        <v>187</v>
      </c>
      <c r="E2018">
        <v>2.431</v>
      </c>
      <c r="F2018" t="s">
        <v>21</v>
      </c>
      <c r="G2018" t="s">
        <v>26</v>
      </c>
      <c r="H2018" t="s">
        <v>21</v>
      </c>
      <c r="I2018" t="s">
        <v>20</v>
      </c>
      <c r="J2018" t="s">
        <v>20</v>
      </c>
      <c r="K2018" t="s">
        <v>31</v>
      </c>
      <c r="L2018" t="s">
        <v>188</v>
      </c>
      <c r="M2018" t="s">
        <v>90</v>
      </c>
      <c r="N2018">
        <v>40.771439000000001</v>
      </c>
      <c r="O2018">
        <v>-111.843056</v>
      </c>
      <c r="P2018">
        <v>4770.1351249999998</v>
      </c>
      <c r="Q2018">
        <v>435</v>
      </c>
      <c r="R2018">
        <v>0</v>
      </c>
    </row>
    <row r="2019" spans="1:18" x14ac:dyDescent="0.25">
      <c r="A2019">
        <v>2018</v>
      </c>
      <c r="B2019">
        <v>94</v>
      </c>
      <c r="C2019">
        <v>31439080</v>
      </c>
      <c r="D2019" t="s">
        <v>91</v>
      </c>
      <c r="E2019">
        <v>2.4340000000000002</v>
      </c>
      <c r="F2019" t="s">
        <v>21</v>
      </c>
      <c r="G2019" t="s">
        <v>26</v>
      </c>
      <c r="H2019" t="s">
        <v>21</v>
      </c>
      <c r="I2019" t="s">
        <v>20</v>
      </c>
      <c r="J2019" t="s">
        <v>20</v>
      </c>
      <c r="K2019" t="s">
        <v>41</v>
      </c>
      <c r="L2019" t="s">
        <v>42</v>
      </c>
      <c r="M2019" t="s">
        <v>73</v>
      </c>
      <c r="N2019">
        <v>41.648764999999997</v>
      </c>
      <c r="O2019">
        <v>-111.937802</v>
      </c>
      <c r="P2019">
        <v>4509.042281</v>
      </c>
      <c r="Q2019">
        <v>1339</v>
      </c>
      <c r="R2019">
        <v>0</v>
      </c>
    </row>
    <row r="2020" spans="1:18" x14ac:dyDescent="0.25">
      <c r="A2020">
        <v>2019</v>
      </c>
      <c r="B2020">
        <v>94</v>
      </c>
      <c r="C2020">
        <v>27344206</v>
      </c>
      <c r="D2020" t="s">
        <v>185</v>
      </c>
      <c r="E2020">
        <v>2.4340000000000002</v>
      </c>
      <c r="F2020" t="s">
        <v>21</v>
      </c>
      <c r="G2020" t="s">
        <v>26</v>
      </c>
      <c r="H2020" t="s">
        <v>21</v>
      </c>
      <c r="I2020" t="s">
        <v>20</v>
      </c>
      <c r="J2020" t="s">
        <v>20</v>
      </c>
      <c r="K2020" t="s">
        <v>41</v>
      </c>
      <c r="L2020" t="s">
        <v>57</v>
      </c>
      <c r="M2020" t="s">
        <v>58</v>
      </c>
      <c r="N2020">
        <v>41.139876999999998</v>
      </c>
      <c r="O2020">
        <v>-112.072844</v>
      </c>
      <c r="P2020">
        <v>4260.8976650000004</v>
      </c>
      <c r="Q2020">
        <v>309</v>
      </c>
      <c r="R2020">
        <v>0</v>
      </c>
    </row>
    <row r="2021" spans="1:18" x14ac:dyDescent="0.25">
      <c r="A2021">
        <v>2020</v>
      </c>
      <c r="B2021">
        <v>94</v>
      </c>
      <c r="C2021">
        <v>28005663</v>
      </c>
      <c r="D2021" t="s">
        <v>59</v>
      </c>
      <c r="E2021">
        <v>2.4350000000000001</v>
      </c>
      <c r="F2021" t="s">
        <v>21</v>
      </c>
      <c r="G2021" t="s">
        <v>26</v>
      </c>
      <c r="H2021" t="s">
        <v>21</v>
      </c>
      <c r="I2021" t="s">
        <v>20</v>
      </c>
      <c r="J2021" t="s">
        <v>20</v>
      </c>
      <c r="K2021" t="s">
        <v>22</v>
      </c>
      <c r="L2021" t="s">
        <v>60</v>
      </c>
      <c r="M2021" t="s">
        <v>24</v>
      </c>
      <c r="N2021">
        <v>40.311971</v>
      </c>
      <c r="O2021">
        <v>-111.68862799999999</v>
      </c>
      <c r="P2021">
        <v>4750.2100099999998</v>
      </c>
      <c r="Q2021">
        <v>313</v>
      </c>
      <c r="R2021">
        <v>0</v>
      </c>
    </row>
    <row r="2022" spans="1:18" x14ac:dyDescent="0.25">
      <c r="A2022">
        <v>2021</v>
      </c>
      <c r="B2022">
        <v>94</v>
      </c>
      <c r="C2022">
        <v>28157448</v>
      </c>
      <c r="D2022" t="s">
        <v>233</v>
      </c>
      <c r="E2022">
        <v>2.4380000000000002</v>
      </c>
      <c r="F2022" t="s">
        <v>21</v>
      </c>
      <c r="G2022" t="s">
        <v>20</v>
      </c>
      <c r="H2022" t="s">
        <v>21</v>
      </c>
      <c r="I2022" t="s">
        <v>20</v>
      </c>
      <c r="J2022" t="s">
        <v>20</v>
      </c>
      <c r="K2022" t="s">
        <v>22</v>
      </c>
      <c r="L2022" t="s">
        <v>234</v>
      </c>
      <c r="M2022" t="s">
        <v>235</v>
      </c>
      <c r="N2022">
        <v>39.988081000000001</v>
      </c>
      <c r="O2022">
        <v>-109.177499</v>
      </c>
      <c r="P2022">
        <v>5154.2850930000004</v>
      </c>
      <c r="Q2022">
        <v>1354</v>
      </c>
      <c r="R2022">
        <v>0</v>
      </c>
    </row>
    <row r="2023" spans="1:18" x14ac:dyDescent="0.25">
      <c r="A2023">
        <v>2022</v>
      </c>
      <c r="B2023">
        <v>94</v>
      </c>
      <c r="C2023">
        <v>31192666</v>
      </c>
      <c r="D2023" t="s">
        <v>153</v>
      </c>
      <c r="E2023">
        <v>2.4380000000000002</v>
      </c>
      <c r="F2023" t="s">
        <v>21</v>
      </c>
      <c r="G2023" t="s">
        <v>26</v>
      </c>
      <c r="H2023" t="s">
        <v>21</v>
      </c>
      <c r="I2023" t="s">
        <v>20</v>
      </c>
      <c r="J2023" t="s">
        <v>20</v>
      </c>
      <c r="K2023" t="s">
        <v>22</v>
      </c>
      <c r="L2023" t="s">
        <v>84</v>
      </c>
      <c r="M2023" t="s">
        <v>85</v>
      </c>
      <c r="N2023">
        <v>40.392156999999997</v>
      </c>
      <c r="O2023">
        <v>-111.742823</v>
      </c>
      <c r="P2023">
        <v>4734.2800479999996</v>
      </c>
      <c r="R2023">
        <v>0</v>
      </c>
    </row>
    <row r="2024" spans="1:18" x14ac:dyDescent="0.25">
      <c r="A2024">
        <v>2023</v>
      </c>
      <c r="B2024">
        <v>94</v>
      </c>
      <c r="C2024">
        <v>1138225</v>
      </c>
      <c r="D2024" t="s">
        <v>56</v>
      </c>
      <c r="E2024">
        <v>2.4390000000000001</v>
      </c>
      <c r="F2024" t="s">
        <v>21</v>
      </c>
      <c r="G2024" t="s">
        <v>26</v>
      </c>
      <c r="H2024" t="s">
        <v>21</v>
      </c>
      <c r="I2024" t="s">
        <v>20</v>
      </c>
      <c r="J2024" t="s">
        <v>20</v>
      </c>
      <c r="K2024" t="s">
        <v>41</v>
      </c>
      <c r="L2024" t="s">
        <v>57</v>
      </c>
      <c r="M2024" t="s">
        <v>58</v>
      </c>
      <c r="N2024">
        <v>41.163725999999997</v>
      </c>
      <c r="O2024">
        <v>-112.076037</v>
      </c>
      <c r="P2024">
        <v>4208.6151950000003</v>
      </c>
      <c r="Q2024">
        <v>1459</v>
      </c>
      <c r="R2024">
        <v>0</v>
      </c>
    </row>
    <row r="2025" spans="1:18" x14ac:dyDescent="0.25">
      <c r="A2025">
        <v>2024</v>
      </c>
      <c r="B2025">
        <v>94</v>
      </c>
      <c r="C2025">
        <v>764975</v>
      </c>
      <c r="D2025" t="s">
        <v>86</v>
      </c>
      <c r="E2025">
        <v>2.4390000000000001</v>
      </c>
      <c r="F2025" t="s">
        <v>19</v>
      </c>
      <c r="G2025" t="s">
        <v>20</v>
      </c>
      <c r="H2025" t="s">
        <v>21</v>
      </c>
      <c r="I2025" t="s">
        <v>20</v>
      </c>
      <c r="J2025" t="s">
        <v>20</v>
      </c>
      <c r="K2025" t="s">
        <v>41</v>
      </c>
      <c r="L2025" t="s">
        <v>87</v>
      </c>
      <c r="M2025" t="s">
        <v>58</v>
      </c>
      <c r="N2025">
        <v>41.038111999999998</v>
      </c>
      <c r="O2025">
        <v>-111.938565</v>
      </c>
      <c r="P2025">
        <v>4310.5757439999998</v>
      </c>
      <c r="Q2025">
        <v>258</v>
      </c>
      <c r="R2025">
        <v>0</v>
      </c>
    </row>
    <row r="2026" spans="1:18" x14ac:dyDescent="0.25">
      <c r="A2026">
        <v>2025</v>
      </c>
      <c r="B2026">
        <v>94</v>
      </c>
      <c r="C2026">
        <v>28625136</v>
      </c>
      <c r="D2026" t="s">
        <v>192</v>
      </c>
      <c r="E2026">
        <v>2.4460000000000002</v>
      </c>
      <c r="F2026" t="s">
        <v>21</v>
      </c>
      <c r="G2026" t="s">
        <v>26</v>
      </c>
      <c r="H2026" t="s">
        <v>21</v>
      </c>
      <c r="I2026" t="s">
        <v>20</v>
      </c>
      <c r="J2026" t="s">
        <v>20</v>
      </c>
      <c r="K2026" t="s">
        <v>22</v>
      </c>
      <c r="L2026" t="s">
        <v>140</v>
      </c>
      <c r="M2026" t="s">
        <v>125</v>
      </c>
      <c r="N2026">
        <v>40.149918</v>
      </c>
      <c r="O2026">
        <v>-111.729356</v>
      </c>
      <c r="P2026">
        <v>4442.6101900000003</v>
      </c>
      <c r="Q2026">
        <v>1375</v>
      </c>
      <c r="R2026">
        <v>0</v>
      </c>
    </row>
    <row r="2027" spans="1:18" x14ac:dyDescent="0.25">
      <c r="A2027">
        <v>2026</v>
      </c>
      <c r="B2027">
        <v>94</v>
      </c>
      <c r="C2027">
        <v>31191635</v>
      </c>
      <c r="D2027" t="s">
        <v>354</v>
      </c>
      <c r="E2027">
        <v>2.4489999999999998</v>
      </c>
      <c r="F2027" t="s">
        <v>21</v>
      </c>
      <c r="G2027" t="s">
        <v>26</v>
      </c>
      <c r="H2027" t="s">
        <v>21</v>
      </c>
      <c r="I2027" t="s">
        <v>20</v>
      </c>
      <c r="J2027" t="s">
        <v>20</v>
      </c>
      <c r="K2027" t="s">
        <v>27</v>
      </c>
      <c r="L2027" t="s">
        <v>64</v>
      </c>
      <c r="M2027" t="s">
        <v>58</v>
      </c>
      <c r="N2027">
        <v>38.116554999999998</v>
      </c>
      <c r="O2027">
        <v>-112.000416</v>
      </c>
      <c r="P2027">
        <v>6383.3542649999999</v>
      </c>
      <c r="Q2027">
        <v>1338</v>
      </c>
      <c r="R2027">
        <v>0</v>
      </c>
    </row>
    <row r="2028" spans="1:18" x14ac:dyDescent="0.25">
      <c r="A2028">
        <v>2027</v>
      </c>
      <c r="B2028">
        <v>94</v>
      </c>
      <c r="C2028" t="s">
        <v>478</v>
      </c>
      <c r="D2028" t="s">
        <v>80</v>
      </c>
      <c r="E2028">
        <v>2.58</v>
      </c>
      <c r="F2028" t="s">
        <v>21</v>
      </c>
      <c r="G2028" t="s">
        <v>26</v>
      </c>
      <c r="H2028" t="s">
        <v>21</v>
      </c>
      <c r="I2028" t="s">
        <v>20</v>
      </c>
      <c r="J2028" t="s">
        <v>20</v>
      </c>
      <c r="K2028" t="s">
        <v>41</v>
      </c>
      <c r="L2028" t="s">
        <v>81</v>
      </c>
      <c r="M2028" t="s">
        <v>46</v>
      </c>
      <c r="N2028">
        <v>41.231127000000001</v>
      </c>
      <c r="O2028">
        <v>-111.98038699999999</v>
      </c>
      <c r="P2028">
        <v>4234.3532830000004</v>
      </c>
      <c r="Q2028">
        <v>1393</v>
      </c>
      <c r="R2028">
        <v>0</v>
      </c>
    </row>
    <row r="2029" spans="1:18" x14ac:dyDescent="0.25">
      <c r="A2029">
        <v>2028</v>
      </c>
      <c r="B2029">
        <v>94</v>
      </c>
      <c r="C2029">
        <v>31370699</v>
      </c>
      <c r="D2029" t="s">
        <v>199</v>
      </c>
      <c r="E2029">
        <v>2.589</v>
      </c>
      <c r="F2029" t="s">
        <v>21</v>
      </c>
      <c r="G2029" t="s">
        <v>26</v>
      </c>
      <c r="H2029" t="s">
        <v>21</v>
      </c>
      <c r="I2029" t="s">
        <v>20</v>
      </c>
      <c r="J2029" t="s">
        <v>20</v>
      </c>
      <c r="K2029" t="s">
        <v>27</v>
      </c>
      <c r="L2029" t="s">
        <v>103</v>
      </c>
      <c r="M2029" t="s">
        <v>200</v>
      </c>
      <c r="N2029">
        <v>38.281669999999998</v>
      </c>
      <c r="O2029">
        <v>-112.597549</v>
      </c>
      <c r="P2029">
        <v>6042.3923619999996</v>
      </c>
      <c r="Q2029">
        <v>341</v>
      </c>
      <c r="R2029">
        <v>0</v>
      </c>
    </row>
    <row r="2030" spans="1:18" x14ac:dyDescent="0.25">
      <c r="A2030">
        <v>2029</v>
      </c>
      <c r="B2030">
        <v>94</v>
      </c>
      <c r="C2030">
        <v>31407230</v>
      </c>
      <c r="D2030" t="s">
        <v>257</v>
      </c>
      <c r="E2030">
        <v>2.5950000000000002</v>
      </c>
      <c r="F2030" t="s">
        <v>21</v>
      </c>
      <c r="G2030" t="s">
        <v>26</v>
      </c>
      <c r="H2030" t="s">
        <v>21</v>
      </c>
      <c r="I2030" t="s">
        <v>20</v>
      </c>
      <c r="J2030" t="s">
        <v>20</v>
      </c>
      <c r="K2030" t="s">
        <v>22</v>
      </c>
      <c r="L2030" t="s">
        <v>140</v>
      </c>
      <c r="M2030" t="s">
        <v>76</v>
      </c>
      <c r="N2030">
        <v>40.093133999999999</v>
      </c>
      <c r="O2030">
        <v>-111.65785700000001</v>
      </c>
      <c r="P2030">
        <v>4558.8881009999996</v>
      </c>
      <c r="Q2030">
        <v>1433</v>
      </c>
      <c r="R2030">
        <v>0</v>
      </c>
    </row>
    <row r="2031" spans="1:18" x14ac:dyDescent="0.25">
      <c r="A2031">
        <v>2030</v>
      </c>
      <c r="B2031">
        <v>94</v>
      </c>
      <c r="C2031">
        <v>31502707</v>
      </c>
      <c r="D2031" t="s">
        <v>292</v>
      </c>
      <c r="E2031">
        <v>2.5960000000000001</v>
      </c>
      <c r="F2031" t="s">
        <v>21</v>
      </c>
      <c r="G2031" t="s">
        <v>20</v>
      </c>
      <c r="H2031" t="s">
        <v>21</v>
      </c>
      <c r="I2031" t="s">
        <v>20</v>
      </c>
      <c r="J2031" t="s">
        <v>20</v>
      </c>
      <c r="K2031" t="s">
        <v>22</v>
      </c>
      <c r="L2031" t="s">
        <v>253</v>
      </c>
      <c r="M2031" t="s">
        <v>134</v>
      </c>
      <c r="N2031">
        <v>40.199528999999998</v>
      </c>
      <c r="O2031">
        <v>-110.389563</v>
      </c>
      <c r="P2031">
        <v>5779.7547690000001</v>
      </c>
      <c r="Q2031">
        <v>323</v>
      </c>
      <c r="R2031">
        <v>0</v>
      </c>
    </row>
    <row r="2032" spans="1:18" x14ac:dyDescent="0.25">
      <c r="A2032">
        <v>2031</v>
      </c>
      <c r="B2032">
        <v>94</v>
      </c>
      <c r="C2032">
        <v>31407684</v>
      </c>
      <c r="D2032" t="s">
        <v>74</v>
      </c>
      <c r="E2032">
        <v>2.5979999999999999</v>
      </c>
      <c r="F2032" t="s">
        <v>19</v>
      </c>
      <c r="G2032" t="s">
        <v>20</v>
      </c>
      <c r="H2032" t="s">
        <v>19</v>
      </c>
      <c r="I2032">
        <v>118</v>
      </c>
      <c r="J2032" t="s">
        <v>20</v>
      </c>
      <c r="K2032" t="s">
        <v>27</v>
      </c>
      <c r="L2032" t="s">
        <v>75</v>
      </c>
      <c r="M2032" t="s">
        <v>76</v>
      </c>
      <c r="N2032">
        <v>38.772278999999997</v>
      </c>
      <c r="O2032">
        <v>-112.084784</v>
      </c>
      <c r="P2032">
        <v>5291.0491410000004</v>
      </c>
      <c r="Q2032">
        <v>332</v>
      </c>
      <c r="R2032">
        <v>0</v>
      </c>
    </row>
    <row r="2033" spans="1:18" x14ac:dyDescent="0.25">
      <c r="A2033">
        <v>2032</v>
      </c>
      <c r="B2033">
        <v>94</v>
      </c>
      <c r="C2033">
        <v>555938</v>
      </c>
      <c r="D2033" t="s">
        <v>115</v>
      </c>
      <c r="E2033">
        <v>2.5979999999999999</v>
      </c>
      <c r="F2033" t="s">
        <v>21</v>
      </c>
      <c r="G2033" t="s">
        <v>26</v>
      </c>
      <c r="H2033" t="s">
        <v>21</v>
      </c>
      <c r="I2033" t="s">
        <v>20</v>
      </c>
      <c r="J2033" t="s">
        <v>20</v>
      </c>
      <c r="K2033" t="s">
        <v>31</v>
      </c>
      <c r="L2033" t="s">
        <v>48</v>
      </c>
      <c r="M2033" t="s">
        <v>70</v>
      </c>
      <c r="N2033">
        <v>40.653052000000002</v>
      </c>
      <c r="O2033">
        <v>-112.027494</v>
      </c>
      <c r="P2033">
        <v>4752.9973239999999</v>
      </c>
      <c r="Q2033">
        <v>1437</v>
      </c>
      <c r="R2033">
        <v>0</v>
      </c>
    </row>
    <row r="2034" spans="1:18" x14ac:dyDescent="0.25">
      <c r="A2034">
        <v>2033</v>
      </c>
      <c r="B2034">
        <v>94</v>
      </c>
      <c r="C2034">
        <v>31430313</v>
      </c>
      <c r="D2034" t="s">
        <v>107</v>
      </c>
      <c r="E2034">
        <v>2.601</v>
      </c>
      <c r="F2034" t="s">
        <v>21</v>
      </c>
      <c r="G2034" t="s">
        <v>26</v>
      </c>
      <c r="H2034" t="s">
        <v>21</v>
      </c>
      <c r="I2034" t="s">
        <v>20</v>
      </c>
      <c r="J2034" t="s">
        <v>20</v>
      </c>
      <c r="K2034" t="s">
        <v>41</v>
      </c>
      <c r="L2034" t="s">
        <v>81</v>
      </c>
      <c r="M2034" t="s">
        <v>93</v>
      </c>
      <c r="N2034">
        <v>41.230345</v>
      </c>
      <c r="O2034">
        <v>-111.97866999999999</v>
      </c>
      <c r="P2034">
        <v>4236.8880380000001</v>
      </c>
      <c r="Q2034">
        <v>413</v>
      </c>
      <c r="R2034">
        <v>0</v>
      </c>
    </row>
    <row r="2035" spans="1:18" x14ac:dyDescent="0.25">
      <c r="A2035">
        <v>2034</v>
      </c>
      <c r="B2035">
        <v>94</v>
      </c>
      <c r="C2035">
        <v>31781029</v>
      </c>
      <c r="D2035" t="s">
        <v>99</v>
      </c>
      <c r="E2035">
        <v>2.6030000000000002</v>
      </c>
      <c r="F2035" t="s">
        <v>19</v>
      </c>
      <c r="G2035" t="s">
        <v>20</v>
      </c>
      <c r="H2035" t="s">
        <v>21</v>
      </c>
      <c r="I2035" t="s">
        <v>20</v>
      </c>
      <c r="J2035" t="s">
        <v>20</v>
      </c>
      <c r="K2035" t="s">
        <v>41</v>
      </c>
      <c r="L2035" t="s">
        <v>81</v>
      </c>
      <c r="M2035" t="s">
        <v>82</v>
      </c>
      <c r="N2035">
        <v>41.205641</v>
      </c>
      <c r="O2035">
        <v>-111.992013</v>
      </c>
      <c r="P2035">
        <v>4279.9520579999999</v>
      </c>
      <c r="Q2035">
        <v>1376</v>
      </c>
      <c r="R2035">
        <v>0</v>
      </c>
    </row>
    <row r="2036" spans="1:18" x14ac:dyDescent="0.25">
      <c r="A2036">
        <v>2035</v>
      </c>
      <c r="B2036">
        <v>94</v>
      </c>
      <c r="C2036">
        <v>2607018</v>
      </c>
      <c r="D2036" t="s">
        <v>176</v>
      </c>
      <c r="E2036">
        <v>21.177</v>
      </c>
      <c r="F2036" t="s">
        <v>21</v>
      </c>
      <c r="G2036" t="s">
        <v>26</v>
      </c>
      <c r="H2036" t="s">
        <v>21</v>
      </c>
      <c r="I2036" t="s">
        <v>20</v>
      </c>
      <c r="J2036" t="s">
        <v>20</v>
      </c>
      <c r="K2036" t="s">
        <v>41</v>
      </c>
      <c r="L2036" t="s">
        <v>223</v>
      </c>
      <c r="M2036" t="s">
        <v>178</v>
      </c>
      <c r="N2036">
        <v>41.726773999999999</v>
      </c>
      <c r="O2036">
        <v>-112.142898</v>
      </c>
      <c r="P2036">
        <v>4282.175937</v>
      </c>
      <c r="Q2036">
        <v>1329</v>
      </c>
      <c r="R2036">
        <v>0</v>
      </c>
    </row>
    <row r="2037" spans="1:18" x14ac:dyDescent="0.25">
      <c r="A2037">
        <v>2036</v>
      </c>
      <c r="B2037">
        <v>94</v>
      </c>
      <c r="C2037" t="e">
        <f>-Iobz6T2GkaJ8uxhJwcWuF</f>
        <v>#NAME?</v>
      </c>
      <c r="D2037" t="s">
        <v>347</v>
      </c>
      <c r="E2037">
        <v>21.177</v>
      </c>
      <c r="F2037" t="s">
        <v>21</v>
      </c>
      <c r="G2037" t="s">
        <v>26</v>
      </c>
      <c r="H2037" t="s">
        <v>21</v>
      </c>
      <c r="I2037" t="s">
        <v>20</v>
      </c>
      <c r="J2037" t="s">
        <v>20</v>
      </c>
      <c r="K2037" t="s">
        <v>41</v>
      </c>
      <c r="L2037" t="s">
        <v>325</v>
      </c>
      <c r="M2037" t="s">
        <v>204</v>
      </c>
      <c r="N2037">
        <v>41.671990999999998</v>
      </c>
      <c r="O2037">
        <v>-111.184991</v>
      </c>
      <c r="P2037">
        <v>6242.2157269999998</v>
      </c>
      <c r="Q2037">
        <v>1334</v>
      </c>
      <c r="R2037">
        <v>0</v>
      </c>
    </row>
    <row r="2038" spans="1:18" x14ac:dyDescent="0.25">
      <c r="A2038">
        <v>2037</v>
      </c>
      <c r="B2038">
        <v>94</v>
      </c>
      <c r="C2038">
        <v>27685760</v>
      </c>
      <c r="D2038" t="s">
        <v>217</v>
      </c>
      <c r="E2038">
        <v>2.4790000000000001</v>
      </c>
      <c r="F2038" t="s">
        <v>21</v>
      </c>
      <c r="G2038" t="s">
        <v>26</v>
      </c>
      <c r="H2038" t="s">
        <v>21</v>
      </c>
      <c r="I2038" t="s">
        <v>20</v>
      </c>
      <c r="J2038" t="s">
        <v>20</v>
      </c>
      <c r="K2038" t="s">
        <v>27</v>
      </c>
      <c r="L2038" t="s">
        <v>72</v>
      </c>
      <c r="M2038" t="s">
        <v>163</v>
      </c>
      <c r="N2038">
        <v>37.114989999999999</v>
      </c>
      <c r="O2038">
        <v>-113.59609399999999</v>
      </c>
      <c r="P2038">
        <v>2746.5858589999998</v>
      </c>
      <c r="Q2038">
        <v>304</v>
      </c>
      <c r="R2038">
        <v>0</v>
      </c>
    </row>
    <row r="2039" spans="1:18" x14ac:dyDescent="0.25">
      <c r="A2039">
        <v>2038</v>
      </c>
      <c r="B2039">
        <v>94</v>
      </c>
      <c r="C2039" t="e">
        <f>-Ip-z0olFVenjt4B8ajIDk</f>
        <v>#NAME?</v>
      </c>
      <c r="D2039" t="s">
        <v>157</v>
      </c>
      <c r="E2039">
        <v>2.48</v>
      </c>
      <c r="F2039" t="s">
        <v>21</v>
      </c>
      <c r="G2039" t="s">
        <v>26</v>
      </c>
      <c r="H2039" t="s">
        <v>21</v>
      </c>
      <c r="I2039" t="s">
        <v>20</v>
      </c>
      <c r="J2039" t="s">
        <v>20</v>
      </c>
      <c r="K2039" t="s">
        <v>27</v>
      </c>
      <c r="L2039" t="s">
        <v>158</v>
      </c>
      <c r="M2039" t="s">
        <v>159</v>
      </c>
      <c r="N2039">
        <v>39.591858000000002</v>
      </c>
      <c r="O2039">
        <v>-110.789946</v>
      </c>
      <c r="P2039">
        <v>5484.8326690000004</v>
      </c>
      <c r="Q2039">
        <v>1360</v>
      </c>
      <c r="R2039">
        <v>0</v>
      </c>
    </row>
    <row r="2040" spans="1:18" x14ac:dyDescent="0.25">
      <c r="A2040">
        <v>2039</v>
      </c>
      <c r="B2040">
        <v>94</v>
      </c>
      <c r="C2040">
        <v>31566154</v>
      </c>
      <c r="D2040" t="s">
        <v>80</v>
      </c>
      <c r="E2040">
        <v>2.484</v>
      </c>
      <c r="F2040" t="s">
        <v>19</v>
      </c>
      <c r="G2040" t="s">
        <v>20</v>
      </c>
      <c r="H2040" t="s">
        <v>19</v>
      </c>
      <c r="I2040">
        <v>204</v>
      </c>
      <c r="J2040" t="s">
        <v>20</v>
      </c>
      <c r="K2040" t="s">
        <v>41</v>
      </c>
      <c r="L2040" t="s">
        <v>81</v>
      </c>
      <c r="M2040" t="s">
        <v>82</v>
      </c>
      <c r="N2040">
        <v>41.229131000000002</v>
      </c>
      <c r="O2040">
        <v>-111.978765</v>
      </c>
      <c r="P2040">
        <v>4237.9132310000005</v>
      </c>
      <c r="Q2040">
        <v>1393</v>
      </c>
      <c r="R2040">
        <v>0</v>
      </c>
    </row>
    <row r="2041" spans="1:18" x14ac:dyDescent="0.25">
      <c r="A2041">
        <v>2040</v>
      </c>
      <c r="B2041">
        <v>94</v>
      </c>
      <c r="C2041">
        <v>1314026</v>
      </c>
      <c r="D2041" t="s">
        <v>191</v>
      </c>
      <c r="E2041">
        <v>2.484</v>
      </c>
      <c r="F2041" t="s">
        <v>21</v>
      </c>
      <c r="G2041" t="s">
        <v>26</v>
      </c>
      <c r="H2041" t="s">
        <v>21</v>
      </c>
      <c r="I2041" t="s">
        <v>20</v>
      </c>
      <c r="J2041" t="s">
        <v>20</v>
      </c>
      <c r="K2041" t="s">
        <v>41</v>
      </c>
      <c r="L2041" t="s">
        <v>57</v>
      </c>
      <c r="M2041" t="s">
        <v>190</v>
      </c>
      <c r="N2041">
        <v>41.125207000000003</v>
      </c>
      <c r="O2041">
        <v>-112.112601</v>
      </c>
      <c r="P2041">
        <v>4181.6046409999999</v>
      </c>
      <c r="Q2041">
        <v>329</v>
      </c>
      <c r="R2041">
        <v>0</v>
      </c>
    </row>
    <row r="2042" spans="1:18" x14ac:dyDescent="0.25">
      <c r="A2042">
        <v>2041</v>
      </c>
      <c r="B2042">
        <v>94</v>
      </c>
      <c r="C2042">
        <v>31487001</v>
      </c>
      <c r="D2042" t="s">
        <v>164</v>
      </c>
      <c r="E2042">
        <v>2.488</v>
      </c>
      <c r="F2042" t="s">
        <v>21</v>
      </c>
      <c r="G2042" t="s">
        <v>26</v>
      </c>
      <c r="H2042" t="s">
        <v>21</v>
      </c>
      <c r="I2042" t="s">
        <v>20</v>
      </c>
      <c r="J2042" t="s">
        <v>20</v>
      </c>
      <c r="K2042" t="s">
        <v>27</v>
      </c>
      <c r="L2042" t="s">
        <v>165</v>
      </c>
      <c r="M2042" t="s">
        <v>166</v>
      </c>
      <c r="N2042">
        <v>38.968904000000002</v>
      </c>
      <c r="O2042">
        <v>-112.323695</v>
      </c>
      <c r="P2042">
        <v>5068.3257700000004</v>
      </c>
      <c r="Q2042">
        <v>1390</v>
      </c>
      <c r="R2042">
        <v>0</v>
      </c>
    </row>
    <row r="2043" spans="1:18" x14ac:dyDescent="0.25">
      <c r="A2043">
        <v>2042</v>
      </c>
      <c r="B2043">
        <v>94</v>
      </c>
      <c r="C2043">
        <v>1105050</v>
      </c>
      <c r="D2043" t="s">
        <v>195</v>
      </c>
      <c r="E2043">
        <v>2.492</v>
      </c>
      <c r="F2043" t="s">
        <v>19</v>
      </c>
      <c r="G2043" t="s">
        <v>20</v>
      </c>
      <c r="H2043" t="s">
        <v>19</v>
      </c>
      <c r="I2043">
        <v>108</v>
      </c>
      <c r="J2043" t="s">
        <v>20</v>
      </c>
      <c r="K2043" t="s">
        <v>41</v>
      </c>
      <c r="L2043" t="s">
        <v>57</v>
      </c>
      <c r="M2043" t="s">
        <v>190</v>
      </c>
      <c r="N2043">
        <v>41.089224000000002</v>
      </c>
      <c r="O2043">
        <v>-112.064595</v>
      </c>
      <c r="P2043">
        <v>4225.8693210000001</v>
      </c>
      <c r="Q2043">
        <v>334</v>
      </c>
      <c r="R2043">
        <v>0</v>
      </c>
    </row>
    <row r="2044" spans="1:18" x14ac:dyDescent="0.25">
      <c r="A2044">
        <v>2043</v>
      </c>
      <c r="B2044">
        <v>94</v>
      </c>
      <c r="C2044" t="s">
        <v>479</v>
      </c>
      <c r="D2044" t="s">
        <v>272</v>
      </c>
      <c r="E2044">
        <v>242.04400000000001</v>
      </c>
      <c r="F2044" t="s">
        <v>21</v>
      </c>
      <c r="G2044" t="s">
        <v>26</v>
      </c>
      <c r="H2044" t="s">
        <v>21</v>
      </c>
      <c r="I2044" t="s">
        <v>20</v>
      </c>
      <c r="J2044" t="s">
        <v>20</v>
      </c>
      <c r="K2044" t="s">
        <v>27</v>
      </c>
      <c r="L2044" t="s">
        <v>350</v>
      </c>
      <c r="M2044" t="s">
        <v>174</v>
      </c>
      <c r="N2044">
        <v>39.159962</v>
      </c>
      <c r="O2044">
        <v>-111.80678899999999</v>
      </c>
      <c r="P2044">
        <v>5133.5902429999996</v>
      </c>
      <c r="Q2044">
        <v>1384</v>
      </c>
      <c r="R2044">
        <v>0</v>
      </c>
    </row>
    <row r="2045" spans="1:18" x14ac:dyDescent="0.25">
      <c r="A2045">
        <v>2044</v>
      </c>
      <c r="B2045">
        <v>94</v>
      </c>
      <c r="C2045" t="e">
        <f>-IoMLMfHHAatKTmwA8b5WV</f>
        <v>#NAME?</v>
      </c>
      <c r="D2045" t="s">
        <v>272</v>
      </c>
      <c r="E2045">
        <v>242.101</v>
      </c>
      <c r="F2045" t="s">
        <v>21</v>
      </c>
      <c r="G2045" t="s">
        <v>26</v>
      </c>
      <c r="H2045" t="s">
        <v>21</v>
      </c>
      <c r="I2045" t="s">
        <v>20</v>
      </c>
      <c r="J2045" t="s">
        <v>20</v>
      </c>
      <c r="K2045" t="s">
        <v>27</v>
      </c>
      <c r="L2045" t="s">
        <v>350</v>
      </c>
      <c r="M2045" t="s">
        <v>174</v>
      </c>
      <c r="N2045">
        <v>39.159956999999999</v>
      </c>
      <c r="O2045">
        <v>-111.80571999999999</v>
      </c>
      <c r="P2045">
        <v>5134.1762760000001</v>
      </c>
      <c r="Q2045">
        <v>1384</v>
      </c>
      <c r="R2045">
        <v>0</v>
      </c>
    </row>
    <row r="2046" spans="1:18" x14ac:dyDescent="0.25">
      <c r="A2046">
        <v>2045</v>
      </c>
      <c r="B2046">
        <v>94</v>
      </c>
      <c r="C2046">
        <v>31697856</v>
      </c>
      <c r="D2046" t="s">
        <v>213</v>
      </c>
      <c r="E2046">
        <v>242.977</v>
      </c>
      <c r="F2046" t="s">
        <v>21</v>
      </c>
      <c r="G2046" t="s">
        <v>26</v>
      </c>
      <c r="H2046" t="s">
        <v>21</v>
      </c>
      <c r="I2046" t="s">
        <v>20</v>
      </c>
      <c r="J2046" t="s">
        <v>20</v>
      </c>
      <c r="K2046" t="s">
        <v>27</v>
      </c>
      <c r="L2046" t="s">
        <v>158</v>
      </c>
      <c r="M2046" t="s">
        <v>190</v>
      </c>
      <c r="N2046">
        <v>39.580117999999999</v>
      </c>
      <c r="O2046">
        <v>-110.786584</v>
      </c>
      <c r="P2046">
        <v>5429.9522930000003</v>
      </c>
      <c r="Q2046">
        <v>1332</v>
      </c>
      <c r="R2046">
        <v>0</v>
      </c>
    </row>
    <row r="2047" spans="1:18" x14ac:dyDescent="0.25">
      <c r="A2047">
        <v>2046</v>
      </c>
      <c r="B2047">
        <v>94</v>
      </c>
      <c r="C2047">
        <v>31771294</v>
      </c>
      <c r="D2047" t="s">
        <v>353</v>
      </c>
      <c r="E2047">
        <v>27.783999999999999</v>
      </c>
      <c r="F2047" t="s">
        <v>21</v>
      </c>
      <c r="G2047" t="s">
        <v>26</v>
      </c>
      <c r="H2047" t="s">
        <v>21</v>
      </c>
      <c r="I2047" t="s">
        <v>20</v>
      </c>
      <c r="J2047" t="s">
        <v>20</v>
      </c>
      <c r="K2047" t="s">
        <v>31</v>
      </c>
      <c r="L2047" t="s">
        <v>433</v>
      </c>
      <c r="M2047" t="s">
        <v>138</v>
      </c>
      <c r="N2047">
        <v>41.015915</v>
      </c>
      <c r="O2047">
        <v>-111.497544</v>
      </c>
      <c r="P2047">
        <v>5303.6994370000002</v>
      </c>
      <c r="Q2047">
        <v>1367</v>
      </c>
      <c r="R2047">
        <v>0</v>
      </c>
    </row>
    <row r="2048" spans="1:18" x14ac:dyDescent="0.25">
      <c r="A2048">
        <v>2047</v>
      </c>
      <c r="B2048">
        <v>94</v>
      </c>
      <c r="C2048">
        <v>28627316</v>
      </c>
      <c r="D2048" t="s">
        <v>142</v>
      </c>
      <c r="E2048">
        <v>27.808</v>
      </c>
      <c r="F2048" t="s">
        <v>21</v>
      </c>
      <c r="G2048" t="s">
        <v>26</v>
      </c>
      <c r="H2048" t="s">
        <v>21</v>
      </c>
      <c r="I2048" t="s">
        <v>20</v>
      </c>
      <c r="J2048" t="s">
        <v>20</v>
      </c>
      <c r="K2048" t="s">
        <v>27</v>
      </c>
      <c r="L2048" t="s">
        <v>143</v>
      </c>
      <c r="M2048" t="s">
        <v>106</v>
      </c>
      <c r="N2048">
        <v>38.596138000000003</v>
      </c>
      <c r="O2048">
        <v>-113.825981</v>
      </c>
      <c r="P2048">
        <v>5759.2472619999999</v>
      </c>
      <c r="Q2048">
        <v>305</v>
      </c>
      <c r="R2048">
        <v>0</v>
      </c>
    </row>
    <row r="2049" spans="1:18" x14ac:dyDescent="0.25">
      <c r="A2049">
        <v>2048</v>
      </c>
      <c r="B2049">
        <v>94</v>
      </c>
      <c r="C2049">
        <v>31393303</v>
      </c>
      <c r="D2049" t="s">
        <v>124</v>
      </c>
      <c r="E2049">
        <v>27.82</v>
      </c>
      <c r="F2049" t="s">
        <v>21</v>
      </c>
      <c r="G2049" t="s">
        <v>26</v>
      </c>
      <c r="H2049" t="s">
        <v>21</v>
      </c>
      <c r="I2049" t="s">
        <v>20</v>
      </c>
      <c r="J2049" t="s">
        <v>20</v>
      </c>
      <c r="K2049" t="s">
        <v>22</v>
      </c>
      <c r="L2049" t="s">
        <v>84</v>
      </c>
      <c r="M2049" t="s">
        <v>194</v>
      </c>
      <c r="N2049">
        <v>40.320106000000003</v>
      </c>
      <c r="O2049">
        <v>-111.900701</v>
      </c>
      <c r="P2049">
        <v>4536.8648039999998</v>
      </c>
      <c r="Q2049">
        <v>1368</v>
      </c>
      <c r="R2049">
        <v>0</v>
      </c>
    </row>
    <row r="2050" spans="1:18" x14ac:dyDescent="0.25">
      <c r="A2050">
        <v>2049</v>
      </c>
      <c r="B2050">
        <v>94</v>
      </c>
      <c r="C2050">
        <v>31706296</v>
      </c>
      <c r="D2050" t="s">
        <v>323</v>
      </c>
      <c r="E2050">
        <v>27.824000000000002</v>
      </c>
      <c r="F2050" t="s">
        <v>21</v>
      </c>
      <c r="G2050" t="s">
        <v>26</v>
      </c>
      <c r="H2050" t="s">
        <v>21</v>
      </c>
      <c r="I2050" t="s">
        <v>20</v>
      </c>
      <c r="J2050" t="s">
        <v>20</v>
      </c>
      <c r="K2050" t="s">
        <v>31</v>
      </c>
      <c r="L2050" t="s">
        <v>149</v>
      </c>
      <c r="M2050" t="s">
        <v>131</v>
      </c>
      <c r="N2050">
        <v>40.799886999999998</v>
      </c>
      <c r="O2050">
        <v>-111.409069</v>
      </c>
      <c r="P2050">
        <v>5873.3273490000001</v>
      </c>
      <c r="Q2050">
        <v>1345</v>
      </c>
      <c r="R2050">
        <v>0</v>
      </c>
    </row>
    <row r="2051" spans="1:18" x14ac:dyDescent="0.25">
      <c r="A2051">
        <v>2050</v>
      </c>
      <c r="B2051">
        <v>94</v>
      </c>
      <c r="C2051" t="s">
        <v>480</v>
      </c>
      <c r="D2051" t="s">
        <v>244</v>
      </c>
      <c r="E2051">
        <v>27.832999999999998</v>
      </c>
      <c r="F2051" t="s">
        <v>21</v>
      </c>
      <c r="G2051" t="s">
        <v>26</v>
      </c>
      <c r="H2051" t="s">
        <v>21</v>
      </c>
      <c r="I2051" t="s">
        <v>20</v>
      </c>
      <c r="J2051" t="s">
        <v>20</v>
      </c>
      <c r="K2051" t="s">
        <v>27</v>
      </c>
      <c r="L2051" t="s">
        <v>266</v>
      </c>
      <c r="M2051" t="s">
        <v>58</v>
      </c>
      <c r="N2051">
        <v>38.629793999999997</v>
      </c>
      <c r="O2051">
        <v>-111.833285</v>
      </c>
      <c r="P2051">
        <v>6988.9078239999999</v>
      </c>
      <c r="Q2051">
        <v>1340</v>
      </c>
      <c r="R2051">
        <v>0</v>
      </c>
    </row>
    <row r="2052" spans="1:18" x14ac:dyDescent="0.25">
      <c r="A2052">
        <v>2051</v>
      </c>
      <c r="B2052">
        <v>94</v>
      </c>
      <c r="C2052">
        <v>31421595</v>
      </c>
      <c r="D2052" t="s">
        <v>220</v>
      </c>
      <c r="E2052">
        <v>27.837</v>
      </c>
      <c r="F2052" t="s">
        <v>21</v>
      </c>
      <c r="G2052" t="s">
        <v>26</v>
      </c>
      <c r="H2052" t="s">
        <v>21</v>
      </c>
      <c r="I2052" t="s">
        <v>20</v>
      </c>
      <c r="J2052" t="s">
        <v>20</v>
      </c>
      <c r="K2052" t="s">
        <v>27</v>
      </c>
      <c r="L2052" t="s">
        <v>28</v>
      </c>
      <c r="M2052" t="s">
        <v>29</v>
      </c>
      <c r="N2052">
        <v>37.559623000000002</v>
      </c>
      <c r="O2052">
        <v>-112.016891</v>
      </c>
      <c r="P2052">
        <v>5893.7631270000002</v>
      </c>
      <c r="Q2052">
        <v>1328</v>
      </c>
      <c r="R2052">
        <v>0</v>
      </c>
    </row>
    <row r="2053" spans="1:18" x14ac:dyDescent="0.25">
      <c r="A2053">
        <v>2052</v>
      </c>
      <c r="B2053">
        <v>94</v>
      </c>
      <c r="C2053">
        <v>31326493</v>
      </c>
      <c r="D2053" t="s">
        <v>303</v>
      </c>
      <c r="E2053">
        <v>27.847000000000001</v>
      </c>
      <c r="F2053" t="s">
        <v>21</v>
      </c>
      <c r="G2053" t="s">
        <v>26</v>
      </c>
      <c r="H2053" t="s">
        <v>21</v>
      </c>
      <c r="I2053" t="s">
        <v>20</v>
      </c>
      <c r="J2053" t="s">
        <v>20</v>
      </c>
      <c r="K2053" t="s">
        <v>27</v>
      </c>
      <c r="L2053" t="s">
        <v>72</v>
      </c>
      <c r="M2053" t="s">
        <v>73</v>
      </c>
      <c r="N2053">
        <v>37.161088999999997</v>
      </c>
      <c r="O2053">
        <v>-113.042331</v>
      </c>
      <c r="P2053">
        <v>3654.5884120000001</v>
      </c>
      <c r="Q2053">
        <v>1326</v>
      </c>
      <c r="R2053">
        <v>0</v>
      </c>
    </row>
    <row r="2054" spans="1:18" x14ac:dyDescent="0.25">
      <c r="A2054">
        <v>2053</v>
      </c>
      <c r="B2054">
        <v>94</v>
      </c>
      <c r="C2054" t="s">
        <v>481</v>
      </c>
      <c r="D2054" t="s">
        <v>319</v>
      </c>
      <c r="E2054">
        <v>27.850999999999999</v>
      </c>
      <c r="F2054" t="s">
        <v>21</v>
      </c>
      <c r="G2054" t="s">
        <v>20</v>
      </c>
      <c r="H2054" t="s">
        <v>21</v>
      </c>
      <c r="I2054" t="s">
        <v>20</v>
      </c>
      <c r="J2054" t="s">
        <v>20</v>
      </c>
      <c r="K2054" t="s">
        <v>27</v>
      </c>
      <c r="L2054" t="s">
        <v>162</v>
      </c>
      <c r="M2054" t="s">
        <v>55</v>
      </c>
      <c r="N2054">
        <v>37.693086999999998</v>
      </c>
      <c r="O2054">
        <v>-113.610636</v>
      </c>
      <c r="P2054">
        <v>5110.8727559999998</v>
      </c>
      <c r="Q2054">
        <v>314</v>
      </c>
      <c r="R2054">
        <v>0</v>
      </c>
    </row>
    <row r="2055" spans="1:18" x14ac:dyDescent="0.25">
      <c r="A2055">
        <v>2054</v>
      </c>
      <c r="B2055">
        <v>94</v>
      </c>
      <c r="C2055">
        <v>31771655</v>
      </c>
      <c r="D2055" t="s">
        <v>353</v>
      </c>
      <c r="E2055">
        <v>27.867000000000001</v>
      </c>
      <c r="F2055" t="s">
        <v>21</v>
      </c>
      <c r="G2055" t="s">
        <v>26</v>
      </c>
      <c r="H2055" t="s">
        <v>21</v>
      </c>
      <c r="I2055" t="s">
        <v>20</v>
      </c>
      <c r="J2055" t="s">
        <v>20</v>
      </c>
      <c r="K2055" t="s">
        <v>31</v>
      </c>
      <c r="L2055" t="s">
        <v>433</v>
      </c>
      <c r="M2055" t="s">
        <v>138</v>
      </c>
      <c r="N2055">
        <v>41.014876999999998</v>
      </c>
      <c r="O2055">
        <v>-111.496734</v>
      </c>
      <c r="P2055">
        <v>5305.6653660000002</v>
      </c>
      <c r="Q2055">
        <v>1367</v>
      </c>
      <c r="R2055">
        <v>0</v>
      </c>
    </row>
    <row r="2056" spans="1:18" x14ac:dyDescent="0.25">
      <c r="A2056">
        <v>2055</v>
      </c>
      <c r="B2056">
        <v>94</v>
      </c>
      <c r="C2056">
        <v>31644377</v>
      </c>
      <c r="D2056" t="s">
        <v>233</v>
      </c>
      <c r="E2056">
        <v>27.869</v>
      </c>
      <c r="F2056" t="s">
        <v>21</v>
      </c>
      <c r="G2056" t="s">
        <v>20</v>
      </c>
      <c r="H2056" t="s">
        <v>21</v>
      </c>
      <c r="I2056" t="s">
        <v>20</v>
      </c>
      <c r="J2056" t="s">
        <v>20</v>
      </c>
      <c r="K2056" t="s">
        <v>22</v>
      </c>
      <c r="L2056" t="s">
        <v>234</v>
      </c>
      <c r="M2056" t="s">
        <v>235</v>
      </c>
      <c r="N2056">
        <v>40.260612000000002</v>
      </c>
      <c r="O2056">
        <v>-109.435378</v>
      </c>
      <c r="P2056">
        <v>5112.8733940000002</v>
      </c>
      <c r="Q2056">
        <v>1354</v>
      </c>
      <c r="R2056">
        <v>0</v>
      </c>
    </row>
    <row r="2057" spans="1:18" x14ac:dyDescent="0.25">
      <c r="A2057">
        <v>2056</v>
      </c>
      <c r="B2057">
        <v>94</v>
      </c>
      <c r="C2057" t="e">
        <f>-IpZD-RuI_95v4vT35JvlF</f>
        <v>#NAME?</v>
      </c>
      <c r="D2057" t="s">
        <v>184</v>
      </c>
      <c r="E2057">
        <v>27.873999999999999</v>
      </c>
      <c r="F2057" t="s">
        <v>21</v>
      </c>
      <c r="G2057" t="s">
        <v>20</v>
      </c>
      <c r="H2057" t="s">
        <v>21</v>
      </c>
      <c r="I2057" t="s">
        <v>20</v>
      </c>
      <c r="J2057" t="s">
        <v>20</v>
      </c>
      <c r="K2057" t="s">
        <v>27</v>
      </c>
      <c r="L2057" t="s">
        <v>143</v>
      </c>
      <c r="M2057" t="s">
        <v>55</v>
      </c>
      <c r="N2057">
        <v>38.027745000000003</v>
      </c>
      <c r="O2057">
        <v>-112.99820099999999</v>
      </c>
      <c r="P2057">
        <v>6206.9726309999996</v>
      </c>
      <c r="Q2057">
        <v>1410</v>
      </c>
      <c r="R2057">
        <v>0</v>
      </c>
    </row>
    <row r="2058" spans="1:18" x14ac:dyDescent="0.25">
      <c r="A2058">
        <v>2057</v>
      </c>
      <c r="B2058">
        <v>94</v>
      </c>
      <c r="C2058">
        <v>31518526</v>
      </c>
      <c r="D2058" t="s">
        <v>132</v>
      </c>
      <c r="E2058">
        <v>27.896000000000001</v>
      </c>
      <c r="F2058" t="s">
        <v>21</v>
      </c>
      <c r="G2058" t="s">
        <v>26</v>
      </c>
      <c r="H2058" t="s">
        <v>21</v>
      </c>
      <c r="I2058" t="s">
        <v>20</v>
      </c>
      <c r="J2058" t="s">
        <v>20</v>
      </c>
      <c r="K2058" t="s">
        <v>22</v>
      </c>
      <c r="L2058" t="s">
        <v>133</v>
      </c>
      <c r="M2058" t="s">
        <v>277</v>
      </c>
      <c r="N2058">
        <v>40.412030000000001</v>
      </c>
      <c r="O2058">
        <v>-109.73394500000001</v>
      </c>
      <c r="P2058">
        <v>5545.3288990000001</v>
      </c>
      <c r="Q2058">
        <v>1405</v>
      </c>
      <c r="R2058">
        <v>0</v>
      </c>
    </row>
    <row r="2059" spans="1:18" x14ac:dyDescent="0.25">
      <c r="A2059">
        <v>2058</v>
      </c>
      <c r="B2059">
        <v>94</v>
      </c>
      <c r="C2059">
        <v>31311539</v>
      </c>
      <c r="D2059" t="s">
        <v>268</v>
      </c>
      <c r="E2059">
        <v>27.896000000000001</v>
      </c>
      <c r="F2059" t="s">
        <v>21</v>
      </c>
      <c r="G2059" t="s">
        <v>26</v>
      </c>
      <c r="H2059" t="s">
        <v>21</v>
      </c>
      <c r="I2059" t="s">
        <v>20</v>
      </c>
      <c r="J2059" t="s">
        <v>20</v>
      </c>
      <c r="K2059" t="s">
        <v>41</v>
      </c>
      <c r="L2059" t="s">
        <v>181</v>
      </c>
      <c r="M2059" t="s">
        <v>43</v>
      </c>
      <c r="N2059">
        <v>41.783378999999996</v>
      </c>
      <c r="O2059">
        <v>-112.434479</v>
      </c>
      <c r="P2059">
        <v>4499.6731229999996</v>
      </c>
      <c r="Q2059">
        <v>1380</v>
      </c>
      <c r="R2059">
        <v>0</v>
      </c>
    </row>
    <row r="2060" spans="1:18" x14ac:dyDescent="0.25">
      <c r="A2060">
        <v>2059</v>
      </c>
      <c r="B2060">
        <v>94</v>
      </c>
      <c r="C2060">
        <v>31599150</v>
      </c>
      <c r="D2060" t="s">
        <v>50</v>
      </c>
      <c r="E2060">
        <v>3.1749999999999998</v>
      </c>
      <c r="F2060" t="s">
        <v>21</v>
      </c>
      <c r="G2060" t="s">
        <v>26</v>
      </c>
      <c r="H2060" t="s">
        <v>21</v>
      </c>
      <c r="I2060" t="s">
        <v>20</v>
      </c>
      <c r="J2060" t="s">
        <v>20</v>
      </c>
      <c r="K2060" t="s">
        <v>27</v>
      </c>
      <c r="L2060" t="s">
        <v>51</v>
      </c>
      <c r="M2060" t="s">
        <v>52</v>
      </c>
      <c r="N2060">
        <v>37.839742000000001</v>
      </c>
      <c r="O2060">
        <v>-112.820255</v>
      </c>
      <c r="P2060">
        <v>5991.9007499999998</v>
      </c>
      <c r="Q2060">
        <v>1418</v>
      </c>
      <c r="R2060">
        <v>0</v>
      </c>
    </row>
    <row r="2061" spans="1:18" x14ac:dyDescent="0.25">
      <c r="A2061">
        <v>2060</v>
      </c>
      <c r="B2061">
        <v>94</v>
      </c>
      <c r="C2061">
        <v>1220948</v>
      </c>
      <c r="D2061" t="s">
        <v>108</v>
      </c>
      <c r="E2061">
        <v>3.18</v>
      </c>
      <c r="F2061" t="s">
        <v>19</v>
      </c>
      <c r="G2061" t="s">
        <v>20</v>
      </c>
      <c r="H2061" t="s">
        <v>21</v>
      </c>
      <c r="I2061" t="s">
        <v>20</v>
      </c>
      <c r="J2061" t="s">
        <v>20</v>
      </c>
      <c r="K2061" t="s">
        <v>41</v>
      </c>
      <c r="L2061" t="s">
        <v>81</v>
      </c>
      <c r="M2061" t="s">
        <v>93</v>
      </c>
      <c r="N2061">
        <v>41.194074000000001</v>
      </c>
      <c r="O2061">
        <v>-111.97769</v>
      </c>
      <c r="P2061">
        <v>4327.766165</v>
      </c>
      <c r="Q2061">
        <v>1341</v>
      </c>
      <c r="R2061">
        <v>0</v>
      </c>
    </row>
    <row r="2062" spans="1:18" x14ac:dyDescent="0.25">
      <c r="A2062">
        <v>2061</v>
      </c>
      <c r="B2062">
        <v>94</v>
      </c>
      <c r="C2062" t="e">
        <f>-JNKL-oPIduXFI7xwabeQk</f>
        <v>#NAME?</v>
      </c>
      <c r="D2062" t="s">
        <v>65</v>
      </c>
      <c r="E2062">
        <v>3.1819999999999999</v>
      </c>
      <c r="F2062" t="s">
        <v>21</v>
      </c>
      <c r="G2062" t="s">
        <v>26</v>
      </c>
      <c r="H2062" t="s">
        <v>21</v>
      </c>
      <c r="I2062" t="s">
        <v>20</v>
      </c>
      <c r="J2062" t="s">
        <v>20</v>
      </c>
      <c r="K2062" t="s">
        <v>31</v>
      </c>
      <c r="L2062" t="s">
        <v>66</v>
      </c>
      <c r="M2062" t="s">
        <v>67</v>
      </c>
      <c r="N2062">
        <v>40.760756000000001</v>
      </c>
      <c r="O2062">
        <v>-111.87821</v>
      </c>
      <c r="P2062">
        <v>4230.645278</v>
      </c>
      <c r="Q2062">
        <v>402</v>
      </c>
      <c r="R2062">
        <v>0</v>
      </c>
    </row>
    <row r="2063" spans="1:18" x14ac:dyDescent="0.25">
      <c r="A2063">
        <v>2062</v>
      </c>
      <c r="B2063">
        <v>94</v>
      </c>
      <c r="C2063">
        <v>31399961</v>
      </c>
      <c r="D2063" t="s">
        <v>250</v>
      </c>
      <c r="E2063">
        <v>3.3969999999999998</v>
      </c>
      <c r="F2063" t="s">
        <v>21</v>
      </c>
      <c r="G2063" t="s">
        <v>26</v>
      </c>
      <c r="H2063" t="s">
        <v>21</v>
      </c>
      <c r="I2063" t="s">
        <v>20</v>
      </c>
      <c r="J2063" t="s">
        <v>20</v>
      </c>
      <c r="K2063" t="s">
        <v>27</v>
      </c>
      <c r="L2063" t="s">
        <v>75</v>
      </c>
      <c r="M2063" t="s">
        <v>76</v>
      </c>
      <c r="N2063">
        <v>38.774377999999999</v>
      </c>
      <c r="O2063">
        <v>-112.00593499999999</v>
      </c>
      <c r="P2063">
        <v>5183.4117020000003</v>
      </c>
      <c r="Q2063">
        <v>1404</v>
      </c>
      <c r="R2063">
        <v>0</v>
      </c>
    </row>
    <row r="2064" spans="1:18" x14ac:dyDescent="0.25">
      <c r="A2064">
        <v>2063</v>
      </c>
      <c r="B2064">
        <v>94</v>
      </c>
      <c r="C2064">
        <v>28335812</v>
      </c>
      <c r="D2064" t="s">
        <v>160</v>
      </c>
      <c r="E2064">
        <v>3.399</v>
      </c>
      <c r="F2064" t="s">
        <v>21</v>
      </c>
      <c r="G2064" t="s">
        <v>26</v>
      </c>
      <c r="H2064" t="s">
        <v>21</v>
      </c>
      <c r="I2064" t="s">
        <v>20</v>
      </c>
      <c r="J2064" t="s">
        <v>20</v>
      </c>
      <c r="K2064" t="s">
        <v>27</v>
      </c>
      <c r="L2064" t="s">
        <v>72</v>
      </c>
      <c r="M2064" t="s">
        <v>73</v>
      </c>
      <c r="N2064">
        <v>37.256613000000002</v>
      </c>
      <c r="O2064">
        <v>-113.28566499999999</v>
      </c>
      <c r="P2064">
        <v>3303.4281369999999</v>
      </c>
      <c r="Q2064">
        <v>1335</v>
      </c>
      <c r="R2064">
        <v>0</v>
      </c>
    </row>
    <row r="2065" spans="1:18" x14ac:dyDescent="0.25">
      <c r="A2065">
        <v>2064</v>
      </c>
      <c r="B2065">
        <v>94</v>
      </c>
      <c r="C2065">
        <v>31295091</v>
      </c>
      <c r="D2065" t="s">
        <v>338</v>
      </c>
      <c r="E2065">
        <v>3.4</v>
      </c>
      <c r="F2065" t="s">
        <v>21</v>
      </c>
      <c r="G2065" t="s">
        <v>26</v>
      </c>
      <c r="H2065" t="s">
        <v>21</v>
      </c>
      <c r="I2065" t="s">
        <v>20</v>
      </c>
      <c r="J2065" t="s">
        <v>20</v>
      </c>
      <c r="K2065" t="s">
        <v>27</v>
      </c>
      <c r="L2065" t="s">
        <v>72</v>
      </c>
      <c r="M2065" t="s">
        <v>73</v>
      </c>
      <c r="N2065">
        <v>37.027372</v>
      </c>
      <c r="O2065">
        <v>-113.04987</v>
      </c>
      <c r="P2065">
        <v>4819.2049209999996</v>
      </c>
      <c r="Q2065">
        <v>315</v>
      </c>
      <c r="R2065">
        <v>0</v>
      </c>
    </row>
    <row r="2066" spans="1:18" x14ac:dyDescent="0.25">
      <c r="A2066">
        <v>2065</v>
      </c>
      <c r="B2066">
        <v>94</v>
      </c>
      <c r="C2066">
        <v>559014</v>
      </c>
      <c r="D2066" t="s">
        <v>115</v>
      </c>
      <c r="E2066">
        <v>3.4009999999999998</v>
      </c>
      <c r="F2066" t="s">
        <v>21</v>
      </c>
      <c r="G2066" t="s">
        <v>26</v>
      </c>
      <c r="H2066" t="s">
        <v>21</v>
      </c>
      <c r="I2066" t="s">
        <v>20</v>
      </c>
      <c r="J2066" t="s">
        <v>20</v>
      </c>
      <c r="K2066" t="s">
        <v>31</v>
      </c>
      <c r="L2066" t="s">
        <v>48</v>
      </c>
      <c r="M2066" t="s">
        <v>70</v>
      </c>
      <c r="N2066">
        <v>40.653038000000002</v>
      </c>
      <c r="O2066">
        <v>-112.012264</v>
      </c>
      <c r="P2066">
        <v>4637.0768859999998</v>
      </c>
      <c r="Q2066">
        <v>1437</v>
      </c>
      <c r="R2066">
        <v>0</v>
      </c>
    </row>
    <row r="2067" spans="1:18" x14ac:dyDescent="0.25">
      <c r="A2067">
        <v>2066</v>
      </c>
      <c r="B2067">
        <v>94</v>
      </c>
      <c r="C2067">
        <v>27690244</v>
      </c>
      <c r="D2067" t="s">
        <v>217</v>
      </c>
      <c r="E2067">
        <v>3.403</v>
      </c>
      <c r="F2067" t="s">
        <v>21</v>
      </c>
      <c r="G2067" t="s">
        <v>26</v>
      </c>
      <c r="H2067" t="s">
        <v>21</v>
      </c>
      <c r="I2067" t="s">
        <v>20</v>
      </c>
      <c r="J2067" t="s">
        <v>20</v>
      </c>
      <c r="K2067" t="s">
        <v>27</v>
      </c>
      <c r="L2067" t="s">
        <v>72</v>
      </c>
      <c r="M2067" t="s">
        <v>163</v>
      </c>
      <c r="N2067">
        <v>37.127602000000003</v>
      </c>
      <c r="O2067">
        <v>-113.601759</v>
      </c>
      <c r="P2067">
        <v>2846.5229319999999</v>
      </c>
      <c r="Q2067">
        <v>304</v>
      </c>
      <c r="R2067">
        <v>0</v>
      </c>
    </row>
    <row r="2068" spans="1:18" x14ac:dyDescent="0.25">
      <c r="A2068">
        <v>2067</v>
      </c>
      <c r="B2068">
        <v>94</v>
      </c>
      <c r="C2068">
        <v>969674</v>
      </c>
      <c r="D2068" t="s">
        <v>65</v>
      </c>
      <c r="E2068">
        <v>3.4060000000000001</v>
      </c>
      <c r="F2068" t="s">
        <v>19</v>
      </c>
      <c r="G2068" t="s">
        <v>20</v>
      </c>
      <c r="H2068" t="s">
        <v>21</v>
      </c>
      <c r="I2068" t="s">
        <v>20</v>
      </c>
      <c r="J2068" t="s">
        <v>20</v>
      </c>
      <c r="K2068" t="s">
        <v>31</v>
      </c>
      <c r="L2068" t="s">
        <v>66</v>
      </c>
      <c r="M2068" t="s">
        <v>67</v>
      </c>
      <c r="N2068">
        <v>40.760632999999999</v>
      </c>
      <c r="O2068">
        <v>-111.873931</v>
      </c>
      <c r="P2068">
        <v>4254.8982230000001</v>
      </c>
      <c r="Q2068">
        <v>402</v>
      </c>
      <c r="R2068">
        <v>0</v>
      </c>
    </row>
    <row r="2069" spans="1:18" x14ac:dyDescent="0.25">
      <c r="A2069">
        <v>2068</v>
      </c>
      <c r="B2069">
        <v>94</v>
      </c>
      <c r="C2069">
        <v>1739705</v>
      </c>
      <c r="D2069" t="s">
        <v>197</v>
      </c>
      <c r="E2069">
        <v>3.4079999999999999</v>
      </c>
      <c r="F2069" t="s">
        <v>21</v>
      </c>
      <c r="G2069" t="s">
        <v>20</v>
      </c>
      <c r="H2069" t="s">
        <v>21</v>
      </c>
      <c r="I2069" t="s">
        <v>20</v>
      </c>
      <c r="J2069" t="s">
        <v>20</v>
      </c>
      <c r="K2069" t="s">
        <v>22</v>
      </c>
      <c r="L2069" t="s">
        <v>198</v>
      </c>
      <c r="M2069" t="s">
        <v>125</v>
      </c>
      <c r="N2069">
        <v>40.004592000000002</v>
      </c>
      <c r="O2069">
        <v>-111.806797</v>
      </c>
      <c r="P2069">
        <v>4741.747453</v>
      </c>
      <c r="Q2069">
        <v>1416</v>
      </c>
      <c r="R2069">
        <v>0</v>
      </c>
    </row>
    <row r="2070" spans="1:18" x14ac:dyDescent="0.25">
      <c r="A2070">
        <v>2069</v>
      </c>
      <c r="B2070">
        <v>94</v>
      </c>
      <c r="C2070">
        <v>1172475</v>
      </c>
      <c r="D2070" t="s">
        <v>128</v>
      </c>
      <c r="E2070">
        <v>3.4089999999999998</v>
      </c>
      <c r="F2070" t="s">
        <v>21</v>
      </c>
      <c r="G2070" t="s">
        <v>26</v>
      </c>
      <c r="H2070" t="s">
        <v>21</v>
      </c>
      <c r="I2070" t="s">
        <v>20</v>
      </c>
      <c r="J2070" t="s">
        <v>20</v>
      </c>
      <c r="K2070" t="s">
        <v>41</v>
      </c>
      <c r="L2070" t="s">
        <v>95</v>
      </c>
      <c r="M2070" t="s">
        <v>73</v>
      </c>
      <c r="N2070">
        <v>41.747033000000002</v>
      </c>
      <c r="O2070">
        <v>-111.85908999999999</v>
      </c>
      <c r="P2070">
        <v>4405.9414669999996</v>
      </c>
      <c r="Q2070">
        <v>5943</v>
      </c>
      <c r="R2070">
        <v>0</v>
      </c>
    </row>
    <row r="2071" spans="1:18" x14ac:dyDescent="0.25">
      <c r="A2071">
        <v>2070</v>
      </c>
      <c r="B2071">
        <v>94</v>
      </c>
      <c r="C2071">
        <v>28831987</v>
      </c>
      <c r="D2071" t="s">
        <v>316</v>
      </c>
      <c r="E2071">
        <v>3.4119999999999999</v>
      </c>
      <c r="F2071" t="s">
        <v>21</v>
      </c>
      <c r="G2071" t="s">
        <v>26</v>
      </c>
      <c r="H2071" t="s">
        <v>21</v>
      </c>
      <c r="I2071" t="s">
        <v>20</v>
      </c>
      <c r="J2071" t="s">
        <v>20</v>
      </c>
      <c r="K2071" t="s">
        <v>31</v>
      </c>
      <c r="L2071" t="s">
        <v>130</v>
      </c>
      <c r="M2071" t="s">
        <v>302</v>
      </c>
      <c r="N2071">
        <v>40.584282000000002</v>
      </c>
      <c r="O2071">
        <v>-111.238658</v>
      </c>
      <c r="P2071">
        <v>6612.30483</v>
      </c>
      <c r="Q2071">
        <v>1346</v>
      </c>
      <c r="R2071">
        <v>0</v>
      </c>
    </row>
    <row r="2072" spans="1:18" x14ac:dyDescent="0.25">
      <c r="A2072">
        <v>2071</v>
      </c>
      <c r="B2072">
        <v>94</v>
      </c>
      <c r="C2072">
        <v>31557751</v>
      </c>
      <c r="D2072" t="s">
        <v>102</v>
      </c>
      <c r="E2072">
        <v>3.4140000000000001</v>
      </c>
      <c r="F2072" t="s">
        <v>21</v>
      </c>
      <c r="G2072" t="s">
        <v>26</v>
      </c>
      <c r="H2072" t="s">
        <v>21</v>
      </c>
      <c r="I2072" t="s">
        <v>20</v>
      </c>
      <c r="J2072" t="s">
        <v>20</v>
      </c>
      <c r="K2072" t="s">
        <v>27</v>
      </c>
      <c r="L2072" t="s">
        <v>103</v>
      </c>
      <c r="M2072" t="s">
        <v>104</v>
      </c>
      <c r="N2072">
        <v>38.293353000000003</v>
      </c>
      <c r="O2072">
        <v>-112.64485999999999</v>
      </c>
      <c r="P2072">
        <v>5894.4820019999997</v>
      </c>
      <c r="Q2072">
        <v>1430</v>
      </c>
      <c r="R2072">
        <v>0</v>
      </c>
    </row>
    <row r="2073" spans="1:18" x14ac:dyDescent="0.25">
      <c r="A2073">
        <v>2072</v>
      </c>
      <c r="B2073">
        <v>94</v>
      </c>
      <c r="C2073">
        <v>31192699</v>
      </c>
      <c r="D2073" t="s">
        <v>153</v>
      </c>
      <c r="E2073">
        <v>3.4140000000000001</v>
      </c>
      <c r="F2073" t="s">
        <v>21</v>
      </c>
      <c r="G2073" t="s">
        <v>26</v>
      </c>
      <c r="H2073" t="s">
        <v>21</v>
      </c>
      <c r="I2073" t="s">
        <v>20</v>
      </c>
      <c r="J2073" t="s">
        <v>20</v>
      </c>
      <c r="K2073" t="s">
        <v>22</v>
      </c>
      <c r="L2073" t="s">
        <v>84</v>
      </c>
      <c r="M2073" t="s">
        <v>85</v>
      </c>
      <c r="N2073">
        <v>40.405360999999999</v>
      </c>
      <c r="O2073">
        <v>-111.74914200000001</v>
      </c>
      <c r="P2073">
        <v>4869.9417119999998</v>
      </c>
      <c r="R2073">
        <v>0</v>
      </c>
    </row>
    <row r="2074" spans="1:18" x14ac:dyDescent="0.25">
      <c r="A2074">
        <v>2073</v>
      </c>
      <c r="B2074">
        <v>94</v>
      </c>
      <c r="C2074">
        <v>486555</v>
      </c>
      <c r="D2074" t="s">
        <v>83</v>
      </c>
      <c r="E2074">
        <v>3.415</v>
      </c>
      <c r="F2074" t="s">
        <v>21</v>
      </c>
      <c r="G2074" t="s">
        <v>26</v>
      </c>
      <c r="H2074" t="s">
        <v>21</v>
      </c>
      <c r="I2074" t="s">
        <v>20</v>
      </c>
      <c r="J2074" t="s">
        <v>20</v>
      </c>
      <c r="K2074" t="s">
        <v>22</v>
      </c>
      <c r="L2074" t="s">
        <v>84</v>
      </c>
      <c r="M2074" t="s">
        <v>85</v>
      </c>
      <c r="N2074">
        <v>40.424948000000001</v>
      </c>
      <c r="O2074">
        <v>-111.785943</v>
      </c>
      <c r="P2074">
        <v>4848.6183709999996</v>
      </c>
      <c r="Q2074">
        <v>319</v>
      </c>
      <c r="R2074">
        <v>0</v>
      </c>
    </row>
    <row r="2075" spans="1:18" x14ac:dyDescent="0.25">
      <c r="A2075">
        <v>2074</v>
      </c>
      <c r="B2075">
        <v>94</v>
      </c>
      <c r="C2075">
        <v>31757722</v>
      </c>
      <c r="D2075" t="s">
        <v>105</v>
      </c>
      <c r="E2075">
        <v>3.4159999999999999</v>
      </c>
      <c r="F2075" t="s">
        <v>21</v>
      </c>
      <c r="G2075" t="s">
        <v>26</v>
      </c>
      <c r="H2075" t="s">
        <v>21</v>
      </c>
      <c r="I2075" t="s">
        <v>20</v>
      </c>
      <c r="J2075" t="s">
        <v>20</v>
      </c>
      <c r="K2075" t="s">
        <v>27</v>
      </c>
      <c r="L2075" t="s">
        <v>51</v>
      </c>
      <c r="M2075" t="s">
        <v>106</v>
      </c>
      <c r="N2075">
        <v>37.880279000000002</v>
      </c>
      <c r="O2075">
        <v>-112.77824099999999</v>
      </c>
      <c r="P2075">
        <v>5786.597976</v>
      </c>
      <c r="Q2075">
        <v>432</v>
      </c>
      <c r="R2075">
        <v>0</v>
      </c>
    </row>
    <row r="2076" spans="1:18" x14ac:dyDescent="0.25">
      <c r="A2076">
        <v>2075</v>
      </c>
      <c r="B2076">
        <v>94</v>
      </c>
      <c r="C2076">
        <v>31584354</v>
      </c>
      <c r="D2076" t="s">
        <v>271</v>
      </c>
      <c r="E2076">
        <v>3.419</v>
      </c>
      <c r="F2076" t="s">
        <v>21</v>
      </c>
      <c r="G2076" t="s">
        <v>26</v>
      </c>
      <c r="H2076" t="s">
        <v>21</v>
      </c>
      <c r="I2076" t="s">
        <v>20</v>
      </c>
      <c r="J2076" t="s">
        <v>20</v>
      </c>
      <c r="K2076" t="s">
        <v>31</v>
      </c>
      <c r="L2076" t="s">
        <v>282</v>
      </c>
      <c r="M2076" t="s">
        <v>24</v>
      </c>
      <c r="N2076">
        <v>40.360463000000003</v>
      </c>
      <c r="O2076">
        <v>-112.32781</v>
      </c>
      <c r="P2076">
        <v>5412.6636310000004</v>
      </c>
      <c r="Q2076">
        <v>1372</v>
      </c>
      <c r="R2076">
        <v>0</v>
      </c>
    </row>
    <row r="2077" spans="1:18" x14ac:dyDescent="0.25">
      <c r="A2077">
        <v>2076</v>
      </c>
      <c r="B2077">
        <v>94</v>
      </c>
      <c r="C2077">
        <v>28869769</v>
      </c>
      <c r="D2077" t="s">
        <v>18</v>
      </c>
      <c r="E2077">
        <v>3.423</v>
      </c>
      <c r="F2077" t="s">
        <v>21</v>
      </c>
      <c r="G2077" t="s">
        <v>20</v>
      </c>
      <c r="H2077" t="s">
        <v>21</v>
      </c>
      <c r="I2077" t="s">
        <v>20</v>
      </c>
      <c r="J2077" t="s">
        <v>20</v>
      </c>
      <c r="K2077" t="s">
        <v>22</v>
      </c>
      <c r="L2077" t="s">
        <v>23</v>
      </c>
      <c r="M2077" t="s">
        <v>24</v>
      </c>
      <c r="N2077">
        <v>40.265143000000002</v>
      </c>
      <c r="O2077">
        <v>-111.670548</v>
      </c>
      <c r="P2077">
        <v>4584.3347999999996</v>
      </c>
      <c r="Q2077">
        <v>1281</v>
      </c>
      <c r="R2077">
        <v>0</v>
      </c>
    </row>
    <row r="2078" spans="1:18" x14ac:dyDescent="0.25">
      <c r="A2078">
        <v>2077</v>
      </c>
      <c r="B2078">
        <v>94</v>
      </c>
      <c r="C2078" t="e">
        <f>-JLH3gugFSqcNR7MVuj8_F</f>
        <v>#NAME?</v>
      </c>
      <c r="D2078" t="s">
        <v>271</v>
      </c>
      <c r="E2078">
        <v>32.341999999999999</v>
      </c>
      <c r="F2078" t="s">
        <v>21</v>
      </c>
      <c r="G2078" t="s">
        <v>26</v>
      </c>
      <c r="H2078" t="s">
        <v>21</v>
      </c>
      <c r="I2078" t="s">
        <v>20</v>
      </c>
      <c r="J2078" t="s">
        <v>20</v>
      </c>
      <c r="K2078" t="s">
        <v>22</v>
      </c>
      <c r="L2078" t="s">
        <v>263</v>
      </c>
      <c r="M2078" t="s">
        <v>24</v>
      </c>
      <c r="N2078">
        <v>40.379900999999997</v>
      </c>
      <c r="O2078">
        <v>-111.992913</v>
      </c>
      <c r="P2078">
        <v>4947.7788149999997</v>
      </c>
      <c r="Q2078">
        <v>1372</v>
      </c>
      <c r="R2078">
        <v>0</v>
      </c>
    </row>
    <row r="2079" spans="1:18" x14ac:dyDescent="0.25">
      <c r="A2079">
        <v>2078</v>
      </c>
      <c r="B2079">
        <v>94</v>
      </c>
      <c r="C2079">
        <v>31442080</v>
      </c>
      <c r="D2079" t="s">
        <v>319</v>
      </c>
      <c r="E2079">
        <v>32.365000000000002</v>
      </c>
      <c r="F2079" t="s">
        <v>21</v>
      </c>
      <c r="G2079" t="s">
        <v>26</v>
      </c>
      <c r="H2079" t="s">
        <v>21</v>
      </c>
      <c r="I2079" t="s">
        <v>20</v>
      </c>
      <c r="J2079" t="s">
        <v>20</v>
      </c>
      <c r="K2079" t="s">
        <v>27</v>
      </c>
      <c r="L2079" t="s">
        <v>162</v>
      </c>
      <c r="M2079" t="s">
        <v>55</v>
      </c>
      <c r="N2079">
        <v>37.673608000000002</v>
      </c>
      <c r="O2079">
        <v>-113.533963</v>
      </c>
      <c r="P2079">
        <v>5232.6180750000003</v>
      </c>
      <c r="Q2079">
        <v>314</v>
      </c>
      <c r="R2079">
        <v>0</v>
      </c>
    </row>
    <row r="2080" spans="1:18" x14ac:dyDescent="0.25">
      <c r="A2080">
        <v>2079</v>
      </c>
      <c r="B2080">
        <v>94</v>
      </c>
      <c r="C2080">
        <v>31394771</v>
      </c>
      <c r="D2080" t="s">
        <v>124</v>
      </c>
      <c r="E2080">
        <v>32.408000000000001</v>
      </c>
      <c r="F2080" t="s">
        <v>21</v>
      </c>
      <c r="G2080" t="s">
        <v>26</v>
      </c>
      <c r="H2080" t="s">
        <v>21</v>
      </c>
      <c r="I2080" t="s">
        <v>20</v>
      </c>
      <c r="J2080" t="s">
        <v>20</v>
      </c>
      <c r="K2080" t="s">
        <v>22</v>
      </c>
      <c r="L2080" t="s">
        <v>84</v>
      </c>
      <c r="M2080" t="s">
        <v>125</v>
      </c>
      <c r="N2080">
        <v>40.382821</v>
      </c>
      <c r="O2080">
        <v>-111.916399</v>
      </c>
      <c r="P2080">
        <v>4472.0337419999996</v>
      </c>
      <c r="Q2080">
        <v>1368</v>
      </c>
      <c r="R2080">
        <v>0</v>
      </c>
    </row>
    <row r="2081" spans="1:18" x14ac:dyDescent="0.25">
      <c r="A2081">
        <v>2080</v>
      </c>
      <c r="B2081">
        <v>94</v>
      </c>
      <c r="C2081" t="e">
        <f>-JQDiOhDFi1uADiOMN6e3F</f>
        <v>#NAME?</v>
      </c>
      <c r="D2081" t="s">
        <v>132</v>
      </c>
      <c r="E2081">
        <v>32.436999999999998</v>
      </c>
      <c r="F2081" t="s">
        <v>21</v>
      </c>
      <c r="G2081" t="s">
        <v>20</v>
      </c>
      <c r="H2081" t="s">
        <v>21</v>
      </c>
      <c r="I2081" t="s">
        <v>20</v>
      </c>
      <c r="J2081" t="s">
        <v>20</v>
      </c>
      <c r="K2081" t="s">
        <v>22</v>
      </c>
      <c r="L2081" t="s">
        <v>234</v>
      </c>
      <c r="M2081" t="s">
        <v>277</v>
      </c>
      <c r="N2081">
        <v>40.429726000000002</v>
      </c>
      <c r="O2081">
        <v>-109.661627</v>
      </c>
      <c r="P2081">
        <v>5851.3829239999995</v>
      </c>
      <c r="Q2081">
        <v>1405</v>
      </c>
      <c r="R2081">
        <v>0</v>
      </c>
    </row>
    <row r="2082" spans="1:18" x14ac:dyDescent="0.25">
      <c r="A2082">
        <v>2081</v>
      </c>
      <c r="B2082">
        <v>94</v>
      </c>
      <c r="C2082">
        <v>31470890</v>
      </c>
      <c r="D2082" t="s">
        <v>348</v>
      </c>
      <c r="E2082">
        <v>15.635</v>
      </c>
      <c r="F2082" t="s">
        <v>21</v>
      </c>
      <c r="G2082" t="s">
        <v>26</v>
      </c>
      <c r="H2082" t="s">
        <v>21</v>
      </c>
      <c r="I2082" t="s">
        <v>20</v>
      </c>
      <c r="J2082" t="s">
        <v>20</v>
      </c>
      <c r="K2082" t="s">
        <v>27</v>
      </c>
      <c r="L2082" t="s">
        <v>122</v>
      </c>
      <c r="M2082" t="s">
        <v>123</v>
      </c>
      <c r="N2082">
        <v>38.158828999999997</v>
      </c>
      <c r="O2082">
        <v>-110.621718</v>
      </c>
      <c r="P2082">
        <v>4846.4660379999996</v>
      </c>
      <c r="Q2082">
        <v>1388</v>
      </c>
      <c r="R2082">
        <v>0</v>
      </c>
    </row>
    <row r="2083" spans="1:18" x14ac:dyDescent="0.25">
      <c r="A2083">
        <v>2082</v>
      </c>
      <c r="B2083">
        <v>94</v>
      </c>
      <c r="C2083">
        <v>31588536</v>
      </c>
      <c r="D2083" t="s">
        <v>271</v>
      </c>
      <c r="E2083">
        <v>15.638</v>
      </c>
      <c r="F2083" t="s">
        <v>21</v>
      </c>
      <c r="G2083" t="s">
        <v>20</v>
      </c>
      <c r="H2083" t="s">
        <v>21</v>
      </c>
      <c r="I2083" t="s">
        <v>20</v>
      </c>
      <c r="J2083" t="s">
        <v>20</v>
      </c>
      <c r="K2083" t="s">
        <v>31</v>
      </c>
      <c r="L2083" t="s">
        <v>282</v>
      </c>
      <c r="M2083" t="s">
        <v>24</v>
      </c>
      <c r="N2083">
        <v>40.231031000000002</v>
      </c>
      <c r="O2083">
        <v>-112.18155899999999</v>
      </c>
      <c r="P2083">
        <v>5247.5771670000004</v>
      </c>
      <c r="Q2083">
        <v>1372</v>
      </c>
      <c r="R2083">
        <v>0</v>
      </c>
    </row>
    <row r="2084" spans="1:18" x14ac:dyDescent="0.25">
      <c r="A2084">
        <v>2083</v>
      </c>
      <c r="B2084">
        <v>94</v>
      </c>
      <c r="C2084">
        <v>31429588</v>
      </c>
      <c r="D2084" t="s">
        <v>319</v>
      </c>
      <c r="E2084">
        <v>15.644</v>
      </c>
      <c r="F2084" t="s">
        <v>21</v>
      </c>
      <c r="G2084" t="s">
        <v>26</v>
      </c>
      <c r="H2084" t="s">
        <v>21</v>
      </c>
      <c r="I2084" t="s">
        <v>20</v>
      </c>
      <c r="J2084" t="s">
        <v>20</v>
      </c>
      <c r="K2084" t="s">
        <v>27</v>
      </c>
      <c r="L2084" t="s">
        <v>162</v>
      </c>
      <c r="M2084" t="s">
        <v>55</v>
      </c>
      <c r="N2084">
        <v>37.765262</v>
      </c>
      <c r="O2084">
        <v>-113.814037</v>
      </c>
      <c r="P2084">
        <v>5191.7334540000002</v>
      </c>
      <c r="Q2084">
        <v>314</v>
      </c>
      <c r="R2084">
        <v>0</v>
      </c>
    </row>
    <row r="2085" spans="1:18" x14ac:dyDescent="0.25">
      <c r="A2085">
        <v>2084</v>
      </c>
      <c r="B2085">
        <v>94</v>
      </c>
      <c r="C2085">
        <v>31431250</v>
      </c>
      <c r="D2085" t="s">
        <v>345</v>
      </c>
      <c r="E2085">
        <v>17.436</v>
      </c>
      <c r="F2085" t="s">
        <v>21</v>
      </c>
      <c r="G2085" t="s">
        <v>26</v>
      </c>
      <c r="H2085" t="s">
        <v>21</v>
      </c>
      <c r="I2085" t="s">
        <v>20</v>
      </c>
      <c r="J2085" t="s">
        <v>20</v>
      </c>
      <c r="K2085" t="s">
        <v>27</v>
      </c>
      <c r="L2085" t="s">
        <v>75</v>
      </c>
      <c r="M2085" t="s">
        <v>76</v>
      </c>
      <c r="N2085">
        <v>38.791442000000004</v>
      </c>
      <c r="O2085">
        <v>-112.04347</v>
      </c>
      <c r="P2085">
        <v>5229.2981870000003</v>
      </c>
      <c r="Q2085">
        <v>1403</v>
      </c>
      <c r="R2085">
        <v>0</v>
      </c>
    </row>
    <row r="2086" spans="1:18" x14ac:dyDescent="0.25">
      <c r="A2086">
        <v>2085</v>
      </c>
      <c r="B2086">
        <v>94</v>
      </c>
      <c r="C2086">
        <v>28564414</v>
      </c>
      <c r="D2086" t="s">
        <v>323</v>
      </c>
      <c r="E2086">
        <v>17.454999999999998</v>
      </c>
      <c r="F2086" t="s">
        <v>21</v>
      </c>
      <c r="G2086" t="s">
        <v>26</v>
      </c>
      <c r="H2086" t="s">
        <v>21</v>
      </c>
      <c r="I2086" t="s">
        <v>20</v>
      </c>
      <c r="J2086" t="s">
        <v>20</v>
      </c>
      <c r="K2086" t="s">
        <v>31</v>
      </c>
      <c r="L2086" t="s">
        <v>130</v>
      </c>
      <c r="M2086" t="s">
        <v>131</v>
      </c>
      <c r="N2086">
        <v>40.708571999999997</v>
      </c>
      <c r="O2086">
        <v>-111.291557</v>
      </c>
      <c r="P2086">
        <v>6390.3840550000004</v>
      </c>
      <c r="Q2086">
        <v>1345</v>
      </c>
      <c r="R2086">
        <v>0</v>
      </c>
    </row>
    <row r="2087" spans="1:18" x14ac:dyDescent="0.25">
      <c r="A2087">
        <v>2086</v>
      </c>
      <c r="B2087">
        <v>94</v>
      </c>
      <c r="C2087">
        <v>31302997</v>
      </c>
      <c r="D2087" t="s">
        <v>116</v>
      </c>
      <c r="E2087">
        <v>17.466000000000001</v>
      </c>
      <c r="F2087" t="s">
        <v>21</v>
      </c>
      <c r="G2087" t="s">
        <v>26</v>
      </c>
      <c r="H2087" t="s">
        <v>21</v>
      </c>
      <c r="I2087" t="s">
        <v>20</v>
      </c>
      <c r="J2087" t="s">
        <v>20</v>
      </c>
      <c r="K2087" t="s">
        <v>41</v>
      </c>
      <c r="L2087" t="s">
        <v>42</v>
      </c>
      <c r="M2087" t="s">
        <v>43</v>
      </c>
      <c r="N2087">
        <v>41.622551000000001</v>
      </c>
      <c r="O2087">
        <v>-111.92827200000001</v>
      </c>
      <c r="P2087">
        <v>4525.1951950000002</v>
      </c>
      <c r="Q2087">
        <v>324</v>
      </c>
      <c r="R2087">
        <v>0</v>
      </c>
    </row>
    <row r="2088" spans="1:18" x14ac:dyDescent="0.25">
      <c r="A2088">
        <v>2087</v>
      </c>
      <c r="B2088">
        <v>94</v>
      </c>
      <c r="C2088">
        <v>28164077</v>
      </c>
      <c r="D2088" t="s">
        <v>239</v>
      </c>
      <c r="E2088">
        <v>17.468</v>
      </c>
      <c r="F2088" t="s">
        <v>21</v>
      </c>
      <c r="G2088" t="s">
        <v>26</v>
      </c>
      <c r="H2088" t="s">
        <v>21</v>
      </c>
      <c r="I2088" t="s">
        <v>20</v>
      </c>
      <c r="J2088" t="s">
        <v>20</v>
      </c>
      <c r="K2088" t="s">
        <v>41</v>
      </c>
      <c r="L2088" t="s">
        <v>181</v>
      </c>
      <c r="M2088" t="s">
        <v>178</v>
      </c>
      <c r="N2088">
        <v>41.712302000000001</v>
      </c>
      <c r="O2088">
        <v>-112.142892</v>
      </c>
      <c r="P2088">
        <v>4275.4787569999999</v>
      </c>
      <c r="Q2088">
        <v>1392</v>
      </c>
      <c r="R2088">
        <v>0</v>
      </c>
    </row>
    <row r="2089" spans="1:18" x14ac:dyDescent="0.25">
      <c r="A2089">
        <v>2088</v>
      </c>
      <c r="B2089">
        <v>94</v>
      </c>
      <c r="C2089">
        <v>31407372</v>
      </c>
      <c r="D2089" t="s">
        <v>63</v>
      </c>
      <c r="E2089">
        <v>17.478000000000002</v>
      </c>
      <c r="F2089" t="s">
        <v>21</v>
      </c>
      <c r="G2089" t="s">
        <v>26</v>
      </c>
      <c r="H2089" t="s">
        <v>21</v>
      </c>
      <c r="I2089" t="s">
        <v>20</v>
      </c>
      <c r="J2089" t="s">
        <v>20</v>
      </c>
      <c r="K2089" t="s">
        <v>27</v>
      </c>
      <c r="L2089" t="s">
        <v>64</v>
      </c>
      <c r="M2089" t="s">
        <v>29</v>
      </c>
      <c r="N2089">
        <v>38.233955999999999</v>
      </c>
      <c r="O2089">
        <v>-111.991844</v>
      </c>
      <c r="P2089">
        <v>6390.2144989999997</v>
      </c>
      <c r="Q2089">
        <v>1365</v>
      </c>
      <c r="R2089">
        <v>0</v>
      </c>
    </row>
    <row r="2090" spans="1:18" x14ac:dyDescent="0.25">
      <c r="A2090">
        <v>2089</v>
      </c>
      <c r="B2090">
        <v>94</v>
      </c>
      <c r="C2090">
        <v>31515728</v>
      </c>
      <c r="D2090" t="s">
        <v>132</v>
      </c>
      <c r="E2090">
        <v>17.481000000000002</v>
      </c>
      <c r="F2090" t="s">
        <v>21</v>
      </c>
      <c r="G2090" t="s">
        <v>26</v>
      </c>
      <c r="H2090" t="s">
        <v>21</v>
      </c>
      <c r="I2090" t="s">
        <v>20</v>
      </c>
      <c r="J2090" t="s">
        <v>20</v>
      </c>
      <c r="K2090" t="s">
        <v>22</v>
      </c>
      <c r="L2090" t="s">
        <v>133</v>
      </c>
      <c r="M2090" t="s">
        <v>134</v>
      </c>
      <c r="N2090">
        <v>40.403945</v>
      </c>
      <c r="O2090">
        <v>-109.91638399999999</v>
      </c>
      <c r="P2090">
        <v>5526.6656139999996</v>
      </c>
      <c r="Q2090">
        <v>1405</v>
      </c>
      <c r="R2090">
        <v>0</v>
      </c>
    </row>
    <row r="2091" spans="1:18" x14ac:dyDescent="0.25">
      <c r="A2091">
        <v>2090</v>
      </c>
      <c r="B2091">
        <v>94</v>
      </c>
      <c r="C2091">
        <v>31305387</v>
      </c>
      <c r="D2091" t="s">
        <v>203</v>
      </c>
      <c r="E2091">
        <v>17.491</v>
      </c>
      <c r="F2091" t="s">
        <v>21</v>
      </c>
      <c r="G2091" t="s">
        <v>26</v>
      </c>
      <c r="H2091" t="s">
        <v>19</v>
      </c>
      <c r="I2091">
        <v>167</v>
      </c>
      <c r="J2091" t="s">
        <v>20</v>
      </c>
      <c r="K2091" t="s">
        <v>41</v>
      </c>
      <c r="L2091" t="s">
        <v>255</v>
      </c>
      <c r="M2091" t="s">
        <v>204</v>
      </c>
      <c r="N2091">
        <v>41.247981000000003</v>
      </c>
      <c r="O2091">
        <v>-111.77643399999999</v>
      </c>
      <c r="P2091">
        <v>4892.4600289999998</v>
      </c>
      <c r="Q2091">
        <v>1349</v>
      </c>
      <c r="R2091">
        <v>0</v>
      </c>
    </row>
    <row r="2092" spans="1:18" x14ac:dyDescent="0.25">
      <c r="A2092">
        <v>2091</v>
      </c>
      <c r="B2092">
        <v>94</v>
      </c>
      <c r="C2092">
        <v>28232878</v>
      </c>
      <c r="D2092" t="s">
        <v>240</v>
      </c>
      <c r="E2092">
        <v>17.492000000000001</v>
      </c>
      <c r="F2092" t="s">
        <v>21</v>
      </c>
      <c r="G2092" t="s">
        <v>20</v>
      </c>
      <c r="H2092" t="s">
        <v>21</v>
      </c>
      <c r="I2092" t="s">
        <v>20</v>
      </c>
      <c r="J2092" t="s">
        <v>20</v>
      </c>
      <c r="K2092" t="s">
        <v>27</v>
      </c>
      <c r="L2092" t="s">
        <v>146</v>
      </c>
      <c r="M2092" t="s">
        <v>147</v>
      </c>
      <c r="N2092">
        <v>38.326543000000001</v>
      </c>
      <c r="O2092">
        <v>-109.12264999999999</v>
      </c>
      <c r="P2092">
        <v>6926.8031129999999</v>
      </c>
      <c r="Q2092">
        <v>1355</v>
      </c>
      <c r="R2092">
        <v>0</v>
      </c>
    </row>
    <row r="2093" spans="1:18" x14ac:dyDescent="0.25">
      <c r="A2093">
        <v>2092</v>
      </c>
      <c r="B2093">
        <v>94</v>
      </c>
      <c r="C2093">
        <v>28164576</v>
      </c>
      <c r="D2093" t="s">
        <v>239</v>
      </c>
      <c r="E2093">
        <v>17.498999999999999</v>
      </c>
      <c r="F2093" t="s">
        <v>21</v>
      </c>
      <c r="G2093" t="s">
        <v>26</v>
      </c>
      <c r="H2093" t="s">
        <v>19</v>
      </c>
      <c r="I2093">
        <v>13</v>
      </c>
      <c r="J2093" t="s">
        <v>20</v>
      </c>
      <c r="K2093" t="s">
        <v>41</v>
      </c>
      <c r="L2093" t="s">
        <v>181</v>
      </c>
      <c r="M2093" t="s">
        <v>178</v>
      </c>
      <c r="N2093">
        <v>41.712316999999999</v>
      </c>
      <c r="O2093">
        <v>-112.142281</v>
      </c>
      <c r="P2093">
        <v>4276.1534179999999</v>
      </c>
      <c r="Q2093">
        <v>1392</v>
      </c>
      <c r="R2093">
        <v>0</v>
      </c>
    </row>
    <row r="2094" spans="1:18" x14ac:dyDescent="0.25">
      <c r="A2094">
        <v>2093</v>
      </c>
      <c r="B2094">
        <v>94</v>
      </c>
      <c r="C2094">
        <v>28605177</v>
      </c>
      <c r="D2094" t="s">
        <v>142</v>
      </c>
      <c r="E2094">
        <v>17.5</v>
      </c>
      <c r="F2094" t="s">
        <v>21</v>
      </c>
      <c r="G2094" t="s">
        <v>26</v>
      </c>
      <c r="H2094" t="s">
        <v>21</v>
      </c>
      <c r="I2094" t="s">
        <v>20</v>
      </c>
      <c r="J2094" t="s">
        <v>20</v>
      </c>
      <c r="K2094" t="s">
        <v>27</v>
      </c>
      <c r="L2094" t="s">
        <v>143</v>
      </c>
      <c r="M2094" t="s">
        <v>106</v>
      </c>
      <c r="N2094">
        <v>38.722439999999999</v>
      </c>
      <c r="O2094">
        <v>-113.925415</v>
      </c>
      <c r="P2094">
        <v>5661.3634750000001</v>
      </c>
      <c r="Q2094">
        <v>305</v>
      </c>
      <c r="R2094">
        <v>0</v>
      </c>
    </row>
    <row r="2095" spans="1:18" x14ac:dyDescent="0.25">
      <c r="A2095">
        <v>2094</v>
      </c>
      <c r="B2095">
        <v>94</v>
      </c>
      <c r="C2095" t="s">
        <v>482</v>
      </c>
      <c r="D2095" t="s">
        <v>268</v>
      </c>
      <c r="E2095">
        <v>17.507000000000001</v>
      </c>
      <c r="F2095" t="s">
        <v>21</v>
      </c>
      <c r="G2095" t="s">
        <v>26</v>
      </c>
      <c r="H2095" t="s">
        <v>21</v>
      </c>
      <c r="I2095" t="s">
        <v>20</v>
      </c>
      <c r="J2095" t="s">
        <v>20</v>
      </c>
      <c r="K2095" t="s">
        <v>41</v>
      </c>
      <c r="L2095" t="s">
        <v>181</v>
      </c>
      <c r="M2095" t="s">
        <v>43</v>
      </c>
      <c r="N2095">
        <v>41.648294</v>
      </c>
      <c r="O2095">
        <v>-112.434269</v>
      </c>
      <c r="P2095">
        <v>4286.7576410000001</v>
      </c>
      <c r="Q2095">
        <v>1380</v>
      </c>
      <c r="R2095">
        <v>0</v>
      </c>
    </row>
    <row r="2096" spans="1:18" x14ac:dyDescent="0.25">
      <c r="A2096">
        <v>2095</v>
      </c>
      <c r="B2096">
        <v>94</v>
      </c>
      <c r="C2096">
        <v>31291584</v>
      </c>
      <c r="D2096" t="s">
        <v>315</v>
      </c>
      <c r="E2096">
        <v>17.510999999999999</v>
      </c>
      <c r="F2096" t="s">
        <v>21</v>
      </c>
      <c r="G2096" t="s">
        <v>26</v>
      </c>
      <c r="H2096" t="s">
        <v>21</v>
      </c>
      <c r="I2096" t="s">
        <v>20</v>
      </c>
      <c r="J2096" t="s">
        <v>20</v>
      </c>
      <c r="K2096" t="s">
        <v>27</v>
      </c>
      <c r="L2096" t="s">
        <v>111</v>
      </c>
      <c r="M2096" t="s">
        <v>243</v>
      </c>
      <c r="N2096">
        <v>39.236654000000001</v>
      </c>
      <c r="O2096">
        <v>-111.05332300000001</v>
      </c>
      <c r="P2096">
        <v>5737.0994069999997</v>
      </c>
      <c r="Q2096">
        <v>307</v>
      </c>
      <c r="R2096">
        <v>0</v>
      </c>
    </row>
    <row r="2097" spans="1:18" x14ac:dyDescent="0.25">
      <c r="A2097">
        <v>2096</v>
      </c>
      <c r="B2097">
        <v>94</v>
      </c>
      <c r="C2097" t="e">
        <f>-IoMGpCQHKaCQBk21-QVqV</f>
        <v>#NAME?</v>
      </c>
      <c r="D2097" t="s">
        <v>413</v>
      </c>
      <c r="E2097">
        <v>17.533000000000001</v>
      </c>
      <c r="F2097" t="s">
        <v>19</v>
      </c>
      <c r="G2097" t="s">
        <v>20</v>
      </c>
      <c r="H2097" t="s">
        <v>21</v>
      </c>
      <c r="I2097" t="s">
        <v>20</v>
      </c>
      <c r="J2097" t="s">
        <v>20</v>
      </c>
      <c r="K2097" t="s">
        <v>31</v>
      </c>
      <c r="L2097" t="s">
        <v>66</v>
      </c>
      <c r="M2097" t="s">
        <v>206</v>
      </c>
      <c r="N2097">
        <v>40.725394000000001</v>
      </c>
      <c r="O2097">
        <v>-111.89973999999999</v>
      </c>
      <c r="P2097">
        <v>4178.047047</v>
      </c>
      <c r="Q2097">
        <v>411</v>
      </c>
      <c r="R2097">
        <v>0</v>
      </c>
    </row>
    <row r="2098" spans="1:18" x14ac:dyDescent="0.25">
      <c r="A2098">
        <v>2097</v>
      </c>
      <c r="B2098">
        <v>94</v>
      </c>
      <c r="C2098">
        <v>31754065</v>
      </c>
      <c r="D2098" t="s">
        <v>231</v>
      </c>
      <c r="E2098">
        <v>17.547999999999998</v>
      </c>
      <c r="F2098" t="s">
        <v>19</v>
      </c>
      <c r="G2098" t="s">
        <v>20</v>
      </c>
      <c r="H2098" t="s">
        <v>21</v>
      </c>
      <c r="I2098" t="s">
        <v>20</v>
      </c>
      <c r="J2098" t="s">
        <v>20</v>
      </c>
      <c r="K2098" t="s">
        <v>41</v>
      </c>
      <c r="L2098" t="s">
        <v>57</v>
      </c>
      <c r="M2098" t="s">
        <v>93</v>
      </c>
      <c r="N2098">
        <v>41.289588999999999</v>
      </c>
      <c r="O2098">
        <v>-112.02787600000001</v>
      </c>
      <c r="P2098">
        <v>4194.5891819999997</v>
      </c>
      <c r="Q2098">
        <v>1409</v>
      </c>
      <c r="R2098">
        <v>0</v>
      </c>
    </row>
    <row r="2099" spans="1:18" x14ac:dyDescent="0.25">
      <c r="A2099">
        <v>2098</v>
      </c>
      <c r="B2099">
        <v>94</v>
      </c>
      <c r="C2099">
        <v>31291595</v>
      </c>
      <c r="D2099" t="s">
        <v>315</v>
      </c>
      <c r="E2099">
        <v>17.558</v>
      </c>
      <c r="F2099" t="s">
        <v>21</v>
      </c>
      <c r="G2099" t="s">
        <v>26</v>
      </c>
      <c r="H2099" t="s">
        <v>21</v>
      </c>
      <c r="I2099" t="s">
        <v>20</v>
      </c>
      <c r="J2099" t="s">
        <v>20</v>
      </c>
      <c r="K2099" t="s">
        <v>27</v>
      </c>
      <c r="L2099" t="s">
        <v>111</v>
      </c>
      <c r="M2099" t="s">
        <v>243</v>
      </c>
      <c r="N2099">
        <v>39.235978000000003</v>
      </c>
      <c r="O2099">
        <v>-111.053245</v>
      </c>
      <c r="P2099">
        <v>5731.8014359999997</v>
      </c>
      <c r="Q2099">
        <v>307</v>
      </c>
      <c r="R2099">
        <v>0</v>
      </c>
    </row>
    <row r="2100" spans="1:18" x14ac:dyDescent="0.25">
      <c r="A2100">
        <v>2099</v>
      </c>
      <c r="B2100">
        <v>94</v>
      </c>
      <c r="C2100" t="s">
        <v>483</v>
      </c>
      <c r="D2100" t="s">
        <v>272</v>
      </c>
      <c r="E2100">
        <v>249.489</v>
      </c>
      <c r="F2100" t="s">
        <v>21</v>
      </c>
      <c r="G2100" t="s">
        <v>26</v>
      </c>
      <c r="H2100" t="s">
        <v>21</v>
      </c>
      <c r="I2100" t="s">
        <v>20</v>
      </c>
      <c r="J2100" t="s">
        <v>20</v>
      </c>
      <c r="K2100" t="s">
        <v>27</v>
      </c>
      <c r="L2100" t="s">
        <v>350</v>
      </c>
      <c r="M2100" t="s">
        <v>174</v>
      </c>
      <c r="N2100">
        <v>39.193432000000001</v>
      </c>
      <c r="O2100">
        <v>-111.69252</v>
      </c>
      <c r="P2100">
        <v>5507.32827</v>
      </c>
      <c r="Q2100">
        <v>1384</v>
      </c>
      <c r="R2100">
        <v>0</v>
      </c>
    </row>
    <row r="2101" spans="1:18" x14ac:dyDescent="0.25">
      <c r="A2101">
        <v>2100</v>
      </c>
      <c r="B2101">
        <v>94</v>
      </c>
      <c r="C2101">
        <v>31703125</v>
      </c>
      <c r="D2101" t="s">
        <v>213</v>
      </c>
      <c r="E2101">
        <v>249.53200000000001</v>
      </c>
      <c r="F2101" t="s">
        <v>21</v>
      </c>
      <c r="G2101" t="s">
        <v>26</v>
      </c>
      <c r="H2101" t="s">
        <v>21</v>
      </c>
      <c r="I2101" t="s">
        <v>20</v>
      </c>
      <c r="J2101" t="s">
        <v>20</v>
      </c>
      <c r="K2101" t="s">
        <v>27</v>
      </c>
      <c r="L2101" t="s">
        <v>158</v>
      </c>
      <c r="M2101" t="s">
        <v>190</v>
      </c>
      <c r="N2101">
        <v>39.542591999999999</v>
      </c>
      <c r="O2101">
        <v>-110.68547599999999</v>
      </c>
      <c r="P2101">
        <v>5348.6269130000001</v>
      </c>
      <c r="Q2101">
        <v>1332</v>
      </c>
      <c r="R2101">
        <v>0</v>
      </c>
    </row>
    <row r="2102" spans="1:18" x14ac:dyDescent="0.25">
      <c r="A2102">
        <v>2101</v>
      </c>
      <c r="B2102">
        <v>94</v>
      </c>
      <c r="C2102" t="s">
        <v>484</v>
      </c>
      <c r="D2102" t="s">
        <v>272</v>
      </c>
      <c r="E2102">
        <v>249.59100000000001</v>
      </c>
      <c r="F2102" t="s">
        <v>21</v>
      </c>
      <c r="G2102" t="s">
        <v>26</v>
      </c>
      <c r="H2102" t="s">
        <v>21</v>
      </c>
      <c r="I2102" t="s">
        <v>20</v>
      </c>
      <c r="J2102" t="s">
        <v>20</v>
      </c>
      <c r="K2102" t="s">
        <v>27</v>
      </c>
      <c r="L2102" t="s">
        <v>350</v>
      </c>
      <c r="M2102" t="s">
        <v>174</v>
      </c>
      <c r="N2102">
        <v>39.194920000000003</v>
      </c>
      <c r="O2102">
        <v>-111.69255099999999</v>
      </c>
      <c r="P2102">
        <v>5504.1136040000001</v>
      </c>
      <c r="Q2102">
        <v>1384</v>
      </c>
      <c r="R2102">
        <v>0</v>
      </c>
    </row>
    <row r="2103" spans="1:18" x14ac:dyDescent="0.25">
      <c r="A2103">
        <v>2102</v>
      </c>
      <c r="B2103">
        <v>94</v>
      </c>
      <c r="C2103" t="s">
        <v>485</v>
      </c>
      <c r="D2103" t="s">
        <v>272</v>
      </c>
      <c r="E2103">
        <v>249.68299999999999</v>
      </c>
      <c r="F2103" t="s">
        <v>21</v>
      </c>
      <c r="G2103" t="s">
        <v>26</v>
      </c>
      <c r="H2103" t="s">
        <v>21</v>
      </c>
      <c r="I2103" t="s">
        <v>20</v>
      </c>
      <c r="J2103" t="s">
        <v>20</v>
      </c>
      <c r="K2103" t="s">
        <v>27</v>
      </c>
      <c r="L2103" t="s">
        <v>350</v>
      </c>
      <c r="M2103" t="s">
        <v>174</v>
      </c>
      <c r="N2103">
        <v>39.196240000000003</v>
      </c>
      <c r="O2103">
        <v>-111.69256900000001</v>
      </c>
      <c r="P2103">
        <v>5498.1351119999999</v>
      </c>
      <c r="Q2103">
        <v>1384</v>
      </c>
      <c r="R2103">
        <v>0</v>
      </c>
    </row>
    <row r="2104" spans="1:18" x14ac:dyDescent="0.25">
      <c r="A2104">
        <v>2103</v>
      </c>
      <c r="B2104">
        <v>94</v>
      </c>
      <c r="C2104">
        <v>31373630</v>
      </c>
      <c r="D2104" t="s">
        <v>199</v>
      </c>
      <c r="E2104">
        <v>21.181999999999999</v>
      </c>
      <c r="F2104" t="s">
        <v>21</v>
      </c>
      <c r="G2104" t="s">
        <v>26</v>
      </c>
      <c r="H2104" t="s">
        <v>21</v>
      </c>
      <c r="I2104" t="s">
        <v>20</v>
      </c>
      <c r="J2104" t="s">
        <v>20</v>
      </c>
      <c r="K2104" t="s">
        <v>27</v>
      </c>
      <c r="L2104" t="s">
        <v>103</v>
      </c>
      <c r="M2104" t="s">
        <v>200</v>
      </c>
      <c r="N2104">
        <v>38.312548999999997</v>
      </c>
      <c r="O2104">
        <v>-112.36630700000001</v>
      </c>
      <c r="P2104">
        <v>9630.7365580000005</v>
      </c>
      <c r="Q2104">
        <v>341</v>
      </c>
      <c r="R2104">
        <v>0</v>
      </c>
    </row>
    <row r="2105" spans="1:18" x14ac:dyDescent="0.25">
      <c r="A2105">
        <v>2104</v>
      </c>
      <c r="B2105">
        <v>94</v>
      </c>
      <c r="C2105">
        <v>31299606</v>
      </c>
      <c r="D2105" t="s">
        <v>338</v>
      </c>
      <c r="E2105">
        <v>21.181999999999999</v>
      </c>
      <c r="F2105" t="s">
        <v>21</v>
      </c>
      <c r="G2105" t="s">
        <v>26</v>
      </c>
      <c r="H2105" t="s">
        <v>21</v>
      </c>
      <c r="I2105" t="s">
        <v>20</v>
      </c>
      <c r="J2105" t="s">
        <v>20</v>
      </c>
      <c r="K2105" t="s">
        <v>27</v>
      </c>
      <c r="L2105" t="s">
        <v>72</v>
      </c>
      <c r="M2105" t="s">
        <v>73</v>
      </c>
      <c r="N2105">
        <v>37.183545000000002</v>
      </c>
      <c r="O2105">
        <v>-113.27719</v>
      </c>
      <c r="P2105">
        <v>3422.8761749999999</v>
      </c>
      <c r="Q2105">
        <v>315</v>
      </c>
      <c r="R2105">
        <v>0</v>
      </c>
    </row>
    <row r="2106" spans="1:18" x14ac:dyDescent="0.25">
      <c r="A2106">
        <v>2105</v>
      </c>
      <c r="B2106">
        <v>94</v>
      </c>
      <c r="C2106">
        <v>31755086</v>
      </c>
      <c r="D2106" t="s">
        <v>231</v>
      </c>
      <c r="E2106">
        <v>21.189</v>
      </c>
      <c r="F2106" t="s">
        <v>21</v>
      </c>
      <c r="G2106" t="s">
        <v>26</v>
      </c>
      <c r="H2106" t="s">
        <v>21</v>
      </c>
      <c r="I2106" t="s">
        <v>20</v>
      </c>
      <c r="J2106" t="s">
        <v>20</v>
      </c>
      <c r="K2106" t="s">
        <v>41</v>
      </c>
      <c r="L2106" t="s">
        <v>57</v>
      </c>
      <c r="M2106" t="s">
        <v>93</v>
      </c>
      <c r="N2106">
        <v>41.341411000000001</v>
      </c>
      <c r="O2106">
        <v>-112.036738</v>
      </c>
      <c r="P2106">
        <v>4226.029082</v>
      </c>
      <c r="Q2106">
        <v>1409</v>
      </c>
      <c r="R2106">
        <v>0</v>
      </c>
    </row>
    <row r="2107" spans="1:18" x14ac:dyDescent="0.25">
      <c r="A2107">
        <v>2106</v>
      </c>
      <c r="B2107">
        <v>94</v>
      </c>
      <c r="C2107">
        <v>31739762</v>
      </c>
      <c r="D2107" t="s">
        <v>290</v>
      </c>
      <c r="E2107">
        <v>21.193000000000001</v>
      </c>
      <c r="F2107" t="s">
        <v>21</v>
      </c>
      <c r="G2107" t="s">
        <v>20</v>
      </c>
      <c r="H2107" t="s">
        <v>21</v>
      </c>
      <c r="I2107" t="s">
        <v>20</v>
      </c>
      <c r="J2107" t="s">
        <v>20</v>
      </c>
      <c r="K2107" t="s">
        <v>41</v>
      </c>
      <c r="L2107" t="s">
        <v>291</v>
      </c>
      <c r="M2107" t="s">
        <v>238</v>
      </c>
      <c r="N2107">
        <v>41.456687000000002</v>
      </c>
      <c r="O2107">
        <v>-113.656138</v>
      </c>
      <c r="P2107">
        <v>4416.5920290000004</v>
      </c>
      <c r="Q2107">
        <v>1343</v>
      </c>
      <c r="R2107">
        <v>0</v>
      </c>
    </row>
    <row r="2108" spans="1:18" x14ac:dyDescent="0.25">
      <c r="A2108">
        <v>2107</v>
      </c>
      <c r="B2108">
        <v>94</v>
      </c>
      <c r="C2108" t="e">
        <f>-JYllNIMHdaVDBr22BxGYk</f>
        <v>#NAME?</v>
      </c>
      <c r="D2108" t="s">
        <v>220</v>
      </c>
      <c r="E2108">
        <v>21.193999999999999</v>
      </c>
      <c r="F2108" t="s">
        <v>21</v>
      </c>
      <c r="G2108" t="s">
        <v>26</v>
      </c>
      <c r="H2108" t="s">
        <v>21</v>
      </c>
      <c r="I2108" t="s">
        <v>20</v>
      </c>
      <c r="J2108" t="s">
        <v>20</v>
      </c>
      <c r="K2108" t="s">
        <v>27</v>
      </c>
      <c r="L2108" t="s">
        <v>28</v>
      </c>
      <c r="M2108" t="s">
        <v>29</v>
      </c>
      <c r="N2108">
        <v>37.622217999999997</v>
      </c>
      <c r="O2108">
        <v>-112.081374</v>
      </c>
      <c r="P2108">
        <v>6235.2546460000003</v>
      </c>
      <c r="Q2108">
        <v>1328</v>
      </c>
      <c r="R2108">
        <v>0</v>
      </c>
    </row>
    <row r="2109" spans="1:18" x14ac:dyDescent="0.25">
      <c r="A2109">
        <v>2108</v>
      </c>
      <c r="B2109">
        <v>94</v>
      </c>
      <c r="C2109">
        <v>31511575</v>
      </c>
      <c r="D2109" t="s">
        <v>292</v>
      </c>
      <c r="E2109">
        <v>21.196000000000002</v>
      </c>
      <c r="F2109" t="s">
        <v>21</v>
      </c>
      <c r="G2109" t="s">
        <v>26</v>
      </c>
      <c r="H2109" t="s">
        <v>21</v>
      </c>
      <c r="I2109" t="s">
        <v>20</v>
      </c>
      <c r="J2109" t="s">
        <v>20</v>
      </c>
      <c r="K2109" t="s">
        <v>22</v>
      </c>
      <c r="L2109" t="s">
        <v>253</v>
      </c>
      <c r="M2109" t="s">
        <v>134</v>
      </c>
      <c r="N2109">
        <v>40.359237</v>
      </c>
      <c r="O2109">
        <v>-110.289377</v>
      </c>
      <c r="P2109">
        <v>6336.4225859999997</v>
      </c>
      <c r="Q2109">
        <v>323</v>
      </c>
      <c r="R2109">
        <v>0</v>
      </c>
    </row>
    <row r="2110" spans="1:18" x14ac:dyDescent="0.25">
      <c r="A2110">
        <v>2109</v>
      </c>
      <c r="B2110">
        <v>94</v>
      </c>
      <c r="C2110" t="e">
        <f>-JY6OE6QFFmniR-iWctnfV</f>
        <v>#NAME?</v>
      </c>
      <c r="D2110" t="s">
        <v>199</v>
      </c>
      <c r="E2110">
        <v>21.196999999999999</v>
      </c>
      <c r="F2110" t="s">
        <v>21</v>
      </c>
      <c r="G2110" t="s">
        <v>26</v>
      </c>
      <c r="H2110" t="s">
        <v>21</v>
      </c>
      <c r="I2110" t="s">
        <v>20</v>
      </c>
      <c r="J2110" t="s">
        <v>20</v>
      </c>
      <c r="K2110" t="s">
        <v>27</v>
      </c>
      <c r="L2110" t="s">
        <v>103</v>
      </c>
      <c r="M2110" t="s">
        <v>200</v>
      </c>
      <c r="N2110">
        <v>38.312437000000003</v>
      </c>
      <c r="O2110">
        <v>-112.36615</v>
      </c>
      <c r="P2110">
        <v>9631.0579120000002</v>
      </c>
      <c r="Q2110">
        <v>341</v>
      </c>
      <c r="R2110">
        <v>0</v>
      </c>
    </row>
    <row r="2111" spans="1:18" x14ac:dyDescent="0.25">
      <c r="A2111">
        <v>2110</v>
      </c>
      <c r="B2111">
        <v>94</v>
      </c>
      <c r="C2111">
        <v>31419627</v>
      </c>
      <c r="D2111" t="s">
        <v>221</v>
      </c>
      <c r="E2111">
        <v>21.213999999999999</v>
      </c>
      <c r="F2111" t="s">
        <v>21</v>
      </c>
      <c r="G2111" t="s">
        <v>20</v>
      </c>
      <c r="H2111" t="s">
        <v>21</v>
      </c>
      <c r="I2111" t="s">
        <v>20</v>
      </c>
      <c r="J2111" t="s">
        <v>20</v>
      </c>
      <c r="K2111" t="s">
        <v>22</v>
      </c>
      <c r="L2111" t="s">
        <v>155</v>
      </c>
      <c r="M2111" t="s">
        <v>174</v>
      </c>
      <c r="N2111">
        <v>39.440947999999999</v>
      </c>
      <c r="O2111">
        <v>-111.91481</v>
      </c>
      <c r="P2111">
        <v>5313.3937759999999</v>
      </c>
      <c r="Q2111">
        <v>1342</v>
      </c>
      <c r="R2111">
        <v>0</v>
      </c>
    </row>
    <row r="2112" spans="1:18" x14ac:dyDescent="0.25">
      <c r="A2112">
        <v>2111</v>
      </c>
      <c r="B2112">
        <v>94</v>
      </c>
      <c r="C2112">
        <v>31283041</v>
      </c>
      <c r="D2112" t="s">
        <v>288</v>
      </c>
      <c r="E2112">
        <v>21.228000000000002</v>
      </c>
      <c r="F2112" t="s">
        <v>21</v>
      </c>
      <c r="G2112" t="s">
        <v>26</v>
      </c>
      <c r="H2112" t="s">
        <v>19</v>
      </c>
      <c r="I2112">
        <v>163</v>
      </c>
      <c r="J2112" t="s">
        <v>20</v>
      </c>
      <c r="K2112" t="s">
        <v>27</v>
      </c>
      <c r="L2112" t="s">
        <v>211</v>
      </c>
      <c r="M2112" t="s">
        <v>318</v>
      </c>
      <c r="N2112">
        <v>37.265526000000001</v>
      </c>
      <c r="O2112">
        <v>-109.62571800000001</v>
      </c>
      <c r="P2112">
        <v>4411.7285949999996</v>
      </c>
      <c r="Q2112">
        <v>350</v>
      </c>
      <c r="R2112">
        <v>0</v>
      </c>
    </row>
    <row r="2113" spans="1:18" x14ac:dyDescent="0.25">
      <c r="A2113">
        <v>2112</v>
      </c>
      <c r="B2113">
        <v>94</v>
      </c>
      <c r="C2113">
        <v>31591862</v>
      </c>
      <c r="D2113" t="s">
        <v>271</v>
      </c>
      <c r="E2113">
        <v>21.234000000000002</v>
      </c>
      <c r="F2113" t="s">
        <v>21</v>
      </c>
      <c r="G2113" t="s">
        <v>26</v>
      </c>
      <c r="H2113" t="s">
        <v>21</v>
      </c>
      <c r="I2113" t="s">
        <v>20</v>
      </c>
      <c r="J2113" t="s">
        <v>20</v>
      </c>
      <c r="K2113" t="s">
        <v>22</v>
      </c>
      <c r="L2113" t="s">
        <v>263</v>
      </c>
      <c r="M2113" t="s">
        <v>24</v>
      </c>
      <c r="N2113">
        <v>40.268777999999998</v>
      </c>
      <c r="O2113">
        <v>-112.093227</v>
      </c>
      <c r="P2113">
        <v>4825.6984220000004</v>
      </c>
      <c r="Q2113">
        <v>1372</v>
      </c>
      <c r="R2113">
        <v>0</v>
      </c>
    </row>
    <row r="2114" spans="1:18" x14ac:dyDescent="0.25">
      <c r="A2114">
        <v>2113</v>
      </c>
      <c r="B2114">
        <v>94</v>
      </c>
      <c r="C2114">
        <v>31755097</v>
      </c>
      <c r="D2114" t="s">
        <v>231</v>
      </c>
      <c r="E2114">
        <v>21.254999999999999</v>
      </c>
      <c r="F2114" t="s">
        <v>21</v>
      </c>
      <c r="G2114" t="s">
        <v>20</v>
      </c>
      <c r="H2114" t="s">
        <v>21</v>
      </c>
      <c r="I2114" t="s">
        <v>20</v>
      </c>
      <c r="J2114" t="s">
        <v>20</v>
      </c>
      <c r="K2114" t="s">
        <v>41</v>
      </c>
      <c r="L2114" t="s">
        <v>57</v>
      </c>
      <c r="M2114" t="s">
        <v>93</v>
      </c>
      <c r="N2114">
        <v>41.342297000000002</v>
      </c>
      <c r="O2114">
        <v>-112.036158</v>
      </c>
      <c r="P2114">
        <v>4227.829084</v>
      </c>
      <c r="Q2114">
        <v>1409</v>
      </c>
      <c r="R2114">
        <v>0</v>
      </c>
    </row>
    <row r="2115" spans="1:18" x14ac:dyDescent="0.25">
      <c r="A2115">
        <v>2114</v>
      </c>
      <c r="B2115">
        <v>94</v>
      </c>
      <c r="C2115">
        <v>31750180</v>
      </c>
      <c r="D2115" t="s">
        <v>88</v>
      </c>
      <c r="E2115">
        <v>21.273</v>
      </c>
      <c r="F2115" t="s">
        <v>21</v>
      </c>
      <c r="G2115" t="s">
        <v>26</v>
      </c>
      <c r="H2115" t="s">
        <v>21</v>
      </c>
      <c r="I2115" t="s">
        <v>20</v>
      </c>
      <c r="J2115" t="s">
        <v>20</v>
      </c>
      <c r="K2115" t="s">
        <v>31</v>
      </c>
      <c r="L2115" t="s">
        <v>66</v>
      </c>
      <c r="M2115" t="s">
        <v>90</v>
      </c>
      <c r="N2115">
        <v>40.743267000000003</v>
      </c>
      <c r="O2115">
        <v>-111.87107</v>
      </c>
      <c r="P2115">
        <v>4218.2458980000001</v>
      </c>
      <c r="Q2115">
        <v>318</v>
      </c>
      <c r="R2115">
        <v>0</v>
      </c>
    </row>
    <row r="2116" spans="1:18" x14ac:dyDescent="0.25">
      <c r="A2116">
        <v>2115</v>
      </c>
      <c r="B2116">
        <v>94</v>
      </c>
      <c r="C2116" t="e">
        <f>-JXnBcVJHsmKCXloMDLJaV</f>
        <v>#NAME?</v>
      </c>
      <c r="D2116" t="s">
        <v>203</v>
      </c>
      <c r="E2116">
        <v>25.164999999999999</v>
      </c>
      <c r="F2116" t="s">
        <v>21</v>
      </c>
      <c r="G2116" t="s">
        <v>26</v>
      </c>
      <c r="H2116" t="s">
        <v>21</v>
      </c>
      <c r="I2116" t="s">
        <v>20</v>
      </c>
      <c r="J2116" t="s">
        <v>20</v>
      </c>
      <c r="K2116" t="s">
        <v>41</v>
      </c>
      <c r="L2116" t="s">
        <v>255</v>
      </c>
      <c r="M2116" t="s">
        <v>204</v>
      </c>
      <c r="N2116">
        <v>41.277163999999999</v>
      </c>
      <c r="O2116">
        <v>-111.658378</v>
      </c>
      <c r="P2116">
        <v>5195.2262410000003</v>
      </c>
      <c r="Q2116">
        <v>1349</v>
      </c>
      <c r="R2116">
        <v>0</v>
      </c>
    </row>
    <row r="2117" spans="1:18" x14ac:dyDescent="0.25">
      <c r="A2117">
        <v>2116</v>
      </c>
      <c r="B2117">
        <v>94</v>
      </c>
      <c r="C2117" t="s">
        <v>486</v>
      </c>
      <c r="D2117" t="s">
        <v>284</v>
      </c>
      <c r="E2117">
        <v>25.164999999999999</v>
      </c>
      <c r="F2117" t="s">
        <v>21</v>
      </c>
      <c r="G2117" t="s">
        <v>20</v>
      </c>
      <c r="H2117" t="s">
        <v>21</v>
      </c>
      <c r="I2117" t="s">
        <v>20</v>
      </c>
      <c r="J2117" t="s">
        <v>20</v>
      </c>
      <c r="K2117" t="s">
        <v>31</v>
      </c>
      <c r="L2117" t="s">
        <v>285</v>
      </c>
      <c r="M2117" t="s">
        <v>206</v>
      </c>
      <c r="N2117">
        <v>40.586005999999998</v>
      </c>
      <c r="O2117">
        <v>-112.722882</v>
      </c>
      <c r="P2117">
        <v>4421.1273039999996</v>
      </c>
      <c r="Q2117">
        <v>407</v>
      </c>
      <c r="R2117">
        <v>0</v>
      </c>
    </row>
    <row r="2118" spans="1:18" x14ac:dyDescent="0.25">
      <c r="A2118">
        <v>2117</v>
      </c>
      <c r="B2118">
        <v>94</v>
      </c>
      <c r="C2118">
        <v>31594033</v>
      </c>
      <c r="D2118" t="s">
        <v>271</v>
      </c>
      <c r="E2118">
        <v>25.190999999999999</v>
      </c>
      <c r="F2118" t="s">
        <v>21</v>
      </c>
      <c r="G2118" t="s">
        <v>26</v>
      </c>
      <c r="H2118" t="s">
        <v>21</v>
      </c>
      <c r="I2118" t="s">
        <v>20</v>
      </c>
      <c r="J2118" t="s">
        <v>20</v>
      </c>
      <c r="K2118" t="s">
        <v>22</v>
      </c>
      <c r="L2118" t="s">
        <v>263</v>
      </c>
      <c r="M2118" t="s">
        <v>24</v>
      </c>
      <c r="N2118">
        <v>40.325516</v>
      </c>
      <c r="O2118">
        <v>-112.102368</v>
      </c>
      <c r="P2118">
        <v>5012.9099159999996</v>
      </c>
      <c r="Q2118">
        <v>1372</v>
      </c>
      <c r="R2118">
        <v>0</v>
      </c>
    </row>
    <row r="2119" spans="1:18" x14ac:dyDescent="0.25">
      <c r="A2119">
        <v>2118</v>
      </c>
      <c r="B2119">
        <v>94</v>
      </c>
      <c r="C2119">
        <v>27877812</v>
      </c>
      <c r="D2119" t="s">
        <v>245</v>
      </c>
      <c r="E2119">
        <v>25.228000000000002</v>
      </c>
      <c r="F2119" t="s">
        <v>21</v>
      </c>
      <c r="G2119" t="s">
        <v>20</v>
      </c>
      <c r="H2119" t="s">
        <v>21</v>
      </c>
      <c r="I2119" t="s">
        <v>20</v>
      </c>
      <c r="J2119" t="s">
        <v>20</v>
      </c>
      <c r="K2119" t="s">
        <v>22</v>
      </c>
      <c r="L2119" t="s">
        <v>97</v>
      </c>
      <c r="M2119" t="s">
        <v>98</v>
      </c>
      <c r="N2119">
        <v>40.950882999999997</v>
      </c>
      <c r="O2119">
        <v>-109.711991</v>
      </c>
      <c r="P2119">
        <v>6334.8687929999996</v>
      </c>
      <c r="Q2119">
        <v>1353</v>
      </c>
      <c r="R2119">
        <v>0</v>
      </c>
    </row>
    <row r="2120" spans="1:18" x14ac:dyDescent="0.25">
      <c r="A2120">
        <v>2119</v>
      </c>
      <c r="B2120">
        <v>94</v>
      </c>
      <c r="C2120">
        <v>31307005</v>
      </c>
      <c r="D2120" t="s">
        <v>116</v>
      </c>
      <c r="E2120">
        <v>25.234000000000002</v>
      </c>
      <c r="F2120" t="s">
        <v>19</v>
      </c>
      <c r="G2120" t="s">
        <v>20</v>
      </c>
      <c r="H2120" t="s">
        <v>21</v>
      </c>
      <c r="I2120" t="s">
        <v>20</v>
      </c>
      <c r="J2120" t="s">
        <v>20</v>
      </c>
      <c r="K2120" t="s">
        <v>41</v>
      </c>
      <c r="L2120" t="s">
        <v>42</v>
      </c>
      <c r="M2120" t="s">
        <v>43</v>
      </c>
      <c r="N2120">
        <v>41.712376999999996</v>
      </c>
      <c r="O2120">
        <v>-111.839421</v>
      </c>
      <c r="P2120">
        <v>4441.1259440000003</v>
      </c>
      <c r="Q2120">
        <v>324</v>
      </c>
      <c r="R2120">
        <v>0</v>
      </c>
    </row>
    <row r="2121" spans="1:18" x14ac:dyDescent="0.25">
      <c r="A2121">
        <v>2120</v>
      </c>
      <c r="B2121">
        <v>94</v>
      </c>
      <c r="C2121" t="s">
        <v>487</v>
      </c>
      <c r="D2121" t="s">
        <v>272</v>
      </c>
      <c r="E2121">
        <v>279.334</v>
      </c>
      <c r="F2121" t="s">
        <v>21</v>
      </c>
      <c r="G2121" t="s">
        <v>26</v>
      </c>
      <c r="H2121" t="s">
        <v>21</v>
      </c>
      <c r="I2121" t="s">
        <v>20</v>
      </c>
      <c r="J2121" t="s">
        <v>20</v>
      </c>
      <c r="K2121" t="s">
        <v>27</v>
      </c>
      <c r="L2121" t="s">
        <v>230</v>
      </c>
      <c r="M2121" t="s">
        <v>174</v>
      </c>
      <c r="N2121">
        <v>39.568069999999999</v>
      </c>
      <c r="O2121">
        <v>-111.455493</v>
      </c>
      <c r="P2121">
        <v>5807.9707440000002</v>
      </c>
      <c r="Q2121">
        <v>1384</v>
      </c>
      <c r="R2121">
        <v>0</v>
      </c>
    </row>
    <row r="2122" spans="1:18" x14ac:dyDescent="0.25">
      <c r="A2122">
        <v>2121</v>
      </c>
      <c r="B2122">
        <v>94</v>
      </c>
      <c r="C2122" t="s">
        <v>488</v>
      </c>
      <c r="D2122" t="s">
        <v>272</v>
      </c>
      <c r="E2122">
        <v>279.39100000000002</v>
      </c>
      <c r="F2122" t="s">
        <v>21</v>
      </c>
      <c r="G2122" t="s">
        <v>26</v>
      </c>
      <c r="H2122" t="s">
        <v>21</v>
      </c>
      <c r="I2122" t="s">
        <v>20</v>
      </c>
      <c r="J2122" t="s">
        <v>20</v>
      </c>
      <c r="K2122" t="s">
        <v>27</v>
      </c>
      <c r="L2122" t="s">
        <v>230</v>
      </c>
      <c r="M2122" t="s">
        <v>174</v>
      </c>
      <c r="N2122">
        <v>39.568899000000002</v>
      </c>
      <c r="O2122">
        <v>-111.45548100000001</v>
      </c>
      <c r="P2122">
        <v>5803.638825</v>
      </c>
      <c r="Q2122">
        <v>1384</v>
      </c>
      <c r="R2122">
        <v>0</v>
      </c>
    </row>
    <row r="2123" spans="1:18" x14ac:dyDescent="0.25">
      <c r="A2123">
        <v>2122</v>
      </c>
      <c r="B2123">
        <v>94</v>
      </c>
      <c r="C2123" t="e">
        <f>-IoMunJ2IfqpWC1FjEhKTk</f>
        <v>#NAME?</v>
      </c>
      <c r="D2123" t="s">
        <v>272</v>
      </c>
      <c r="E2123">
        <v>279.63499999999999</v>
      </c>
      <c r="F2123" t="s">
        <v>21</v>
      </c>
      <c r="G2123" t="s">
        <v>26</v>
      </c>
      <c r="H2123" t="s">
        <v>21</v>
      </c>
      <c r="I2123" t="s">
        <v>20</v>
      </c>
      <c r="J2123" t="s">
        <v>20</v>
      </c>
      <c r="K2123" t="s">
        <v>27</v>
      </c>
      <c r="L2123" t="s">
        <v>230</v>
      </c>
      <c r="M2123" t="s">
        <v>174</v>
      </c>
      <c r="N2123">
        <v>39.57244</v>
      </c>
      <c r="O2123">
        <v>-111.45544200000001</v>
      </c>
      <c r="P2123">
        <v>5787.8726559999996</v>
      </c>
      <c r="Q2123">
        <v>1384</v>
      </c>
      <c r="R2123">
        <v>0</v>
      </c>
    </row>
    <row r="2124" spans="1:18" x14ac:dyDescent="0.25">
      <c r="A2124">
        <v>2123</v>
      </c>
      <c r="B2124">
        <v>94</v>
      </c>
      <c r="C2124" t="s">
        <v>489</v>
      </c>
      <c r="D2124" t="s">
        <v>272</v>
      </c>
      <c r="E2124">
        <v>279.86099999999999</v>
      </c>
      <c r="F2124" t="s">
        <v>21</v>
      </c>
      <c r="G2124" t="s">
        <v>26</v>
      </c>
      <c r="H2124" t="s">
        <v>21</v>
      </c>
      <c r="I2124" t="s">
        <v>20</v>
      </c>
      <c r="J2124" t="s">
        <v>20</v>
      </c>
      <c r="K2124" t="s">
        <v>27</v>
      </c>
      <c r="L2124" t="s">
        <v>230</v>
      </c>
      <c r="M2124" t="s">
        <v>174</v>
      </c>
      <c r="N2124">
        <v>39.575724000000001</v>
      </c>
      <c r="O2124">
        <v>-111.455398</v>
      </c>
      <c r="P2124">
        <v>5770.6397740000002</v>
      </c>
      <c r="Q2124">
        <v>1384</v>
      </c>
      <c r="R2124">
        <v>0</v>
      </c>
    </row>
    <row r="2125" spans="1:18" x14ac:dyDescent="0.25">
      <c r="A2125">
        <v>2124</v>
      </c>
      <c r="B2125">
        <v>94</v>
      </c>
      <c r="C2125">
        <v>31313140</v>
      </c>
      <c r="D2125" t="s">
        <v>116</v>
      </c>
      <c r="E2125">
        <v>27.913</v>
      </c>
      <c r="F2125" t="s">
        <v>19</v>
      </c>
      <c r="G2125" t="s">
        <v>20</v>
      </c>
      <c r="H2125" t="s">
        <v>21</v>
      </c>
      <c r="I2125" t="s">
        <v>20</v>
      </c>
      <c r="J2125" t="s">
        <v>20</v>
      </c>
      <c r="K2125" t="s">
        <v>41</v>
      </c>
      <c r="L2125" t="s">
        <v>95</v>
      </c>
      <c r="M2125" t="s">
        <v>117</v>
      </c>
      <c r="N2125">
        <v>41.750157000000002</v>
      </c>
      <c r="O2125">
        <v>-111.834521</v>
      </c>
      <c r="P2125">
        <v>4469.5701820000004</v>
      </c>
      <c r="Q2125">
        <v>324</v>
      </c>
      <c r="R2125">
        <v>0</v>
      </c>
    </row>
    <row r="2126" spans="1:18" x14ac:dyDescent="0.25">
      <c r="A2126">
        <v>2125</v>
      </c>
      <c r="B2126">
        <v>94</v>
      </c>
      <c r="C2126">
        <v>31307580</v>
      </c>
      <c r="D2126" t="s">
        <v>203</v>
      </c>
      <c r="E2126">
        <v>27.927</v>
      </c>
      <c r="F2126" t="s">
        <v>21</v>
      </c>
      <c r="G2126" t="s">
        <v>26</v>
      </c>
      <c r="H2126" t="s">
        <v>21</v>
      </c>
      <c r="I2126" t="s">
        <v>20</v>
      </c>
      <c r="J2126" t="s">
        <v>20</v>
      </c>
      <c r="K2126" t="s">
        <v>41</v>
      </c>
      <c r="L2126" t="s">
        <v>255</v>
      </c>
      <c r="M2126" t="s">
        <v>204</v>
      </c>
      <c r="N2126">
        <v>41.300004000000001</v>
      </c>
      <c r="O2126">
        <v>-111.618711</v>
      </c>
      <c r="P2126">
        <v>5434.1832940000004</v>
      </c>
      <c r="Q2126">
        <v>1349</v>
      </c>
      <c r="R2126">
        <v>0</v>
      </c>
    </row>
    <row r="2127" spans="1:18" x14ac:dyDescent="0.25">
      <c r="A2127">
        <v>2126</v>
      </c>
      <c r="B2127">
        <v>94</v>
      </c>
      <c r="C2127">
        <v>31423978</v>
      </c>
      <c r="D2127" t="s">
        <v>221</v>
      </c>
      <c r="E2127">
        <v>27.936</v>
      </c>
      <c r="F2127" t="s">
        <v>21</v>
      </c>
      <c r="G2127" t="s">
        <v>26</v>
      </c>
      <c r="H2127" t="s">
        <v>21</v>
      </c>
      <c r="I2127" t="s">
        <v>20</v>
      </c>
      <c r="J2127" t="s">
        <v>20</v>
      </c>
      <c r="K2127" t="s">
        <v>22</v>
      </c>
      <c r="L2127" t="s">
        <v>155</v>
      </c>
      <c r="M2127" t="s">
        <v>174</v>
      </c>
      <c r="N2127">
        <v>39.529434999999999</v>
      </c>
      <c r="O2127">
        <v>-111.864817</v>
      </c>
      <c r="P2127">
        <v>5173.6361450000004</v>
      </c>
      <c r="Q2127">
        <v>1342</v>
      </c>
      <c r="R2127">
        <v>0</v>
      </c>
    </row>
    <row r="2128" spans="1:18" x14ac:dyDescent="0.25">
      <c r="A2128">
        <v>2127</v>
      </c>
      <c r="B2128">
        <v>94</v>
      </c>
      <c r="C2128">
        <v>31771666</v>
      </c>
      <c r="D2128" t="s">
        <v>353</v>
      </c>
      <c r="E2128">
        <v>27.960999999999999</v>
      </c>
      <c r="F2128" t="s">
        <v>21</v>
      </c>
      <c r="G2128" t="s">
        <v>26</v>
      </c>
      <c r="H2128" t="s">
        <v>21</v>
      </c>
      <c r="I2128" t="s">
        <v>20</v>
      </c>
      <c r="J2128" t="s">
        <v>20</v>
      </c>
      <c r="K2128" t="s">
        <v>31</v>
      </c>
      <c r="L2128" t="s">
        <v>433</v>
      </c>
      <c r="M2128" t="s">
        <v>138</v>
      </c>
      <c r="N2128">
        <v>41.014226000000001</v>
      </c>
      <c r="O2128">
        <v>-111.49521900000001</v>
      </c>
      <c r="P2128">
        <v>5308.4168520000003</v>
      </c>
      <c r="Q2128">
        <v>1367</v>
      </c>
      <c r="R2128">
        <v>0</v>
      </c>
    </row>
    <row r="2129" spans="1:18" x14ac:dyDescent="0.25">
      <c r="A2129">
        <v>2128</v>
      </c>
      <c r="B2129">
        <v>94</v>
      </c>
      <c r="C2129">
        <v>31439398</v>
      </c>
      <c r="D2129" t="s">
        <v>319</v>
      </c>
      <c r="E2129">
        <v>27.978999999999999</v>
      </c>
      <c r="F2129" t="s">
        <v>21</v>
      </c>
      <c r="G2129" t="s">
        <v>20</v>
      </c>
      <c r="H2129" t="s">
        <v>21</v>
      </c>
      <c r="I2129" t="s">
        <v>20</v>
      </c>
      <c r="J2129" t="s">
        <v>20</v>
      </c>
      <c r="K2129" t="s">
        <v>27</v>
      </c>
      <c r="L2129" t="s">
        <v>162</v>
      </c>
      <c r="M2129" t="s">
        <v>55</v>
      </c>
      <c r="N2129">
        <v>37.692321999999997</v>
      </c>
      <c r="O2129">
        <v>-113.608513</v>
      </c>
      <c r="P2129">
        <v>5112.867569</v>
      </c>
      <c r="Q2129">
        <v>314</v>
      </c>
      <c r="R2129">
        <v>0</v>
      </c>
    </row>
    <row r="2130" spans="1:18" x14ac:dyDescent="0.25">
      <c r="A2130">
        <v>2129</v>
      </c>
      <c r="B2130">
        <v>94</v>
      </c>
      <c r="C2130">
        <v>27881305</v>
      </c>
      <c r="D2130" t="s">
        <v>245</v>
      </c>
      <c r="E2130">
        <v>27.992000000000001</v>
      </c>
      <c r="F2130" t="s">
        <v>21</v>
      </c>
      <c r="G2130" t="s">
        <v>26</v>
      </c>
      <c r="H2130" t="s">
        <v>19</v>
      </c>
      <c r="I2130">
        <v>43</v>
      </c>
      <c r="J2130" t="s">
        <v>20</v>
      </c>
      <c r="K2130" t="s">
        <v>22</v>
      </c>
      <c r="L2130" t="s">
        <v>97</v>
      </c>
      <c r="M2130" t="s">
        <v>98</v>
      </c>
      <c r="N2130">
        <v>40.988261999999999</v>
      </c>
      <c r="O2130">
        <v>-109.72274</v>
      </c>
      <c r="P2130">
        <v>6303.5251449999996</v>
      </c>
      <c r="Q2130">
        <v>1353</v>
      </c>
      <c r="R2130">
        <v>0</v>
      </c>
    </row>
    <row r="2131" spans="1:18" x14ac:dyDescent="0.25">
      <c r="A2131">
        <v>2130</v>
      </c>
      <c r="B2131">
        <v>94</v>
      </c>
      <c r="C2131">
        <v>31284775</v>
      </c>
      <c r="D2131" t="s">
        <v>288</v>
      </c>
      <c r="E2131">
        <v>25.439</v>
      </c>
      <c r="F2131" t="s">
        <v>21</v>
      </c>
      <c r="G2131" t="s">
        <v>26</v>
      </c>
      <c r="H2131" t="s">
        <v>21</v>
      </c>
      <c r="I2131" t="s">
        <v>20</v>
      </c>
      <c r="J2131" t="s">
        <v>20</v>
      </c>
      <c r="K2131" t="s">
        <v>27</v>
      </c>
      <c r="L2131" t="s">
        <v>211</v>
      </c>
      <c r="M2131" t="s">
        <v>318</v>
      </c>
      <c r="N2131">
        <v>37.283028999999999</v>
      </c>
      <c r="O2131">
        <v>-109.553648</v>
      </c>
      <c r="P2131">
        <v>4249.4816769999998</v>
      </c>
      <c r="Q2131">
        <v>350</v>
      </c>
      <c r="R2131">
        <v>0</v>
      </c>
    </row>
    <row r="2132" spans="1:18" x14ac:dyDescent="0.25">
      <c r="A2132">
        <v>2131</v>
      </c>
      <c r="B2132">
        <v>94</v>
      </c>
      <c r="C2132">
        <v>31644366</v>
      </c>
      <c r="D2132" t="s">
        <v>233</v>
      </c>
      <c r="E2132">
        <v>25.44</v>
      </c>
      <c r="F2132" t="s">
        <v>21</v>
      </c>
      <c r="G2132" t="s">
        <v>20</v>
      </c>
      <c r="H2132" t="s">
        <v>21</v>
      </c>
      <c r="I2132" t="s">
        <v>20</v>
      </c>
      <c r="J2132" t="s">
        <v>20</v>
      </c>
      <c r="K2132" t="s">
        <v>22</v>
      </c>
      <c r="L2132" t="s">
        <v>234</v>
      </c>
      <c r="M2132" t="s">
        <v>235</v>
      </c>
      <c r="N2132">
        <v>40.231769999999997</v>
      </c>
      <c r="O2132">
        <v>-109.410803</v>
      </c>
      <c r="P2132">
        <v>5176.3109009999998</v>
      </c>
      <c r="Q2132">
        <v>1354</v>
      </c>
      <c r="R2132">
        <v>0</v>
      </c>
    </row>
    <row r="2133" spans="1:18" x14ac:dyDescent="0.25">
      <c r="A2133">
        <v>2132</v>
      </c>
      <c r="B2133">
        <v>94</v>
      </c>
      <c r="C2133">
        <v>31436055</v>
      </c>
      <c r="D2133" t="s">
        <v>319</v>
      </c>
      <c r="E2133">
        <v>25.452000000000002</v>
      </c>
      <c r="F2133" t="s">
        <v>21</v>
      </c>
      <c r="G2133" t="s">
        <v>26</v>
      </c>
      <c r="H2133" t="s">
        <v>21</v>
      </c>
      <c r="I2133" t="s">
        <v>20</v>
      </c>
      <c r="J2133" t="s">
        <v>20</v>
      </c>
      <c r="K2133" t="s">
        <v>27</v>
      </c>
      <c r="L2133" t="s">
        <v>162</v>
      </c>
      <c r="M2133" t="s">
        <v>55</v>
      </c>
      <c r="N2133">
        <v>37.707433999999999</v>
      </c>
      <c r="O2133">
        <v>-113.65051699999999</v>
      </c>
      <c r="P2133">
        <v>5103.6039380000002</v>
      </c>
      <c r="Q2133">
        <v>314</v>
      </c>
      <c r="R2133">
        <v>0</v>
      </c>
    </row>
    <row r="2134" spans="1:18" x14ac:dyDescent="0.25">
      <c r="A2134">
        <v>2133</v>
      </c>
      <c r="B2134">
        <v>94</v>
      </c>
      <c r="C2134">
        <v>31499505</v>
      </c>
      <c r="D2134" t="s">
        <v>129</v>
      </c>
      <c r="E2134">
        <v>25.46</v>
      </c>
      <c r="F2134" t="s">
        <v>21</v>
      </c>
      <c r="G2134" t="s">
        <v>26</v>
      </c>
      <c r="H2134" t="s">
        <v>21</v>
      </c>
      <c r="I2134" t="s">
        <v>20</v>
      </c>
      <c r="J2134" t="s">
        <v>20</v>
      </c>
      <c r="K2134" t="s">
        <v>31</v>
      </c>
      <c r="L2134" t="s">
        <v>130</v>
      </c>
      <c r="M2134" t="s">
        <v>328</v>
      </c>
      <c r="N2134">
        <v>40.677571</v>
      </c>
      <c r="O2134">
        <v>-110.95254300000001</v>
      </c>
      <c r="P2134">
        <v>9686.6976090000007</v>
      </c>
      <c r="Q2134">
        <v>340</v>
      </c>
      <c r="R2134">
        <v>0</v>
      </c>
    </row>
    <row r="2135" spans="1:18" x14ac:dyDescent="0.25">
      <c r="A2135">
        <v>2134</v>
      </c>
      <c r="B2135">
        <v>94</v>
      </c>
      <c r="C2135" t="e">
        <f>-Ip_KtlKHP1WtQNfhlJeSF</f>
        <v>#NAME?</v>
      </c>
      <c r="D2135" t="s">
        <v>272</v>
      </c>
      <c r="E2135">
        <v>25.495999999999999</v>
      </c>
      <c r="F2135" t="s">
        <v>21</v>
      </c>
      <c r="G2135" t="s">
        <v>20</v>
      </c>
      <c r="H2135" t="s">
        <v>21</v>
      </c>
      <c r="I2135" t="s">
        <v>20</v>
      </c>
      <c r="J2135" t="s">
        <v>20</v>
      </c>
      <c r="K2135" t="s">
        <v>27</v>
      </c>
      <c r="L2135" t="s">
        <v>259</v>
      </c>
      <c r="M2135" t="s">
        <v>214</v>
      </c>
      <c r="N2135">
        <v>37.124572999999998</v>
      </c>
      <c r="O2135">
        <v>-111.975713</v>
      </c>
      <c r="P2135">
        <v>4732.2431989999995</v>
      </c>
      <c r="Q2135">
        <v>1384</v>
      </c>
      <c r="R2135">
        <v>0</v>
      </c>
    </row>
    <row r="2136" spans="1:18" x14ac:dyDescent="0.25">
      <c r="A2136">
        <v>2135</v>
      </c>
      <c r="B2136">
        <v>94</v>
      </c>
      <c r="C2136">
        <v>31533860</v>
      </c>
      <c r="D2136" t="s">
        <v>121</v>
      </c>
      <c r="E2136">
        <v>25.504999999999999</v>
      </c>
      <c r="F2136" t="s">
        <v>21</v>
      </c>
      <c r="G2136" t="s">
        <v>26</v>
      </c>
      <c r="H2136" t="s">
        <v>21</v>
      </c>
      <c r="I2136" t="s">
        <v>20</v>
      </c>
      <c r="J2136" t="s">
        <v>20</v>
      </c>
      <c r="K2136" t="s">
        <v>27</v>
      </c>
      <c r="L2136" t="s">
        <v>122</v>
      </c>
      <c r="M2136" t="s">
        <v>123</v>
      </c>
      <c r="N2136">
        <v>37.697215999999997</v>
      </c>
      <c r="O2136">
        <v>-110.671415</v>
      </c>
      <c r="P2136">
        <v>4444.3480840000002</v>
      </c>
      <c r="Q2136">
        <v>1283</v>
      </c>
      <c r="R2136">
        <v>0</v>
      </c>
    </row>
    <row r="2137" spans="1:18" x14ac:dyDescent="0.25">
      <c r="A2137">
        <v>2136</v>
      </c>
      <c r="B2137">
        <v>94</v>
      </c>
      <c r="C2137" t="e">
        <f>-IovDhoqGL5che-Wpknwdk</f>
        <v>#NAME?</v>
      </c>
      <c r="D2137" t="s">
        <v>176</v>
      </c>
      <c r="E2137">
        <v>28.324000000000002</v>
      </c>
      <c r="F2137" t="s">
        <v>21</v>
      </c>
      <c r="G2137" t="s">
        <v>26</v>
      </c>
      <c r="H2137" t="s">
        <v>21</v>
      </c>
      <c r="I2137" t="s">
        <v>20</v>
      </c>
      <c r="J2137" t="s">
        <v>20</v>
      </c>
      <c r="K2137" t="s">
        <v>41</v>
      </c>
      <c r="L2137" t="s">
        <v>223</v>
      </c>
      <c r="M2137" t="s">
        <v>178</v>
      </c>
      <c r="N2137">
        <v>41.828653000000003</v>
      </c>
      <c r="O2137">
        <v>-112.14563699999999</v>
      </c>
      <c r="P2137">
        <v>4328.0286759999999</v>
      </c>
      <c r="Q2137">
        <v>1329</v>
      </c>
      <c r="R2137">
        <v>0</v>
      </c>
    </row>
    <row r="2138" spans="1:18" x14ac:dyDescent="0.25">
      <c r="A2138">
        <v>2137</v>
      </c>
      <c r="B2138">
        <v>94</v>
      </c>
      <c r="C2138">
        <v>31765980</v>
      </c>
      <c r="D2138" t="s">
        <v>312</v>
      </c>
      <c r="E2138">
        <v>28.352</v>
      </c>
      <c r="F2138" t="s">
        <v>21</v>
      </c>
      <c r="G2138" t="s">
        <v>26</v>
      </c>
      <c r="H2138" t="s">
        <v>21</v>
      </c>
      <c r="I2138" t="s">
        <v>20</v>
      </c>
      <c r="J2138" t="s">
        <v>20</v>
      </c>
      <c r="K2138" t="s">
        <v>27</v>
      </c>
      <c r="L2138" t="s">
        <v>143</v>
      </c>
      <c r="M2138" t="s">
        <v>313</v>
      </c>
      <c r="N2138">
        <v>38.789613000000003</v>
      </c>
      <c r="O2138">
        <v>-112.912339</v>
      </c>
      <c r="P2138">
        <v>4882.0734540000003</v>
      </c>
      <c r="Q2138">
        <v>255</v>
      </c>
      <c r="R2138">
        <v>0</v>
      </c>
    </row>
    <row r="2139" spans="1:18" x14ac:dyDescent="0.25">
      <c r="A2139">
        <v>2138</v>
      </c>
      <c r="B2139">
        <v>94</v>
      </c>
      <c r="C2139">
        <v>31299729</v>
      </c>
      <c r="D2139" t="s">
        <v>316</v>
      </c>
      <c r="E2139">
        <v>28.358000000000001</v>
      </c>
      <c r="F2139" t="s">
        <v>21</v>
      </c>
      <c r="G2139" t="s">
        <v>26</v>
      </c>
      <c r="H2139" t="s">
        <v>21</v>
      </c>
      <c r="I2139" t="s">
        <v>20</v>
      </c>
      <c r="J2139" t="s">
        <v>20</v>
      </c>
      <c r="K2139" t="s">
        <v>22</v>
      </c>
      <c r="L2139" t="s">
        <v>168</v>
      </c>
      <c r="M2139" t="s">
        <v>302</v>
      </c>
      <c r="N2139">
        <v>40.460771000000001</v>
      </c>
      <c r="O2139">
        <v>-110.893055</v>
      </c>
      <c r="P2139">
        <v>7343.7939619999997</v>
      </c>
      <c r="Q2139">
        <v>1346</v>
      </c>
      <c r="R2139">
        <v>0</v>
      </c>
    </row>
    <row r="2140" spans="1:18" x14ac:dyDescent="0.25">
      <c r="A2140">
        <v>2139</v>
      </c>
      <c r="B2140">
        <v>94</v>
      </c>
      <c r="C2140">
        <v>31282642</v>
      </c>
      <c r="D2140" t="s">
        <v>241</v>
      </c>
      <c r="E2140">
        <v>28.36</v>
      </c>
      <c r="F2140" t="s">
        <v>21</v>
      </c>
      <c r="G2140" t="s">
        <v>26</v>
      </c>
      <c r="H2140" t="s">
        <v>21</v>
      </c>
      <c r="I2140" t="s">
        <v>20</v>
      </c>
      <c r="J2140" t="s">
        <v>20</v>
      </c>
      <c r="K2140" t="s">
        <v>27</v>
      </c>
      <c r="L2140" t="s">
        <v>111</v>
      </c>
      <c r="M2140" t="s">
        <v>243</v>
      </c>
      <c r="N2140">
        <v>39.111094000000001</v>
      </c>
      <c r="O2140">
        <v>-111.126093</v>
      </c>
      <c r="P2140">
        <v>5989.6081949999998</v>
      </c>
      <c r="Q2140">
        <v>1327</v>
      </c>
      <c r="R2140">
        <v>0</v>
      </c>
    </row>
    <row r="2141" spans="1:18" x14ac:dyDescent="0.25">
      <c r="A2141">
        <v>2140</v>
      </c>
      <c r="B2141">
        <v>94</v>
      </c>
      <c r="C2141" t="s">
        <v>490</v>
      </c>
      <c r="D2141" t="s">
        <v>244</v>
      </c>
      <c r="E2141">
        <v>28.370999999999999</v>
      </c>
      <c r="F2141" t="s">
        <v>21</v>
      </c>
      <c r="G2141" t="s">
        <v>26</v>
      </c>
      <c r="H2141" t="s">
        <v>21</v>
      </c>
      <c r="I2141" t="s">
        <v>20</v>
      </c>
      <c r="J2141" t="s">
        <v>20</v>
      </c>
      <c r="K2141" t="s">
        <v>27</v>
      </c>
      <c r="L2141" t="s">
        <v>266</v>
      </c>
      <c r="M2141" t="s">
        <v>58</v>
      </c>
      <c r="N2141">
        <v>38.622346</v>
      </c>
      <c r="O2141">
        <v>-111.836135</v>
      </c>
      <c r="P2141">
        <v>6988.5098129999997</v>
      </c>
      <c r="Q2141">
        <v>1340</v>
      </c>
      <c r="R2141">
        <v>0</v>
      </c>
    </row>
    <row r="2142" spans="1:18" x14ac:dyDescent="0.25">
      <c r="A2142">
        <v>2141</v>
      </c>
      <c r="B2142">
        <v>94</v>
      </c>
      <c r="C2142">
        <v>31714757</v>
      </c>
      <c r="D2142" t="s">
        <v>323</v>
      </c>
      <c r="E2142">
        <v>28.396000000000001</v>
      </c>
      <c r="F2142" t="s">
        <v>21</v>
      </c>
      <c r="G2142" t="s">
        <v>26</v>
      </c>
      <c r="H2142" t="s">
        <v>21</v>
      </c>
      <c r="I2142" t="s">
        <v>20</v>
      </c>
      <c r="J2142" t="s">
        <v>20</v>
      </c>
      <c r="K2142" t="s">
        <v>31</v>
      </c>
      <c r="L2142" t="s">
        <v>149</v>
      </c>
      <c r="M2142" t="s">
        <v>131</v>
      </c>
      <c r="N2142">
        <v>40.808138</v>
      </c>
      <c r="O2142">
        <v>-111.40764</v>
      </c>
      <c r="P2142">
        <v>5814.584914</v>
      </c>
      <c r="Q2142">
        <v>1345</v>
      </c>
      <c r="R2142">
        <v>0</v>
      </c>
    </row>
    <row r="2143" spans="1:18" x14ac:dyDescent="0.25">
      <c r="A2143">
        <v>2142</v>
      </c>
      <c r="B2143">
        <v>94</v>
      </c>
      <c r="C2143">
        <v>31440792</v>
      </c>
      <c r="D2143" t="s">
        <v>319</v>
      </c>
      <c r="E2143">
        <v>28.398</v>
      </c>
      <c r="F2143" t="s">
        <v>21</v>
      </c>
      <c r="G2143" t="s">
        <v>26</v>
      </c>
      <c r="H2143" t="s">
        <v>21</v>
      </c>
      <c r="I2143" t="s">
        <v>20</v>
      </c>
      <c r="J2143" t="s">
        <v>20</v>
      </c>
      <c r="K2143" t="s">
        <v>27</v>
      </c>
      <c r="L2143" t="s">
        <v>162</v>
      </c>
      <c r="M2143" t="s">
        <v>55</v>
      </c>
      <c r="N2143">
        <v>37.689810999999999</v>
      </c>
      <c r="O2143">
        <v>-113.60154300000001</v>
      </c>
      <c r="P2143">
        <v>5120.476377</v>
      </c>
      <c r="Q2143">
        <v>314</v>
      </c>
      <c r="R2143">
        <v>0</v>
      </c>
    </row>
    <row r="2144" spans="1:18" x14ac:dyDescent="0.25">
      <c r="A2144">
        <v>2143</v>
      </c>
      <c r="B2144">
        <v>94</v>
      </c>
      <c r="C2144">
        <v>31423989</v>
      </c>
      <c r="D2144" t="s">
        <v>221</v>
      </c>
      <c r="E2144">
        <v>28.422000000000001</v>
      </c>
      <c r="F2144" t="s">
        <v>21</v>
      </c>
      <c r="G2144" t="s">
        <v>20</v>
      </c>
      <c r="H2144" t="s">
        <v>21</v>
      </c>
      <c r="I2144" t="s">
        <v>20</v>
      </c>
      <c r="J2144" t="s">
        <v>20</v>
      </c>
      <c r="K2144" t="s">
        <v>22</v>
      </c>
      <c r="L2144" t="s">
        <v>155</v>
      </c>
      <c r="M2144" t="s">
        <v>174</v>
      </c>
      <c r="N2144">
        <v>39.536375999999997</v>
      </c>
      <c r="O2144">
        <v>-111.863681</v>
      </c>
      <c r="P2144">
        <v>5219.6900320000004</v>
      </c>
      <c r="Q2144">
        <v>1342</v>
      </c>
      <c r="R2144">
        <v>0</v>
      </c>
    </row>
    <row r="2145" spans="1:18" x14ac:dyDescent="0.25">
      <c r="A2145">
        <v>2144</v>
      </c>
      <c r="B2145">
        <v>94</v>
      </c>
      <c r="C2145">
        <v>31314313</v>
      </c>
      <c r="D2145" t="s">
        <v>116</v>
      </c>
      <c r="E2145">
        <v>28.423999999999999</v>
      </c>
      <c r="F2145" t="s">
        <v>19</v>
      </c>
      <c r="G2145" t="s">
        <v>20</v>
      </c>
      <c r="H2145" t="s">
        <v>21</v>
      </c>
      <c r="I2145" t="s">
        <v>20</v>
      </c>
      <c r="J2145" t="s">
        <v>20</v>
      </c>
      <c r="K2145" t="s">
        <v>41</v>
      </c>
      <c r="L2145" t="s">
        <v>95</v>
      </c>
      <c r="M2145" t="s">
        <v>117</v>
      </c>
      <c r="N2145">
        <v>41.757539999999999</v>
      </c>
      <c r="O2145">
        <v>-111.834374</v>
      </c>
      <c r="P2145">
        <v>4464.2907420000001</v>
      </c>
      <c r="Q2145">
        <v>324</v>
      </c>
      <c r="R2145">
        <v>0</v>
      </c>
    </row>
    <row r="2146" spans="1:18" x14ac:dyDescent="0.25">
      <c r="A2146">
        <v>2145</v>
      </c>
      <c r="B2146">
        <v>94</v>
      </c>
      <c r="C2146">
        <v>31789401</v>
      </c>
      <c r="D2146" t="s">
        <v>272</v>
      </c>
      <c r="E2146">
        <v>28.427</v>
      </c>
      <c r="F2146" t="s">
        <v>21</v>
      </c>
      <c r="G2146" t="s">
        <v>26</v>
      </c>
      <c r="H2146" t="s">
        <v>21</v>
      </c>
      <c r="I2146" t="s">
        <v>20</v>
      </c>
      <c r="J2146" t="s">
        <v>20</v>
      </c>
      <c r="K2146" t="s">
        <v>27</v>
      </c>
      <c r="L2146" t="s">
        <v>259</v>
      </c>
      <c r="M2146" t="s">
        <v>214</v>
      </c>
      <c r="N2146">
        <v>37.166122999999999</v>
      </c>
      <c r="O2146">
        <v>-111.97108900000001</v>
      </c>
      <c r="P2146">
        <v>4883.5311199999996</v>
      </c>
      <c r="Q2146">
        <v>1384</v>
      </c>
      <c r="R2146">
        <v>0</v>
      </c>
    </row>
    <row r="2147" spans="1:18" x14ac:dyDescent="0.25">
      <c r="A2147">
        <v>2146</v>
      </c>
      <c r="B2147">
        <v>94</v>
      </c>
      <c r="C2147">
        <v>31442091</v>
      </c>
      <c r="D2147" t="s">
        <v>319</v>
      </c>
      <c r="E2147">
        <v>32.451000000000001</v>
      </c>
      <c r="F2147" t="s">
        <v>21</v>
      </c>
      <c r="G2147" t="s">
        <v>20</v>
      </c>
      <c r="H2147" t="s">
        <v>21</v>
      </c>
      <c r="I2147" t="s">
        <v>20</v>
      </c>
      <c r="J2147" t="s">
        <v>20</v>
      </c>
      <c r="K2147" t="s">
        <v>27</v>
      </c>
      <c r="L2147" t="s">
        <v>162</v>
      </c>
      <c r="M2147" t="s">
        <v>55</v>
      </c>
      <c r="N2147">
        <v>37.673782000000003</v>
      </c>
      <c r="O2147">
        <v>-113.532422</v>
      </c>
      <c r="P2147">
        <v>5244.2595060000003</v>
      </c>
      <c r="Q2147">
        <v>314</v>
      </c>
      <c r="R2147">
        <v>0</v>
      </c>
    </row>
    <row r="2148" spans="1:18" x14ac:dyDescent="0.25">
      <c r="A2148">
        <v>2147</v>
      </c>
      <c r="B2148">
        <v>94</v>
      </c>
      <c r="C2148">
        <v>31410393</v>
      </c>
      <c r="D2148" t="s">
        <v>63</v>
      </c>
      <c r="E2148">
        <v>32.451999999999998</v>
      </c>
      <c r="F2148" t="s">
        <v>21</v>
      </c>
      <c r="G2148" t="s">
        <v>26</v>
      </c>
      <c r="H2148" t="s">
        <v>21</v>
      </c>
      <c r="I2148" t="s">
        <v>20</v>
      </c>
      <c r="J2148" t="s">
        <v>20</v>
      </c>
      <c r="K2148" t="s">
        <v>27</v>
      </c>
      <c r="L2148" t="s">
        <v>266</v>
      </c>
      <c r="M2148" t="s">
        <v>29</v>
      </c>
      <c r="N2148">
        <v>38.440688000000002</v>
      </c>
      <c r="O2148">
        <v>-111.91878199999999</v>
      </c>
      <c r="P2148">
        <v>6784.8182630000001</v>
      </c>
      <c r="Q2148">
        <v>1365</v>
      </c>
      <c r="R2148">
        <v>0</v>
      </c>
    </row>
    <row r="2149" spans="1:18" x14ac:dyDescent="0.25">
      <c r="A2149">
        <v>2148</v>
      </c>
      <c r="B2149">
        <v>94</v>
      </c>
      <c r="C2149">
        <v>31381512</v>
      </c>
      <c r="D2149" t="s">
        <v>116</v>
      </c>
      <c r="E2149">
        <v>32.468000000000004</v>
      </c>
      <c r="F2149" t="s">
        <v>21</v>
      </c>
      <c r="G2149" t="s">
        <v>26</v>
      </c>
      <c r="H2149" t="s">
        <v>21</v>
      </c>
      <c r="I2149" t="s">
        <v>20</v>
      </c>
      <c r="J2149" t="s">
        <v>20</v>
      </c>
      <c r="K2149" t="s">
        <v>41</v>
      </c>
      <c r="L2149" t="s">
        <v>95</v>
      </c>
      <c r="M2149" t="s">
        <v>117</v>
      </c>
      <c r="N2149">
        <v>41.816115000000003</v>
      </c>
      <c r="O2149">
        <v>-111.83315399999999</v>
      </c>
      <c r="P2149">
        <v>4461.2856970000003</v>
      </c>
      <c r="Q2149">
        <v>324</v>
      </c>
      <c r="R2149">
        <v>0</v>
      </c>
    </row>
    <row r="2150" spans="1:18" x14ac:dyDescent="0.25">
      <c r="A2150">
        <v>2149</v>
      </c>
      <c r="B2150">
        <v>94</v>
      </c>
      <c r="C2150">
        <v>1423606</v>
      </c>
      <c r="D2150" t="s">
        <v>88</v>
      </c>
      <c r="E2150">
        <v>3.6150000000000002</v>
      </c>
      <c r="F2150" t="s">
        <v>21</v>
      </c>
      <c r="G2150" t="s">
        <v>26</v>
      </c>
      <c r="H2150" t="s">
        <v>21</v>
      </c>
      <c r="I2150" t="s">
        <v>20</v>
      </c>
      <c r="J2150" t="s">
        <v>20</v>
      </c>
      <c r="K2150" t="s">
        <v>31</v>
      </c>
      <c r="L2150" t="s">
        <v>89</v>
      </c>
      <c r="M2150" t="s">
        <v>90</v>
      </c>
      <c r="N2150">
        <v>40.526240999999999</v>
      </c>
      <c r="O2150">
        <v>-111.91663200000001</v>
      </c>
      <c r="P2150">
        <v>4288.9936379999999</v>
      </c>
      <c r="Q2150">
        <v>318</v>
      </c>
      <c r="R2150">
        <v>0</v>
      </c>
    </row>
    <row r="2151" spans="1:18" x14ac:dyDescent="0.25">
      <c r="A2151">
        <v>2150</v>
      </c>
      <c r="B2151">
        <v>94</v>
      </c>
      <c r="C2151">
        <v>530437</v>
      </c>
      <c r="D2151" t="s">
        <v>44</v>
      </c>
      <c r="E2151">
        <v>3.6190000000000002</v>
      </c>
      <c r="F2151" t="s">
        <v>21</v>
      </c>
      <c r="G2151" t="s">
        <v>26</v>
      </c>
      <c r="H2151" t="s">
        <v>21</v>
      </c>
      <c r="I2151" t="s">
        <v>20</v>
      </c>
      <c r="J2151" t="s">
        <v>20</v>
      </c>
      <c r="K2151" t="s">
        <v>41</v>
      </c>
      <c r="L2151" t="s">
        <v>45</v>
      </c>
      <c r="M2151" t="s">
        <v>46</v>
      </c>
      <c r="N2151">
        <v>40.929802000000002</v>
      </c>
      <c r="O2151">
        <v>-111.878946</v>
      </c>
      <c r="P2151">
        <v>4233.2353450000001</v>
      </c>
      <c r="Q2151">
        <v>1395</v>
      </c>
      <c r="R2151">
        <v>0</v>
      </c>
    </row>
    <row r="2152" spans="1:18" x14ac:dyDescent="0.25">
      <c r="A2152">
        <v>2151</v>
      </c>
      <c r="B2152">
        <v>94</v>
      </c>
      <c r="C2152">
        <v>1245500</v>
      </c>
      <c r="D2152" t="s">
        <v>189</v>
      </c>
      <c r="E2152">
        <v>3.63</v>
      </c>
      <c r="F2152" t="s">
        <v>19</v>
      </c>
      <c r="G2152" t="s">
        <v>20</v>
      </c>
      <c r="H2152" t="s">
        <v>21</v>
      </c>
      <c r="I2152" t="s">
        <v>20</v>
      </c>
      <c r="J2152" t="s">
        <v>20</v>
      </c>
      <c r="K2152" t="s">
        <v>41</v>
      </c>
      <c r="L2152" t="s">
        <v>81</v>
      </c>
      <c r="M2152" t="s">
        <v>190</v>
      </c>
      <c r="N2152">
        <v>41.205731</v>
      </c>
      <c r="O2152">
        <v>-111.94859099999999</v>
      </c>
      <c r="P2152">
        <v>4465.2722160000003</v>
      </c>
      <c r="Q2152">
        <v>412</v>
      </c>
      <c r="R2152">
        <v>0</v>
      </c>
    </row>
    <row r="2153" spans="1:18" x14ac:dyDescent="0.25">
      <c r="A2153">
        <v>2152</v>
      </c>
      <c r="B2153">
        <v>94</v>
      </c>
      <c r="C2153">
        <v>31519745</v>
      </c>
      <c r="D2153" t="s">
        <v>231</v>
      </c>
      <c r="E2153">
        <v>3.6360000000000001</v>
      </c>
      <c r="F2153" t="s">
        <v>21</v>
      </c>
      <c r="G2153" t="s">
        <v>26</v>
      </c>
      <c r="H2153" t="s">
        <v>21</v>
      </c>
      <c r="I2153" t="s">
        <v>20</v>
      </c>
      <c r="J2153" t="s">
        <v>20</v>
      </c>
      <c r="K2153" t="s">
        <v>41</v>
      </c>
      <c r="L2153" t="s">
        <v>57</v>
      </c>
      <c r="M2153" t="s">
        <v>93</v>
      </c>
      <c r="N2153">
        <v>41.092736000000002</v>
      </c>
      <c r="O2153">
        <v>-112.004633</v>
      </c>
      <c r="P2153">
        <v>4413.9790380000004</v>
      </c>
      <c r="Q2153">
        <v>1409</v>
      </c>
      <c r="R2153">
        <v>0</v>
      </c>
    </row>
    <row r="2154" spans="1:18" x14ac:dyDescent="0.25">
      <c r="A2154">
        <v>2153</v>
      </c>
      <c r="B2154">
        <v>94</v>
      </c>
      <c r="C2154">
        <v>28869791</v>
      </c>
      <c r="D2154" t="s">
        <v>18</v>
      </c>
      <c r="E2154">
        <v>3.6469999999999998</v>
      </c>
      <c r="F2154" t="s">
        <v>19</v>
      </c>
      <c r="G2154" t="s">
        <v>20</v>
      </c>
      <c r="H2154" t="s">
        <v>21</v>
      </c>
      <c r="I2154" t="s">
        <v>20</v>
      </c>
      <c r="J2154" t="s">
        <v>20</v>
      </c>
      <c r="K2154" t="s">
        <v>22</v>
      </c>
      <c r="L2154" t="s">
        <v>23</v>
      </c>
      <c r="M2154" t="s">
        <v>24</v>
      </c>
      <c r="N2154">
        <v>40.262878999999998</v>
      </c>
      <c r="O2154">
        <v>-111.667514</v>
      </c>
      <c r="P2154">
        <v>4574.3210799999997</v>
      </c>
      <c r="Q2154">
        <v>1281</v>
      </c>
      <c r="R2154">
        <v>0</v>
      </c>
    </row>
    <row r="2155" spans="1:18" x14ac:dyDescent="0.25">
      <c r="A2155">
        <v>2154</v>
      </c>
      <c r="B2155">
        <v>94</v>
      </c>
      <c r="C2155">
        <v>31458671</v>
      </c>
      <c r="D2155" t="s">
        <v>331</v>
      </c>
      <c r="E2155">
        <v>3.649</v>
      </c>
      <c r="F2155" t="s">
        <v>21</v>
      </c>
      <c r="G2155" t="s">
        <v>26</v>
      </c>
      <c r="H2155" t="s">
        <v>21</v>
      </c>
      <c r="I2155" t="s">
        <v>20</v>
      </c>
      <c r="J2155" t="s">
        <v>20</v>
      </c>
      <c r="K2155" t="s">
        <v>27</v>
      </c>
      <c r="L2155" t="s">
        <v>111</v>
      </c>
      <c r="M2155" t="s">
        <v>112</v>
      </c>
      <c r="N2155">
        <v>39.347534000000003</v>
      </c>
      <c r="O2155">
        <v>-110.87067999999999</v>
      </c>
      <c r="P2155">
        <v>5665.6096820000002</v>
      </c>
      <c r="Q2155">
        <v>1427</v>
      </c>
      <c r="R2155">
        <v>0</v>
      </c>
    </row>
    <row r="2156" spans="1:18" x14ac:dyDescent="0.25">
      <c r="A2156">
        <v>2155</v>
      </c>
      <c r="B2156">
        <v>94</v>
      </c>
      <c r="C2156">
        <v>1172482</v>
      </c>
      <c r="D2156" t="s">
        <v>128</v>
      </c>
      <c r="E2156">
        <v>3.649</v>
      </c>
      <c r="F2156" t="s">
        <v>19</v>
      </c>
      <c r="G2156" t="s">
        <v>20</v>
      </c>
      <c r="H2156" t="s">
        <v>21</v>
      </c>
      <c r="I2156" t="s">
        <v>20</v>
      </c>
      <c r="J2156" t="s">
        <v>20</v>
      </c>
      <c r="K2156" t="s">
        <v>41</v>
      </c>
      <c r="L2156" t="s">
        <v>95</v>
      </c>
      <c r="M2156" t="s">
        <v>73</v>
      </c>
      <c r="N2156">
        <v>41.750521999999997</v>
      </c>
      <c r="O2156">
        <v>-111.85905099999999</v>
      </c>
      <c r="P2156">
        <v>4407.465991</v>
      </c>
      <c r="Q2156">
        <v>5943</v>
      </c>
      <c r="R2156">
        <v>0</v>
      </c>
    </row>
    <row r="2157" spans="1:18" x14ac:dyDescent="0.25">
      <c r="A2157">
        <v>2156</v>
      </c>
      <c r="B2157">
        <v>94</v>
      </c>
      <c r="C2157">
        <v>31302404</v>
      </c>
      <c r="D2157" t="s">
        <v>268</v>
      </c>
      <c r="E2157">
        <v>3.6539999999999999</v>
      </c>
      <c r="F2157" t="s">
        <v>21</v>
      </c>
      <c r="G2157" t="s">
        <v>26</v>
      </c>
      <c r="H2157" t="s">
        <v>21</v>
      </c>
      <c r="I2157" t="s">
        <v>20</v>
      </c>
      <c r="J2157" t="s">
        <v>20</v>
      </c>
      <c r="K2157" t="s">
        <v>41</v>
      </c>
      <c r="L2157" t="s">
        <v>177</v>
      </c>
      <c r="M2157" t="s">
        <v>43</v>
      </c>
      <c r="N2157">
        <v>41.569237000000001</v>
      </c>
      <c r="O2157">
        <v>-112.197559</v>
      </c>
      <c r="P2157">
        <v>4194.5873959999999</v>
      </c>
      <c r="Q2157">
        <v>1380</v>
      </c>
      <c r="R2157">
        <v>0</v>
      </c>
    </row>
    <row r="2158" spans="1:18" x14ac:dyDescent="0.25">
      <c r="A2158">
        <v>2157</v>
      </c>
      <c r="B2158">
        <v>94</v>
      </c>
      <c r="C2158">
        <v>31432744</v>
      </c>
      <c r="D2158" t="s">
        <v>216</v>
      </c>
      <c r="E2158">
        <v>3.6560000000000001</v>
      </c>
      <c r="F2158" t="s">
        <v>21</v>
      </c>
      <c r="G2158" t="s">
        <v>20</v>
      </c>
      <c r="H2158" t="s">
        <v>21</v>
      </c>
      <c r="I2158" t="s">
        <v>20</v>
      </c>
      <c r="J2158" t="s">
        <v>20</v>
      </c>
      <c r="K2158" t="s">
        <v>27</v>
      </c>
      <c r="L2158" t="s">
        <v>158</v>
      </c>
      <c r="M2158" t="s">
        <v>159</v>
      </c>
      <c r="N2158">
        <v>39.675218999999998</v>
      </c>
      <c r="O2158">
        <v>-110.817733</v>
      </c>
      <c r="P2158">
        <v>6173.1700279999995</v>
      </c>
      <c r="Q2158">
        <v>1428</v>
      </c>
      <c r="R2158">
        <v>0</v>
      </c>
    </row>
    <row r="2159" spans="1:18" x14ac:dyDescent="0.25">
      <c r="A2159">
        <v>2158</v>
      </c>
      <c r="B2159">
        <v>94</v>
      </c>
      <c r="C2159">
        <v>775840</v>
      </c>
      <c r="D2159" t="s">
        <v>68</v>
      </c>
      <c r="E2159">
        <v>3.6560000000000001</v>
      </c>
      <c r="F2159" t="s">
        <v>21</v>
      </c>
      <c r="G2159" t="s">
        <v>26</v>
      </c>
      <c r="H2159" t="s">
        <v>21</v>
      </c>
      <c r="I2159" t="s">
        <v>20</v>
      </c>
      <c r="J2159" t="s">
        <v>20</v>
      </c>
      <c r="K2159" t="s">
        <v>31</v>
      </c>
      <c r="L2159" t="s">
        <v>69</v>
      </c>
      <c r="M2159" t="s">
        <v>70</v>
      </c>
      <c r="N2159">
        <v>40.674337999999999</v>
      </c>
      <c r="O2159">
        <v>-111.88599499999999</v>
      </c>
      <c r="P2159">
        <v>4219.2136099999998</v>
      </c>
      <c r="Q2159">
        <v>431</v>
      </c>
      <c r="R2159">
        <v>0</v>
      </c>
    </row>
    <row r="2160" spans="1:18" x14ac:dyDescent="0.25">
      <c r="A2160">
        <v>2159</v>
      </c>
      <c r="B2160">
        <v>94</v>
      </c>
      <c r="C2160">
        <v>31756632</v>
      </c>
      <c r="D2160" t="s">
        <v>262</v>
      </c>
      <c r="E2160">
        <v>3.6659999999999999</v>
      </c>
      <c r="F2160" t="s">
        <v>19</v>
      </c>
      <c r="G2160" t="s">
        <v>20</v>
      </c>
      <c r="H2160" t="s">
        <v>21</v>
      </c>
      <c r="I2160" t="s">
        <v>20</v>
      </c>
      <c r="J2160" t="s">
        <v>20</v>
      </c>
      <c r="K2160" t="s">
        <v>22</v>
      </c>
      <c r="L2160" t="s">
        <v>263</v>
      </c>
      <c r="M2160" t="s">
        <v>24</v>
      </c>
      <c r="N2160">
        <v>40.373474000000002</v>
      </c>
      <c r="O2160">
        <v>-111.849104</v>
      </c>
      <c r="P2160">
        <v>4459.09447</v>
      </c>
      <c r="Q2160">
        <v>1419</v>
      </c>
      <c r="R2160">
        <v>0</v>
      </c>
    </row>
    <row r="2161" spans="1:18" x14ac:dyDescent="0.25">
      <c r="A2161">
        <v>2160</v>
      </c>
      <c r="B2161">
        <v>94</v>
      </c>
      <c r="C2161" t="e">
        <f>-JYgJA_dHdH04JfpLNPCSV</f>
        <v>#NAME?</v>
      </c>
      <c r="D2161" t="s">
        <v>390</v>
      </c>
      <c r="E2161">
        <v>3.669</v>
      </c>
      <c r="F2161" t="s">
        <v>21</v>
      </c>
      <c r="G2161" t="s">
        <v>26</v>
      </c>
      <c r="H2161" t="s">
        <v>21</v>
      </c>
      <c r="I2161" t="s">
        <v>20</v>
      </c>
      <c r="J2161" t="s">
        <v>20</v>
      </c>
      <c r="K2161" t="s">
        <v>22</v>
      </c>
      <c r="L2161" t="s">
        <v>84</v>
      </c>
      <c r="M2161" t="s">
        <v>335</v>
      </c>
      <c r="N2161">
        <v>40.431764999999999</v>
      </c>
      <c r="O2161">
        <v>-111.826257</v>
      </c>
      <c r="P2161">
        <v>4772.2201269999996</v>
      </c>
      <c r="Q2161">
        <v>1386</v>
      </c>
      <c r="R2161">
        <v>0</v>
      </c>
    </row>
    <row r="2162" spans="1:18" x14ac:dyDescent="0.25">
      <c r="A2162">
        <v>2161</v>
      </c>
      <c r="B2162">
        <v>94</v>
      </c>
      <c r="C2162">
        <v>530613</v>
      </c>
      <c r="D2162" t="s">
        <v>44</v>
      </c>
      <c r="E2162">
        <v>3.6709999999999998</v>
      </c>
      <c r="F2162" t="s">
        <v>21</v>
      </c>
      <c r="G2162" t="s">
        <v>26</v>
      </c>
      <c r="H2162" t="s">
        <v>21</v>
      </c>
      <c r="I2162" t="s">
        <v>20</v>
      </c>
      <c r="J2162" t="s">
        <v>20</v>
      </c>
      <c r="K2162" t="s">
        <v>41</v>
      </c>
      <c r="L2162" t="s">
        <v>45</v>
      </c>
      <c r="M2162" t="s">
        <v>46</v>
      </c>
      <c r="N2162">
        <v>40.930573000000003</v>
      </c>
      <c r="O2162">
        <v>-111.878944</v>
      </c>
      <c r="P2162">
        <v>4234.0357350000004</v>
      </c>
      <c r="Q2162">
        <v>1395</v>
      </c>
      <c r="R2162">
        <v>0</v>
      </c>
    </row>
    <row r="2163" spans="1:18" x14ac:dyDescent="0.25">
      <c r="A2163">
        <v>2162</v>
      </c>
      <c r="B2163">
        <v>94</v>
      </c>
      <c r="C2163">
        <v>1243725</v>
      </c>
      <c r="D2163" t="s">
        <v>108</v>
      </c>
      <c r="E2163">
        <v>3.6760000000000002</v>
      </c>
      <c r="F2163" t="s">
        <v>21</v>
      </c>
      <c r="G2163" t="s">
        <v>26</v>
      </c>
      <c r="H2163" t="s">
        <v>21</v>
      </c>
      <c r="I2163" t="s">
        <v>20</v>
      </c>
      <c r="J2163" t="s">
        <v>20</v>
      </c>
      <c r="K2163" t="s">
        <v>41</v>
      </c>
      <c r="L2163" t="s">
        <v>81</v>
      </c>
      <c r="M2163" t="s">
        <v>93</v>
      </c>
      <c r="N2163">
        <v>41.199714999999998</v>
      </c>
      <c r="O2163">
        <v>-111.97177499999999</v>
      </c>
      <c r="P2163">
        <v>4307.7633610000003</v>
      </c>
      <c r="Q2163">
        <v>1341</v>
      </c>
      <c r="R2163">
        <v>0</v>
      </c>
    </row>
    <row r="2164" spans="1:18" x14ac:dyDescent="0.25">
      <c r="A2164">
        <v>2163</v>
      </c>
      <c r="B2164">
        <v>94</v>
      </c>
      <c r="C2164">
        <v>31509569</v>
      </c>
      <c r="D2164" t="s">
        <v>132</v>
      </c>
      <c r="E2164">
        <v>3.681</v>
      </c>
      <c r="F2164" t="s">
        <v>21</v>
      </c>
      <c r="G2164" t="s">
        <v>26</v>
      </c>
      <c r="H2164" t="s">
        <v>21</v>
      </c>
      <c r="I2164" t="s">
        <v>20</v>
      </c>
      <c r="J2164" t="s">
        <v>20</v>
      </c>
      <c r="K2164" t="s">
        <v>22</v>
      </c>
      <c r="L2164" t="s">
        <v>133</v>
      </c>
      <c r="M2164" t="s">
        <v>134</v>
      </c>
      <c r="N2164">
        <v>40.342078000000001</v>
      </c>
      <c r="O2164">
        <v>-110.025706</v>
      </c>
      <c r="P2164">
        <v>5266.8063330000004</v>
      </c>
      <c r="Q2164">
        <v>1405</v>
      </c>
      <c r="R2164">
        <v>0</v>
      </c>
    </row>
    <row r="2165" spans="1:18" x14ac:dyDescent="0.25">
      <c r="A2165">
        <v>2164</v>
      </c>
      <c r="B2165">
        <v>94</v>
      </c>
      <c r="C2165">
        <v>27866917</v>
      </c>
      <c r="D2165" t="s">
        <v>91</v>
      </c>
      <c r="E2165">
        <v>3.6840000000000002</v>
      </c>
      <c r="F2165" t="s">
        <v>21</v>
      </c>
      <c r="G2165" t="s">
        <v>26</v>
      </c>
      <c r="H2165" t="s">
        <v>21</v>
      </c>
      <c r="I2165" t="s">
        <v>20</v>
      </c>
      <c r="J2165" t="s">
        <v>20</v>
      </c>
      <c r="K2165" t="s">
        <v>41</v>
      </c>
      <c r="L2165" t="s">
        <v>42</v>
      </c>
      <c r="M2165" t="s">
        <v>73</v>
      </c>
      <c r="N2165">
        <v>41.664535000000001</v>
      </c>
      <c r="O2165">
        <v>-111.94913699999999</v>
      </c>
      <c r="P2165">
        <v>4506.6198919999997</v>
      </c>
      <c r="Q2165">
        <v>1339</v>
      </c>
      <c r="R2165">
        <v>0</v>
      </c>
    </row>
    <row r="2166" spans="1:18" x14ac:dyDescent="0.25">
      <c r="A2166">
        <v>2165</v>
      </c>
      <c r="B2166">
        <v>94</v>
      </c>
      <c r="C2166">
        <v>31275491</v>
      </c>
      <c r="D2166" t="s">
        <v>288</v>
      </c>
      <c r="E2166">
        <v>3.6869999999999998</v>
      </c>
      <c r="F2166" t="s">
        <v>21</v>
      </c>
      <c r="G2166" t="s">
        <v>26</v>
      </c>
      <c r="H2166" t="s">
        <v>21</v>
      </c>
      <c r="I2166" t="s">
        <v>20</v>
      </c>
      <c r="J2166" t="s">
        <v>20</v>
      </c>
      <c r="K2166" t="s">
        <v>27</v>
      </c>
      <c r="L2166" t="s">
        <v>211</v>
      </c>
      <c r="M2166" t="s">
        <v>318</v>
      </c>
      <c r="N2166">
        <v>37.041876000000002</v>
      </c>
      <c r="O2166">
        <v>-109.580702</v>
      </c>
      <c r="P2166">
        <v>5001.0565319999996</v>
      </c>
      <c r="Q2166">
        <v>350</v>
      </c>
      <c r="R2166">
        <v>0</v>
      </c>
    </row>
    <row r="2167" spans="1:18" x14ac:dyDescent="0.25">
      <c r="A2167">
        <v>2166</v>
      </c>
      <c r="B2167">
        <v>94</v>
      </c>
      <c r="C2167">
        <v>31283391</v>
      </c>
      <c r="D2167" t="s">
        <v>241</v>
      </c>
      <c r="E2167">
        <v>33.070999999999998</v>
      </c>
      <c r="F2167" t="s">
        <v>21</v>
      </c>
      <c r="G2167" t="s">
        <v>26</v>
      </c>
      <c r="H2167" t="s">
        <v>21</v>
      </c>
      <c r="I2167" t="s">
        <v>20</v>
      </c>
      <c r="J2167" t="s">
        <v>20</v>
      </c>
      <c r="K2167" t="s">
        <v>27</v>
      </c>
      <c r="L2167" t="s">
        <v>111</v>
      </c>
      <c r="M2167" t="s">
        <v>243</v>
      </c>
      <c r="N2167">
        <v>39.161321999999998</v>
      </c>
      <c r="O2167">
        <v>-111.070587</v>
      </c>
      <c r="P2167">
        <v>5684.3909000000003</v>
      </c>
      <c r="Q2167">
        <v>1327</v>
      </c>
      <c r="R2167">
        <v>0</v>
      </c>
    </row>
    <row r="2168" spans="1:18" x14ac:dyDescent="0.25">
      <c r="A2168">
        <v>2167</v>
      </c>
      <c r="B2168">
        <v>94</v>
      </c>
      <c r="C2168">
        <v>2661194</v>
      </c>
      <c r="D2168" t="s">
        <v>176</v>
      </c>
      <c r="E2168">
        <v>33.104999999999997</v>
      </c>
      <c r="F2168" t="s">
        <v>21</v>
      </c>
      <c r="G2168" t="s">
        <v>26</v>
      </c>
      <c r="H2168" t="s">
        <v>21</v>
      </c>
      <c r="I2168" t="s">
        <v>20</v>
      </c>
      <c r="J2168" t="s">
        <v>20</v>
      </c>
      <c r="K2168" t="s">
        <v>41</v>
      </c>
      <c r="L2168" t="s">
        <v>223</v>
      </c>
      <c r="M2168" t="s">
        <v>178</v>
      </c>
      <c r="N2168">
        <v>41.886437000000001</v>
      </c>
      <c r="O2168">
        <v>-112.17173200000001</v>
      </c>
      <c r="P2168">
        <v>4436.1839710000004</v>
      </c>
      <c r="Q2168">
        <v>1329</v>
      </c>
      <c r="R2168">
        <v>0</v>
      </c>
    </row>
    <row r="2169" spans="1:18" x14ac:dyDescent="0.25">
      <c r="A2169">
        <v>2168</v>
      </c>
      <c r="B2169">
        <v>94</v>
      </c>
      <c r="C2169" t="s">
        <v>491</v>
      </c>
      <c r="D2169" t="s">
        <v>272</v>
      </c>
      <c r="E2169">
        <v>276.959</v>
      </c>
      <c r="F2169" t="s">
        <v>21</v>
      </c>
      <c r="G2169" t="s">
        <v>26</v>
      </c>
      <c r="H2169" t="s">
        <v>21</v>
      </c>
      <c r="I2169" t="s">
        <v>20</v>
      </c>
      <c r="J2169" t="s">
        <v>20</v>
      </c>
      <c r="K2169" t="s">
        <v>27</v>
      </c>
      <c r="L2169" t="s">
        <v>230</v>
      </c>
      <c r="M2169" t="s">
        <v>174</v>
      </c>
      <c r="N2169">
        <v>39.534210999999999</v>
      </c>
      <c r="O2169">
        <v>-111.457745</v>
      </c>
      <c r="P2169">
        <v>5864.5035399999997</v>
      </c>
      <c r="Q2169">
        <v>1384</v>
      </c>
      <c r="R2169">
        <v>0</v>
      </c>
    </row>
    <row r="2170" spans="1:18" x14ac:dyDescent="0.25">
      <c r="A2170">
        <v>2169</v>
      </c>
      <c r="B2170">
        <v>94</v>
      </c>
      <c r="C2170" t="e">
        <f>-IoMoQuHHQTpHdMbGtLZvF</f>
        <v>#NAME?</v>
      </c>
      <c r="D2170" t="s">
        <v>272</v>
      </c>
      <c r="E2170">
        <v>277.048</v>
      </c>
      <c r="F2170" t="s">
        <v>21</v>
      </c>
      <c r="G2170" t="s">
        <v>26</v>
      </c>
      <c r="H2170" t="s">
        <v>21</v>
      </c>
      <c r="I2170" t="s">
        <v>20</v>
      </c>
      <c r="J2170" t="s">
        <v>20</v>
      </c>
      <c r="K2170" t="s">
        <v>27</v>
      </c>
      <c r="L2170" t="s">
        <v>230</v>
      </c>
      <c r="M2170" t="s">
        <v>174</v>
      </c>
      <c r="N2170">
        <v>39.535096000000003</v>
      </c>
      <c r="O2170">
        <v>-111.456558</v>
      </c>
      <c r="P2170">
        <v>5868.990871</v>
      </c>
      <c r="Q2170">
        <v>1384</v>
      </c>
      <c r="R2170">
        <v>0</v>
      </c>
    </row>
    <row r="2171" spans="1:18" x14ac:dyDescent="0.25">
      <c r="A2171">
        <v>2170</v>
      </c>
      <c r="B2171">
        <v>94</v>
      </c>
      <c r="C2171" t="s">
        <v>492</v>
      </c>
      <c r="D2171" t="s">
        <v>272</v>
      </c>
      <c r="E2171">
        <v>277.16399999999999</v>
      </c>
      <c r="F2171" t="s">
        <v>21</v>
      </c>
      <c r="G2171" t="s">
        <v>26</v>
      </c>
      <c r="H2171" t="s">
        <v>21</v>
      </c>
      <c r="I2171" t="s">
        <v>20</v>
      </c>
      <c r="J2171" t="s">
        <v>20</v>
      </c>
      <c r="K2171" t="s">
        <v>27</v>
      </c>
      <c r="L2171" t="s">
        <v>230</v>
      </c>
      <c r="M2171" t="s">
        <v>174</v>
      </c>
      <c r="N2171">
        <v>39.536557000000002</v>
      </c>
      <c r="O2171">
        <v>-111.45555</v>
      </c>
      <c r="P2171">
        <v>5871.8356489999996</v>
      </c>
      <c r="Q2171">
        <v>1384</v>
      </c>
      <c r="R2171">
        <v>0</v>
      </c>
    </row>
    <row r="2172" spans="1:18" x14ac:dyDescent="0.25">
      <c r="A2172">
        <v>2171</v>
      </c>
      <c r="B2172">
        <v>94</v>
      </c>
      <c r="C2172" t="e">
        <f>-IoMoy61I9uQleOwpsCvXk</f>
        <v>#NAME?</v>
      </c>
      <c r="D2172" t="s">
        <v>272</v>
      </c>
      <c r="E2172">
        <v>277.26400000000001</v>
      </c>
      <c r="F2172" t="s">
        <v>21</v>
      </c>
      <c r="G2172" t="s">
        <v>26</v>
      </c>
      <c r="H2172" t="s">
        <v>21</v>
      </c>
      <c r="I2172" t="s">
        <v>20</v>
      </c>
      <c r="J2172" t="s">
        <v>20</v>
      </c>
      <c r="K2172" t="s">
        <v>27</v>
      </c>
      <c r="L2172" t="s">
        <v>230</v>
      </c>
      <c r="M2172" t="s">
        <v>174</v>
      </c>
      <c r="N2172">
        <v>39.537987999999999</v>
      </c>
      <c r="O2172">
        <v>-111.455286</v>
      </c>
      <c r="P2172">
        <v>5869.3607030000003</v>
      </c>
      <c r="Q2172">
        <v>1384</v>
      </c>
      <c r="R2172">
        <v>0</v>
      </c>
    </row>
    <row r="2173" spans="1:18" x14ac:dyDescent="0.25">
      <c r="A2173">
        <v>2172</v>
      </c>
      <c r="B2173">
        <v>94</v>
      </c>
      <c r="C2173">
        <v>31848578</v>
      </c>
      <c r="D2173" t="s">
        <v>118</v>
      </c>
      <c r="E2173">
        <v>146.9</v>
      </c>
      <c r="F2173" t="s">
        <v>21</v>
      </c>
      <c r="G2173" t="s">
        <v>26</v>
      </c>
      <c r="H2173" t="s">
        <v>21</v>
      </c>
      <c r="I2173" t="s">
        <v>20</v>
      </c>
      <c r="J2173" t="s">
        <v>20</v>
      </c>
      <c r="K2173" t="s">
        <v>22</v>
      </c>
      <c r="L2173" t="s">
        <v>234</v>
      </c>
      <c r="M2173" t="s">
        <v>169</v>
      </c>
      <c r="N2173">
        <v>40.434066000000001</v>
      </c>
      <c r="O2173">
        <v>-109.499568</v>
      </c>
      <c r="P2173">
        <v>5165.2010209999999</v>
      </c>
      <c r="Q2173">
        <v>310</v>
      </c>
      <c r="R2173">
        <v>0</v>
      </c>
    </row>
    <row r="2174" spans="1:18" x14ac:dyDescent="0.25">
      <c r="A2174">
        <v>2173</v>
      </c>
      <c r="B2174">
        <v>94</v>
      </c>
      <c r="C2174">
        <v>31866962</v>
      </c>
      <c r="D2174" t="s">
        <v>118</v>
      </c>
      <c r="E2174">
        <v>147.07599999999999</v>
      </c>
      <c r="F2174" t="s">
        <v>21</v>
      </c>
      <c r="G2174" t="s">
        <v>26</v>
      </c>
      <c r="H2174" t="s">
        <v>21</v>
      </c>
      <c r="I2174" t="s">
        <v>20</v>
      </c>
      <c r="J2174" t="s">
        <v>20</v>
      </c>
      <c r="K2174" t="s">
        <v>22</v>
      </c>
      <c r="L2174" t="s">
        <v>234</v>
      </c>
      <c r="M2174" t="s">
        <v>169</v>
      </c>
      <c r="N2174">
        <v>40.431500999999997</v>
      </c>
      <c r="O2174">
        <v>-109.49951299999999</v>
      </c>
      <c r="P2174">
        <v>5156.414495</v>
      </c>
      <c r="Q2174">
        <v>310</v>
      </c>
      <c r="R2174">
        <v>0</v>
      </c>
    </row>
    <row r="2175" spans="1:18" x14ac:dyDescent="0.25">
      <c r="A2175">
        <v>2174</v>
      </c>
      <c r="B2175">
        <v>94</v>
      </c>
      <c r="C2175" t="e">
        <f>-Ip0_egcITysi3xe9y-IwF</f>
        <v>#NAME?</v>
      </c>
      <c r="D2175" t="s">
        <v>118</v>
      </c>
      <c r="E2175">
        <v>147.155</v>
      </c>
      <c r="F2175" t="s">
        <v>21</v>
      </c>
      <c r="G2175" t="s">
        <v>26</v>
      </c>
      <c r="H2175" t="s">
        <v>21</v>
      </c>
      <c r="I2175" t="s">
        <v>20</v>
      </c>
      <c r="J2175" t="s">
        <v>20</v>
      </c>
      <c r="K2175" t="s">
        <v>22</v>
      </c>
      <c r="L2175" t="s">
        <v>234</v>
      </c>
      <c r="M2175" t="s">
        <v>169</v>
      </c>
      <c r="N2175">
        <v>40.430357000000001</v>
      </c>
      <c r="O2175">
        <v>-109.499488</v>
      </c>
      <c r="P2175">
        <v>5160.2084139999997</v>
      </c>
      <c r="Q2175">
        <v>310</v>
      </c>
      <c r="R2175">
        <v>0</v>
      </c>
    </row>
    <row r="2176" spans="1:18" x14ac:dyDescent="0.25">
      <c r="A2176">
        <v>2175</v>
      </c>
      <c r="B2176">
        <v>94</v>
      </c>
      <c r="C2176">
        <v>31866973</v>
      </c>
      <c r="D2176" t="s">
        <v>118</v>
      </c>
      <c r="E2176">
        <v>147.279</v>
      </c>
      <c r="F2176" t="s">
        <v>21</v>
      </c>
      <c r="G2176" t="s">
        <v>26</v>
      </c>
      <c r="H2176" t="s">
        <v>21</v>
      </c>
      <c r="I2176" t="s">
        <v>20</v>
      </c>
      <c r="J2176" t="s">
        <v>20</v>
      </c>
      <c r="K2176" t="s">
        <v>22</v>
      </c>
      <c r="L2176" t="s">
        <v>234</v>
      </c>
      <c r="M2176" t="s">
        <v>169</v>
      </c>
      <c r="N2176">
        <v>40.428541000000003</v>
      </c>
      <c r="O2176">
        <v>-109.49946</v>
      </c>
      <c r="P2176">
        <v>5171.2561290000003</v>
      </c>
      <c r="Q2176">
        <v>310</v>
      </c>
      <c r="R2176">
        <v>0</v>
      </c>
    </row>
    <row r="2177" spans="1:18" x14ac:dyDescent="0.25">
      <c r="A2177">
        <v>2176</v>
      </c>
      <c r="B2177">
        <v>94</v>
      </c>
      <c r="C2177">
        <v>31866984</v>
      </c>
      <c r="D2177" t="s">
        <v>118</v>
      </c>
      <c r="E2177">
        <v>147.411</v>
      </c>
      <c r="F2177" t="s">
        <v>21</v>
      </c>
      <c r="G2177" t="s">
        <v>26</v>
      </c>
      <c r="H2177" t="s">
        <v>21</v>
      </c>
      <c r="I2177" t="s">
        <v>20</v>
      </c>
      <c r="J2177" t="s">
        <v>20</v>
      </c>
      <c r="K2177" t="s">
        <v>22</v>
      </c>
      <c r="L2177" t="s">
        <v>234</v>
      </c>
      <c r="M2177" t="s">
        <v>169</v>
      </c>
      <c r="N2177">
        <v>40.426622000000002</v>
      </c>
      <c r="O2177">
        <v>-109.49942299999999</v>
      </c>
      <c r="P2177">
        <v>5180.1184929999999</v>
      </c>
      <c r="Q2177">
        <v>310</v>
      </c>
      <c r="R2177">
        <v>0</v>
      </c>
    </row>
    <row r="2178" spans="1:18" x14ac:dyDescent="0.25">
      <c r="A2178">
        <v>2177</v>
      </c>
      <c r="B2178">
        <v>94</v>
      </c>
      <c r="C2178">
        <v>31492452</v>
      </c>
      <c r="D2178" t="s">
        <v>288</v>
      </c>
      <c r="E2178">
        <v>147.58699999999999</v>
      </c>
      <c r="F2178" t="s">
        <v>21</v>
      </c>
      <c r="G2178" t="s">
        <v>26</v>
      </c>
      <c r="H2178" t="s">
        <v>21</v>
      </c>
      <c r="I2178" t="s">
        <v>20</v>
      </c>
      <c r="J2178" t="s">
        <v>20</v>
      </c>
      <c r="K2178" t="s">
        <v>27</v>
      </c>
      <c r="L2178" t="s">
        <v>38</v>
      </c>
      <c r="M2178" t="s">
        <v>152</v>
      </c>
      <c r="N2178">
        <v>38.811616000000001</v>
      </c>
      <c r="O2178">
        <v>-109.771699</v>
      </c>
      <c r="P2178">
        <v>4660.9947789999997</v>
      </c>
      <c r="Q2178">
        <v>350</v>
      </c>
      <c r="R2178">
        <v>0</v>
      </c>
    </row>
    <row r="2179" spans="1:18" x14ac:dyDescent="0.25">
      <c r="A2179">
        <v>2178</v>
      </c>
      <c r="B2179">
        <v>94</v>
      </c>
      <c r="C2179">
        <v>31866995</v>
      </c>
      <c r="D2179" t="s">
        <v>118</v>
      </c>
      <c r="E2179">
        <v>147.648</v>
      </c>
      <c r="F2179" t="s">
        <v>21</v>
      </c>
      <c r="G2179" t="s">
        <v>26</v>
      </c>
      <c r="H2179" t="s">
        <v>21</v>
      </c>
      <c r="I2179" t="s">
        <v>20</v>
      </c>
      <c r="J2179" t="s">
        <v>20</v>
      </c>
      <c r="K2179" t="s">
        <v>22</v>
      </c>
      <c r="L2179" t="s">
        <v>234</v>
      </c>
      <c r="M2179" t="s">
        <v>169</v>
      </c>
      <c r="N2179">
        <v>40.423171000000004</v>
      </c>
      <c r="O2179">
        <v>-109.49936599999999</v>
      </c>
      <c r="P2179">
        <v>5190.2897750000002</v>
      </c>
      <c r="Q2179">
        <v>310</v>
      </c>
      <c r="R2179">
        <v>0</v>
      </c>
    </row>
    <row r="2180" spans="1:18" x14ac:dyDescent="0.25">
      <c r="A2180">
        <v>2179</v>
      </c>
      <c r="B2180">
        <v>94</v>
      </c>
      <c r="C2180">
        <v>31867174</v>
      </c>
      <c r="D2180" t="s">
        <v>118</v>
      </c>
      <c r="E2180">
        <v>147.905</v>
      </c>
      <c r="F2180" t="s">
        <v>19</v>
      </c>
      <c r="G2180" t="s">
        <v>20</v>
      </c>
      <c r="H2180" t="s">
        <v>21</v>
      </c>
      <c r="I2180" t="s">
        <v>20</v>
      </c>
      <c r="J2180" t="s">
        <v>20</v>
      </c>
      <c r="K2180" t="s">
        <v>22</v>
      </c>
      <c r="L2180" t="s">
        <v>234</v>
      </c>
      <c r="M2180" t="s">
        <v>169</v>
      </c>
      <c r="N2180">
        <v>40.419429999999998</v>
      </c>
      <c r="O2180">
        <v>-109.49928199999999</v>
      </c>
      <c r="P2180">
        <v>5202.518693</v>
      </c>
      <c r="Q2180">
        <v>310</v>
      </c>
      <c r="R2180">
        <v>0</v>
      </c>
    </row>
    <row r="2181" spans="1:18" x14ac:dyDescent="0.25">
      <c r="A2181">
        <v>2180</v>
      </c>
      <c r="B2181">
        <v>94</v>
      </c>
      <c r="C2181">
        <v>31390638</v>
      </c>
      <c r="D2181" t="s">
        <v>184</v>
      </c>
      <c r="E2181">
        <v>17.105</v>
      </c>
      <c r="F2181" t="s">
        <v>21</v>
      </c>
      <c r="G2181" t="s">
        <v>26</v>
      </c>
      <c r="H2181" t="s">
        <v>21</v>
      </c>
      <c r="I2181" t="s">
        <v>20</v>
      </c>
      <c r="J2181" t="s">
        <v>20</v>
      </c>
      <c r="K2181" t="s">
        <v>27</v>
      </c>
      <c r="L2181" t="s">
        <v>54</v>
      </c>
      <c r="M2181" t="s">
        <v>55</v>
      </c>
      <c r="N2181">
        <v>37.878660000000004</v>
      </c>
      <c r="O2181">
        <v>-113.031611</v>
      </c>
      <c r="P2181">
        <v>5340.3134069999996</v>
      </c>
      <c r="Q2181">
        <v>1410</v>
      </c>
      <c r="R2181">
        <v>0</v>
      </c>
    </row>
    <row r="2182" spans="1:18" x14ac:dyDescent="0.25">
      <c r="A2182">
        <v>2181</v>
      </c>
      <c r="B2182">
        <v>94</v>
      </c>
      <c r="C2182">
        <v>1539870</v>
      </c>
      <c r="D2182" t="s">
        <v>88</v>
      </c>
      <c r="E2182">
        <v>17.123000000000001</v>
      </c>
      <c r="F2182" t="s">
        <v>21</v>
      </c>
      <c r="G2182" t="s">
        <v>26</v>
      </c>
      <c r="H2182" t="s">
        <v>21</v>
      </c>
      <c r="I2182" t="s">
        <v>20</v>
      </c>
      <c r="J2182" t="s">
        <v>20</v>
      </c>
      <c r="K2182" t="s">
        <v>31</v>
      </c>
      <c r="L2182" t="s">
        <v>69</v>
      </c>
      <c r="M2182" t="s">
        <v>90</v>
      </c>
      <c r="N2182">
        <v>40.683171999999999</v>
      </c>
      <c r="O2182">
        <v>-111.87141699999999</v>
      </c>
      <c r="P2182">
        <v>4234.3344379999999</v>
      </c>
      <c r="Q2182">
        <v>318</v>
      </c>
      <c r="R2182">
        <v>0</v>
      </c>
    </row>
    <row r="2183" spans="1:18" x14ac:dyDescent="0.25">
      <c r="A2183">
        <v>2182</v>
      </c>
      <c r="B2183">
        <v>94</v>
      </c>
      <c r="C2183">
        <v>28163430</v>
      </c>
      <c r="D2183" t="s">
        <v>239</v>
      </c>
      <c r="E2183">
        <v>17.135000000000002</v>
      </c>
      <c r="F2183" t="s">
        <v>21</v>
      </c>
      <c r="G2183" t="s">
        <v>26</v>
      </c>
      <c r="H2183" t="s">
        <v>21</v>
      </c>
      <c r="I2183" t="s">
        <v>20</v>
      </c>
      <c r="J2183" t="s">
        <v>20</v>
      </c>
      <c r="K2183" t="s">
        <v>41</v>
      </c>
      <c r="L2183" t="s">
        <v>181</v>
      </c>
      <c r="M2183" t="s">
        <v>178</v>
      </c>
      <c r="N2183">
        <v>41.712164999999999</v>
      </c>
      <c r="O2183">
        <v>-112.149343</v>
      </c>
      <c r="P2183">
        <v>4274.2946750000001</v>
      </c>
      <c r="Q2183">
        <v>1392</v>
      </c>
      <c r="R2183">
        <v>0</v>
      </c>
    </row>
    <row r="2184" spans="1:18" x14ac:dyDescent="0.25">
      <c r="A2184">
        <v>2183</v>
      </c>
      <c r="B2184">
        <v>94</v>
      </c>
      <c r="C2184">
        <v>31431239</v>
      </c>
      <c r="D2184" t="s">
        <v>345</v>
      </c>
      <c r="E2184">
        <v>17.137</v>
      </c>
      <c r="F2184" t="s">
        <v>21</v>
      </c>
      <c r="G2184" t="s">
        <v>26</v>
      </c>
      <c r="H2184" t="s">
        <v>21</v>
      </c>
      <c r="I2184" t="s">
        <v>20</v>
      </c>
      <c r="J2184" t="s">
        <v>20</v>
      </c>
      <c r="K2184" t="s">
        <v>27</v>
      </c>
      <c r="L2184" t="s">
        <v>75</v>
      </c>
      <c r="M2184" t="s">
        <v>76</v>
      </c>
      <c r="N2184">
        <v>38.788913000000001</v>
      </c>
      <c r="O2184">
        <v>-112.047997</v>
      </c>
      <c r="P2184">
        <v>5230.2690320000002</v>
      </c>
      <c r="Q2184">
        <v>1403</v>
      </c>
      <c r="R2184">
        <v>0</v>
      </c>
    </row>
    <row r="2185" spans="1:18" x14ac:dyDescent="0.25">
      <c r="A2185">
        <v>2184</v>
      </c>
      <c r="B2185">
        <v>94</v>
      </c>
      <c r="C2185">
        <v>31824922</v>
      </c>
      <c r="D2185" t="s">
        <v>61</v>
      </c>
      <c r="E2185">
        <v>17.138999999999999</v>
      </c>
      <c r="F2185" t="s">
        <v>21</v>
      </c>
      <c r="G2185" t="s">
        <v>26</v>
      </c>
      <c r="H2185" t="s">
        <v>21</v>
      </c>
      <c r="I2185" t="s">
        <v>20</v>
      </c>
      <c r="J2185" t="s">
        <v>20</v>
      </c>
      <c r="K2185" t="s">
        <v>22</v>
      </c>
      <c r="L2185" t="s">
        <v>60</v>
      </c>
      <c r="M2185" t="s">
        <v>328</v>
      </c>
      <c r="N2185">
        <v>40.399966999999997</v>
      </c>
      <c r="O2185">
        <v>-111.53599800000001</v>
      </c>
      <c r="P2185">
        <v>5310.2467800000004</v>
      </c>
      <c r="Q2185">
        <v>403</v>
      </c>
      <c r="R2185">
        <v>0</v>
      </c>
    </row>
    <row r="2186" spans="1:18" x14ac:dyDescent="0.25">
      <c r="A2186">
        <v>2185</v>
      </c>
      <c r="B2186">
        <v>94</v>
      </c>
      <c r="C2186">
        <v>31338649</v>
      </c>
      <c r="D2186" t="s">
        <v>413</v>
      </c>
      <c r="E2186">
        <v>17.164999999999999</v>
      </c>
      <c r="F2186" t="s">
        <v>19</v>
      </c>
      <c r="G2186" t="s">
        <v>20</v>
      </c>
      <c r="H2186" t="s">
        <v>21</v>
      </c>
      <c r="I2186" t="s">
        <v>20</v>
      </c>
      <c r="J2186" t="s">
        <v>20</v>
      </c>
      <c r="K2186" t="s">
        <v>31</v>
      </c>
      <c r="L2186" t="s">
        <v>66</v>
      </c>
      <c r="M2186" t="s">
        <v>206</v>
      </c>
      <c r="N2186">
        <v>40.725546999999999</v>
      </c>
      <c r="O2186">
        <v>-111.907247</v>
      </c>
      <c r="P2186">
        <v>4199.6841130000003</v>
      </c>
      <c r="Q2186">
        <v>411</v>
      </c>
      <c r="R2186">
        <v>0</v>
      </c>
    </row>
    <row r="2187" spans="1:18" x14ac:dyDescent="0.25">
      <c r="A2187">
        <v>2186</v>
      </c>
      <c r="B2187">
        <v>94</v>
      </c>
      <c r="C2187">
        <v>31523290</v>
      </c>
      <c r="D2187" t="s">
        <v>309</v>
      </c>
      <c r="E2187">
        <v>17.166</v>
      </c>
      <c r="F2187" t="s">
        <v>21</v>
      </c>
      <c r="G2187" t="s">
        <v>26</v>
      </c>
      <c r="H2187" t="s">
        <v>21</v>
      </c>
      <c r="I2187" t="s">
        <v>20</v>
      </c>
      <c r="J2187" t="s">
        <v>20</v>
      </c>
      <c r="K2187" t="s">
        <v>22</v>
      </c>
      <c r="L2187" t="s">
        <v>140</v>
      </c>
      <c r="M2187" t="s">
        <v>125</v>
      </c>
      <c r="N2187">
        <v>40.130389000000001</v>
      </c>
      <c r="O2187">
        <v>-111.578841</v>
      </c>
      <c r="P2187">
        <v>4673.1768510000002</v>
      </c>
      <c r="Q2187">
        <v>339</v>
      </c>
      <c r="R2187">
        <v>0</v>
      </c>
    </row>
    <row r="2188" spans="1:18" x14ac:dyDescent="0.25">
      <c r="A2188">
        <v>2187</v>
      </c>
      <c r="B2188">
        <v>94</v>
      </c>
      <c r="C2188">
        <v>31394329</v>
      </c>
      <c r="D2188" t="s">
        <v>352</v>
      </c>
      <c r="E2188">
        <v>17.175999999999998</v>
      </c>
      <c r="F2188" t="s">
        <v>21</v>
      </c>
      <c r="G2188" t="s">
        <v>26</v>
      </c>
      <c r="H2188" t="s">
        <v>21</v>
      </c>
      <c r="I2188" t="s">
        <v>20</v>
      </c>
      <c r="J2188" t="s">
        <v>20</v>
      </c>
      <c r="K2188" t="s">
        <v>31</v>
      </c>
      <c r="L2188" t="s">
        <v>282</v>
      </c>
      <c r="M2188" t="s">
        <v>206</v>
      </c>
      <c r="N2188">
        <v>40.336123000000001</v>
      </c>
      <c r="O2188">
        <v>-112.49881499999999</v>
      </c>
      <c r="P2188">
        <v>5428.3791209999999</v>
      </c>
      <c r="Q2188">
        <v>409</v>
      </c>
      <c r="R2188">
        <v>0</v>
      </c>
    </row>
    <row r="2189" spans="1:18" x14ac:dyDescent="0.25">
      <c r="A2189">
        <v>2188</v>
      </c>
      <c r="B2189">
        <v>94</v>
      </c>
      <c r="C2189" t="e">
        <f>-JMH1jxJHtLxEEpHrKax9F</f>
        <v>#NAME?</v>
      </c>
      <c r="D2189" t="s">
        <v>88</v>
      </c>
      <c r="E2189">
        <v>17.178000000000001</v>
      </c>
      <c r="F2189" t="s">
        <v>21</v>
      </c>
      <c r="G2189" t="s">
        <v>26</v>
      </c>
      <c r="H2189" t="s">
        <v>21</v>
      </c>
      <c r="I2189" t="s">
        <v>20</v>
      </c>
      <c r="J2189" t="s">
        <v>20</v>
      </c>
      <c r="K2189" t="s">
        <v>31</v>
      </c>
      <c r="L2189" t="s">
        <v>69</v>
      </c>
      <c r="M2189" t="s">
        <v>90</v>
      </c>
      <c r="N2189">
        <v>40.683964000000003</v>
      </c>
      <c r="O2189">
        <v>-111.87142</v>
      </c>
      <c r="P2189">
        <v>4227.7550090000004</v>
      </c>
      <c r="Q2189">
        <v>318</v>
      </c>
      <c r="R2189">
        <v>0</v>
      </c>
    </row>
    <row r="2190" spans="1:18" x14ac:dyDescent="0.25">
      <c r="A2190">
        <v>2189</v>
      </c>
      <c r="B2190">
        <v>94</v>
      </c>
      <c r="C2190">
        <v>31714357</v>
      </c>
      <c r="D2190" t="s">
        <v>118</v>
      </c>
      <c r="E2190">
        <v>17.189</v>
      </c>
      <c r="F2190" t="s">
        <v>21</v>
      </c>
      <c r="G2190" t="s">
        <v>26</v>
      </c>
      <c r="H2190" t="s">
        <v>21</v>
      </c>
      <c r="I2190" t="s">
        <v>20</v>
      </c>
      <c r="J2190" t="s">
        <v>20</v>
      </c>
      <c r="K2190" t="s">
        <v>22</v>
      </c>
      <c r="L2190" t="s">
        <v>35</v>
      </c>
      <c r="M2190" t="s">
        <v>120</v>
      </c>
      <c r="N2190">
        <v>40.503706000000001</v>
      </c>
      <c r="O2190">
        <v>-111.413532</v>
      </c>
      <c r="P2190">
        <v>5556.5705090000001</v>
      </c>
      <c r="Q2190">
        <v>310</v>
      </c>
      <c r="R2190">
        <v>0</v>
      </c>
    </row>
    <row r="2191" spans="1:18" x14ac:dyDescent="0.25">
      <c r="A2191">
        <v>2190</v>
      </c>
      <c r="B2191">
        <v>94</v>
      </c>
      <c r="C2191">
        <v>31502331</v>
      </c>
      <c r="D2191" t="s">
        <v>224</v>
      </c>
      <c r="E2191">
        <v>12.805999999999999</v>
      </c>
      <c r="F2191" t="s">
        <v>21</v>
      </c>
      <c r="G2191" t="s">
        <v>26</v>
      </c>
      <c r="H2191" t="s">
        <v>21</v>
      </c>
      <c r="I2191" t="s">
        <v>20</v>
      </c>
      <c r="J2191" t="s">
        <v>20</v>
      </c>
      <c r="K2191" t="s">
        <v>22</v>
      </c>
      <c r="L2191" t="s">
        <v>140</v>
      </c>
      <c r="M2191" t="s">
        <v>194</v>
      </c>
      <c r="N2191">
        <v>40.105826999999998</v>
      </c>
      <c r="O2191">
        <v>-111.64600799999999</v>
      </c>
      <c r="P2191">
        <v>4594.4384920000002</v>
      </c>
      <c r="Q2191">
        <v>408</v>
      </c>
      <c r="R2191">
        <v>0</v>
      </c>
    </row>
    <row r="2192" spans="1:18" x14ac:dyDescent="0.25">
      <c r="A2192">
        <v>2191</v>
      </c>
      <c r="B2192">
        <v>94</v>
      </c>
      <c r="C2192">
        <v>1529063</v>
      </c>
      <c r="D2192" t="s">
        <v>88</v>
      </c>
      <c r="E2192">
        <v>12.808999999999999</v>
      </c>
      <c r="F2192" t="s">
        <v>21</v>
      </c>
      <c r="G2192" t="s">
        <v>26</v>
      </c>
      <c r="H2192" t="s">
        <v>21</v>
      </c>
      <c r="I2192" t="s">
        <v>20</v>
      </c>
      <c r="J2192" t="s">
        <v>20</v>
      </c>
      <c r="K2192" t="s">
        <v>31</v>
      </c>
      <c r="L2192" t="s">
        <v>32</v>
      </c>
      <c r="M2192" t="s">
        <v>90</v>
      </c>
      <c r="N2192">
        <v>40.623866999999997</v>
      </c>
      <c r="O2192">
        <v>-111.865978</v>
      </c>
      <c r="P2192">
        <v>4381.8023869999997</v>
      </c>
      <c r="Q2192">
        <v>318</v>
      </c>
      <c r="R2192">
        <v>0</v>
      </c>
    </row>
    <row r="2193" spans="1:18" x14ac:dyDescent="0.25">
      <c r="A2193">
        <v>2192</v>
      </c>
      <c r="B2193">
        <v>94</v>
      </c>
      <c r="C2193" t="e">
        <f>-JYd-kyvF25imaLpZt6Gkk</f>
        <v>#NAME?</v>
      </c>
      <c r="D2193" t="s">
        <v>30</v>
      </c>
      <c r="E2193">
        <v>12.819000000000001</v>
      </c>
      <c r="F2193" t="s">
        <v>21</v>
      </c>
      <c r="G2193" t="s">
        <v>26</v>
      </c>
      <c r="H2193" t="s">
        <v>21</v>
      </c>
      <c r="I2193" t="s">
        <v>20</v>
      </c>
      <c r="J2193" t="s">
        <v>20</v>
      </c>
      <c r="K2193" t="s">
        <v>31</v>
      </c>
      <c r="L2193" t="s">
        <v>32</v>
      </c>
      <c r="M2193" t="s">
        <v>62</v>
      </c>
      <c r="N2193">
        <v>40.586827999999997</v>
      </c>
      <c r="O2193">
        <v>-111.64828199999999</v>
      </c>
      <c r="P2193">
        <v>8419.9379069999995</v>
      </c>
      <c r="Q2193">
        <v>415</v>
      </c>
      <c r="R2193">
        <v>0</v>
      </c>
    </row>
    <row r="2194" spans="1:18" x14ac:dyDescent="0.25">
      <c r="A2194">
        <v>2193</v>
      </c>
      <c r="B2194">
        <v>94</v>
      </c>
      <c r="C2194">
        <v>31507621</v>
      </c>
      <c r="D2194" t="s">
        <v>292</v>
      </c>
      <c r="E2194">
        <v>12.819000000000001</v>
      </c>
      <c r="F2194" t="s">
        <v>21</v>
      </c>
      <c r="G2194" t="s">
        <v>20</v>
      </c>
      <c r="H2194" t="s">
        <v>21</v>
      </c>
      <c r="I2194" t="s">
        <v>20</v>
      </c>
      <c r="J2194" t="s">
        <v>20</v>
      </c>
      <c r="K2194" t="s">
        <v>22</v>
      </c>
      <c r="L2194" t="s">
        <v>253</v>
      </c>
      <c r="M2194" t="s">
        <v>134</v>
      </c>
      <c r="N2194">
        <v>40.332456999999998</v>
      </c>
      <c r="O2194">
        <v>-110.407923</v>
      </c>
      <c r="P2194">
        <v>6692.6460310000002</v>
      </c>
      <c r="Q2194">
        <v>323</v>
      </c>
      <c r="R2194">
        <v>0</v>
      </c>
    </row>
    <row r="2195" spans="1:18" x14ac:dyDescent="0.25">
      <c r="A2195">
        <v>2194</v>
      </c>
      <c r="B2195">
        <v>94</v>
      </c>
      <c r="C2195" t="s">
        <v>493</v>
      </c>
      <c r="D2195" t="s">
        <v>494</v>
      </c>
      <c r="E2195">
        <v>12.821999999999999</v>
      </c>
      <c r="F2195" t="s">
        <v>21</v>
      </c>
      <c r="G2195" t="s">
        <v>20</v>
      </c>
      <c r="H2195" t="s">
        <v>21</v>
      </c>
      <c r="I2195" t="s">
        <v>20</v>
      </c>
      <c r="J2195" t="s">
        <v>20</v>
      </c>
      <c r="K2195" t="s">
        <v>27</v>
      </c>
      <c r="L2195" t="s">
        <v>38</v>
      </c>
      <c r="M2195" t="s">
        <v>152</v>
      </c>
      <c r="N2195">
        <v>38.616019000000001</v>
      </c>
      <c r="O2195">
        <v>-109.814504</v>
      </c>
      <c r="P2195">
        <v>5438.352656</v>
      </c>
      <c r="Q2195">
        <v>1289</v>
      </c>
      <c r="R2195">
        <v>0</v>
      </c>
    </row>
    <row r="2196" spans="1:18" x14ac:dyDescent="0.25">
      <c r="A2196">
        <v>2195</v>
      </c>
      <c r="B2196">
        <v>94</v>
      </c>
      <c r="C2196">
        <v>31270700</v>
      </c>
      <c r="D2196" t="s">
        <v>241</v>
      </c>
      <c r="E2196">
        <v>12.823</v>
      </c>
      <c r="F2196" t="s">
        <v>21</v>
      </c>
      <c r="G2196" t="s">
        <v>26</v>
      </c>
      <c r="H2196" t="s">
        <v>21</v>
      </c>
      <c r="I2196" t="s">
        <v>20</v>
      </c>
      <c r="J2196" t="s">
        <v>20</v>
      </c>
      <c r="K2196" t="s">
        <v>27</v>
      </c>
      <c r="L2196" t="s">
        <v>242</v>
      </c>
      <c r="M2196" t="s">
        <v>243</v>
      </c>
      <c r="N2196">
        <v>38.923203999999998</v>
      </c>
      <c r="O2196">
        <v>-111.244928</v>
      </c>
      <c r="P2196">
        <v>6166.6840759999995</v>
      </c>
      <c r="Q2196">
        <v>1327</v>
      </c>
      <c r="R2196">
        <v>0</v>
      </c>
    </row>
    <row r="2197" spans="1:18" x14ac:dyDescent="0.25">
      <c r="A2197">
        <v>2196</v>
      </c>
      <c r="B2197">
        <v>94</v>
      </c>
      <c r="C2197">
        <v>2584385</v>
      </c>
      <c r="D2197" t="s">
        <v>176</v>
      </c>
      <c r="E2197">
        <v>12.831</v>
      </c>
      <c r="F2197" t="s">
        <v>21</v>
      </c>
      <c r="G2197" t="s">
        <v>26</v>
      </c>
      <c r="H2197" t="s">
        <v>21</v>
      </c>
      <c r="I2197" t="s">
        <v>20</v>
      </c>
      <c r="J2197" t="s">
        <v>20</v>
      </c>
      <c r="K2197" t="s">
        <v>41</v>
      </c>
      <c r="L2197" t="s">
        <v>181</v>
      </c>
      <c r="M2197" t="s">
        <v>178</v>
      </c>
      <c r="N2197">
        <v>41.608258999999997</v>
      </c>
      <c r="O2197">
        <v>-112.127197</v>
      </c>
      <c r="P2197">
        <v>4204.0944460000001</v>
      </c>
      <c r="Q2197">
        <v>1329</v>
      </c>
      <c r="R2197">
        <v>0</v>
      </c>
    </row>
    <row r="2198" spans="1:18" x14ac:dyDescent="0.25">
      <c r="A2198">
        <v>2197</v>
      </c>
      <c r="B2198">
        <v>94</v>
      </c>
      <c r="C2198">
        <v>31754420</v>
      </c>
      <c r="D2198" t="s">
        <v>346</v>
      </c>
      <c r="E2198">
        <v>12.845000000000001</v>
      </c>
      <c r="F2198" t="s">
        <v>21</v>
      </c>
      <c r="G2198" t="s">
        <v>20</v>
      </c>
      <c r="H2198" t="s">
        <v>21</v>
      </c>
      <c r="I2198" t="s">
        <v>20</v>
      </c>
      <c r="J2198" t="s">
        <v>20</v>
      </c>
      <c r="K2198" t="s">
        <v>27</v>
      </c>
      <c r="L2198" t="s">
        <v>307</v>
      </c>
      <c r="M2198" t="s">
        <v>159</v>
      </c>
      <c r="N2198">
        <v>39.801591999999999</v>
      </c>
      <c r="O2198">
        <v>-111.134438</v>
      </c>
      <c r="P2198">
        <v>7605.2532760000004</v>
      </c>
      <c r="Q2198">
        <v>1389</v>
      </c>
      <c r="R2198">
        <v>0</v>
      </c>
    </row>
    <row r="2199" spans="1:18" x14ac:dyDescent="0.25">
      <c r="A2199">
        <v>2198</v>
      </c>
      <c r="B2199">
        <v>94</v>
      </c>
      <c r="C2199">
        <v>31397173</v>
      </c>
      <c r="D2199" t="s">
        <v>210</v>
      </c>
      <c r="E2199">
        <v>12.852</v>
      </c>
      <c r="F2199" t="s">
        <v>21</v>
      </c>
      <c r="G2199" t="s">
        <v>20</v>
      </c>
      <c r="H2199" t="s">
        <v>21</v>
      </c>
      <c r="I2199" t="s">
        <v>20</v>
      </c>
      <c r="J2199" t="s">
        <v>20</v>
      </c>
      <c r="K2199" t="s">
        <v>27</v>
      </c>
      <c r="L2199" t="s">
        <v>211</v>
      </c>
      <c r="M2199" t="s">
        <v>212</v>
      </c>
      <c r="N2199">
        <v>37.273738999999999</v>
      </c>
      <c r="O2199">
        <v>-109.33295099999999</v>
      </c>
      <c r="P2199">
        <v>4361.0791339999996</v>
      </c>
      <c r="Q2199">
        <v>344</v>
      </c>
      <c r="R2199">
        <v>0</v>
      </c>
    </row>
    <row r="2200" spans="1:18" x14ac:dyDescent="0.25">
      <c r="A2200">
        <v>2199</v>
      </c>
      <c r="B2200">
        <v>94</v>
      </c>
      <c r="C2200">
        <v>1113899</v>
      </c>
      <c r="D2200" t="s">
        <v>171</v>
      </c>
      <c r="E2200">
        <v>12.858000000000001</v>
      </c>
      <c r="F2200" t="s">
        <v>21</v>
      </c>
      <c r="G2200" t="s">
        <v>26</v>
      </c>
      <c r="H2200" t="s">
        <v>21</v>
      </c>
      <c r="I2200" t="s">
        <v>20</v>
      </c>
      <c r="J2200" t="s">
        <v>20</v>
      </c>
      <c r="K2200" t="s">
        <v>31</v>
      </c>
      <c r="L2200" t="s">
        <v>188</v>
      </c>
      <c r="M2200" t="s">
        <v>79</v>
      </c>
      <c r="N2200">
        <v>40.699927000000002</v>
      </c>
      <c r="O2200">
        <v>-111.847832</v>
      </c>
      <c r="P2200">
        <v>4394.484332</v>
      </c>
      <c r="Q2200">
        <v>346</v>
      </c>
      <c r="R2200">
        <v>0</v>
      </c>
    </row>
    <row r="2201" spans="1:18" x14ac:dyDescent="0.25">
      <c r="A2201">
        <v>2200</v>
      </c>
      <c r="B2201">
        <v>94</v>
      </c>
      <c r="C2201">
        <v>27852868</v>
      </c>
      <c r="D2201" t="s">
        <v>136</v>
      </c>
      <c r="E2201">
        <v>12.867000000000001</v>
      </c>
      <c r="F2201" t="s">
        <v>21</v>
      </c>
      <c r="G2201" t="s">
        <v>26</v>
      </c>
      <c r="H2201" t="s">
        <v>21</v>
      </c>
      <c r="I2201" t="s">
        <v>20</v>
      </c>
      <c r="J2201" t="s">
        <v>20</v>
      </c>
      <c r="K2201" t="s">
        <v>41</v>
      </c>
      <c r="L2201" t="s">
        <v>137</v>
      </c>
      <c r="M2201" t="s">
        <v>138</v>
      </c>
      <c r="N2201">
        <v>41.037810999999998</v>
      </c>
      <c r="O2201">
        <v>-111.67829</v>
      </c>
      <c r="P2201">
        <v>5010.4590850000004</v>
      </c>
      <c r="Q2201">
        <v>317</v>
      </c>
      <c r="R2201">
        <v>0</v>
      </c>
    </row>
    <row r="2202" spans="1:18" x14ac:dyDescent="0.25">
      <c r="A2202">
        <v>2201</v>
      </c>
      <c r="B2202">
        <v>94</v>
      </c>
      <c r="C2202">
        <v>1530343</v>
      </c>
      <c r="D2202" t="s">
        <v>88</v>
      </c>
      <c r="E2202">
        <v>13.672000000000001</v>
      </c>
      <c r="F2202" t="s">
        <v>21</v>
      </c>
      <c r="G2202" t="s">
        <v>26</v>
      </c>
      <c r="H2202" t="s">
        <v>21</v>
      </c>
      <c r="I2202" t="s">
        <v>20</v>
      </c>
      <c r="J2202" t="s">
        <v>20</v>
      </c>
      <c r="K2202" t="s">
        <v>31</v>
      </c>
      <c r="L2202" t="s">
        <v>32</v>
      </c>
      <c r="M2202" t="s">
        <v>90</v>
      </c>
      <c r="N2202">
        <v>40.636391000000003</v>
      </c>
      <c r="O2202">
        <v>-111.865945</v>
      </c>
      <c r="P2202">
        <v>4331.3571300000003</v>
      </c>
      <c r="Q2202">
        <v>318</v>
      </c>
      <c r="R2202">
        <v>0</v>
      </c>
    </row>
    <row r="2203" spans="1:18" x14ac:dyDescent="0.25">
      <c r="A2203">
        <v>2202</v>
      </c>
      <c r="B2203">
        <v>94</v>
      </c>
      <c r="C2203" t="e">
        <f>-IpVb7yEGiDZySfqvM6kAk</f>
        <v>#NAME?</v>
      </c>
      <c r="D2203" t="s">
        <v>145</v>
      </c>
      <c r="E2203">
        <v>13.682</v>
      </c>
      <c r="F2203" t="s">
        <v>21</v>
      </c>
      <c r="G2203" t="s">
        <v>20</v>
      </c>
      <c r="H2203" t="s">
        <v>21</v>
      </c>
      <c r="I2203" t="s">
        <v>20</v>
      </c>
      <c r="J2203" t="s">
        <v>20</v>
      </c>
      <c r="K2203" t="s">
        <v>27</v>
      </c>
      <c r="L2203" t="s">
        <v>146</v>
      </c>
      <c r="M2203" t="s">
        <v>147</v>
      </c>
      <c r="N2203">
        <v>37.833016999999998</v>
      </c>
      <c r="O2203">
        <v>-109.09952</v>
      </c>
      <c r="P2203">
        <v>6693.8919329999999</v>
      </c>
      <c r="Q2203">
        <v>1291</v>
      </c>
      <c r="R2203">
        <v>0</v>
      </c>
    </row>
    <row r="2204" spans="1:18" x14ac:dyDescent="0.25">
      <c r="A2204">
        <v>2203</v>
      </c>
      <c r="B2204">
        <v>94</v>
      </c>
      <c r="C2204">
        <v>1127368</v>
      </c>
      <c r="D2204" t="s">
        <v>171</v>
      </c>
      <c r="E2204">
        <v>15.121</v>
      </c>
      <c r="F2204" t="s">
        <v>21</v>
      </c>
      <c r="G2204" t="s">
        <v>26</v>
      </c>
      <c r="H2204" t="s">
        <v>21</v>
      </c>
      <c r="I2204" t="s">
        <v>20</v>
      </c>
      <c r="J2204" t="s">
        <v>20</v>
      </c>
      <c r="K2204" t="s">
        <v>31</v>
      </c>
      <c r="L2204" t="s">
        <v>188</v>
      </c>
      <c r="M2204" t="s">
        <v>79</v>
      </c>
      <c r="N2204">
        <v>40.699858999999996</v>
      </c>
      <c r="O2204">
        <v>-111.804891</v>
      </c>
      <c r="P2204">
        <v>4769.3932370000002</v>
      </c>
      <c r="Q2204">
        <v>346</v>
      </c>
      <c r="R2204">
        <v>0</v>
      </c>
    </row>
    <row r="2205" spans="1:18" x14ac:dyDescent="0.25">
      <c r="A2205">
        <v>2204</v>
      </c>
      <c r="B2205">
        <v>94</v>
      </c>
      <c r="C2205">
        <v>1533914</v>
      </c>
      <c r="D2205" t="s">
        <v>88</v>
      </c>
      <c r="E2205">
        <v>15.14</v>
      </c>
      <c r="F2205" t="s">
        <v>21</v>
      </c>
      <c r="G2205" t="s">
        <v>26</v>
      </c>
      <c r="H2205" t="s">
        <v>21</v>
      </c>
      <c r="I2205" t="s">
        <v>20</v>
      </c>
      <c r="J2205" t="s">
        <v>20</v>
      </c>
      <c r="K2205" t="s">
        <v>31</v>
      </c>
      <c r="L2205" t="s">
        <v>32</v>
      </c>
      <c r="M2205" t="s">
        <v>90</v>
      </c>
      <c r="N2205">
        <v>40.657634999999999</v>
      </c>
      <c r="O2205">
        <v>-111.865945</v>
      </c>
      <c r="P2205">
        <v>4280.8188840000003</v>
      </c>
      <c r="Q2205">
        <v>318</v>
      </c>
      <c r="R2205">
        <v>0</v>
      </c>
    </row>
    <row r="2206" spans="1:18" x14ac:dyDescent="0.25">
      <c r="A2206">
        <v>2205</v>
      </c>
      <c r="B2206">
        <v>94</v>
      </c>
      <c r="C2206">
        <v>31488680</v>
      </c>
      <c r="D2206" t="s">
        <v>288</v>
      </c>
      <c r="E2206">
        <v>139.589</v>
      </c>
      <c r="F2206" t="s">
        <v>21</v>
      </c>
      <c r="G2206" t="s">
        <v>26</v>
      </c>
      <c r="H2206" t="s">
        <v>21</v>
      </c>
      <c r="I2206" t="s">
        <v>20</v>
      </c>
      <c r="J2206" t="s">
        <v>20</v>
      </c>
      <c r="K2206" t="s">
        <v>27</v>
      </c>
      <c r="L2206" t="s">
        <v>38</v>
      </c>
      <c r="M2206" t="s">
        <v>152</v>
      </c>
      <c r="N2206">
        <v>38.71114</v>
      </c>
      <c r="O2206">
        <v>-109.703472</v>
      </c>
      <c r="P2206">
        <v>4350.158641</v>
      </c>
      <c r="Q2206">
        <v>350</v>
      </c>
      <c r="R2206">
        <v>0</v>
      </c>
    </row>
    <row r="2207" spans="1:18" x14ac:dyDescent="0.25">
      <c r="A2207">
        <v>2206</v>
      </c>
      <c r="B2207">
        <v>94</v>
      </c>
      <c r="C2207" t="s">
        <v>495</v>
      </c>
      <c r="D2207" t="s">
        <v>272</v>
      </c>
      <c r="E2207">
        <v>139.69900000000001</v>
      </c>
      <c r="F2207" t="s">
        <v>21</v>
      </c>
      <c r="G2207" t="s">
        <v>20</v>
      </c>
      <c r="H2207" t="s">
        <v>21</v>
      </c>
      <c r="I2207" t="s">
        <v>20</v>
      </c>
      <c r="J2207" t="s">
        <v>20</v>
      </c>
      <c r="K2207" t="s">
        <v>27</v>
      </c>
      <c r="L2207" t="s">
        <v>247</v>
      </c>
      <c r="M2207" t="s">
        <v>214</v>
      </c>
      <c r="N2207">
        <v>37.945962999999999</v>
      </c>
      <c r="O2207">
        <v>-112.421144</v>
      </c>
      <c r="P2207">
        <v>6420.4214419999998</v>
      </c>
      <c r="Q2207">
        <v>1384</v>
      </c>
      <c r="R2207">
        <v>0</v>
      </c>
    </row>
    <row r="2208" spans="1:18" x14ac:dyDescent="0.25">
      <c r="A2208">
        <v>2207</v>
      </c>
      <c r="B2208">
        <v>94</v>
      </c>
      <c r="C2208">
        <v>31579685</v>
      </c>
      <c r="D2208" t="s">
        <v>213</v>
      </c>
      <c r="E2208">
        <v>139.77099999999999</v>
      </c>
      <c r="F2208" t="s">
        <v>21</v>
      </c>
      <c r="G2208" t="s">
        <v>26</v>
      </c>
      <c r="H2208" t="s">
        <v>21</v>
      </c>
      <c r="I2208" t="s">
        <v>20</v>
      </c>
      <c r="J2208" t="s">
        <v>20</v>
      </c>
      <c r="K2208" t="s">
        <v>22</v>
      </c>
      <c r="L2208" t="s">
        <v>193</v>
      </c>
      <c r="M2208" t="s">
        <v>214</v>
      </c>
      <c r="N2208">
        <v>39.952488000000002</v>
      </c>
      <c r="O2208">
        <v>-112.12374</v>
      </c>
      <c r="P2208">
        <v>6318.5994250000003</v>
      </c>
      <c r="Q2208">
        <v>1332</v>
      </c>
      <c r="R2208">
        <v>0</v>
      </c>
    </row>
    <row r="2209" spans="1:18" x14ac:dyDescent="0.25">
      <c r="A2209">
        <v>2208</v>
      </c>
      <c r="B2209">
        <v>94</v>
      </c>
      <c r="C2209">
        <v>31828620</v>
      </c>
      <c r="D2209" t="s">
        <v>118</v>
      </c>
      <c r="E2209">
        <v>139.85900000000001</v>
      </c>
      <c r="F2209" t="s">
        <v>21</v>
      </c>
      <c r="G2209" t="s">
        <v>20</v>
      </c>
      <c r="H2209" t="s">
        <v>21</v>
      </c>
      <c r="I2209" t="s">
        <v>20</v>
      </c>
      <c r="J2209" t="s">
        <v>20</v>
      </c>
      <c r="K2209" t="s">
        <v>22</v>
      </c>
      <c r="L2209" t="s">
        <v>234</v>
      </c>
      <c r="M2209" t="s">
        <v>169</v>
      </c>
      <c r="N2209">
        <v>40.413704000000003</v>
      </c>
      <c r="O2209">
        <v>-109.584115</v>
      </c>
      <c r="P2209">
        <v>5671.7610969999996</v>
      </c>
      <c r="Q2209">
        <v>310</v>
      </c>
      <c r="R2209">
        <v>0</v>
      </c>
    </row>
    <row r="2210" spans="1:18" x14ac:dyDescent="0.25">
      <c r="A2210">
        <v>2209</v>
      </c>
      <c r="B2210">
        <v>94</v>
      </c>
      <c r="C2210">
        <v>31585023</v>
      </c>
      <c r="D2210" t="s">
        <v>213</v>
      </c>
      <c r="E2210">
        <v>151.977</v>
      </c>
      <c r="F2210" t="s">
        <v>21</v>
      </c>
      <c r="G2210" t="s">
        <v>26</v>
      </c>
      <c r="H2210" t="s">
        <v>21</v>
      </c>
      <c r="I2210" t="s">
        <v>20</v>
      </c>
      <c r="J2210" t="s">
        <v>20</v>
      </c>
      <c r="K2210" t="s">
        <v>22</v>
      </c>
      <c r="L2210" t="s">
        <v>198</v>
      </c>
      <c r="M2210" t="s">
        <v>214</v>
      </c>
      <c r="N2210">
        <v>39.952480000000001</v>
      </c>
      <c r="O2210">
        <v>-111.917046</v>
      </c>
      <c r="P2210">
        <v>4494.1896660000002</v>
      </c>
      <c r="Q2210">
        <v>1332</v>
      </c>
      <c r="R2210">
        <v>0</v>
      </c>
    </row>
    <row r="2211" spans="1:18" x14ac:dyDescent="0.25">
      <c r="A2211">
        <v>2210</v>
      </c>
      <c r="B2211">
        <v>94</v>
      </c>
      <c r="C2211" t="s">
        <v>496</v>
      </c>
      <c r="D2211" t="s">
        <v>213</v>
      </c>
      <c r="E2211">
        <v>152.39699999999999</v>
      </c>
      <c r="F2211" t="s">
        <v>21</v>
      </c>
      <c r="G2211" t="s">
        <v>20</v>
      </c>
      <c r="H2211" t="s">
        <v>21</v>
      </c>
      <c r="I2211" t="s">
        <v>20</v>
      </c>
      <c r="J2211" t="s">
        <v>20</v>
      </c>
      <c r="K2211" t="s">
        <v>22</v>
      </c>
      <c r="L2211" t="s">
        <v>198</v>
      </c>
      <c r="M2211" t="s">
        <v>214</v>
      </c>
      <c r="N2211">
        <v>39.952528000000001</v>
      </c>
      <c r="O2211">
        <v>-111.909142</v>
      </c>
      <c r="P2211">
        <v>4485.8615149999996</v>
      </c>
      <c r="Q2211">
        <v>1332</v>
      </c>
      <c r="R2211">
        <v>0</v>
      </c>
    </row>
    <row r="2212" spans="1:18" x14ac:dyDescent="0.25">
      <c r="A2212">
        <v>2211</v>
      </c>
      <c r="B2212">
        <v>94</v>
      </c>
      <c r="C2212">
        <v>31585034</v>
      </c>
      <c r="D2212" t="s">
        <v>213</v>
      </c>
      <c r="E2212">
        <v>152.499</v>
      </c>
      <c r="F2212" t="s">
        <v>21</v>
      </c>
      <c r="G2212" t="s">
        <v>26</v>
      </c>
      <c r="H2212" t="s">
        <v>21</v>
      </c>
      <c r="I2212" t="s">
        <v>20</v>
      </c>
      <c r="J2212" t="s">
        <v>20</v>
      </c>
      <c r="K2212" t="s">
        <v>22</v>
      </c>
      <c r="L2212" t="s">
        <v>198</v>
      </c>
      <c r="M2212" t="s">
        <v>214</v>
      </c>
      <c r="N2212">
        <v>39.952545000000001</v>
      </c>
      <c r="O2212">
        <v>-111.90721499999999</v>
      </c>
      <c r="P2212">
        <v>4484.601729</v>
      </c>
      <c r="Q2212">
        <v>1332</v>
      </c>
      <c r="R2212">
        <v>0</v>
      </c>
    </row>
    <row r="2213" spans="1:18" x14ac:dyDescent="0.25">
      <c r="A2213">
        <v>2212</v>
      </c>
      <c r="B2213">
        <v>94</v>
      </c>
      <c r="C2213" t="s">
        <v>497</v>
      </c>
      <c r="D2213" t="s">
        <v>118</v>
      </c>
      <c r="E2213">
        <v>152.553</v>
      </c>
      <c r="F2213" t="s">
        <v>21</v>
      </c>
      <c r="G2213" t="s">
        <v>26</v>
      </c>
      <c r="H2213" t="s">
        <v>21</v>
      </c>
      <c r="I2213" t="s">
        <v>20</v>
      </c>
      <c r="J2213" t="s">
        <v>20</v>
      </c>
      <c r="K2213" t="s">
        <v>22</v>
      </c>
      <c r="L2213" t="s">
        <v>234</v>
      </c>
      <c r="M2213" t="s">
        <v>169</v>
      </c>
      <c r="N2213">
        <v>40.383448000000001</v>
      </c>
      <c r="O2213">
        <v>-109.427486</v>
      </c>
      <c r="P2213">
        <v>4869.6355880000001</v>
      </c>
      <c r="Q2213">
        <v>310</v>
      </c>
      <c r="R2213">
        <v>0</v>
      </c>
    </row>
    <row r="2214" spans="1:18" x14ac:dyDescent="0.25">
      <c r="A2214">
        <v>2213</v>
      </c>
      <c r="B2214">
        <v>94</v>
      </c>
      <c r="C2214">
        <v>31585045</v>
      </c>
      <c r="D2214" t="s">
        <v>213</v>
      </c>
      <c r="E2214">
        <v>152.55500000000001</v>
      </c>
      <c r="F2214" t="s">
        <v>21</v>
      </c>
      <c r="G2214" t="s">
        <v>26</v>
      </c>
      <c r="H2214" t="s">
        <v>21</v>
      </c>
      <c r="I2214" t="s">
        <v>20</v>
      </c>
      <c r="J2214" t="s">
        <v>20</v>
      </c>
      <c r="K2214" t="s">
        <v>22</v>
      </c>
      <c r="L2214" t="s">
        <v>198</v>
      </c>
      <c r="M2214" t="s">
        <v>214</v>
      </c>
      <c r="N2214">
        <v>39.952616999999996</v>
      </c>
      <c r="O2214">
        <v>-111.90615</v>
      </c>
      <c r="P2214">
        <v>4483.2911350000004</v>
      </c>
      <c r="Q2214">
        <v>1332</v>
      </c>
      <c r="R2214">
        <v>0</v>
      </c>
    </row>
    <row r="2215" spans="1:18" x14ac:dyDescent="0.25">
      <c r="A2215">
        <v>2214</v>
      </c>
      <c r="B2215">
        <v>94</v>
      </c>
      <c r="C2215">
        <v>31492487</v>
      </c>
      <c r="D2215" t="s">
        <v>288</v>
      </c>
      <c r="E2215">
        <v>152.62299999999999</v>
      </c>
      <c r="F2215" t="s">
        <v>21</v>
      </c>
      <c r="G2215" t="s">
        <v>26</v>
      </c>
      <c r="H2215" t="s">
        <v>21</v>
      </c>
      <c r="I2215" t="s">
        <v>20</v>
      </c>
      <c r="J2215" t="s">
        <v>20</v>
      </c>
      <c r="K2215" t="s">
        <v>27</v>
      </c>
      <c r="L2215" t="s">
        <v>38</v>
      </c>
      <c r="M2215" t="s">
        <v>152</v>
      </c>
      <c r="N2215">
        <v>38.876852</v>
      </c>
      <c r="O2215">
        <v>-109.81249800000001</v>
      </c>
      <c r="P2215">
        <v>4571.2872980000002</v>
      </c>
      <c r="Q2215">
        <v>350</v>
      </c>
      <c r="R2215">
        <v>0</v>
      </c>
    </row>
    <row r="2216" spans="1:18" x14ac:dyDescent="0.25">
      <c r="A2216">
        <v>2215</v>
      </c>
      <c r="B2216">
        <v>94</v>
      </c>
      <c r="C2216">
        <v>31585906</v>
      </c>
      <c r="D2216" t="s">
        <v>213</v>
      </c>
      <c r="E2216">
        <v>152.72</v>
      </c>
      <c r="F2216" t="s">
        <v>21</v>
      </c>
      <c r="G2216" t="s">
        <v>26</v>
      </c>
      <c r="H2216" t="s">
        <v>21</v>
      </c>
      <c r="I2216" t="s">
        <v>20</v>
      </c>
      <c r="J2216" t="s">
        <v>20</v>
      </c>
      <c r="K2216" t="s">
        <v>22</v>
      </c>
      <c r="L2216" t="s">
        <v>198</v>
      </c>
      <c r="M2216" t="s">
        <v>214</v>
      </c>
      <c r="N2216">
        <v>39.952885000000002</v>
      </c>
      <c r="O2216">
        <v>-111.903065</v>
      </c>
      <c r="P2216">
        <v>4491.2979050000004</v>
      </c>
      <c r="Q2216">
        <v>1332</v>
      </c>
      <c r="R2216">
        <v>0</v>
      </c>
    </row>
    <row r="2217" spans="1:18" x14ac:dyDescent="0.25">
      <c r="A2217">
        <v>2216</v>
      </c>
      <c r="B2217">
        <v>94</v>
      </c>
      <c r="C2217">
        <v>31868782</v>
      </c>
      <c r="D2217" t="s">
        <v>118</v>
      </c>
      <c r="E2217">
        <v>152.733</v>
      </c>
      <c r="F2217" t="s">
        <v>21</v>
      </c>
      <c r="G2217" t="s">
        <v>26</v>
      </c>
      <c r="H2217" t="s">
        <v>21</v>
      </c>
      <c r="I2217" t="s">
        <v>20</v>
      </c>
      <c r="J2217" t="s">
        <v>20</v>
      </c>
      <c r="K2217" t="s">
        <v>22</v>
      </c>
      <c r="L2217" t="s">
        <v>234</v>
      </c>
      <c r="M2217" t="s">
        <v>169</v>
      </c>
      <c r="N2217">
        <v>40.382161000000004</v>
      </c>
      <c r="O2217">
        <v>-109.424505</v>
      </c>
      <c r="P2217">
        <v>4853.6176020000003</v>
      </c>
      <c r="Q2217">
        <v>310</v>
      </c>
      <c r="R2217">
        <v>0</v>
      </c>
    </row>
    <row r="2218" spans="1:18" x14ac:dyDescent="0.25">
      <c r="A2218">
        <v>2217</v>
      </c>
      <c r="B2218">
        <v>94</v>
      </c>
      <c r="C2218">
        <v>31585935</v>
      </c>
      <c r="D2218" t="s">
        <v>213</v>
      </c>
      <c r="E2218">
        <v>152.869</v>
      </c>
      <c r="F2218" t="s">
        <v>21</v>
      </c>
      <c r="G2218" t="s">
        <v>26</v>
      </c>
      <c r="H2218" t="s">
        <v>21</v>
      </c>
      <c r="I2218" t="s">
        <v>20</v>
      </c>
      <c r="J2218" t="s">
        <v>20</v>
      </c>
      <c r="K2218" t="s">
        <v>22</v>
      </c>
      <c r="L2218" t="s">
        <v>198</v>
      </c>
      <c r="M2218" t="s">
        <v>214</v>
      </c>
      <c r="N2218">
        <v>39.952885000000002</v>
      </c>
      <c r="O2218">
        <v>-111.90027000000001</v>
      </c>
      <c r="P2218">
        <v>4491.9294239999999</v>
      </c>
      <c r="Q2218">
        <v>1332</v>
      </c>
      <c r="R2218">
        <v>0</v>
      </c>
    </row>
    <row r="2219" spans="1:18" x14ac:dyDescent="0.25">
      <c r="A2219">
        <v>2218</v>
      </c>
      <c r="B2219">
        <v>94</v>
      </c>
      <c r="C2219">
        <v>31585946</v>
      </c>
      <c r="D2219" t="s">
        <v>213</v>
      </c>
      <c r="E2219">
        <v>153.01599999999999</v>
      </c>
      <c r="F2219" t="s">
        <v>21</v>
      </c>
      <c r="G2219" t="s">
        <v>26</v>
      </c>
      <c r="H2219" t="s">
        <v>21</v>
      </c>
      <c r="I2219" t="s">
        <v>20</v>
      </c>
      <c r="J2219" t="s">
        <v>20</v>
      </c>
      <c r="K2219" t="s">
        <v>22</v>
      </c>
      <c r="L2219" t="s">
        <v>198</v>
      </c>
      <c r="M2219" t="s">
        <v>214</v>
      </c>
      <c r="N2219">
        <v>39.952872999999997</v>
      </c>
      <c r="O2219">
        <v>-111.897476</v>
      </c>
      <c r="P2219">
        <v>4478.4641650000003</v>
      </c>
      <c r="Q2219">
        <v>1332</v>
      </c>
      <c r="R2219">
        <v>0</v>
      </c>
    </row>
    <row r="2220" spans="1:18" x14ac:dyDescent="0.25">
      <c r="A2220">
        <v>2219</v>
      </c>
      <c r="B2220">
        <v>94</v>
      </c>
      <c r="C2220" t="s">
        <v>498</v>
      </c>
      <c r="D2220" t="s">
        <v>272</v>
      </c>
      <c r="E2220">
        <v>154.27099999999999</v>
      </c>
      <c r="F2220" t="s">
        <v>21</v>
      </c>
      <c r="G2220" t="s">
        <v>20</v>
      </c>
      <c r="H2220" t="s">
        <v>21</v>
      </c>
      <c r="I2220" t="s">
        <v>20</v>
      </c>
      <c r="J2220" t="s">
        <v>20</v>
      </c>
      <c r="K2220" t="s">
        <v>27</v>
      </c>
      <c r="L2220" t="s">
        <v>64</v>
      </c>
      <c r="M2220" t="s">
        <v>214</v>
      </c>
      <c r="N2220">
        <v>38.130836000000002</v>
      </c>
      <c r="O2220">
        <v>-112.317413</v>
      </c>
      <c r="P2220">
        <v>6112.6280630000001</v>
      </c>
      <c r="Q2220">
        <v>1384</v>
      </c>
      <c r="R2220">
        <v>0</v>
      </c>
    </row>
    <row r="2221" spans="1:18" x14ac:dyDescent="0.25">
      <c r="A2221">
        <v>2220</v>
      </c>
      <c r="B2221">
        <v>94</v>
      </c>
      <c r="C2221">
        <v>31869504</v>
      </c>
      <c r="D2221" t="s">
        <v>118</v>
      </c>
      <c r="E2221">
        <v>154.32</v>
      </c>
      <c r="F2221" t="s">
        <v>21</v>
      </c>
      <c r="G2221" t="s">
        <v>26</v>
      </c>
      <c r="H2221" t="s">
        <v>21</v>
      </c>
      <c r="I2221" t="s">
        <v>20</v>
      </c>
      <c r="J2221" t="s">
        <v>20</v>
      </c>
      <c r="K2221" t="s">
        <v>22</v>
      </c>
      <c r="L2221" t="s">
        <v>234</v>
      </c>
      <c r="M2221" t="s">
        <v>169</v>
      </c>
      <c r="N2221">
        <v>40.370818</v>
      </c>
      <c r="O2221">
        <v>-109.39824299999999</v>
      </c>
      <c r="P2221">
        <v>4757.0881330000002</v>
      </c>
      <c r="Q2221">
        <v>310</v>
      </c>
      <c r="R2221">
        <v>0</v>
      </c>
    </row>
    <row r="2222" spans="1:18" x14ac:dyDescent="0.25">
      <c r="A2222">
        <v>2221</v>
      </c>
      <c r="B2222">
        <v>94</v>
      </c>
      <c r="C2222" t="s">
        <v>499</v>
      </c>
      <c r="D2222" t="s">
        <v>272</v>
      </c>
      <c r="E2222">
        <v>154.40299999999999</v>
      </c>
      <c r="F2222" t="s">
        <v>21</v>
      </c>
      <c r="G2222" t="s">
        <v>20</v>
      </c>
      <c r="H2222" t="s">
        <v>21</v>
      </c>
      <c r="I2222" t="s">
        <v>20</v>
      </c>
      <c r="J2222" t="s">
        <v>20</v>
      </c>
      <c r="K2222" t="s">
        <v>27</v>
      </c>
      <c r="L2222" t="s">
        <v>64</v>
      </c>
      <c r="M2222" t="s">
        <v>214</v>
      </c>
      <c r="N2222">
        <v>38.132426000000002</v>
      </c>
      <c r="O2222">
        <v>-112.316052</v>
      </c>
      <c r="P2222">
        <v>6106.2893409999997</v>
      </c>
      <c r="Q2222">
        <v>1384</v>
      </c>
      <c r="R2222">
        <v>0</v>
      </c>
    </row>
    <row r="2223" spans="1:18" x14ac:dyDescent="0.25">
      <c r="A2223">
        <v>2222</v>
      </c>
      <c r="B2223">
        <v>94</v>
      </c>
      <c r="C2223" t="e">
        <f>-JWzD0QQFqemL0PaLTIvSk</f>
        <v>#NAME?</v>
      </c>
      <c r="D2223" t="s">
        <v>176</v>
      </c>
      <c r="E2223">
        <v>14.723000000000001</v>
      </c>
      <c r="F2223" t="s">
        <v>21</v>
      </c>
      <c r="G2223" t="s">
        <v>20</v>
      </c>
      <c r="H2223" t="s">
        <v>21</v>
      </c>
      <c r="I2223" t="s">
        <v>20</v>
      </c>
      <c r="J2223" t="s">
        <v>20</v>
      </c>
      <c r="K2223" t="s">
        <v>41</v>
      </c>
      <c r="L2223" t="s">
        <v>181</v>
      </c>
      <c r="M2223" t="s">
        <v>178</v>
      </c>
      <c r="N2223">
        <v>41.635660999999999</v>
      </c>
      <c r="O2223">
        <v>-112.128424</v>
      </c>
      <c r="P2223">
        <v>4218.7142919999997</v>
      </c>
      <c r="Q2223">
        <v>1329</v>
      </c>
      <c r="R2223">
        <v>0</v>
      </c>
    </row>
    <row r="2224" spans="1:18" x14ac:dyDescent="0.25">
      <c r="A2224">
        <v>2223</v>
      </c>
      <c r="B2224">
        <v>94</v>
      </c>
      <c r="C2224">
        <v>31290479</v>
      </c>
      <c r="D2224" t="s">
        <v>315</v>
      </c>
      <c r="E2224">
        <v>14.726000000000001</v>
      </c>
      <c r="F2224" t="s">
        <v>21</v>
      </c>
      <c r="G2224" t="s">
        <v>26</v>
      </c>
      <c r="H2224" t="s">
        <v>21</v>
      </c>
      <c r="I2224" t="s">
        <v>20</v>
      </c>
      <c r="J2224" t="s">
        <v>20</v>
      </c>
      <c r="K2224" t="s">
        <v>27</v>
      </c>
      <c r="L2224" t="s">
        <v>111</v>
      </c>
      <c r="M2224" t="s">
        <v>243</v>
      </c>
      <c r="N2224">
        <v>39.255163000000003</v>
      </c>
      <c r="O2224">
        <v>-111.098563</v>
      </c>
      <c r="P2224">
        <v>5948.7319280000002</v>
      </c>
      <c r="Q2224">
        <v>307</v>
      </c>
      <c r="R2224">
        <v>0</v>
      </c>
    </row>
    <row r="2225" spans="1:18" x14ac:dyDescent="0.25">
      <c r="A2225">
        <v>2224</v>
      </c>
      <c r="B2225">
        <v>94</v>
      </c>
      <c r="C2225">
        <v>31606233</v>
      </c>
      <c r="D2225" t="s">
        <v>145</v>
      </c>
      <c r="E2225">
        <v>14.731999999999999</v>
      </c>
      <c r="F2225" t="s">
        <v>21</v>
      </c>
      <c r="G2225" t="s">
        <v>26</v>
      </c>
      <c r="H2225" t="s">
        <v>21</v>
      </c>
      <c r="I2225" t="s">
        <v>20</v>
      </c>
      <c r="J2225" t="s">
        <v>20</v>
      </c>
      <c r="K2225" t="s">
        <v>27</v>
      </c>
      <c r="L2225" t="s">
        <v>146</v>
      </c>
      <c r="M2225" t="s">
        <v>147</v>
      </c>
      <c r="N2225">
        <v>37.827818000000001</v>
      </c>
      <c r="O2225">
        <v>-109.081425</v>
      </c>
      <c r="P2225">
        <v>6701.7222789999996</v>
      </c>
      <c r="Q2225">
        <v>1291</v>
      </c>
      <c r="R2225">
        <v>0</v>
      </c>
    </row>
    <row r="2226" spans="1:18" x14ac:dyDescent="0.25">
      <c r="A2226">
        <v>2225</v>
      </c>
      <c r="B2226">
        <v>94</v>
      </c>
      <c r="C2226">
        <v>31290490</v>
      </c>
      <c r="D2226" t="s">
        <v>315</v>
      </c>
      <c r="E2226">
        <v>14.741</v>
      </c>
      <c r="F2226" t="s">
        <v>21</v>
      </c>
      <c r="G2226" t="s">
        <v>20</v>
      </c>
      <c r="H2226" t="s">
        <v>21</v>
      </c>
      <c r="I2226" t="s">
        <v>20</v>
      </c>
      <c r="J2226" t="s">
        <v>20</v>
      </c>
      <c r="K2226" t="s">
        <v>27</v>
      </c>
      <c r="L2226" t="s">
        <v>111</v>
      </c>
      <c r="M2226" t="s">
        <v>243</v>
      </c>
      <c r="N2226">
        <v>39.255032999999997</v>
      </c>
      <c r="O2226">
        <v>-111.098355</v>
      </c>
      <c r="P2226">
        <v>5947.4872400000004</v>
      </c>
      <c r="Q2226">
        <v>307</v>
      </c>
      <c r="R2226">
        <v>0</v>
      </c>
    </row>
    <row r="2227" spans="1:18" x14ac:dyDescent="0.25">
      <c r="A2227">
        <v>2226</v>
      </c>
      <c r="B2227">
        <v>94</v>
      </c>
      <c r="C2227">
        <v>31645170</v>
      </c>
      <c r="D2227" t="s">
        <v>239</v>
      </c>
      <c r="E2227">
        <v>14.747999999999999</v>
      </c>
      <c r="F2227" t="s">
        <v>21</v>
      </c>
      <c r="G2227" t="s">
        <v>26</v>
      </c>
      <c r="H2227" t="s">
        <v>21</v>
      </c>
      <c r="I2227" t="s">
        <v>20</v>
      </c>
      <c r="J2227" t="s">
        <v>20</v>
      </c>
      <c r="K2227" t="s">
        <v>41</v>
      </c>
      <c r="L2227" t="s">
        <v>181</v>
      </c>
      <c r="M2227" t="s">
        <v>178</v>
      </c>
      <c r="N2227">
        <v>41.711035000000003</v>
      </c>
      <c r="O2227">
        <v>-112.195447</v>
      </c>
      <c r="P2227">
        <v>4268.8499730000003</v>
      </c>
      <c r="Q2227">
        <v>1392</v>
      </c>
      <c r="R2227">
        <v>0</v>
      </c>
    </row>
    <row r="2228" spans="1:18" x14ac:dyDescent="0.25">
      <c r="A2228">
        <v>2227</v>
      </c>
      <c r="B2228">
        <v>94</v>
      </c>
      <c r="C2228">
        <v>1534633</v>
      </c>
      <c r="D2228" t="s">
        <v>88</v>
      </c>
      <c r="E2228">
        <v>15.419</v>
      </c>
      <c r="F2228" t="s">
        <v>21</v>
      </c>
      <c r="G2228" t="s">
        <v>26</v>
      </c>
      <c r="H2228" t="s">
        <v>21</v>
      </c>
      <c r="I2228" t="s">
        <v>20</v>
      </c>
      <c r="J2228" t="s">
        <v>20</v>
      </c>
      <c r="K2228" t="s">
        <v>31</v>
      </c>
      <c r="L2228" t="s">
        <v>32</v>
      </c>
      <c r="M2228" t="s">
        <v>90</v>
      </c>
      <c r="N2228">
        <v>40.661555</v>
      </c>
      <c r="O2228">
        <v>-111.86498400000001</v>
      </c>
      <c r="P2228">
        <v>4282.6015669999997</v>
      </c>
      <c r="Q2228">
        <v>318</v>
      </c>
      <c r="R2228">
        <v>0</v>
      </c>
    </row>
    <row r="2229" spans="1:18" x14ac:dyDescent="0.25">
      <c r="A2229">
        <v>2228</v>
      </c>
      <c r="B2229">
        <v>94</v>
      </c>
      <c r="C2229">
        <v>31277043</v>
      </c>
      <c r="D2229" t="s">
        <v>241</v>
      </c>
      <c r="E2229">
        <v>15.423</v>
      </c>
      <c r="F2229" t="s">
        <v>21</v>
      </c>
      <c r="G2229" t="s">
        <v>26</v>
      </c>
      <c r="H2229" t="s">
        <v>21</v>
      </c>
      <c r="I2229" t="s">
        <v>20</v>
      </c>
      <c r="J2229" t="s">
        <v>20</v>
      </c>
      <c r="K2229" t="s">
        <v>27</v>
      </c>
      <c r="L2229" t="s">
        <v>242</v>
      </c>
      <c r="M2229" t="s">
        <v>243</v>
      </c>
      <c r="N2229">
        <v>38.949528999999998</v>
      </c>
      <c r="O2229">
        <v>-111.211006</v>
      </c>
      <c r="P2229">
        <v>6186.1490439999998</v>
      </c>
      <c r="Q2229">
        <v>1327</v>
      </c>
      <c r="R2229">
        <v>0</v>
      </c>
    </row>
    <row r="2230" spans="1:18" x14ac:dyDescent="0.25">
      <c r="A2230">
        <v>2229</v>
      </c>
      <c r="B2230">
        <v>94</v>
      </c>
      <c r="C2230">
        <v>31735640</v>
      </c>
      <c r="D2230" t="s">
        <v>290</v>
      </c>
      <c r="E2230">
        <v>15.452999999999999</v>
      </c>
      <c r="F2230" t="s">
        <v>21</v>
      </c>
      <c r="G2230" t="s">
        <v>20</v>
      </c>
      <c r="H2230" t="s">
        <v>21</v>
      </c>
      <c r="I2230" t="s">
        <v>20</v>
      </c>
      <c r="J2230" t="s">
        <v>20</v>
      </c>
      <c r="K2230" t="s">
        <v>41</v>
      </c>
      <c r="L2230" t="s">
        <v>291</v>
      </c>
      <c r="M2230" t="s">
        <v>238</v>
      </c>
      <c r="N2230">
        <v>41.434944999999999</v>
      </c>
      <c r="O2230">
        <v>-113.761347</v>
      </c>
      <c r="P2230">
        <v>4576.4111999999996</v>
      </c>
      <c r="Q2230">
        <v>1343</v>
      </c>
      <c r="R2230">
        <v>0</v>
      </c>
    </row>
    <row r="2231" spans="1:18" x14ac:dyDescent="0.25">
      <c r="A2231">
        <v>2230</v>
      </c>
      <c r="B2231">
        <v>94</v>
      </c>
      <c r="C2231" t="s">
        <v>500</v>
      </c>
      <c r="D2231" t="s">
        <v>322</v>
      </c>
      <c r="E2231">
        <v>15.455</v>
      </c>
      <c r="F2231" t="s">
        <v>19</v>
      </c>
      <c r="G2231" t="s">
        <v>20</v>
      </c>
      <c r="H2231" t="s">
        <v>21</v>
      </c>
      <c r="I2231" t="s">
        <v>20</v>
      </c>
      <c r="J2231" t="s">
        <v>20</v>
      </c>
      <c r="K2231" t="s">
        <v>31</v>
      </c>
      <c r="L2231" t="s">
        <v>84</v>
      </c>
      <c r="M2231" t="s">
        <v>24</v>
      </c>
      <c r="N2231">
        <v>40.609437999999997</v>
      </c>
      <c r="O2231">
        <v>-112.033447</v>
      </c>
      <c r="P2231">
        <v>4825.0526529999997</v>
      </c>
      <c r="Q2231">
        <v>6660</v>
      </c>
      <c r="R2231">
        <v>0</v>
      </c>
    </row>
    <row r="2232" spans="1:18" x14ac:dyDescent="0.25">
      <c r="A2232">
        <v>2231</v>
      </c>
      <c r="B2232">
        <v>94</v>
      </c>
      <c r="C2232">
        <v>28563052</v>
      </c>
      <c r="D2232" t="s">
        <v>323</v>
      </c>
      <c r="E2232">
        <v>15.468</v>
      </c>
      <c r="F2232" t="s">
        <v>21</v>
      </c>
      <c r="G2232" t="s">
        <v>26</v>
      </c>
      <c r="H2232" t="s">
        <v>21</v>
      </c>
      <c r="I2232" t="s">
        <v>20</v>
      </c>
      <c r="J2232" t="s">
        <v>20</v>
      </c>
      <c r="K2232" t="s">
        <v>31</v>
      </c>
      <c r="L2232" t="s">
        <v>130</v>
      </c>
      <c r="M2232" t="s">
        <v>131</v>
      </c>
      <c r="N2232">
        <v>40.683912999999997</v>
      </c>
      <c r="O2232">
        <v>-111.280987</v>
      </c>
      <c r="P2232">
        <v>6407.5270899999996</v>
      </c>
      <c r="Q2232">
        <v>1345</v>
      </c>
      <c r="R2232">
        <v>0</v>
      </c>
    </row>
    <row r="2233" spans="1:18" x14ac:dyDescent="0.25">
      <c r="A2233">
        <v>2232</v>
      </c>
      <c r="B2233">
        <v>94</v>
      </c>
      <c r="C2233">
        <v>31429577</v>
      </c>
      <c r="D2233" t="s">
        <v>319</v>
      </c>
      <c r="E2233">
        <v>15.474</v>
      </c>
      <c r="F2233" t="s">
        <v>21</v>
      </c>
      <c r="G2233" t="s">
        <v>20</v>
      </c>
      <c r="H2233" t="s">
        <v>21</v>
      </c>
      <c r="I2233" t="s">
        <v>20</v>
      </c>
      <c r="J2233" t="s">
        <v>20</v>
      </c>
      <c r="K2233" t="s">
        <v>27</v>
      </c>
      <c r="L2233" t="s">
        <v>162</v>
      </c>
      <c r="M2233" t="s">
        <v>55</v>
      </c>
      <c r="N2233">
        <v>37.766230999999998</v>
      </c>
      <c r="O2233">
        <v>-113.816869</v>
      </c>
      <c r="P2233">
        <v>5194.8801510000003</v>
      </c>
      <c r="Q2233">
        <v>314</v>
      </c>
      <c r="R2233">
        <v>0</v>
      </c>
    </row>
    <row r="2234" spans="1:18" x14ac:dyDescent="0.25">
      <c r="A2234">
        <v>2233</v>
      </c>
      <c r="B2234">
        <v>94</v>
      </c>
      <c r="C2234" t="e">
        <f>-JX8tRatFX59yLCKXNx8iV</f>
        <v>#NAME?</v>
      </c>
      <c r="D2234" t="s">
        <v>225</v>
      </c>
      <c r="E2234">
        <v>15.484999999999999</v>
      </c>
      <c r="F2234" t="s">
        <v>21</v>
      </c>
      <c r="G2234" t="s">
        <v>20</v>
      </c>
      <c r="H2234" t="s">
        <v>21</v>
      </c>
      <c r="I2234" t="s">
        <v>20</v>
      </c>
      <c r="J2234" t="s">
        <v>20</v>
      </c>
      <c r="K2234" t="s">
        <v>27</v>
      </c>
      <c r="L2234" t="s">
        <v>146</v>
      </c>
      <c r="M2234" t="s">
        <v>226</v>
      </c>
      <c r="N2234">
        <v>38.056497</v>
      </c>
      <c r="O2234">
        <v>-109.40820600000001</v>
      </c>
      <c r="P2234">
        <v>6303.3718909999998</v>
      </c>
      <c r="Q2234">
        <v>355</v>
      </c>
      <c r="R2234">
        <v>0</v>
      </c>
    </row>
    <row r="2235" spans="1:18" x14ac:dyDescent="0.25">
      <c r="A2235">
        <v>2234</v>
      </c>
      <c r="B2235">
        <v>94</v>
      </c>
      <c r="C2235" t="e">
        <f>-JMv7ovhGqel3_ztmQyXVF</f>
        <v>#NAME?</v>
      </c>
      <c r="D2235" t="s">
        <v>309</v>
      </c>
      <c r="E2235">
        <v>15.492000000000001</v>
      </c>
      <c r="F2235" t="s">
        <v>21</v>
      </c>
      <c r="G2235" t="s">
        <v>20</v>
      </c>
      <c r="H2235" t="s">
        <v>21</v>
      </c>
      <c r="I2235" t="s">
        <v>20</v>
      </c>
      <c r="J2235" t="s">
        <v>20</v>
      </c>
      <c r="K2235" t="s">
        <v>22</v>
      </c>
      <c r="L2235" t="s">
        <v>140</v>
      </c>
      <c r="M2235" t="s">
        <v>125</v>
      </c>
      <c r="N2235">
        <v>40.115684999999999</v>
      </c>
      <c r="O2235">
        <v>-111.59124300000001</v>
      </c>
      <c r="P2235">
        <v>4655.3724460000003</v>
      </c>
      <c r="Q2235">
        <v>339</v>
      </c>
      <c r="R2235">
        <v>0</v>
      </c>
    </row>
    <row r="2236" spans="1:18" x14ac:dyDescent="0.25">
      <c r="A2236">
        <v>2235</v>
      </c>
      <c r="B2236">
        <v>94</v>
      </c>
      <c r="C2236" t="e">
        <f>-IpOiPlCIRaV0AqbeYAJlF</f>
        <v>#NAME?</v>
      </c>
      <c r="D2236" t="s">
        <v>345</v>
      </c>
      <c r="E2236">
        <v>15.493</v>
      </c>
      <c r="F2236" t="s">
        <v>21</v>
      </c>
      <c r="G2236" t="s">
        <v>26</v>
      </c>
      <c r="H2236" t="s">
        <v>19</v>
      </c>
      <c r="I2236">
        <v>119</v>
      </c>
      <c r="J2236" t="s">
        <v>20</v>
      </c>
      <c r="K2236" t="s">
        <v>27</v>
      </c>
      <c r="L2236" t="s">
        <v>75</v>
      </c>
      <c r="M2236" t="s">
        <v>76</v>
      </c>
      <c r="N2236">
        <v>38.772357</v>
      </c>
      <c r="O2236">
        <v>-112.06952800000001</v>
      </c>
      <c r="P2236">
        <v>5239.7854200000002</v>
      </c>
      <c r="Q2236">
        <v>1403</v>
      </c>
      <c r="R2236">
        <v>0</v>
      </c>
    </row>
    <row r="2237" spans="1:18" x14ac:dyDescent="0.25">
      <c r="A2237">
        <v>2236</v>
      </c>
      <c r="B2237">
        <v>94</v>
      </c>
      <c r="C2237">
        <v>31714368</v>
      </c>
      <c r="D2237" t="s">
        <v>118</v>
      </c>
      <c r="E2237">
        <v>17.266999999999999</v>
      </c>
      <c r="F2237" t="s">
        <v>21</v>
      </c>
      <c r="G2237" t="s">
        <v>26</v>
      </c>
      <c r="H2237" t="s">
        <v>21</v>
      </c>
      <c r="I2237" t="s">
        <v>20</v>
      </c>
      <c r="J2237" t="s">
        <v>20</v>
      </c>
      <c r="K2237" t="s">
        <v>22</v>
      </c>
      <c r="L2237" t="s">
        <v>35</v>
      </c>
      <c r="M2237" t="s">
        <v>120</v>
      </c>
      <c r="N2237">
        <v>40.502586000000001</v>
      </c>
      <c r="O2237">
        <v>-111.413526</v>
      </c>
      <c r="P2237">
        <v>5558.7983899999999</v>
      </c>
      <c r="Q2237">
        <v>310</v>
      </c>
      <c r="R2237">
        <v>0</v>
      </c>
    </row>
    <row r="2238" spans="1:18" x14ac:dyDescent="0.25">
      <c r="A2238">
        <v>2237</v>
      </c>
      <c r="B2238">
        <v>94</v>
      </c>
      <c r="C2238">
        <v>1540288</v>
      </c>
      <c r="D2238" t="s">
        <v>88</v>
      </c>
      <c r="E2238">
        <v>17.274000000000001</v>
      </c>
      <c r="F2238" t="s">
        <v>21</v>
      </c>
      <c r="G2238" t="s">
        <v>20</v>
      </c>
      <c r="H2238" t="s">
        <v>21</v>
      </c>
      <c r="I2238" t="s">
        <v>20</v>
      </c>
      <c r="J2238" t="s">
        <v>20</v>
      </c>
      <c r="K2238" t="s">
        <v>31</v>
      </c>
      <c r="L2238" t="s">
        <v>69</v>
      </c>
      <c r="M2238" t="s">
        <v>90</v>
      </c>
      <c r="N2238">
        <v>40.685358999999998</v>
      </c>
      <c r="O2238">
        <v>-111.871409</v>
      </c>
      <c r="P2238">
        <v>4227.8810249999997</v>
      </c>
      <c r="Q2238">
        <v>318</v>
      </c>
      <c r="R2238">
        <v>0</v>
      </c>
    </row>
    <row r="2239" spans="1:18" x14ac:dyDescent="0.25">
      <c r="A2239">
        <v>2238</v>
      </c>
      <c r="B2239">
        <v>94</v>
      </c>
      <c r="C2239">
        <v>28003492</v>
      </c>
      <c r="D2239" t="s">
        <v>346</v>
      </c>
      <c r="E2239">
        <v>18.024999999999999</v>
      </c>
      <c r="F2239" t="s">
        <v>21</v>
      </c>
      <c r="G2239" t="s">
        <v>20</v>
      </c>
      <c r="H2239" t="s">
        <v>21</v>
      </c>
      <c r="I2239" t="s">
        <v>20</v>
      </c>
      <c r="J2239" t="s">
        <v>20</v>
      </c>
      <c r="K2239" t="s">
        <v>27</v>
      </c>
      <c r="L2239" t="s">
        <v>307</v>
      </c>
      <c r="M2239" t="s">
        <v>159</v>
      </c>
      <c r="N2239">
        <v>39.862737000000003</v>
      </c>
      <c r="O2239">
        <v>-111.112864</v>
      </c>
      <c r="P2239">
        <v>7881.6202890000004</v>
      </c>
      <c r="Q2239">
        <v>1389</v>
      </c>
      <c r="R2239">
        <v>0</v>
      </c>
    </row>
    <row r="2240" spans="1:18" x14ac:dyDescent="0.25">
      <c r="A2240">
        <v>2239</v>
      </c>
      <c r="B2240">
        <v>94</v>
      </c>
      <c r="C2240">
        <v>31349300</v>
      </c>
      <c r="D2240" t="s">
        <v>413</v>
      </c>
      <c r="E2240">
        <v>18.03</v>
      </c>
      <c r="F2240" t="s">
        <v>21</v>
      </c>
      <c r="G2240" t="s">
        <v>26</v>
      </c>
      <c r="H2240" t="s">
        <v>21</v>
      </c>
      <c r="I2240" t="s">
        <v>20</v>
      </c>
      <c r="J2240" t="s">
        <v>20</v>
      </c>
      <c r="K2240" t="s">
        <v>31</v>
      </c>
      <c r="L2240" t="s">
        <v>66</v>
      </c>
      <c r="M2240" t="s">
        <v>206</v>
      </c>
      <c r="N2240">
        <v>40.725459000000001</v>
      </c>
      <c r="O2240">
        <v>-111.889538</v>
      </c>
      <c r="P2240">
        <v>4192.1745490000003</v>
      </c>
      <c r="Q2240">
        <v>411</v>
      </c>
      <c r="R2240">
        <v>0</v>
      </c>
    </row>
    <row r="2241" spans="1:18" x14ac:dyDescent="0.25">
      <c r="A2241">
        <v>2240</v>
      </c>
      <c r="B2241">
        <v>94</v>
      </c>
      <c r="C2241">
        <v>1544188</v>
      </c>
      <c r="D2241" t="s">
        <v>88</v>
      </c>
      <c r="E2241">
        <v>18.036000000000001</v>
      </c>
      <c r="F2241" t="s">
        <v>21</v>
      </c>
      <c r="G2241" t="s">
        <v>26</v>
      </c>
      <c r="H2241" t="s">
        <v>21</v>
      </c>
      <c r="I2241" t="s">
        <v>20</v>
      </c>
      <c r="J2241" t="s">
        <v>20</v>
      </c>
      <c r="K2241" t="s">
        <v>31</v>
      </c>
      <c r="L2241" t="s">
        <v>69</v>
      </c>
      <c r="M2241" t="s">
        <v>90</v>
      </c>
      <c r="N2241">
        <v>40.696406000000003</v>
      </c>
      <c r="O2241">
        <v>-111.871357</v>
      </c>
      <c r="P2241">
        <v>4216.3401729999996</v>
      </c>
      <c r="Q2241">
        <v>318</v>
      </c>
      <c r="R2241">
        <v>0</v>
      </c>
    </row>
    <row r="2242" spans="1:18" x14ac:dyDescent="0.25">
      <c r="A2242">
        <v>2241</v>
      </c>
      <c r="B2242">
        <v>94</v>
      </c>
      <c r="C2242">
        <v>31292089</v>
      </c>
      <c r="D2242" t="s">
        <v>315</v>
      </c>
      <c r="E2242">
        <v>18.048999999999999</v>
      </c>
      <c r="F2242" t="s">
        <v>21</v>
      </c>
      <c r="G2242" t="s">
        <v>26</v>
      </c>
      <c r="H2242" t="s">
        <v>21</v>
      </c>
      <c r="I2242" t="s">
        <v>20</v>
      </c>
      <c r="J2242" t="s">
        <v>20</v>
      </c>
      <c r="K2242" t="s">
        <v>27</v>
      </c>
      <c r="L2242" t="s">
        <v>111</v>
      </c>
      <c r="M2242" t="s">
        <v>243</v>
      </c>
      <c r="N2242">
        <v>39.231631</v>
      </c>
      <c r="O2242">
        <v>-111.049105</v>
      </c>
      <c r="P2242">
        <v>5715.3687829999999</v>
      </c>
      <c r="Q2242">
        <v>307</v>
      </c>
      <c r="R2242">
        <v>0</v>
      </c>
    </row>
    <row r="2243" spans="1:18" x14ac:dyDescent="0.25">
      <c r="A2243">
        <v>2242</v>
      </c>
      <c r="B2243">
        <v>94</v>
      </c>
      <c r="C2243">
        <v>31754212</v>
      </c>
      <c r="D2243" t="s">
        <v>231</v>
      </c>
      <c r="E2243">
        <v>18.056999999999999</v>
      </c>
      <c r="F2243" t="s">
        <v>21</v>
      </c>
      <c r="G2243" t="s">
        <v>26</v>
      </c>
      <c r="H2243" t="s">
        <v>21</v>
      </c>
      <c r="I2243" t="s">
        <v>20</v>
      </c>
      <c r="J2243" t="s">
        <v>20</v>
      </c>
      <c r="K2243" t="s">
        <v>41</v>
      </c>
      <c r="L2243" t="s">
        <v>57</v>
      </c>
      <c r="M2243" t="s">
        <v>93</v>
      </c>
      <c r="N2243">
        <v>41.297001999999999</v>
      </c>
      <c r="O2243">
        <v>-112.027708</v>
      </c>
      <c r="P2243">
        <v>4207.529227</v>
      </c>
      <c r="Q2243">
        <v>1409</v>
      </c>
      <c r="R2243">
        <v>0</v>
      </c>
    </row>
    <row r="2244" spans="1:18" x14ac:dyDescent="0.25">
      <c r="A2244">
        <v>2243</v>
      </c>
      <c r="B2244">
        <v>94</v>
      </c>
      <c r="C2244">
        <v>31703880</v>
      </c>
      <c r="D2244" t="s">
        <v>323</v>
      </c>
      <c r="E2244">
        <v>18.056999999999999</v>
      </c>
      <c r="F2244" t="s">
        <v>21</v>
      </c>
      <c r="G2244" t="s">
        <v>26</v>
      </c>
      <c r="H2244" t="s">
        <v>21</v>
      </c>
      <c r="I2244" t="s">
        <v>20</v>
      </c>
      <c r="J2244" t="s">
        <v>20</v>
      </c>
      <c r="K2244" t="s">
        <v>31</v>
      </c>
      <c r="L2244" t="s">
        <v>130</v>
      </c>
      <c r="M2244" t="s">
        <v>131</v>
      </c>
      <c r="N2244">
        <v>40.713751000000002</v>
      </c>
      <c r="O2244">
        <v>-111.300298</v>
      </c>
      <c r="P2244">
        <v>6372.1343530000004</v>
      </c>
      <c r="Q2244">
        <v>1345</v>
      </c>
      <c r="R2244">
        <v>0</v>
      </c>
    </row>
    <row r="2245" spans="1:18" x14ac:dyDescent="0.25">
      <c r="A2245">
        <v>2244</v>
      </c>
      <c r="B2245">
        <v>94</v>
      </c>
      <c r="C2245">
        <v>31421312</v>
      </c>
      <c r="D2245" t="s">
        <v>333</v>
      </c>
      <c r="E2245">
        <v>18.064</v>
      </c>
      <c r="F2245" t="s">
        <v>19</v>
      </c>
      <c r="G2245" t="s">
        <v>20</v>
      </c>
      <c r="H2245" t="s">
        <v>21</v>
      </c>
      <c r="I2245" t="s">
        <v>20</v>
      </c>
      <c r="J2245" t="s">
        <v>20</v>
      </c>
      <c r="K2245" t="s">
        <v>31</v>
      </c>
      <c r="L2245" t="s">
        <v>78</v>
      </c>
      <c r="M2245" t="s">
        <v>49</v>
      </c>
      <c r="N2245">
        <v>40.683902000000003</v>
      </c>
      <c r="O2245">
        <v>-111.981627</v>
      </c>
      <c r="P2245">
        <v>4273.7958989999997</v>
      </c>
      <c r="Q2245">
        <v>1426</v>
      </c>
      <c r="R2245">
        <v>0</v>
      </c>
    </row>
    <row r="2246" spans="1:18" x14ac:dyDescent="0.25">
      <c r="A2246">
        <v>2245</v>
      </c>
      <c r="B2246">
        <v>94</v>
      </c>
      <c r="C2246">
        <v>2600216</v>
      </c>
      <c r="D2246" t="s">
        <v>176</v>
      </c>
      <c r="E2246">
        <v>18.071000000000002</v>
      </c>
      <c r="F2246" t="s">
        <v>21</v>
      </c>
      <c r="G2246" t="s">
        <v>26</v>
      </c>
      <c r="H2246" t="s">
        <v>21</v>
      </c>
      <c r="I2246" t="s">
        <v>20</v>
      </c>
      <c r="J2246" t="s">
        <v>20</v>
      </c>
      <c r="K2246" t="s">
        <v>41</v>
      </c>
      <c r="L2246" t="s">
        <v>181</v>
      </c>
      <c r="M2246" t="s">
        <v>178</v>
      </c>
      <c r="N2246">
        <v>41.681716999999999</v>
      </c>
      <c r="O2246">
        <v>-112.14126</v>
      </c>
      <c r="P2246">
        <v>4249.5633870000001</v>
      </c>
      <c r="Q2246">
        <v>1329</v>
      </c>
      <c r="R2246">
        <v>0</v>
      </c>
    </row>
    <row r="2247" spans="1:18" x14ac:dyDescent="0.25">
      <c r="A2247">
        <v>2246</v>
      </c>
      <c r="B2247">
        <v>94</v>
      </c>
      <c r="C2247">
        <v>1266375</v>
      </c>
      <c r="D2247" t="s">
        <v>128</v>
      </c>
      <c r="E2247">
        <v>2.1949999999999998</v>
      </c>
      <c r="F2247" t="s">
        <v>21</v>
      </c>
      <c r="G2247" t="s">
        <v>26</v>
      </c>
      <c r="H2247" t="s">
        <v>21</v>
      </c>
      <c r="I2247" t="s">
        <v>20</v>
      </c>
      <c r="J2247" t="s">
        <v>20</v>
      </c>
      <c r="K2247" t="s">
        <v>41</v>
      </c>
      <c r="L2247" t="s">
        <v>42</v>
      </c>
      <c r="M2247" t="s">
        <v>73</v>
      </c>
      <c r="N2247">
        <v>41.729379999999999</v>
      </c>
      <c r="O2247">
        <v>-111.859842</v>
      </c>
      <c r="P2247">
        <v>4405.4382480000004</v>
      </c>
      <c r="Q2247">
        <v>5943</v>
      </c>
      <c r="R2247">
        <v>0</v>
      </c>
    </row>
    <row r="2248" spans="1:18" x14ac:dyDescent="0.25">
      <c r="A2248">
        <v>2247</v>
      </c>
      <c r="B2248">
        <v>94</v>
      </c>
      <c r="C2248">
        <v>1679889</v>
      </c>
      <c r="D2248" t="s">
        <v>180</v>
      </c>
      <c r="E2248">
        <v>2.198</v>
      </c>
      <c r="F2248" t="s">
        <v>21</v>
      </c>
      <c r="G2248" t="s">
        <v>26</v>
      </c>
      <c r="H2248" t="s">
        <v>21</v>
      </c>
      <c r="I2248" t="s">
        <v>20</v>
      </c>
      <c r="J2248" t="s">
        <v>20</v>
      </c>
      <c r="K2248" t="s">
        <v>41</v>
      </c>
      <c r="L2248" t="s">
        <v>181</v>
      </c>
      <c r="M2248" t="s">
        <v>117</v>
      </c>
      <c r="N2248">
        <v>41.741188999999999</v>
      </c>
      <c r="O2248">
        <v>-112.158659</v>
      </c>
      <c r="P2248">
        <v>4285.5131499999998</v>
      </c>
      <c r="Q2248">
        <v>1379</v>
      </c>
      <c r="R2248">
        <v>0</v>
      </c>
    </row>
    <row r="2249" spans="1:18" x14ac:dyDescent="0.25">
      <c r="A2249">
        <v>2248</v>
      </c>
      <c r="B2249">
        <v>94</v>
      </c>
      <c r="C2249">
        <v>1137822</v>
      </c>
      <c r="D2249" t="s">
        <v>56</v>
      </c>
      <c r="E2249">
        <v>2.2040000000000002</v>
      </c>
      <c r="F2249" t="s">
        <v>21</v>
      </c>
      <c r="G2249" t="s">
        <v>26</v>
      </c>
      <c r="H2249" t="s">
        <v>21</v>
      </c>
      <c r="I2249" t="s">
        <v>20</v>
      </c>
      <c r="J2249" t="s">
        <v>20</v>
      </c>
      <c r="K2249" t="s">
        <v>41</v>
      </c>
      <c r="L2249" t="s">
        <v>57</v>
      </c>
      <c r="M2249" t="s">
        <v>58</v>
      </c>
      <c r="N2249">
        <v>41.163753</v>
      </c>
      <c r="O2249">
        <v>-112.080533</v>
      </c>
      <c r="P2249">
        <v>4194.7041419999996</v>
      </c>
      <c r="Q2249">
        <v>1459</v>
      </c>
      <c r="R2249">
        <v>0</v>
      </c>
    </row>
    <row r="2250" spans="1:18" x14ac:dyDescent="0.25">
      <c r="A2250">
        <v>2249</v>
      </c>
      <c r="B2250">
        <v>94</v>
      </c>
      <c r="C2250">
        <v>764989</v>
      </c>
      <c r="D2250" t="s">
        <v>86</v>
      </c>
      <c r="E2250">
        <v>2.6190000000000002</v>
      </c>
      <c r="F2250" t="s">
        <v>21</v>
      </c>
      <c r="G2250" t="s">
        <v>26</v>
      </c>
      <c r="H2250" t="s">
        <v>21</v>
      </c>
      <c r="I2250" t="s">
        <v>20</v>
      </c>
      <c r="J2250" t="s">
        <v>20</v>
      </c>
      <c r="K2250" t="s">
        <v>41</v>
      </c>
      <c r="L2250" t="s">
        <v>87</v>
      </c>
      <c r="M2250" t="s">
        <v>58</v>
      </c>
      <c r="N2250">
        <v>41.038108999999999</v>
      </c>
      <c r="O2250">
        <v>-111.941982</v>
      </c>
      <c r="P2250">
        <v>4290.044656</v>
      </c>
      <c r="Q2250">
        <v>258</v>
      </c>
      <c r="R2250">
        <v>0</v>
      </c>
    </row>
    <row r="2251" spans="1:18" x14ac:dyDescent="0.25">
      <c r="A2251">
        <v>2250</v>
      </c>
      <c r="B2251">
        <v>94</v>
      </c>
      <c r="C2251">
        <v>1738537</v>
      </c>
      <c r="D2251" t="s">
        <v>197</v>
      </c>
      <c r="E2251">
        <v>2.62</v>
      </c>
      <c r="F2251" t="s">
        <v>21</v>
      </c>
      <c r="G2251" t="s">
        <v>26</v>
      </c>
      <c r="H2251" t="s">
        <v>21</v>
      </c>
      <c r="I2251" t="s">
        <v>20</v>
      </c>
      <c r="J2251" t="s">
        <v>20</v>
      </c>
      <c r="K2251" t="s">
        <v>22</v>
      </c>
      <c r="L2251" t="s">
        <v>198</v>
      </c>
      <c r="M2251" t="s">
        <v>125</v>
      </c>
      <c r="N2251">
        <v>40.001632999999998</v>
      </c>
      <c r="O2251">
        <v>-111.82018100000001</v>
      </c>
      <c r="P2251">
        <v>4662.6403049999999</v>
      </c>
      <c r="Q2251">
        <v>1416</v>
      </c>
      <c r="R2251">
        <v>0</v>
      </c>
    </row>
    <row r="2252" spans="1:18" x14ac:dyDescent="0.25">
      <c r="A2252">
        <v>2251</v>
      </c>
      <c r="B2252">
        <v>94</v>
      </c>
      <c r="C2252">
        <v>27637458</v>
      </c>
      <c r="D2252" t="s">
        <v>354</v>
      </c>
      <c r="E2252">
        <v>2.6240000000000001</v>
      </c>
      <c r="F2252" t="s">
        <v>21</v>
      </c>
      <c r="G2252" t="s">
        <v>26</v>
      </c>
      <c r="H2252" t="s">
        <v>21</v>
      </c>
      <c r="I2252" t="s">
        <v>20</v>
      </c>
      <c r="J2252" t="s">
        <v>20</v>
      </c>
      <c r="K2252" t="s">
        <v>27</v>
      </c>
      <c r="L2252" t="s">
        <v>64</v>
      </c>
      <c r="M2252" t="s">
        <v>58</v>
      </c>
      <c r="N2252">
        <v>38.119112999999999</v>
      </c>
      <c r="O2252">
        <v>-112.000446</v>
      </c>
      <c r="P2252">
        <v>6389.4848970000003</v>
      </c>
      <c r="Q2252">
        <v>1338</v>
      </c>
      <c r="R2252">
        <v>0</v>
      </c>
    </row>
    <row r="2253" spans="1:18" x14ac:dyDescent="0.25">
      <c r="A2253">
        <v>2252</v>
      </c>
      <c r="B2253">
        <v>94</v>
      </c>
      <c r="C2253">
        <v>1166156</v>
      </c>
      <c r="D2253" t="s">
        <v>128</v>
      </c>
      <c r="E2253">
        <v>2.6259999999999999</v>
      </c>
      <c r="F2253" t="s">
        <v>19</v>
      </c>
      <c r="G2253" t="s">
        <v>20</v>
      </c>
      <c r="H2253" t="s">
        <v>19</v>
      </c>
      <c r="I2253">
        <v>30</v>
      </c>
      <c r="J2253" t="s">
        <v>20</v>
      </c>
      <c r="K2253" t="s">
        <v>41</v>
      </c>
      <c r="L2253" t="s">
        <v>95</v>
      </c>
      <c r="M2253" t="s">
        <v>73</v>
      </c>
      <c r="N2253">
        <v>41.735644999999998</v>
      </c>
      <c r="O2253">
        <v>-111.85963700000001</v>
      </c>
      <c r="P2253">
        <v>4403.4411819999996</v>
      </c>
      <c r="Q2253">
        <v>5943</v>
      </c>
      <c r="R2253">
        <v>0</v>
      </c>
    </row>
    <row r="2254" spans="1:18" x14ac:dyDescent="0.25">
      <c r="A2254">
        <v>2253</v>
      </c>
      <c r="B2254">
        <v>94</v>
      </c>
      <c r="C2254">
        <v>31440643</v>
      </c>
      <c r="D2254" t="s">
        <v>254</v>
      </c>
      <c r="E2254">
        <v>2.6259999999999999</v>
      </c>
      <c r="F2254" t="s">
        <v>21</v>
      </c>
      <c r="G2254" t="s">
        <v>20</v>
      </c>
      <c r="H2254" t="s">
        <v>21</v>
      </c>
      <c r="I2254" t="s">
        <v>20</v>
      </c>
      <c r="J2254" t="s">
        <v>20</v>
      </c>
      <c r="K2254" t="s">
        <v>41</v>
      </c>
      <c r="L2254" t="s">
        <v>255</v>
      </c>
      <c r="M2254" t="s">
        <v>204</v>
      </c>
      <c r="N2254">
        <v>41.282584999999997</v>
      </c>
      <c r="O2254">
        <v>-111.821687</v>
      </c>
      <c r="P2254">
        <v>4922.2222179999999</v>
      </c>
      <c r="Q2254">
        <v>1429</v>
      </c>
      <c r="R2254">
        <v>0</v>
      </c>
    </row>
    <row r="2255" spans="1:18" x14ac:dyDescent="0.25">
      <c r="A2255">
        <v>2254</v>
      </c>
      <c r="B2255">
        <v>94</v>
      </c>
      <c r="C2255">
        <v>761947</v>
      </c>
      <c r="D2255" t="s">
        <v>68</v>
      </c>
      <c r="E2255">
        <v>2.633</v>
      </c>
      <c r="F2255" t="s">
        <v>19</v>
      </c>
      <c r="G2255" t="s">
        <v>20</v>
      </c>
      <c r="H2255" t="s">
        <v>21</v>
      </c>
      <c r="I2255" t="s">
        <v>20</v>
      </c>
      <c r="J2255" t="s">
        <v>20</v>
      </c>
      <c r="K2255" t="s">
        <v>31</v>
      </c>
      <c r="L2255" t="s">
        <v>69</v>
      </c>
      <c r="M2255" t="s">
        <v>70</v>
      </c>
      <c r="N2255">
        <v>40.674534999999999</v>
      </c>
      <c r="O2255">
        <v>-111.905446</v>
      </c>
      <c r="P2255">
        <v>4195.3779210000002</v>
      </c>
      <c r="Q2255">
        <v>431</v>
      </c>
      <c r="R2255">
        <v>0</v>
      </c>
    </row>
    <row r="2256" spans="1:18" x14ac:dyDescent="0.25">
      <c r="A2256">
        <v>2255</v>
      </c>
      <c r="B2256">
        <v>94</v>
      </c>
      <c r="C2256">
        <v>31827509</v>
      </c>
      <c r="D2256" t="s">
        <v>56</v>
      </c>
      <c r="E2256">
        <v>2.6339999999999999</v>
      </c>
      <c r="F2256" t="s">
        <v>21</v>
      </c>
      <c r="G2256" t="s">
        <v>26</v>
      </c>
      <c r="H2256" t="s">
        <v>21</v>
      </c>
      <c r="I2256" t="s">
        <v>20</v>
      </c>
      <c r="J2256" t="s">
        <v>20</v>
      </c>
      <c r="K2256" t="s">
        <v>41</v>
      </c>
      <c r="L2256" t="s">
        <v>57</v>
      </c>
      <c r="M2256" t="s">
        <v>58</v>
      </c>
      <c r="N2256">
        <v>41.163711999999997</v>
      </c>
      <c r="O2256">
        <v>-112.07227899999999</v>
      </c>
      <c r="P2256">
        <v>4221.0175079999999</v>
      </c>
      <c r="Q2256">
        <v>1459</v>
      </c>
      <c r="R2256">
        <v>0</v>
      </c>
    </row>
    <row r="2257" spans="1:18" x14ac:dyDescent="0.25">
      <c r="A2257">
        <v>2256</v>
      </c>
      <c r="B2257">
        <v>94</v>
      </c>
      <c r="C2257">
        <v>2542376</v>
      </c>
      <c r="D2257" t="s">
        <v>176</v>
      </c>
      <c r="E2257">
        <v>2.637</v>
      </c>
      <c r="F2257" t="s">
        <v>21</v>
      </c>
      <c r="G2257" t="s">
        <v>26</v>
      </c>
      <c r="H2257" t="s">
        <v>21</v>
      </c>
      <c r="I2257" t="s">
        <v>20</v>
      </c>
      <c r="J2257" t="s">
        <v>20</v>
      </c>
      <c r="K2257" t="s">
        <v>41</v>
      </c>
      <c r="L2257" t="s">
        <v>177</v>
      </c>
      <c r="M2257" t="s">
        <v>178</v>
      </c>
      <c r="N2257">
        <v>41.524849000000003</v>
      </c>
      <c r="O2257">
        <v>-112.015497</v>
      </c>
      <c r="P2257">
        <v>4271.7912939999997</v>
      </c>
      <c r="Q2257">
        <v>1329</v>
      </c>
      <c r="R2257">
        <v>0</v>
      </c>
    </row>
    <row r="2258" spans="1:18" x14ac:dyDescent="0.25">
      <c r="A2258">
        <v>2257</v>
      </c>
      <c r="B2258">
        <v>94</v>
      </c>
      <c r="C2258">
        <v>31305703</v>
      </c>
      <c r="D2258" t="s">
        <v>251</v>
      </c>
      <c r="E2258">
        <v>2.637</v>
      </c>
      <c r="F2258" t="s">
        <v>21</v>
      </c>
      <c r="G2258" t="s">
        <v>26</v>
      </c>
      <c r="H2258" t="s">
        <v>21</v>
      </c>
      <c r="I2258" t="s">
        <v>20</v>
      </c>
      <c r="J2258" t="s">
        <v>20</v>
      </c>
      <c r="K2258" t="s">
        <v>27</v>
      </c>
      <c r="L2258" t="s">
        <v>165</v>
      </c>
      <c r="M2258" t="s">
        <v>166</v>
      </c>
      <c r="N2258">
        <v>38.979128000000003</v>
      </c>
      <c r="O2258">
        <v>-112.372237</v>
      </c>
      <c r="P2258">
        <v>4829.4173039999996</v>
      </c>
      <c r="Q2258">
        <v>326</v>
      </c>
      <c r="R2258">
        <v>0</v>
      </c>
    </row>
    <row r="2259" spans="1:18" x14ac:dyDescent="0.25">
      <c r="A2259">
        <v>2258</v>
      </c>
      <c r="B2259">
        <v>94</v>
      </c>
      <c r="C2259">
        <v>31419649</v>
      </c>
      <c r="D2259" t="s">
        <v>221</v>
      </c>
      <c r="E2259">
        <v>21.356000000000002</v>
      </c>
      <c r="F2259" t="s">
        <v>21</v>
      </c>
      <c r="G2259" t="s">
        <v>20</v>
      </c>
      <c r="H2259" t="s">
        <v>21</v>
      </c>
      <c r="I2259" t="s">
        <v>20</v>
      </c>
      <c r="J2259" t="s">
        <v>20</v>
      </c>
      <c r="K2259" t="s">
        <v>22</v>
      </c>
      <c r="L2259" t="s">
        <v>155</v>
      </c>
      <c r="M2259" t="s">
        <v>174</v>
      </c>
      <c r="N2259">
        <v>39.442900999999999</v>
      </c>
      <c r="O2259">
        <v>-111.914029</v>
      </c>
      <c r="P2259">
        <v>5306.8101390000002</v>
      </c>
      <c r="Q2259">
        <v>1342</v>
      </c>
      <c r="R2259">
        <v>0</v>
      </c>
    </row>
    <row r="2260" spans="1:18" x14ac:dyDescent="0.25">
      <c r="A2260">
        <v>2259</v>
      </c>
      <c r="B2260">
        <v>94</v>
      </c>
      <c r="C2260">
        <v>31284374</v>
      </c>
      <c r="D2260" t="s">
        <v>278</v>
      </c>
      <c r="E2260">
        <v>21.356999999999999</v>
      </c>
      <c r="F2260" t="s">
        <v>21</v>
      </c>
      <c r="G2260" t="s">
        <v>20</v>
      </c>
      <c r="H2260" t="s">
        <v>21</v>
      </c>
      <c r="I2260" t="s">
        <v>20</v>
      </c>
      <c r="J2260" t="s">
        <v>20</v>
      </c>
      <c r="K2260" t="s">
        <v>27</v>
      </c>
      <c r="L2260" t="s">
        <v>501</v>
      </c>
      <c r="M2260" t="s">
        <v>280</v>
      </c>
      <c r="N2260">
        <v>37.559972000000002</v>
      </c>
      <c r="O2260">
        <v>-112.789534</v>
      </c>
      <c r="P2260">
        <v>9546.8622240000004</v>
      </c>
      <c r="Q2260">
        <v>1330</v>
      </c>
      <c r="R2260">
        <v>0</v>
      </c>
    </row>
    <row r="2261" spans="1:18" x14ac:dyDescent="0.25">
      <c r="A2261">
        <v>2260</v>
      </c>
      <c r="B2261">
        <v>94</v>
      </c>
      <c r="C2261" t="e">
        <f>-Ip_JEMQIRLLWqZpt5tsKV</f>
        <v>#NAME?</v>
      </c>
      <c r="D2261" t="s">
        <v>272</v>
      </c>
      <c r="E2261">
        <v>21.367999999999999</v>
      </c>
      <c r="F2261" t="s">
        <v>21</v>
      </c>
      <c r="G2261" t="s">
        <v>26</v>
      </c>
      <c r="H2261" t="s">
        <v>21</v>
      </c>
      <c r="I2261" t="s">
        <v>20</v>
      </c>
      <c r="J2261" t="s">
        <v>20</v>
      </c>
      <c r="K2261" t="s">
        <v>27</v>
      </c>
      <c r="L2261" t="s">
        <v>259</v>
      </c>
      <c r="M2261" t="s">
        <v>214</v>
      </c>
      <c r="N2261">
        <v>37.108189000000003</v>
      </c>
      <c r="O2261">
        <v>-111.91023800000001</v>
      </c>
      <c r="P2261">
        <v>4293.1435899999997</v>
      </c>
      <c r="Q2261">
        <v>1384</v>
      </c>
      <c r="R2261">
        <v>0</v>
      </c>
    </row>
    <row r="2262" spans="1:18" x14ac:dyDescent="0.25">
      <c r="A2262">
        <v>2261</v>
      </c>
      <c r="B2262">
        <v>94</v>
      </c>
      <c r="C2262">
        <v>31613861</v>
      </c>
      <c r="D2262" t="s">
        <v>50</v>
      </c>
      <c r="E2262">
        <v>21.367999999999999</v>
      </c>
      <c r="F2262" t="s">
        <v>21</v>
      </c>
      <c r="G2262" t="s">
        <v>26</v>
      </c>
      <c r="H2262" t="s">
        <v>21</v>
      </c>
      <c r="I2262" t="s">
        <v>20</v>
      </c>
      <c r="J2262" t="s">
        <v>20</v>
      </c>
      <c r="K2262" t="s">
        <v>27</v>
      </c>
      <c r="L2262" t="s">
        <v>51</v>
      </c>
      <c r="M2262" t="s">
        <v>52</v>
      </c>
      <c r="N2262">
        <v>37.650269000000002</v>
      </c>
      <c r="O2262">
        <v>-112.78928399999999</v>
      </c>
      <c r="P2262">
        <v>10015.663441000001</v>
      </c>
      <c r="Q2262">
        <v>1418</v>
      </c>
      <c r="R2262">
        <v>0</v>
      </c>
    </row>
    <row r="2263" spans="1:18" x14ac:dyDescent="0.25">
      <c r="A2263">
        <v>2262</v>
      </c>
      <c r="B2263">
        <v>94</v>
      </c>
      <c r="C2263" t="e">
        <f>-JS93cV7GaDKQkqd1di3fF</f>
        <v>#NAME?</v>
      </c>
      <c r="D2263" t="s">
        <v>118</v>
      </c>
      <c r="E2263">
        <v>19.277000000000001</v>
      </c>
      <c r="F2263" t="s">
        <v>21</v>
      </c>
      <c r="G2263" t="s">
        <v>26</v>
      </c>
      <c r="H2263" t="s">
        <v>21</v>
      </c>
      <c r="I2263" t="s">
        <v>20</v>
      </c>
      <c r="J2263" t="s">
        <v>20</v>
      </c>
      <c r="K2263" t="s">
        <v>22</v>
      </c>
      <c r="L2263" t="s">
        <v>119</v>
      </c>
      <c r="M2263" t="s">
        <v>120</v>
      </c>
      <c r="N2263">
        <v>40.477524000000003</v>
      </c>
      <c r="O2263">
        <v>-111.397632</v>
      </c>
      <c r="P2263">
        <v>5709.6512380000004</v>
      </c>
      <c r="Q2263">
        <v>310</v>
      </c>
      <c r="R2263">
        <v>0</v>
      </c>
    </row>
    <row r="2264" spans="1:18" x14ac:dyDescent="0.25">
      <c r="A2264">
        <v>2263</v>
      </c>
      <c r="B2264">
        <v>94</v>
      </c>
      <c r="C2264">
        <v>1556362</v>
      </c>
      <c r="D2264" t="s">
        <v>88</v>
      </c>
      <c r="E2264">
        <v>19.283000000000001</v>
      </c>
      <c r="F2264" t="s">
        <v>21</v>
      </c>
      <c r="G2264" t="s">
        <v>26</v>
      </c>
      <c r="H2264" t="s">
        <v>21</v>
      </c>
      <c r="I2264" t="s">
        <v>20</v>
      </c>
      <c r="J2264" t="s">
        <v>20</v>
      </c>
      <c r="K2264" t="s">
        <v>31</v>
      </c>
      <c r="L2264" t="s">
        <v>66</v>
      </c>
      <c r="M2264" t="s">
        <v>90</v>
      </c>
      <c r="N2264">
        <v>40.714444</v>
      </c>
      <c r="O2264">
        <v>-111.871296</v>
      </c>
      <c r="P2264">
        <v>4234.1173179999996</v>
      </c>
      <c r="Q2264">
        <v>318</v>
      </c>
      <c r="R2264">
        <v>0</v>
      </c>
    </row>
    <row r="2265" spans="1:18" x14ac:dyDescent="0.25">
      <c r="A2265">
        <v>2264</v>
      </c>
      <c r="B2265">
        <v>94</v>
      </c>
      <c r="C2265">
        <v>31641084</v>
      </c>
      <c r="D2265" t="s">
        <v>233</v>
      </c>
      <c r="E2265">
        <v>19.29</v>
      </c>
      <c r="F2265" t="s">
        <v>21</v>
      </c>
      <c r="G2265" t="s">
        <v>20</v>
      </c>
      <c r="H2265" t="s">
        <v>21</v>
      </c>
      <c r="I2265" t="s">
        <v>20</v>
      </c>
      <c r="J2265" t="s">
        <v>20</v>
      </c>
      <c r="K2265" t="s">
        <v>22</v>
      </c>
      <c r="L2265" t="s">
        <v>234</v>
      </c>
      <c r="M2265" t="s">
        <v>235</v>
      </c>
      <c r="N2265">
        <v>40.180531000000002</v>
      </c>
      <c r="O2265">
        <v>-109.324303</v>
      </c>
      <c r="P2265">
        <v>5534.0616209999998</v>
      </c>
      <c r="Q2265">
        <v>1354</v>
      </c>
      <c r="R2265">
        <v>0</v>
      </c>
    </row>
    <row r="2266" spans="1:18" x14ac:dyDescent="0.25">
      <c r="A2266">
        <v>2265</v>
      </c>
      <c r="B2266">
        <v>94</v>
      </c>
      <c r="C2266" t="s">
        <v>502</v>
      </c>
      <c r="D2266" t="s">
        <v>315</v>
      </c>
      <c r="E2266">
        <v>19.303000000000001</v>
      </c>
      <c r="F2266" t="s">
        <v>21</v>
      </c>
      <c r="G2266" t="s">
        <v>20</v>
      </c>
      <c r="H2266" t="s">
        <v>21</v>
      </c>
      <c r="I2266" t="s">
        <v>20</v>
      </c>
      <c r="J2266" t="s">
        <v>20</v>
      </c>
      <c r="K2266" t="s">
        <v>27</v>
      </c>
      <c r="L2266" t="s">
        <v>111</v>
      </c>
      <c r="M2266" t="s">
        <v>243</v>
      </c>
      <c r="N2266">
        <v>39.227964999999998</v>
      </c>
      <c r="O2266">
        <v>-111.02682</v>
      </c>
      <c r="P2266">
        <v>5798.6251309999998</v>
      </c>
      <c r="Q2266">
        <v>307</v>
      </c>
      <c r="R2266">
        <v>0</v>
      </c>
    </row>
    <row r="2267" spans="1:18" x14ac:dyDescent="0.25">
      <c r="A2267">
        <v>2266</v>
      </c>
      <c r="B2267">
        <v>94</v>
      </c>
      <c r="C2267">
        <v>31424532</v>
      </c>
      <c r="D2267" t="s">
        <v>333</v>
      </c>
      <c r="E2267">
        <v>19.308</v>
      </c>
      <c r="F2267" t="s">
        <v>19</v>
      </c>
      <c r="G2267" t="s">
        <v>20</v>
      </c>
      <c r="H2267" t="s">
        <v>21</v>
      </c>
      <c r="I2267" t="s">
        <v>20</v>
      </c>
      <c r="J2267" t="s">
        <v>20</v>
      </c>
      <c r="K2267" t="s">
        <v>31</v>
      </c>
      <c r="L2267" t="s">
        <v>78</v>
      </c>
      <c r="M2267" t="s">
        <v>49</v>
      </c>
      <c r="N2267">
        <v>40.701796000000002</v>
      </c>
      <c r="O2267">
        <v>-111.980113</v>
      </c>
      <c r="P2267">
        <v>4200.632337</v>
      </c>
      <c r="Q2267">
        <v>1426</v>
      </c>
      <c r="R2267">
        <v>0</v>
      </c>
    </row>
    <row r="2268" spans="1:18" x14ac:dyDescent="0.25">
      <c r="A2268">
        <v>2267</v>
      </c>
      <c r="B2268">
        <v>94</v>
      </c>
      <c r="C2268">
        <v>31305820</v>
      </c>
      <c r="D2268" t="s">
        <v>203</v>
      </c>
      <c r="E2268">
        <v>19.315999999999999</v>
      </c>
      <c r="F2268" t="s">
        <v>21</v>
      </c>
      <c r="G2268" t="s">
        <v>26</v>
      </c>
      <c r="H2268" t="s">
        <v>21</v>
      </c>
      <c r="I2268" t="s">
        <v>20</v>
      </c>
      <c r="J2268" t="s">
        <v>20</v>
      </c>
      <c r="K2268" t="s">
        <v>41</v>
      </c>
      <c r="L2268" t="s">
        <v>255</v>
      </c>
      <c r="M2268" t="s">
        <v>204</v>
      </c>
      <c r="N2268">
        <v>41.262379000000003</v>
      </c>
      <c r="O2268">
        <v>-111.76152999999999</v>
      </c>
      <c r="P2268">
        <v>4873.5377150000004</v>
      </c>
      <c r="Q2268">
        <v>1349</v>
      </c>
      <c r="R2268">
        <v>0</v>
      </c>
    </row>
    <row r="2269" spans="1:18" x14ac:dyDescent="0.25">
      <c r="A2269">
        <v>2268</v>
      </c>
      <c r="B2269">
        <v>94</v>
      </c>
      <c r="C2269">
        <v>31641095</v>
      </c>
      <c r="D2269" t="s">
        <v>233</v>
      </c>
      <c r="E2269">
        <v>19.323</v>
      </c>
      <c r="F2269" t="s">
        <v>21</v>
      </c>
      <c r="G2269" t="s">
        <v>20</v>
      </c>
      <c r="H2269" t="s">
        <v>21</v>
      </c>
      <c r="I2269" t="s">
        <v>20</v>
      </c>
      <c r="J2269" t="s">
        <v>20</v>
      </c>
      <c r="K2269" t="s">
        <v>22</v>
      </c>
      <c r="L2269" t="s">
        <v>234</v>
      </c>
      <c r="M2269" t="s">
        <v>235</v>
      </c>
      <c r="N2269">
        <v>40.180934000000001</v>
      </c>
      <c r="O2269">
        <v>-109.324646</v>
      </c>
      <c r="P2269">
        <v>5538.0084310000002</v>
      </c>
      <c r="Q2269">
        <v>1354</v>
      </c>
      <c r="R2269">
        <v>0</v>
      </c>
    </row>
    <row r="2270" spans="1:18" x14ac:dyDescent="0.25">
      <c r="A2270">
        <v>2269</v>
      </c>
      <c r="B2270">
        <v>94</v>
      </c>
      <c r="C2270">
        <v>1556369</v>
      </c>
      <c r="D2270" t="s">
        <v>88</v>
      </c>
      <c r="E2270">
        <v>19.337</v>
      </c>
      <c r="F2270" t="s">
        <v>21</v>
      </c>
      <c r="G2270" t="s">
        <v>26</v>
      </c>
      <c r="H2270" t="s">
        <v>21</v>
      </c>
      <c r="I2270" t="s">
        <v>20</v>
      </c>
      <c r="J2270" t="s">
        <v>20</v>
      </c>
      <c r="K2270" t="s">
        <v>31</v>
      </c>
      <c r="L2270" t="s">
        <v>66</v>
      </c>
      <c r="M2270" t="s">
        <v>90</v>
      </c>
      <c r="N2270">
        <v>40.715224999999997</v>
      </c>
      <c r="O2270">
        <v>-111.871256</v>
      </c>
      <c r="P2270">
        <v>4236.1679999999997</v>
      </c>
      <c r="Q2270">
        <v>318</v>
      </c>
      <c r="R2270">
        <v>0</v>
      </c>
    </row>
    <row r="2271" spans="1:18" x14ac:dyDescent="0.25">
      <c r="A2271">
        <v>2270</v>
      </c>
      <c r="B2271">
        <v>94</v>
      </c>
      <c r="C2271">
        <v>953118</v>
      </c>
      <c r="D2271" t="s">
        <v>65</v>
      </c>
      <c r="E2271">
        <v>2.0670000000000002</v>
      </c>
      <c r="F2271" t="s">
        <v>19</v>
      </c>
      <c r="G2271" t="s">
        <v>20</v>
      </c>
      <c r="H2271" t="s">
        <v>21</v>
      </c>
      <c r="I2271" t="s">
        <v>20</v>
      </c>
      <c r="J2271" t="s">
        <v>20</v>
      </c>
      <c r="K2271" t="s">
        <v>31</v>
      </c>
      <c r="L2271" t="s">
        <v>66</v>
      </c>
      <c r="M2271" t="s">
        <v>67</v>
      </c>
      <c r="N2271">
        <v>40.769371</v>
      </c>
      <c r="O2271">
        <v>-111.888299</v>
      </c>
      <c r="P2271">
        <v>4291.1190909999996</v>
      </c>
      <c r="Q2271">
        <v>402</v>
      </c>
      <c r="R2271">
        <v>0</v>
      </c>
    </row>
    <row r="2272" spans="1:18" x14ac:dyDescent="0.25">
      <c r="A2272">
        <v>2271</v>
      </c>
      <c r="B2272">
        <v>94</v>
      </c>
      <c r="C2272">
        <v>31597501</v>
      </c>
      <c r="D2272" t="s">
        <v>50</v>
      </c>
      <c r="E2272">
        <v>2.0670000000000002</v>
      </c>
      <c r="F2272" t="s">
        <v>21</v>
      </c>
      <c r="G2272" t="s">
        <v>26</v>
      </c>
      <c r="H2272" t="s">
        <v>21</v>
      </c>
      <c r="I2272" t="s">
        <v>20</v>
      </c>
      <c r="J2272" t="s">
        <v>20</v>
      </c>
      <c r="K2272" t="s">
        <v>27</v>
      </c>
      <c r="L2272" t="s">
        <v>51</v>
      </c>
      <c r="M2272" t="s">
        <v>52</v>
      </c>
      <c r="N2272">
        <v>37.838831999999996</v>
      </c>
      <c r="O2272">
        <v>-112.833973</v>
      </c>
      <c r="P2272">
        <v>5925.7642900000001</v>
      </c>
      <c r="Q2272">
        <v>1418</v>
      </c>
      <c r="R2272">
        <v>0</v>
      </c>
    </row>
    <row r="2273" spans="1:18" x14ac:dyDescent="0.25">
      <c r="A2273">
        <v>2272</v>
      </c>
      <c r="B2273">
        <v>94</v>
      </c>
      <c r="C2273">
        <v>31424028</v>
      </c>
      <c r="D2273" t="s">
        <v>107</v>
      </c>
      <c r="E2273">
        <v>2.0739999999999998</v>
      </c>
      <c r="F2273" t="s">
        <v>21</v>
      </c>
      <c r="G2273" t="s">
        <v>20</v>
      </c>
      <c r="H2273" t="s">
        <v>21</v>
      </c>
      <c r="I2273" t="s">
        <v>20</v>
      </c>
      <c r="J2273" t="s">
        <v>20</v>
      </c>
      <c r="K2273" t="s">
        <v>41</v>
      </c>
      <c r="L2273" t="s">
        <v>81</v>
      </c>
      <c r="M2273" t="s">
        <v>93</v>
      </c>
      <c r="N2273">
        <v>41.222729000000001</v>
      </c>
      <c r="O2273">
        <v>-111.97883299999999</v>
      </c>
      <c r="P2273">
        <v>4241.8159480000004</v>
      </c>
      <c r="Q2273">
        <v>413</v>
      </c>
      <c r="R2273">
        <v>0</v>
      </c>
    </row>
    <row r="2274" spans="1:18" x14ac:dyDescent="0.25">
      <c r="A2274">
        <v>2273</v>
      </c>
      <c r="B2274">
        <v>94</v>
      </c>
      <c r="C2274">
        <v>764968</v>
      </c>
      <c r="D2274" t="s">
        <v>86</v>
      </c>
      <c r="E2274">
        <v>2.08</v>
      </c>
      <c r="F2274" t="s">
        <v>21</v>
      </c>
      <c r="G2274" t="s">
        <v>26</v>
      </c>
      <c r="H2274" t="s">
        <v>21</v>
      </c>
      <c r="I2274" t="s">
        <v>20</v>
      </c>
      <c r="J2274" t="s">
        <v>20</v>
      </c>
      <c r="K2274" t="s">
        <v>41</v>
      </c>
      <c r="L2274" t="s">
        <v>87</v>
      </c>
      <c r="M2274" t="s">
        <v>58</v>
      </c>
      <c r="N2274">
        <v>41.03304</v>
      </c>
      <c r="O2274">
        <v>-111.938142</v>
      </c>
      <c r="P2274">
        <v>4292.5502550000001</v>
      </c>
      <c r="Q2274">
        <v>258</v>
      </c>
      <c r="R2274">
        <v>0</v>
      </c>
    </row>
    <row r="2275" spans="1:18" x14ac:dyDescent="0.25">
      <c r="A2275">
        <v>2274</v>
      </c>
      <c r="B2275">
        <v>94</v>
      </c>
      <c r="C2275">
        <v>31464618</v>
      </c>
      <c r="D2275" t="s">
        <v>218</v>
      </c>
      <c r="E2275">
        <v>2.08</v>
      </c>
      <c r="F2275" t="s">
        <v>21</v>
      </c>
      <c r="G2275" t="s">
        <v>26</v>
      </c>
      <c r="H2275" t="s">
        <v>21</v>
      </c>
      <c r="I2275" t="s">
        <v>20</v>
      </c>
      <c r="J2275" t="s">
        <v>20</v>
      </c>
      <c r="K2275" t="s">
        <v>27</v>
      </c>
      <c r="L2275" t="s">
        <v>183</v>
      </c>
      <c r="M2275" t="s">
        <v>76</v>
      </c>
      <c r="N2275">
        <v>39.003427000000002</v>
      </c>
      <c r="O2275">
        <v>-111.861636</v>
      </c>
      <c r="P2275">
        <v>5044.519147</v>
      </c>
      <c r="Q2275">
        <v>360</v>
      </c>
      <c r="R2275">
        <v>0</v>
      </c>
    </row>
    <row r="2276" spans="1:18" x14ac:dyDescent="0.25">
      <c r="A2276">
        <v>2275</v>
      </c>
      <c r="B2276">
        <v>94</v>
      </c>
      <c r="C2276">
        <v>31501435</v>
      </c>
      <c r="D2276" t="s">
        <v>292</v>
      </c>
      <c r="E2276">
        <v>2.081</v>
      </c>
      <c r="F2276" t="s">
        <v>21</v>
      </c>
      <c r="G2276" t="s">
        <v>26</v>
      </c>
      <c r="H2276" t="s">
        <v>21</v>
      </c>
      <c r="I2276" t="s">
        <v>20</v>
      </c>
      <c r="J2276" t="s">
        <v>20</v>
      </c>
      <c r="K2276" t="s">
        <v>22</v>
      </c>
      <c r="L2276" t="s">
        <v>253</v>
      </c>
      <c r="M2276" t="s">
        <v>134</v>
      </c>
      <c r="N2276">
        <v>40.192554000000001</v>
      </c>
      <c r="O2276">
        <v>-110.392923</v>
      </c>
      <c r="P2276">
        <v>5731.343167</v>
      </c>
      <c r="Q2276">
        <v>323</v>
      </c>
      <c r="R2276">
        <v>0</v>
      </c>
    </row>
    <row r="2277" spans="1:18" x14ac:dyDescent="0.25">
      <c r="A2277">
        <v>2276</v>
      </c>
      <c r="B2277">
        <v>94</v>
      </c>
      <c r="C2277">
        <v>31439699</v>
      </c>
      <c r="D2277" t="s">
        <v>254</v>
      </c>
      <c r="E2277">
        <v>2.081</v>
      </c>
      <c r="F2277" t="s">
        <v>21</v>
      </c>
      <c r="G2277" t="s">
        <v>20</v>
      </c>
      <c r="H2277" t="s">
        <v>21</v>
      </c>
      <c r="I2277" t="s">
        <v>20</v>
      </c>
      <c r="J2277" t="s">
        <v>20</v>
      </c>
      <c r="K2277" t="s">
        <v>41</v>
      </c>
      <c r="L2277" t="s">
        <v>255</v>
      </c>
      <c r="M2277" t="s">
        <v>204</v>
      </c>
      <c r="N2277">
        <v>41.274869000000002</v>
      </c>
      <c r="O2277">
        <v>-111.82057399999999</v>
      </c>
      <c r="P2277">
        <v>4892.0777859999998</v>
      </c>
      <c r="Q2277">
        <v>1429</v>
      </c>
      <c r="R2277">
        <v>0</v>
      </c>
    </row>
    <row r="2278" spans="1:18" x14ac:dyDescent="0.25">
      <c r="A2278">
        <v>2277</v>
      </c>
      <c r="B2278">
        <v>94</v>
      </c>
      <c r="C2278">
        <v>31482079</v>
      </c>
      <c r="D2278" t="s">
        <v>288</v>
      </c>
      <c r="E2278">
        <v>130.26599999999999</v>
      </c>
      <c r="F2278" t="s">
        <v>21</v>
      </c>
      <c r="G2278" t="s">
        <v>26</v>
      </c>
      <c r="H2278" t="s">
        <v>21</v>
      </c>
      <c r="I2278" t="s">
        <v>20</v>
      </c>
      <c r="J2278" t="s">
        <v>20</v>
      </c>
      <c r="K2278" t="s">
        <v>27</v>
      </c>
      <c r="L2278" t="s">
        <v>38</v>
      </c>
      <c r="M2278" t="s">
        <v>152</v>
      </c>
      <c r="N2278">
        <v>38.610970000000002</v>
      </c>
      <c r="O2278">
        <v>-109.60819100000001</v>
      </c>
      <c r="P2278">
        <v>3977.2176330000002</v>
      </c>
      <c r="Q2278">
        <v>350</v>
      </c>
      <c r="R2278">
        <v>0</v>
      </c>
    </row>
    <row r="2279" spans="1:18" x14ac:dyDescent="0.25">
      <c r="A2279">
        <v>2278</v>
      </c>
      <c r="B2279">
        <v>94</v>
      </c>
      <c r="C2279">
        <v>31908427</v>
      </c>
      <c r="D2279" t="s">
        <v>272</v>
      </c>
      <c r="E2279">
        <v>130.29300000000001</v>
      </c>
      <c r="F2279" t="s">
        <v>21</v>
      </c>
      <c r="G2279" t="s">
        <v>20</v>
      </c>
      <c r="H2279" t="s">
        <v>21</v>
      </c>
      <c r="I2279" t="s">
        <v>20</v>
      </c>
      <c r="J2279" t="s">
        <v>20</v>
      </c>
      <c r="K2279" t="s">
        <v>27</v>
      </c>
      <c r="L2279" t="s">
        <v>247</v>
      </c>
      <c r="M2279" t="s">
        <v>214</v>
      </c>
      <c r="N2279">
        <v>37.822924999999998</v>
      </c>
      <c r="O2279">
        <v>-112.42100600000001</v>
      </c>
      <c r="P2279">
        <v>6526.1930549999997</v>
      </c>
      <c r="Q2279">
        <v>1384</v>
      </c>
      <c r="R2279">
        <v>0</v>
      </c>
    </row>
    <row r="2280" spans="1:18" x14ac:dyDescent="0.25">
      <c r="A2280">
        <v>2279</v>
      </c>
      <c r="B2280">
        <v>94</v>
      </c>
      <c r="C2280">
        <v>31491949</v>
      </c>
      <c r="D2280" t="s">
        <v>320</v>
      </c>
      <c r="E2280">
        <v>130.36500000000001</v>
      </c>
      <c r="F2280" t="s">
        <v>21</v>
      </c>
      <c r="G2280" t="s">
        <v>26</v>
      </c>
      <c r="H2280" t="s">
        <v>21</v>
      </c>
      <c r="I2280" t="s">
        <v>20</v>
      </c>
      <c r="J2280" t="s">
        <v>20</v>
      </c>
      <c r="K2280" t="s">
        <v>27</v>
      </c>
      <c r="L2280" t="s">
        <v>202</v>
      </c>
      <c r="M2280" t="s">
        <v>76</v>
      </c>
      <c r="N2280">
        <v>39.251601000000001</v>
      </c>
      <c r="O2280">
        <v>-112.10606199999999</v>
      </c>
      <c r="P2280">
        <v>5234.886904</v>
      </c>
      <c r="Q2280">
        <v>1356</v>
      </c>
      <c r="R2280">
        <v>0</v>
      </c>
    </row>
    <row r="2281" spans="1:18" x14ac:dyDescent="0.25">
      <c r="A2281">
        <v>2280</v>
      </c>
      <c r="B2281">
        <v>94</v>
      </c>
      <c r="C2281">
        <v>31825832</v>
      </c>
      <c r="D2281" t="s">
        <v>118</v>
      </c>
      <c r="E2281">
        <v>130.411</v>
      </c>
      <c r="F2281" t="s">
        <v>21</v>
      </c>
      <c r="G2281" t="s">
        <v>26</v>
      </c>
      <c r="H2281" t="s">
        <v>19</v>
      </c>
      <c r="I2281">
        <v>88</v>
      </c>
      <c r="J2281" t="s">
        <v>20</v>
      </c>
      <c r="K2281" t="s">
        <v>22</v>
      </c>
      <c r="L2281" t="s">
        <v>133</v>
      </c>
      <c r="M2281" t="s">
        <v>169</v>
      </c>
      <c r="N2281">
        <v>40.319336</v>
      </c>
      <c r="O2281">
        <v>-109.694231</v>
      </c>
      <c r="P2281">
        <v>5047.1898689999998</v>
      </c>
      <c r="Q2281">
        <v>310</v>
      </c>
      <c r="R2281">
        <v>0</v>
      </c>
    </row>
    <row r="2282" spans="1:18" x14ac:dyDescent="0.25">
      <c r="A2282">
        <v>2281</v>
      </c>
      <c r="B2282">
        <v>94</v>
      </c>
      <c r="C2282">
        <v>31492560</v>
      </c>
      <c r="D2282" t="s">
        <v>320</v>
      </c>
      <c r="E2282">
        <v>130.47499999999999</v>
      </c>
      <c r="F2282" t="s">
        <v>21</v>
      </c>
      <c r="G2282" t="s">
        <v>26</v>
      </c>
      <c r="H2282" t="s">
        <v>21</v>
      </c>
      <c r="I2282" t="s">
        <v>20</v>
      </c>
      <c r="J2282" t="s">
        <v>20</v>
      </c>
      <c r="K2282" t="s">
        <v>27</v>
      </c>
      <c r="L2282" t="s">
        <v>202</v>
      </c>
      <c r="M2282" t="s">
        <v>76</v>
      </c>
      <c r="N2282">
        <v>39.251620000000003</v>
      </c>
      <c r="O2282">
        <v>-112.10399200000001</v>
      </c>
      <c r="P2282">
        <v>5243.2888320000002</v>
      </c>
      <c r="Q2282">
        <v>1356</v>
      </c>
      <c r="R2282">
        <v>0</v>
      </c>
    </row>
    <row r="2283" spans="1:18" x14ac:dyDescent="0.25">
      <c r="A2283">
        <v>2282</v>
      </c>
      <c r="B2283">
        <v>94</v>
      </c>
      <c r="C2283" t="s">
        <v>503</v>
      </c>
      <c r="D2283" t="s">
        <v>336</v>
      </c>
      <c r="E2283">
        <v>12.678000000000001</v>
      </c>
      <c r="F2283" t="s">
        <v>21</v>
      </c>
      <c r="G2283" t="s">
        <v>20</v>
      </c>
      <c r="H2283" t="s">
        <v>21</v>
      </c>
      <c r="I2283" t="s">
        <v>20</v>
      </c>
      <c r="J2283" t="s">
        <v>20</v>
      </c>
      <c r="K2283" t="s">
        <v>31</v>
      </c>
      <c r="L2283" t="s">
        <v>32</v>
      </c>
      <c r="M2283" t="s">
        <v>33</v>
      </c>
      <c r="N2283">
        <v>40.636885999999997</v>
      </c>
      <c r="O2283">
        <v>-111.618482</v>
      </c>
      <c r="P2283">
        <v>7558.0211579999996</v>
      </c>
      <c r="Q2283">
        <v>404</v>
      </c>
      <c r="R2283">
        <v>0</v>
      </c>
    </row>
    <row r="2284" spans="1:18" x14ac:dyDescent="0.25">
      <c r="A2284">
        <v>2283</v>
      </c>
      <c r="B2284">
        <v>94</v>
      </c>
      <c r="C2284">
        <v>31302953</v>
      </c>
      <c r="D2284" t="s">
        <v>116</v>
      </c>
      <c r="E2284">
        <v>12.680999999999999</v>
      </c>
      <c r="F2284" t="s">
        <v>21</v>
      </c>
      <c r="G2284" t="s">
        <v>26</v>
      </c>
      <c r="H2284" t="s">
        <v>21</v>
      </c>
      <c r="I2284" t="s">
        <v>20</v>
      </c>
      <c r="J2284" t="s">
        <v>20</v>
      </c>
      <c r="K2284" t="s">
        <v>41</v>
      </c>
      <c r="L2284" t="s">
        <v>42</v>
      </c>
      <c r="M2284" t="s">
        <v>43</v>
      </c>
      <c r="N2284">
        <v>41.584552000000002</v>
      </c>
      <c r="O2284">
        <v>-111.975297</v>
      </c>
      <c r="P2284">
        <v>5599.6577980000002</v>
      </c>
      <c r="Q2284">
        <v>324</v>
      </c>
      <c r="R2284">
        <v>0</v>
      </c>
    </row>
    <row r="2285" spans="1:18" x14ac:dyDescent="0.25">
      <c r="A2285">
        <v>2284</v>
      </c>
      <c r="B2285">
        <v>94</v>
      </c>
      <c r="C2285">
        <v>31195522</v>
      </c>
      <c r="D2285" t="s">
        <v>309</v>
      </c>
      <c r="E2285">
        <v>12.682</v>
      </c>
      <c r="F2285" t="s">
        <v>21</v>
      </c>
      <c r="G2285" t="s">
        <v>26</v>
      </c>
      <c r="H2285" t="s">
        <v>21</v>
      </c>
      <c r="I2285" t="s">
        <v>20</v>
      </c>
      <c r="J2285" t="s">
        <v>20</v>
      </c>
      <c r="K2285" t="s">
        <v>22</v>
      </c>
      <c r="L2285" t="s">
        <v>140</v>
      </c>
      <c r="M2285" t="s">
        <v>125</v>
      </c>
      <c r="N2285">
        <v>40.114964000000001</v>
      </c>
      <c r="O2285">
        <v>-111.644201</v>
      </c>
      <c r="P2285">
        <v>4550.7207969999999</v>
      </c>
      <c r="Q2285">
        <v>339</v>
      </c>
      <c r="R2285">
        <v>0</v>
      </c>
    </row>
    <row r="2286" spans="1:18" x14ac:dyDescent="0.25">
      <c r="A2286">
        <v>2285</v>
      </c>
      <c r="B2286">
        <v>94</v>
      </c>
      <c r="C2286">
        <v>2584378</v>
      </c>
      <c r="D2286" t="s">
        <v>176</v>
      </c>
      <c r="E2286">
        <v>12.683999999999999</v>
      </c>
      <c r="F2286" t="s">
        <v>21</v>
      </c>
      <c r="G2286" t="s">
        <v>26</v>
      </c>
      <c r="H2286" t="s">
        <v>21</v>
      </c>
      <c r="I2286" t="s">
        <v>20</v>
      </c>
      <c r="J2286" t="s">
        <v>20</v>
      </c>
      <c r="K2286" t="s">
        <v>41</v>
      </c>
      <c r="L2286" t="s">
        <v>181</v>
      </c>
      <c r="M2286" t="s">
        <v>178</v>
      </c>
      <c r="N2286">
        <v>41.606136999999997</v>
      </c>
      <c r="O2286">
        <v>-112.12724900000001</v>
      </c>
      <c r="P2286">
        <v>4204.2609869999997</v>
      </c>
      <c r="Q2286">
        <v>1329</v>
      </c>
      <c r="R2286">
        <v>0</v>
      </c>
    </row>
    <row r="2287" spans="1:18" x14ac:dyDescent="0.25">
      <c r="A2287">
        <v>2286</v>
      </c>
      <c r="B2287">
        <v>94</v>
      </c>
      <c r="C2287">
        <v>1528555</v>
      </c>
      <c r="D2287" t="s">
        <v>88</v>
      </c>
      <c r="E2287">
        <v>12.69</v>
      </c>
      <c r="F2287" t="s">
        <v>19</v>
      </c>
      <c r="G2287" t="s">
        <v>20</v>
      </c>
      <c r="H2287" t="s">
        <v>21</v>
      </c>
      <c r="I2287" t="s">
        <v>20</v>
      </c>
      <c r="J2287" t="s">
        <v>20</v>
      </c>
      <c r="K2287" t="s">
        <v>31</v>
      </c>
      <c r="L2287" t="s">
        <v>32</v>
      </c>
      <c r="M2287" t="s">
        <v>90</v>
      </c>
      <c r="N2287">
        <v>40.622143999999999</v>
      </c>
      <c r="O2287">
        <v>-111.86598600000001</v>
      </c>
      <c r="P2287">
        <v>4388.5127750000001</v>
      </c>
      <c r="Q2287">
        <v>318</v>
      </c>
      <c r="R2287">
        <v>0</v>
      </c>
    </row>
    <row r="2288" spans="1:18" x14ac:dyDescent="0.25">
      <c r="A2288">
        <v>2287</v>
      </c>
      <c r="B2288">
        <v>94</v>
      </c>
      <c r="C2288">
        <v>1113045</v>
      </c>
      <c r="D2288" t="s">
        <v>171</v>
      </c>
      <c r="E2288">
        <v>12.705</v>
      </c>
      <c r="F2288" t="s">
        <v>19</v>
      </c>
      <c r="G2288" t="s">
        <v>20</v>
      </c>
      <c r="H2288" t="s">
        <v>21</v>
      </c>
      <c r="I2288" t="s">
        <v>20</v>
      </c>
      <c r="J2288" t="s">
        <v>20</v>
      </c>
      <c r="K2288" t="s">
        <v>31</v>
      </c>
      <c r="L2288" t="s">
        <v>188</v>
      </c>
      <c r="M2288" t="s">
        <v>79</v>
      </c>
      <c r="N2288">
        <v>40.699922999999998</v>
      </c>
      <c r="O2288">
        <v>-111.850747</v>
      </c>
      <c r="P2288">
        <v>4369.8726299999998</v>
      </c>
      <c r="Q2288">
        <v>346</v>
      </c>
      <c r="R2288">
        <v>0</v>
      </c>
    </row>
    <row r="2289" spans="1:18" x14ac:dyDescent="0.25">
      <c r="A2289">
        <v>2288</v>
      </c>
      <c r="B2289">
        <v>94</v>
      </c>
      <c r="C2289">
        <v>31502320</v>
      </c>
      <c r="D2289" t="s">
        <v>224</v>
      </c>
      <c r="E2289">
        <v>12.712999999999999</v>
      </c>
      <c r="F2289" t="s">
        <v>21</v>
      </c>
      <c r="G2289" t="s">
        <v>26</v>
      </c>
      <c r="H2289" t="s">
        <v>21</v>
      </c>
      <c r="I2289" t="s">
        <v>20</v>
      </c>
      <c r="J2289" t="s">
        <v>20</v>
      </c>
      <c r="K2289" t="s">
        <v>22</v>
      </c>
      <c r="L2289" t="s">
        <v>140</v>
      </c>
      <c r="M2289" t="s">
        <v>194</v>
      </c>
      <c r="N2289">
        <v>40.105826</v>
      </c>
      <c r="O2289">
        <v>-111.647773</v>
      </c>
      <c r="P2289">
        <v>4586.0209880000002</v>
      </c>
      <c r="Q2289">
        <v>408</v>
      </c>
      <c r="R2289">
        <v>0</v>
      </c>
    </row>
    <row r="2290" spans="1:18" x14ac:dyDescent="0.25">
      <c r="A2290">
        <v>2289</v>
      </c>
      <c r="B2290">
        <v>94</v>
      </c>
      <c r="C2290">
        <v>31611520</v>
      </c>
      <c r="D2290" t="s">
        <v>232</v>
      </c>
      <c r="E2290">
        <v>12.718</v>
      </c>
      <c r="F2290" t="s">
        <v>21</v>
      </c>
      <c r="G2290" t="s">
        <v>26</v>
      </c>
      <c r="H2290" t="s">
        <v>21</v>
      </c>
      <c r="I2290" t="s">
        <v>20</v>
      </c>
      <c r="J2290" t="s">
        <v>20</v>
      </c>
      <c r="K2290" t="s">
        <v>31</v>
      </c>
      <c r="L2290" t="s">
        <v>130</v>
      </c>
      <c r="M2290" t="s">
        <v>131</v>
      </c>
      <c r="N2290">
        <v>40.640003999999998</v>
      </c>
      <c r="O2290">
        <v>-111.314384</v>
      </c>
      <c r="P2290">
        <v>6365.0250040000001</v>
      </c>
      <c r="Q2290">
        <v>1279</v>
      </c>
      <c r="R2290">
        <v>0</v>
      </c>
    </row>
    <row r="2291" spans="1:18" x14ac:dyDescent="0.25">
      <c r="A2291">
        <v>2290</v>
      </c>
      <c r="B2291">
        <v>94</v>
      </c>
      <c r="C2291">
        <v>31270689</v>
      </c>
      <c r="D2291" t="s">
        <v>241</v>
      </c>
      <c r="E2291">
        <v>12.722</v>
      </c>
      <c r="F2291" t="s">
        <v>21</v>
      </c>
      <c r="G2291" t="s">
        <v>26</v>
      </c>
      <c r="H2291" t="s">
        <v>21</v>
      </c>
      <c r="I2291" t="s">
        <v>20</v>
      </c>
      <c r="J2291" t="s">
        <v>20</v>
      </c>
      <c r="K2291" t="s">
        <v>27</v>
      </c>
      <c r="L2291" t="s">
        <v>242</v>
      </c>
      <c r="M2291" t="s">
        <v>243</v>
      </c>
      <c r="N2291">
        <v>38.923180000000002</v>
      </c>
      <c r="O2291">
        <v>-111.24678299999999</v>
      </c>
      <c r="P2291">
        <v>6175.5180220000002</v>
      </c>
      <c r="Q2291">
        <v>1327</v>
      </c>
      <c r="R2291">
        <v>0</v>
      </c>
    </row>
    <row r="2292" spans="1:18" x14ac:dyDescent="0.25">
      <c r="A2292">
        <v>2291</v>
      </c>
      <c r="B2292">
        <v>94</v>
      </c>
      <c r="C2292">
        <v>1701292</v>
      </c>
      <c r="D2292" t="s">
        <v>100</v>
      </c>
      <c r="E2292">
        <v>12.724</v>
      </c>
      <c r="F2292" t="s">
        <v>21</v>
      </c>
      <c r="G2292" t="s">
        <v>26</v>
      </c>
      <c r="H2292" t="s">
        <v>21</v>
      </c>
      <c r="I2292" t="s">
        <v>20</v>
      </c>
      <c r="J2292" t="s">
        <v>20</v>
      </c>
      <c r="K2292" t="s">
        <v>41</v>
      </c>
      <c r="L2292" t="s">
        <v>57</v>
      </c>
      <c r="M2292" t="s">
        <v>46</v>
      </c>
      <c r="N2292">
        <v>41.204805</v>
      </c>
      <c r="O2292">
        <v>-112.02952500000001</v>
      </c>
      <c r="P2292">
        <v>4261.8186690000002</v>
      </c>
      <c r="Q2292">
        <v>1396</v>
      </c>
      <c r="R2292">
        <v>0</v>
      </c>
    </row>
    <row r="2293" spans="1:18" x14ac:dyDescent="0.25">
      <c r="A2293">
        <v>2292</v>
      </c>
      <c r="B2293">
        <v>94</v>
      </c>
      <c r="C2293">
        <v>31531699</v>
      </c>
      <c r="D2293" t="s">
        <v>231</v>
      </c>
      <c r="E2293">
        <v>12.724</v>
      </c>
      <c r="F2293" t="s">
        <v>19</v>
      </c>
      <c r="G2293" t="s">
        <v>20</v>
      </c>
      <c r="H2293" t="s">
        <v>21</v>
      </c>
      <c r="I2293" t="s">
        <v>20</v>
      </c>
      <c r="J2293" t="s">
        <v>20</v>
      </c>
      <c r="K2293" t="s">
        <v>41</v>
      </c>
      <c r="L2293" t="s">
        <v>57</v>
      </c>
      <c r="M2293" t="s">
        <v>93</v>
      </c>
      <c r="N2293">
        <v>41.219683000000003</v>
      </c>
      <c r="O2293">
        <v>-112.025695</v>
      </c>
      <c r="P2293">
        <v>4241.8275899999999</v>
      </c>
      <c r="Q2293">
        <v>1409</v>
      </c>
      <c r="R2293">
        <v>0</v>
      </c>
    </row>
    <row r="2294" spans="1:18" x14ac:dyDescent="0.25">
      <c r="A2294">
        <v>2293</v>
      </c>
      <c r="B2294">
        <v>94</v>
      </c>
      <c r="C2294">
        <v>31195655</v>
      </c>
      <c r="D2294" t="s">
        <v>309</v>
      </c>
      <c r="E2294">
        <v>12.87</v>
      </c>
      <c r="F2294" t="s">
        <v>21</v>
      </c>
      <c r="G2294" t="s">
        <v>26</v>
      </c>
      <c r="H2294" t="s">
        <v>21</v>
      </c>
      <c r="I2294" t="s">
        <v>20</v>
      </c>
      <c r="J2294" t="s">
        <v>20</v>
      </c>
      <c r="K2294" t="s">
        <v>22</v>
      </c>
      <c r="L2294" t="s">
        <v>140</v>
      </c>
      <c r="M2294" t="s">
        <v>125</v>
      </c>
      <c r="N2294">
        <v>40.114955999999999</v>
      </c>
      <c r="O2294">
        <v>-111.640672</v>
      </c>
      <c r="P2294">
        <v>4568.7401479999999</v>
      </c>
      <c r="Q2294">
        <v>339</v>
      </c>
      <c r="R2294">
        <v>0</v>
      </c>
    </row>
    <row r="2295" spans="1:18" x14ac:dyDescent="0.25">
      <c r="A2295">
        <v>2294</v>
      </c>
      <c r="B2295">
        <v>94</v>
      </c>
      <c r="C2295">
        <v>1529086</v>
      </c>
      <c r="D2295" t="s">
        <v>88</v>
      </c>
      <c r="E2295">
        <v>12.87</v>
      </c>
      <c r="F2295" t="s">
        <v>21</v>
      </c>
      <c r="G2295" t="s">
        <v>26</v>
      </c>
      <c r="H2295" t="s">
        <v>21</v>
      </c>
      <c r="I2295" t="s">
        <v>20</v>
      </c>
      <c r="J2295" t="s">
        <v>20</v>
      </c>
      <c r="K2295" t="s">
        <v>31</v>
      </c>
      <c r="L2295" t="s">
        <v>32</v>
      </c>
      <c r="M2295" t="s">
        <v>90</v>
      </c>
      <c r="N2295">
        <v>40.624747999999997</v>
      </c>
      <c r="O2295">
        <v>-111.865983</v>
      </c>
      <c r="P2295">
        <v>4379.430155</v>
      </c>
      <c r="Q2295">
        <v>318</v>
      </c>
      <c r="R2295">
        <v>0</v>
      </c>
    </row>
    <row r="2296" spans="1:18" x14ac:dyDescent="0.25">
      <c r="A2296">
        <v>2295</v>
      </c>
      <c r="B2296">
        <v>94</v>
      </c>
      <c r="C2296">
        <v>28358439</v>
      </c>
      <c r="D2296" t="s">
        <v>323</v>
      </c>
      <c r="E2296">
        <v>12.881</v>
      </c>
      <c r="F2296" t="s">
        <v>21</v>
      </c>
      <c r="G2296" t="s">
        <v>26</v>
      </c>
      <c r="H2296" t="s">
        <v>21</v>
      </c>
      <c r="I2296" t="s">
        <v>20</v>
      </c>
      <c r="J2296" t="s">
        <v>20</v>
      </c>
      <c r="K2296" t="s">
        <v>31</v>
      </c>
      <c r="L2296" t="s">
        <v>130</v>
      </c>
      <c r="M2296" t="s">
        <v>131</v>
      </c>
      <c r="N2296">
        <v>40.646414999999998</v>
      </c>
      <c r="O2296">
        <v>-111.28079700000001</v>
      </c>
      <c r="P2296">
        <v>6421.6041219999997</v>
      </c>
      <c r="Q2296">
        <v>1345</v>
      </c>
      <c r="R2296">
        <v>0</v>
      </c>
    </row>
    <row r="2297" spans="1:18" x14ac:dyDescent="0.25">
      <c r="A2297">
        <v>2296</v>
      </c>
      <c r="B2297">
        <v>94</v>
      </c>
      <c r="C2297">
        <v>28600029</v>
      </c>
      <c r="D2297" t="s">
        <v>142</v>
      </c>
      <c r="E2297">
        <v>12.888</v>
      </c>
      <c r="F2297" t="s">
        <v>21</v>
      </c>
      <c r="G2297" t="s">
        <v>26</v>
      </c>
      <c r="H2297" t="s">
        <v>21</v>
      </c>
      <c r="I2297" t="s">
        <v>20</v>
      </c>
      <c r="J2297" t="s">
        <v>20</v>
      </c>
      <c r="K2297" t="s">
        <v>27</v>
      </c>
      <c r="L2297" t="s">
        <v>143</v>
      </c>
      <c r="M2297" t="s">
        <v>106</v>
      </c>
      <c r="N2297">
        <v>38.780231999999998</v>
      </c>
      <c r="O2297">
        <v>-113.964566</v>
      </c>
      <c r="P2297">
        <v>5435.9220619999996</v>
      </c>
      <c r="Q2297">
        <v>305</v>
      </c>
      <c r="R2297">
        <v>0</v>
      </c>
    </row>
    <row r="2298" spans="1:18" x14ac:dyDescent="0.25">
      <c r="A2298">
        <v>2297</v>
      </c>
      <c r="B2298">
        <v>94</v>
      </c>
      <c r="C2298">
        <v>31406762</v>
      </c>
      <c r="D2298" t="s">
        <v>63</v>
      </c>
      <c r="E2298">
        <v>12.327999999999999</v>
      </c>
      <c r="F2298" t="s">
        <v>21</v>
      </c>
      <c r="G2298" t="s">
        <v>26</v>
      </c>
      <c r="H2298" t="s">
        <v>19</v>
      </c>
      <c r="I2298">
        <v>22</v>
      </c>
      <c r="J2298" t="s">
        <v>20</v>
      </c>
      <c r="K2298" t="s">
        <v>27</v>
      </c>
      <c r="L2298" t="s">
        <v>64</v>
      </c>
      <c r="M2298" t="s">
        <v>29</v>
      </c>
      <c r="N2298">
        <v>38.166066000000001</v>
      </c>
      <c r="O2298">
        <v>-112.026966</v>
      </c>
      <c r="P2298">
        <v>6278.6476009999997</v>
      </c>
      <c r="Q2298">
        <v>1365</v>
      </c>
      <c r="R2298">
        <v>0</v>
      </c>
    </row>
    <row r="2299" spans="1:18" x14ac:dyDescent="0.25">
      <c r="A2299">
        <v>2298</v>
      </c>
      <c r="B2299">
        <v>94</v>
      </c>
      <c r="C2299">
        <v>31499740</v>
      </c>
      <c r="D2299" t="s">
        <v>224</v>
      </c>
      <c r="E2299">
        <v>12.331</v>
      </c>
      <c r="F2299" t="s">
        <v>19</v>
      </c>
      <c r="G2299" t="s">
        <v>20</v>
      </c>
      <c r="H2299" t="s">
        <v>19</v>
      </c>
      <c r="I2299">
        <v>156</v>
      </c>
      <c r="J2299" t="s">
        <v>20</v>
      </c>
      <c r="K2299" t="s">
        <v>22</v>
      </c>
      <c r="L2299" t="s">
        <v>140</v>
      </c>
      <c r="M2299" t="s">
        <v>194</v>
      </c>
      <c r="N2299">
        <v>40.105817999999999</v>
      </c>
      <c r="O2299">
        <v>-111.654796</v>
      </c>
      <c r="P2299">
        <v>4535.1392329999999</v>
      </c>
      <c r="Q2299">
        <v>408</v>
      </c>
      <c r="R2299">
        <v>0</v>
      </c>
    </row>
    <row r="2300" spans="1:18" x14ac:dyDescent="0.25">
      <c r="A2300">
        <v>2299</v>
      </c>
      <c r="B2300">
        <v>94</v>
      </c>
      <c r="C2300" t="e">
        <f>-IpTweU_IXmhsikycfjepk</f>
        <v>#NAME?</v>
      </c>
      <c r="D2300" t="s">
        <v>336</v>
      </c>
      <c r="E2300">
        <v>12.343</v>
      </c>
      <c r="F2300" t="s">
        <v>21</v>
      </c>
      <c r="G2300" t="s">
        <v>20</v>
      </c>
      <c r="H2300" t="s">
        <v>21</v>
      </c>
      <c r="I2300" t="s">
        <v>20</v>
      </c>
      <c r="J2300" t="s">
        <v>20</v>
      </c>
      <c r="K2300" t="s">
        <v>31</v>
      </c>
      <c r="L2300" t="s">
        <v>32</v>
      </c>
      <c r="M2300" t="s">
        <v>33</v>
      </c>
      <c r="N2300">
        <v>40.638902000000002</v>
      </c>
      <c r="O2300">
        <v>-111.624199</v>
      </c>
      <c r="P2300">
        <v>7476.147766</v>
      </c>
      <c r="Q2300">
        <v>404</v>
      </c>
      <c r="R2300">
        <v>0</v>
      </c>
    </row>
    <row r="2301" spans="1:18" x14ac:dyDescent="0.25">
      <c r="A2301">
        <v>2300</v>
      </c>
      <c r="B2301">
        <v>94</v>
      </c>
      <c r="C2301">
        <v>27417325</v>
      </c>
      <c r="D2301" t="s">
        <v>185</v>
      </c>
      <c r="E2301">
        <v>12.345000000000001</v>
      </c>
      <c r="F2301" t="s">
        <v>19</v>
      </c>
      <c r="G2301" t="s">
        <v>20</v>
      </c>
      <c r="H2301" t="s">
        <v>19</v>
      </c>
      <c r="I2301">
        <v>108</v>
      </c>
      <c r="J2301" t="s">
        <v>20</v>
      </c>
      <c r="K2301" t="s">
        <v>41</v>
      </c>
      <c r="L2301" t="s">
        <v>57</v>
      </c>
      <c r="M2301" t="s">
        <v>58</v>
      </c>
      <c r="N2301">
        <v>41.190606000000002</v>
      </c>
      <c r="O2301">
        <v>-112.048345</v>
      </c>
      <c r="P2301">
        <v>4254.683207</v>
      </c>
      <c r="Q2301">
        <v>309</v>
      </c>
      <c r="R2301">
        <v>0</v>
      </c>
    </row>
    <row r="2302" spans="1:18" x14ac:dyDescent="0.25">
      <c r="A2302">
        <v>2301</v>
      </c>
      <c r="B2302">
        <v>94</v>
      </c>
      <c r="C2302">
        <v>31283058</v>
      </c>
      <c r="D2302" t="s">
        <v>278</v>
      </c>
      <c r="E2302">
        <v>12.349</v>
      </c>
      <c r="F2302" t="s">
        <v>21</v>
      </c>
      <c r="G2302" t="s">
        <v>26</v>
      </c>
      <c r="H2302" t="s">
        <v>21</v>
      </c>
      <c r="I2302" t="s">
        <v>20</v>
      </c>
      <c r="J2302" t="s">
        <v>20</v>
      </c>
      <c r="K2302" t="s">
        <v>27</v>
      </c>
      <c r="L2302" t="s">
        <v>501</v>
      </c>
      <c r="M2302" t="s">
        <v>280</v>
      </c>
      <c r="N2302">
        <v>37.591242000000001</v>
      </c>
      <c r="O2302">
        <v>-112.905083</v>
      </c>
      <c r="P2302">
        <v>8384.1934519999995</v>
      </c>
      <c r="Q2302">
        <v>1330</v>
      </c>
      <c r="R2302">
        <v>0</v>
      </c>
    </row>
    <row r="2303" spans="1:18" x14ac:dyDescent="0.25">
      <c r="A2303">
        <v>2302</v>
      </c>
      <c r="B2303">
        <v>94</v>
      </c>
      <c r="C2303">
        <v>31531670</v>
      </c>
      <c r="D2303" t="s">
        <v>231</v>
      </c>
      <c r="E2303">
        <v>12.353999999999999</v>
      </c>
      <c r="F2303" t="s">
        <v>21</v>
      </c>
      <c r="G2303" t="s">
        <v>26</v>
      </c>
      <c r="H2303" t="s">
        <v>21</v>
      </c>
      <c r="I2303" t="s">
        <v>20</v>
      </c>
      <c r="J2303" t="s">
        <v>20</v>
      </c>
      <c r="K2303" t="s">
        <v>41</v>
      </c>
      <c r="L2303" t="s">
        <v>57</v>
      </c>
      <c r="M2303" t="s">
        <v>93</v>
      </c>
      <c r="N2303">
        <v>41.214288000000003</v>
      </c>
      <c r="O2303">
        <v>-112.025756</v>
      </c>
      <c r="P2303">
        <v>4242.5151969999997</v>
      </c>
      <c r="Q2303">
        <v>1409</v>
      </c>
      <c r="R2303">
        <v>0</v>
      </c>
    </row>
    <row r="2304" spans="1:18" x14ac:dyDescent="0.25">
      <c r="A2304">
        <v>2303</v>
      </c>
      <c r="B2304">
        <v>94</v>
      </c>
      <c r="C2304">
        <v>31496545</v>
      </c>
      <c r="D2304" t="s">
        <v>317</v>
      </c>
      <c r="E2304">
        <v>12.367000000000001</v>
      </c>
      <c r="F2304" t="s">
        <v>21</v>
      </c>
      <c r="G2304" t="s">
        <v>26</v>
      </c>
      <c r="H2304" t="s">
        <v>21</v>
      </c>
      <c r="I2304" t="s">
        <v>20</v>
      </c>
      <c r="J2304" t="s">
        <v>20</v>
      </c>
      <c r="K2304" t="s">
        <v>27</v>
      </c>
      <c r="L2304" t="s">
        <v>211</v>
      </c>
      <c r="M2304" t="s">
        <v>212</v>
      </c>
      <c r="N2304">
        <v>37.095182999999999</v>
      </c>
      <c r="O2304">
        <v>-110.000226</v>
      </c>
      <c r="P2304">
        <v>4948.4175020000002</v>
      </c>
      <c r="Q2304">
        <v>1432</v>
      </c>
      <c r="R2304">
        <v>0</v>
      </c>
    </row>
    <row r="2305" spans="1:18" x14ac:dyDescent="0.25">
      <c r="A2305">
        <v>2304</v>
      </c>
      <c r="B2305">
        <v>94</v>
      </c>
      <c r="C2305">
        <v>31868760</v>
      </c>
      <c r="D2305" t="s">
        <v>118</v>
      </c>
      <c r="E2305">
        <v>150.78700000000001</v>
      </c>
      <c r="F2305" t="s">
        <v>21</v>
      </c>
      <c r="G2305" t="s">
        <v>26</v>
      </c>
      <c r="H2305" t="s">
        <v>21</v>
      </c>
      <c r="I2305" t="s">
        <v>20</v>
      </c>
      <c r="J2305" t="s">
        <v>20</v>
      </c>
      <c r="K2305" t="s">
        <v>22</v>
      </c>
      <c r="L2305" t="s">
        <v>234</v>
      </c>
      <c r="M2305" t="s">
        <v>169</v>
      </c>
      <c r="N2305">
        <v>40.396057999999996</v>
      </c>
      <c r="O2305">
        <v>-109.45672399999999</v>
      </c>
      <c r="P2305">
        <v>5049.5471180000004</v>
      </c>
      <c r="Q2305">
        <v>310</v>
      </c>
      <c r="R2305">
        <v>0</v>
      </c>
    </row>
    <row r="2306" spans="1:18" x14ac:dyDescent="0.25">
      <c r="A2306">
        <v>2305</v>
      </c>
      <c r="B2306">
        <v>94</v>
      </c>
      <c r="C2306">
        <v>31544173</v>
      </c>
      <c r="D2306" t="s">
        <v>320</v>
      </c>
      <c r="E2306">
        <v>150.999</v>
      </c>
      <c r="F2306" t="s">
        <v>21</v>
      </c>
      <c r="G2306" t="s">
        <v>26</v>
      </c>
      <c r="H2306" t="s">
        <v>21</v>
      </c>
      <c r="I2306" t="s">
        <v>20</v>
      </c>
      <c r="J2306" t="s">
        <v>20</v>
      </c>
      <c r="K2306" t="s">
        <v>27</v>
      </c>
      <c r="L2306" t="s">
        <v>183</v>
      </c>
      <c r="M2306" t="s">
        <v>76</v>
      </c>
      <c r="N2306">
        <v>38.981507999999998</v>
      </c>
      <c r="O2306">
        <v>-111.991776</v>
      </c>
      <c r="P2306">
        <v>5786.7371640000001</v>
      </c>
      <c r="Q2306">
        <v>1356</v>
      </c>
      <c r="R2306">
        <v>0</v>
      </c>
    </row>
    <row r="2307" spans="1:18" x14ac:dyDescent="0.25">
      <c r="A2307">
        <v>2306</v>
      </c>
      <c r="B2307">
        <v>94</v>
      </c>
      <c r="C2307">
        <v>31582401</v>
      </c>
      <c r="D2307" t="s">
        <v>213</v>
      </c>
      <c r="E2307">
        <v>151.11199999999999</v>
      </c>
      <c r="F2307" t="s">
        <v>21</v>
      </c>
      <c r="G2307" t="s">
        <v>20</v>
      </c>
      <c r="H2307" t="s">
        <v>21</v>
      </c>
      <c r="I2307" t="s">
        <v>20</v>
      </c>
      <c r="J2307" t="s">
        <v>20</v>
      </c>
      <c r="K2307" t="s">
        <v>22</v>
      </c>
      <c r="L2307" t="s">
        <v>198</v>
      </c>
      <c r="M2307" t="s">
        <v>214</v>
      </c>
      <c r="N2307">
        <v>39.952286999999998</v>
      </c>
      <c r="O2307">
        <v>-111.93331999999999</v>
      </c>
      <c r="P2307">
        <v>4520.7460520000004</v>
      </c>
      <c r="Q2307">
        <v>1332</v>
      </c>
      <c r="R2307">
        <v>0</v>
      </c>
    </row>
    <row r="2308" spans="1:18" x14ac:dyDescent="0.25">
      <c r="A2308">
        <v>2307</v>
      </c>
      <c r="B2308">
        <v>94</v>
      </c>
      <c r="C2308">
        <v>31585012</v>
      </c>
      <c r="D2308" t="s">
        <v>213</v>
      </c>
      <c r="E2308">
        <v>151.376</v>
      </c>
      <c r="F2308" t="s">
        <v>21</v>
      </c>
      <c r="G2308" t="s">
        <v>20</v>
      </c>
      <c r="H2308" t="s">
        <v>21</v>
      </c>
      <c r="I2308" t="s">
        <v>20</v>
      </c>
      <c r="J2308" t="s">
        <v>20</v>
      </c>
      <c r="K2308" t="s">
        <v>22</v>
      </c>
      <c r="L2308" t="s">
        <v>198</v>
      </c>
      <c r="M2308" t="s">
        <v>214</v>
      </c>
      <c r="N2308">
        <v>39.952368</v>
      </c>
      <c r="O2308">
        <v>-111.928364</v>
      </c>
      <c r="P2308">
        <v>4522.8130019999999</v>
      </c>
      <c r="Q2308">
        <v>1332</v>
      </c>
      <c r="R2308">
        <v>0</v>
      </c>
    </row>
    <row r="2309" spans="1:18" x14ac:dyDescent="0.25">
      <c r="A2309">
        <v>2308</v>
      </c>
      <c r="B2309">
        <v>94</v>
      </c>
      <c r="C2309">
        <v>31868771</v>
      </c>
      <c r="D2309" t="s">
        <v>118</v>
      </c>
      <c r="E2309">
        <v>151.858</v>
      </c>
      <c r="F2309" t="s">
        <v>21</v>
      </c>
      <c r="G2309" t="s">
        <v>26</v>
      </c>
      <c r="H2309" t="s">
        <v>21</v>
      </c>
      <c r="I2309" t="s">
        <v>20</v>
      </c>
      <c r="J2309" t="s">
        <v>20</v>
      </c>
      <c r="K2309" t="s">
        <v>22</v>
      </c>
      <c r="L2309" t="s">
        <v>234</v>
      </c>
      <c r="M2309" t="s">
        <v>169</v>
      </c>
      <c r="N2309">
        <v>40.388415000000002</v>
      </c>
      <c r="O2309">
        <v>-109.438992</v>
      </c>
      <c r="P2309">
        <v>4935.2014239999999</v>
      </c>
      <c r="Q2309">
        <v>310</v>
      </c>
      <c r="R2309">
        <v>0</v>
      </c>
    </row>
    <row r="2310" spans="1:18" x14ac:dyDescent="0.25">
      <c r="A2310">
        <v>2309</v>
      </c>
      <c r="B2310">
        <v>94</v>
      </c>
      <c r="C2310">
        <v>31492476</v>
      </c>
      <c r="D2310" t="s">
        <v>288</v>
      </c>
      <c r="E2310">
        <v>151.94200000000001</v>
      </c>
      <c r="F2310" t="s">
        <v>21</v>
      </c>
      <c r="G2310" t="s">
        <v>26</v>
      </c>
      <c r="H2310" t="s">
        <v>21</v>
      </c>
      <c r="I2310" t="s">
        <v>20</v>
      </c>
      <c r="J2310" t="s">
        <v>20</v>
      </c>
      <c r="K2310" t="s">
        <v>27</v>
      </c>
      <c r="L2310" t="s">
        <v>38</v>
      </c>
      <c r="M2310" t="s">
        <v>152</v>
      </c>
      <c r="N2310">
        <v>38.867297999999998</v>
      </c>
      <c r="O2310">
        <v>-109.809404</v>
      </c>
      <c r="P2310">
        <v>4560.1197359999996</v>
      </c>
      <c r="Q2310">
        <v>350</v>
      </c>
      <c r="R2310">
        <v>0</v>
      </c>
    </row>
    <row r="2311" spans="1:18" x14ac:dyDescent="0.25">
      <c r="A2311">
        <v>2310</v>
      </c>
      <c r="B2311">
        <v>94</v>
      </c>
      <c r="C2311">
        <v>27872169</v>
      </c>
      <c r="D2311" t="s">
        <v>91</v>
      </c>
      <c r="E2311">
        <v>17.841999999999999</v>
      </c>
      <c r="F2311" t="s">
        <v>21</v>
      </c>
      <c r="G2311" t="s">
        <v>26</v>
      </c>
      <c r="H2311" t="s">
        <v>21</v>
      </c>
      <c r="I2311" t="s">
        <v>20</v>
      </c>
      <c r="J2311" t="s">
        <v>20</v>
      </c>
      <c r="K2311" t="s">
        <v>41</v>
      </c>
      <c r="L2311" t="s">
        <v>42</v>
      </c>
      <c r="M2311" t="s">
        <v>73</v>
      </c>
      <c r="N2311">
        <v>41.859046999999997</v>
      </c>
      <c r="O2311">
        <v>-111.99990699999999</v>
      </c>
      <c r="P2311">
        <v>4454.1850000000004</v>
      </c>
      <c r="Q2311">
        <v>1339</v>
      </c>
      <c r="R2311">
        <v>0</v>
      </c>
    </row>
    <row r="2312" spans="1:18" x14ac:dyDescent="0.25">
      <c r="A2312">
        <v>2311</v>
      </c>
      <c r="B2312">
        <v>94</v>
      </c>
      <c r="C2312">
        <v>31523952</v>
      </c>
      <c r="D2312" t="s">
        <v>309</v>
      </c>
      <c r="E2312">
        <v>17.853999999999999</v>
      </c>
      <c r="F2312" t="s">
        <v>21</v>
      </c>
      <c r="G2312" t="s">
        <v>26</v>
      </c>
      <c r="H2312" t="s">
        <v>21</v>
      </c>
      <c r="I2312" t="s">
        <v>20</v>
      </c>
      <c r="J2312" t="s">
        <v>20</v>
      </c>
      <c r="K2312" t="s">
        <v>22</v>
      </c>
      <c r="L2312" t="s">
        <v>140</v>
      </c>
      <c r="M2312" t="s">
        <v>125</v>
      </c>
      <c r="N2312">
        <v>40.130201999999997</v>
      </c>
      <c r="O2312">
        <v>-111.591786</v>
      </c>
      <c r="P2312">
        <v>4655.5505439999997</v>
      </c>
      <c r="Q2312">
        <v>339</v>
      </c>
      <c r="R2312">
        <v>0</v>
      </c>
    </row>
    <row r="2313" spans="1:18" x14ac:dyDescent="0.25">
      <c r="A2313">
        <v>2312</v>
      </c>
      <c r="B2313">
        <v>94</v>
      </c>
      <c r="C2313" t="e">
        <f>-JY5zS6zH5q2SmSl31T06k</f>
        <v>#NAME?</v>
      </c>
      <c r="D2313" t="s">
        <v>199</v>
      </c>
      <c r="E2313">
        <v>17.859000000000002</v>
      </c>
      <c r="F2313" t="s">
        <v>21</v>
      </c>
      <c r="G2313" t="s">
        <v>20</v>
      </c>
      <c r="H2313" t="s">
        <v>21</v>
      </c>
      <c r="I2313" t="s">
        <v>20</v>
      </c>
      <c r="J2313" t="s">
        <v>20</v>
      </c>
      <c r="K2313" t="s">
        <v>27</v>
      </c>
      <c r="L2313" t="s">
        <v>103</v>
      </c>
      <c r="M2313" t="s">
        <v>200</v>
      </c>
      <c r="N2313">
        <v>38.312606000000002</v>
      </c>
      <c r="O2313">
        <v>-112.39750100000001</v>
      </c>
      <c r="P2313">
        <v>9155.9833479999998</v>
      </c>
      <c r="Q2313">
        <v>341</v>
      </c>
      <c r="R2313">
        <v>0</v>
      </c>
    </row>
    <row r="2314" spans="1:18" x14ac:dyDescent="0.25">
      <c r="A2314">
        <v>2313</v>
      </c>
      <c r="B2314">
        <v>94</v>
      </c>
      <c r="C2314">
        <v>31348477</v>
      </c>
      <c r="D2314" t="s">
        <v>413</v>
      </c>
      <c r="E2314">
        <v>17.87</v>
      </c>
      <c r="F2314" t="s">
        <v>21</v>
      </c>
      <c r="G2314" t="s">
        <v>26</v>
      </c>
      <c r="H2314" t="s">
        <v>21</v>
      </c>
      <c r="I2314" t="s">
        <v>20</v>
      </c>
      <c r="J2314" t="s">
        <v>20</v>
      </c>
      <c r="K2314" t="s">
        <v>31</v>
      </c>
      <c r="L2314" t="s">
        <v>66</v>
      </c>
      <c r="M2314" t="s">
        <v>206</v>
      </c>
      <c r="N2314">
        <v>40.725448999999998</v>
      </c>
      <c r="O2314">
        <v>-111.89281</v>
      </c>
      <c r="P2314">
        <v>4187.3478450000002</v>
      </c>
      <c r="Q2314">
        <v>411</v>
      </c>
      <c r="R2314">
        <v>0</v>
      </c>
    </row>
    <row r="2315" spans="1:18" x14ac:dyDescent="0.25">
      <c r="A2315">
        <v>2314</v>
      </c>
      <c r="B2315">
        <v>94</v>
      </c>
      <c r="C2315">
        <v>31348488</v>
      </c>
      <c r="D2315" t="s">
        <v>413</v>
      </c>
      <c r="E2315">
        <v>17.879000000000001</v>
      </c>
      <c r="F2315" t="s">
        <v>21</v>
      </c>
      <c r="G2315" t="s">
        <v>26</v>
      </c>
      <c r="H2315" t="s">
        <v>21</v>
      </c>
      <c r="I2315" t="s">
        <v>20</v>
      </c>
      <c r="J2315" t="s">
        <v>20</v>
      </c>
      <c r="K2315" t="s">
        <v>31</v>
      </c>
      <c r="L2315" t="s">
        <v>66</v>
      </c>
      <c r="M2315" t="s">
        <v>206</v>
      </c>
      <c r="N2315">
        <v>40.725451999999997</v>
      </c>
      <c r="O2315">
        <v>-111.892622</v>
      </c>
      <c r="P2315">
        <v>4188.0041819999997</v>
      </c>
      <c r="Q2315">
        <v>411</v>
      </c>
      <c r="R2315">
        <v>0</v>
      </c>
    </row>
    <row r="2316" spans="1:18" x14ac:dyDescent="0.25">
      <c r="A2316">
        <v>2315</v>
      </c>
      <c r="B2316">
        <v>94</v>
      </c>
      <c r="C2316">
        <v>31510759</v>
      </c>
      <c r="D2316" t="s">
        <v>292</v>
      </c>
      <c r="E2316">
        <v>17.88</v>
      </c>
      <c r="F2316" t="s">
        <v>21</v>
      </c>
      <c r="G2316" t="s">
        <v>26</v>
      </c>
      <c r="H2316" t="s">
        <v>21</v>
      </c>
      <c r="I2316" t="s">
        <v>20</v>
      </c>
      <c r="J2316" t="s">
        <v>20</v>
      </c>
      <c r="K2316" t="s">
        <v>22</v>
      </c>
      <c r="L2316" t="s">
        <v>253</v>
      </c>
      <c r="M2316" t="s">
        <v>134</v>
      </c>
      <c r="N2316">
        <v>40.355583000000003</v>
      </c>
      <c r="O2316">
        <v>-110.34622</v>
      </c>
      <c r="P2316">
        <v>6396.951822</v>
      </c>
      <c r="Q2316">
        <v>323</v>
      </c>
      <c r="R2316">
        <v>0</v>
      </c>
    </row>
    <row r="2317" spans="1:18" x14ac:dyDescent="0.25">
      <c r="A2317">
        <v>2316</v>
      </c>
      <c r="B2317">
        <v>94</v>
      </c>
      <c r="C2317">
        <v>28605188</v>
      </c>
      <c r="D2317" t="s">
        <v>142</v>
      </c>
      <c r="E2317">
        <v>17.891999999999999</v>
      </c>
      <c r="F2317" t="s">
        <v>21</v>
      </c>
      <c r="G2317" t="s">
        <v>26</v>
      </c>
      <c r="H2317" t="s">
        <v>21</v>
      </c>
      <c r="I2317" t="s">
        <v>20</v>
      </c>
      <c r="J2317" t="s">
        <v>20</v>
      </c>
      <c r="K2317" t="s">
        <v>27</v>
      </c>
      <c r="L2317" t="s">
        <v>143</v>
      </c>
      <c r="M2317" t="s">
        <v>106</v>
      </c>
      <c r="N2317">
        <v>38.717894999999999</v>
      </c>
      <c r="O2317">
        <v>-113.92108</v>
      </c>
      <c r="P2317">
        <v>5699.3827339999998</v>
      </c>
      <c r="Q2317">
        <v>305</v>
      </c>
      <c r="R2317">
        <v>0</v>
      </c>
    </row>
    <row r="2318" spans="1:18" x14ac:dyDescent="0.25">
      <c r="A2318">
        <v>2317</v>
      </c>
      <c r="B2318">
        <v>94</v>
      </c>
      <c r="C2318">
        <v>31321745</v>
      </c>
      <c r="D2318" t="s">
        <v>303</v>
      </c>
      <c r="E2318">
        <v>17.901</v>
      </c>
      <c r="F2318" t="s">
        <v>21</v>
      </c>
      <c r="G2318" t="s">
        <v>26</v>
      </c>
      <c r="H2318" t="s">
        <v>21</v>
      </c>
      <c r="I2318" t="s">
        <v>20</v>
      </c>
      <c r="J2318" t="s">
        <v>20</v>
      </c>
      <c r="K2318" t="s">
        <v>27</v>
      </c>
      <c r="L2318" t="s">
        <v>72</v>
      </c>
      <c r="M2318" t="s">
        <v>73</v>
      </c>
      <c r="N2318">
        <v>37.204298999999999</v>
      </c>
      <c r="O2318">
        <v>-113.20096700000001</v>
      </c>
      <c r="P2318">
        <v>3488.8730909999999</v>
      </c>
      <c r="Q2318">
        <v>1326</v>
      </c>
      <c r="R2318">
        <v>0</v>
      </c>
    </row>
    <row r="2319" spans="1:18" x14ac:dyDescent="0.25">
      <c r="A2319">
        <v>2318</v>
      </c>
      <c r="B2319">
        <v>94</v>
      </c>
      <c r="C2319">
        <v>31305398</v>
      </c>
      <c r="D2319" t="s">
        <v>203</v>
      </c>
      <c r="E2319">
        <v>17.905999999999999</v>
      </c>
      <c r="F2319" t="s">
        <v>21</v>
      </c>
      <c r="G2319" t="s">
        <v>26</v>
      </c>
      <c r="H2319" t="s">
        <v>21</v>
      </c>
      <c r="I2319" t="s">
        <v>20</v>
      </c>
      <c r="J2319" t="s">
        <v>20</v>
      </c>
      <c r="K2319" t="s">
        <v>41</v>
      </c>
      <c r="L2319" t="s">
        <v>255</v>
      </c>
      <c r="M2319" t="s">
        <v>204</v>
      </c>
      <c r="N2319">
        <v>41.245669999999997</v>
      </c>
      <c r="O2319">
        <v>-111.769096</v>
      </c>
      <c r="P2319">
        <v>4896.9568479999998</v>
      </c>
      <c r="Q2319">
        <v>1349</v>
      </c>
      <c r="R2319">
        <v>0</v>
      </c>
    </row>
    <row r="2320" spans="1:18" x14ac:dyDescent="0.25">
      <c r="A2320">
        <v>2319</v>
      </c>
      <c r="B2320">
        <v>94</v>
      </c>
      <c r="C2320">
        <v>1544122</v>
      </c>
      <c r="D2320" t="s">
        <v>88</v>
      </c>
      <c r="E2320">
        <v>17.911000000000001</v>
      </c>
      <c r="F2320" t="s">
        <v>21</v>
      </c>
      <c r="G2320" t="s">
        <v>26</v>
      </c>
      <c r="H2320" t="s">
        <v>21</v>
      </c>
      <c r="I2320" t="s">
        <v>20</v>
      </c>
      <c r="J2320" t="s">
        <v>20</v>
      </c>
      <c r="K2320" t="s">
        <v>31</v>
      </c>
      <c r="L2320" t="s">
        <v>69</v>
      </c>
      <c r="M2320" t="s">
        <v>90</v>
      </c>
      <c r="N2320">
        <v>40.694592</v>
      </c>
      <c r="O2320">
        <v>-111.871369</v>
      </c>
      <c r="P2320">
        <v>4221.2547109999996</v>
      </c>
      <c r="Q2320">
        <v>318</v>
      </c>
      <c r="R2320">
        <v>0</v>
      </c>
    </row>
    <row r="2321" spans="1:18" x14ac:dyDescent="0.25">
      <c r="A2321">
        <v>2320</v>
      </c>
      <c r="B2321">
        <v>94</v>
      </c>
      <c r="C2321">
        <v>31348499</v>
      </c>
      <c r="D2321" t="s">
        <v>413</v>
      </c>
      <c r="E2321">
        <v>17.916</v>
      </c>
      <c r="F2321" t="s">
        <v>21</v>
      </c>
      <c r="G2321" t="s">
        <v>26</v>
      </c>
      <c r="H2321" t="s">
        <v>21</v>
      </c>
      <c r="I2321" t="s">
        <v>20</v>
      </c>
      <c r="J2321" t="s">
        <v>20</v>
      </c>
      <c r="K2321" t="s">
        <v>31</v>
      </c>
      <c r="L2321" t="s">
        <v>66</v>
      </c>
      <c r="M2321" t="s">
        <v>206</v>
      </c>
      <c r="N2321">
        <v>40.725445999999998</v>
      </c>
      <c r="O2321">
        <v>-111.891876</v>
      </c>
      <c r="P2321">
        <v>4188.8243789999997</v>
      </c>
      <c r="Q2321">
        <v>411</v>
      </c>
      <c r="R2321">
        <v>0</v>
      </c>
    </row>
    <row r="2322" spans="1:18" x14ac:dyDescent="0.25">
      <c r="A2322">
        <v>2321</v>
      </c>
      <c r="B2322">
        <v>94</v>
      </c>
      <c r="C2322">
        <v>31417857</v>
      </c>
      <c r="D2322" t="s">
        <v>333</v>
      </c>
      <c r="E2322">
        <v>17.940999999999999</v>
      </c>
      <c r="F2322" t="s">
        <v>19</v>
      </c>
      <c r="G2322" t="s">
        <v>20</v>
      </c>
      <c r="H2322" t="s">
        <v>21</v>
      </c>
      <c r="I2322" t="s">
        <v>20</v>
      </c>
      <c r="J2322" t="s">
        <v>20</v>
      </c>
      <c r="K2322" t="s">
        <v>31</v>
      </c>
      <c r="L2322" t="s">
        <v>78</v>
      </c>
      <c r="M2322" t="s">
        <v>49</v>
      </c>
      <c r="N2322">
        <v>40.682108999999997</v>
      </c>
      <c r="O2322">
        <v>-111.981578</v>
      </c>
      <c r="P2322">
        <v>4282.3058350000001</v>
      </c>
      <c r="Q2322">
        <v>1426</v>
      </c>
      <c r="R2322">
        <v>0</v>
      </c>
    </row>
    <row r="2323" spans="1:18" x14ac:dyDescent="0.25">
      <c r="A2323">
        <v>2322</v>
      </c>
      <c r="B2323">
        <v>94</v>
      </c>
      <c r="C2323">
        <v>31738578</v>
      </c>
      <c r="D2323" t="s">
        <v>336</v>
      </c>
      <c r="E2323">
        <v>12.726000000000001</v>
      </c>
      <c r="F2323" t="s">
        <v>21</v>
      </c>
      <c r="G2323" t="s">
        <v>20</v>
      </c>
      <c r="H2323" t="s">
        <v>21</v>
      </c>
      <c r="I2323" t="s">
        <v>20</v>
      </c>
      <c r="J2323" t="s">
        <v>20</v>
      </c>
      <c r="K2323" t="s">
        <v>31</v>
      </c>
      <c r="L2323" t="s">
        <v>32</v>
      </c>
      <c r="M2323" t="s">
        <v>33</v>
      </c>
      <c r="N2323">
        <v>40.636566000000002</v>
      </c>
      <c r="O2323">
        <v>-111.617671</v>
      </c>
      <c r="P2323">
        <v>7572.5727509999997</v>
      </c>
      <c r="Q2323">
        <v>404</v>
      </c>
      <c r="R2323">
        <v>0</v>
      </c>
    </row>
    <row r="2324" spans="1:18" x14ac:dyDescent="0.25">
      <c r="A2324">
        <v>2323</v>
      </c>
      <c r="B2324">
        <v>94</v>
      </c>
      <c r="C2324">
        <v>27852857</v>
      </c>
      <c r="D2324" t="s">
        <v>136</v>
      </c>
      <c r="E2324">
        <v>12.737</v>
      </c>
      <c r="F2324" t="s">
        <v>21</v>
      </c>
      <c r="G2324" t="s">
        <v>26</v>
      </c>
      <c r="H2324" t="s">
        <v>21</v>
      </c>
      <c r="I2324" t="s">
        <v>20</v>
      </c>
      <c r="J2324" t="s">
        <v>20</v>
      </c>
      <c r="K2324" t="s">
        <v>41</v>
      </c>
      <c r="L2324" t="s">
        <v>137</v>
      </c>
      <c r="M2324" t="s">
        <v>138</v>
      </c>
      <c r="N2324">
        <v>41.036051</v>
      </c>
      <c r="O2324">
        <v>-111.677409</v>
      </c>
      <c r="P2324">
        <v>5013.908864</v>
      </c>
      <c r="Q2324">
        <v>317</v>
      </c>
      <c r="R2324">
        <v>0</v>
      </c>
    </row>
    <row r="2325" spans="1:18" x14ac:dyDescent="0.25">
      <c r="A2325">
        <v>2324</v>
      </c>
      <c r="B2325">
        <v>94</v>
      </c>
      <c r="C2325">
        <v>31195533</v>
      </c>
      <c r="D2325" t="s">
        <v>309</v>
      </c>
      <c r="E2325">
        <v>12.757</v>
      </c>
      <c r="F2325" t="s">
        <v>21</v>
      </c>
      <c r="G2325" t="s">
        <v>26</v>
      </c>
      <c r="H2325" t="s">
        <v>21</v>
      </c>
      <c r="I2325" t="s">
        <v>20</v>
      </c>
      <c r="J2325" t="s">
        <v>20</v>
      </c>
      <c r="K2325" t="s">
        <v>22</v>
      </c>
      <c r="L2325" t="s">
        <v>140</v>
      </c>
      <c r="M2325" t="s">
        <v>125</v>
      </c>
      <c r="N2325">
        <v>40.114964999999998</v>
      </c>
      <c r="O2325">
        <v>-111.64277300000001</v>
      </c>
      <c r="P2325">
        <v>4561.9038639999999</v>
      </c>
      <c r="Q2325">
        <v>339</v>
      </c>
      <c r="R2325">
        <v>0</v>
      </c>
    </row>
    <row r="2326" spans="1:18" x14ac:dyDescent="0.25">
      <c r="A2326">
        <v>2325</v>
      </c>
      <c r="B2326">
        <v>94</v>
      </c>
      <c r="C2326">
        <v>28358341</v>
      </c>
      <c r="D2326" t="s">
        <v>323</v>
      </c>
      <c r="E2326">
        <v>12.769</v>
      </c>
      <c r="F2326" t="s">
        <v>21</v>
      </c>
      <c r="G2326" t="s">
        <v>26</v>
      </c>
      <c r="H2326" t="s">
        <v>21</v>
      </c>
      <c r="I2326" t="s">
        <v>20</v>
      </c>
      <c r="J2326" t="s">
        <v>20</v>
      </c>
      <c r="K2326" t="s">
        <v>31</v>
      </c>
      <c r="L2326" t="s">
        <v>130</v>
      </c>
      <c r="M2326" t="s">
        <v>131</v>
      </c>
      <c r="N2326">
        <v>40.644786000000003</v>
      </c>
      <c r="O2326">
        <v>-111.280789</v>
      </c>
      <c r="P2326">
        <v>6427.2889320000004</v>
      </c>
      <c r="Q2326">
        <v>1345</v>
      </c>
      <c r="R2326">
        <v>0</v>
      </c>
    </row>
    <row r="2327" spans="1:18" x14ac:dyDescent="0.25">
      <c r="A2327">
        <v>2326</v>
      </c>
      <c r="B2327">
        <v>94</v>
      </c>
      <c r="C2327">
        <v>31193723</v>
      </c>
      <c r="D2327" t="s">
        <v>310</v>
      </c>
      <c r="E2327">
        <v>12.773</v>
      </c>
      <c r="F2327" t="s">
        <v>21</v>
      </c>
      <c r="G2327" t="s">
        <v>26</v>
      </c>
      <c r="H2327" t="s">
        <v>21</v>
      </c>
      <c r="I2327" t="s">
        <v>20</v>
      </c>
      <c r="J2327" t="s">
        <v>20</v>
      </c>
      <c r="K2327" t="s">
        <v>31</v>
      </c>
      <c r="L2327" t="s">
        <v>285</v>
      </c>
      <c r="M2327" t="s">
        <v>206</v>
      </c>
      <c r="N2327">
        <v>40.599564000000001</v>
      </c>
      <c r="O2327">
        <v>-112.415261</v>
      </c>
      <c r="P2327">
        <v>4235.6634270000004</v>
      </c>
      <c r="Q2327">
        <v>1414</v>
      </c>
      <c r="R2327">
        <v>0</v>
      </c>
    </row>
    <row r="2328" spans="1:18" x14ac:dyDescent="0.25">
      <c r="A2328">
        <v>2327</v>
      </c>
      <c r="B2328">
        <v>94</v>
      </c>
      <c r="C2328">
        <v>31195544</v>
      </c>
      <c r="D2328" t="s">
        <v>309</v>
      </c>
      <c r="E2328">
        <v>12.779</v>
      </c>
      <c r="F2328" t="s">
        <v>21</v>
      </c>
      <c r="G2328" t="s">
        <v>26</v>
      </c>
      <c r="H2328" t="s">
        <v>21</v>
      </c>
      <c r="I2328" t="s">
        <v>20</v>
      </c>
      <c r="J2328" t="s">
        <v>20</v>
      </c>
      <c r="K2328" t="s">
        <v>22</v>
      </c>
      <c r="L2328" t="s">
        <v>140</v>
      </c>
      <c r="M2328" t="s">
        <v>125</v>
      </c>
      <c r="N2328">
        <v>40.114961999999998</v>
      </c>
      <c r="O2328">
        <v>-111.642369</v>
      </c>
      <c r="P2328">
        <v>4563.2811769999998</v>
      </c>
      <c r="Q2328">
        <v>339</v>
      </c>
      <c r="R2328">
        <v>0</v>
      </c>
    </row>
    <row r="2329" spans="1:18" x14ac:dyDescent="0.25">
      <c r="A2329">
        <v>2328</v>
      </c>
      <c r="B2329">
        <v>94</v>
      </c>
      <c r="C2329">
        <v>28094937</v>
      </c>
      <c r="D2329" t="s">
        <v>220</v>
      </c>
      <c r="E2329">
        <v>12.785</v>
      </c>
      <c r="F2329" t="s">
        <v>21</v>
      </c>
      <c r="G2329" t="s">
        <v>26</v>
      </c>
      <c r="H2329" t="s">
        <v>21</v>
      </c>
      <c r="I2329" t="s">
        <v>20</v>
      </c>
      <c r="J2329" t="s">
        <v>20</v>
      </c>
      <c r="K2329" t="s">
        <v>27</v>
      </c>
      <c r="L2329" t="s">
        <v>28</v>
      </c>
      <c r="M2329" t="s">
        <v>29</v>
      </c>
      <c r="N2329">
        <v>37.695107999999998</v>
      </c>
      <c r="O2329">
        <v>-112.166635</v>
      </c>
      <c r="P2329">
        <v>7550.2891179999997</v>
      </c>
      <c r="Q2329">
        <v>1328</v>
      </c>
      <c r="R2329">
        <v>0</v>
      </c>
    </row>
    <row r="2330" spans="1:18" x14ac:dyDescent="0.25">
      <c r="A2330">
        <v>2329</v>
      </c>
      <c r="B2330">
        <v>94</v>
      </c>
      <c r="C2330">
        <v>1113892</v>
      </c>
      <c r="D2330" t="s">
        <v>171</v>
      </c>
      <c r="E2330">
        <v>12.79</v>
      </c>
      <c r="F2330" t="s">
        <v>21</v>
      </c>
      <c r="G2330" t="s">
        <v>26</v>
      </c>
      <c r="H2330" t="s">
        <v>21</v>
      </c>
      <c r="I2330" t="s">
        <v>20</v>
      </c>
      <c r="J2330" t="s">
        <v>20</v>
      </c>
      <c r="K2330" t="s">
        <v>31</v>
      </c>
      <c r="L2330" t="s">
        <v>188</v>
      </c>
      <c r="M2330" t="s">
        <v>79</v>
      </c>
      <c r="N2330">
        <v>40.699919000000001</v>
      </c>
      <c r="O2330">
        <v>-111.849137</v>
      </c>
      <c r="P2330">
        <v>4386.6266029999997</v>
      </c>
      <c r="Q2330">
        <v>346</v>
      </c>
      <c r="R2330">
        <v>0</v>
      </c>
    </row>
    <row r="2331" spans="1:18" x14ac:dyDescent="0.25">
      <c r="A2331">
        <v>2330</v>
      </c>
      <c r="B2331">
        <v>94</v>
      </c>
      <c r="C2331">
        <v>31406784</v>
      </c>
      <c r="D2331" t="s">
        <v>63</v>
      </c>
      <c r="E2331">
        <v>12.791</v>
      </c>
      <c r="F2331" t="s">
        <v>21</v>
      </c>
      <c r="G2331" t="s">
        <v>26</v>
      </c>
      <c r="H2331" t="s">
        <v>21</v>
      </c>
      <c r="I2331" t="s">
        <v>20</v>
      </c>
      <c r="J2331" t="s">
        <v>20</v>
      </c>
      <c r="K2331" t="s">
        <v>27</v>
      </c>
      <c r="L2331" t="s">
        <v>64</v>
      </c>
      <c r="M2331" t="s">
        <v>29</v>
      </c>
      <c r="N2331">
        <v>38.172750999999998</v>
      </c>
      <c r="O2331">
        <v>-112.02676700000001</v>
      </c>
      <c r="P2331">
        <v>6367.8217290000002</v>
      </c>
      <c r="Q2331">
        <v>1365</v>
      </c>
      <c r="R2331">
        <v>0</v>
      </c>
    </row>
    <row r="2332" spans="1:18" x14ac:dyDescent="0.25">
      <c r="A2332">
        <v>2331</v>
      </c>
      <c r="B2332">
        <v>94</v>
      </c>
      <c r="C2332">
        <v>31738589</v>
      </c>
      <c r="D2332" t="s">
        <v>336</v>
      </c>
      <c r="E2332">
        <v>12.792</v>
      </c>
      <c r="F2332" t="s">
        <v>21</v>
      </c>
      <c r="G2332" t="s">
        <v>20</v>
      </c>
      <c r="H2332" t="s">
        <v>21</v>
      </c>
      <c r="I2332" t="s">
        <v>20</v>
      </c>
      <c r="J2332" t="s">
        <v>20</v>
      </c>
      <c r="K2332" t="s">
        <v>31</v>
      </c>
      <c r="L2332" t="s">
        <v>32</v>
      </c>
      <c r="M2332" t="s">
        <v>33</v>
      </c>
      <c r="N2332">
        <v>40.636099999999999</v>
      </c>
      <c r="O2332">
        <v>-111.616613</v>
      </c>
      <c r="P2332">
        <v>7593.5454120000004</v>
      </c>
      <c r="Q2332">
        <v>404</v>
      </c>
      <c r="R2332">
        <v>0</v>
      </c>
    </row>
    <row r="2333" spans="1:18" x14ac:dyDescent="0.25">
      <c r="A2333">
        <v>2332</v>
      </c>
      <c r="B2333">
        <v>94</v>
      </c>
      <c r="C2333">
        <v>31415606</v>
      </c>
      <c r="D2333" t="s">
        <v>345</v>
      </c>
      <c r="E2333">
        <v>12.803000000000001</v>
      </c>
      <c r="F2333" t="s">
        <v>21</v>
      </c>
      <c r="G2333" t="s">
        <v>26</v>
      </c>
      <c r="H2333" t="s">
        <v>21</v>
      </c>
      <c r="I2333" t="s">
        <v>20</v>
      </c>
      <c r="J2333" t="s">
        <v>20</v>
      </c>
      <c r="K2333" t="s">
        <v>27</v>
      </c>
      <c r="L2333" t="s">
        <v>75</v>
      </c>
      <c r="M2333" t="s">
        <v>76</v>
      </c>
      <c r="N2333">
        <v>38.724162999999997</v>
      </c>
      <c r="O2333">
        <v>-112.100149</v>
      </c>
      <c r="P2333">
        <v>5235.5163469999998</v>
      </c>
      <c r="Q2333">
        <v>1403</v>
      </c>
      <c r="R2333">
        <v>0</v>
      </c>
    </row>
    <row r="2334" spans="1:18" x14ac:dyDescent="0.25">
      <c r="A2334">
        <v>2333</v>
      </c>
      <c r="B2334">
        <v>94</v>
      </c>
      <c r="C2334">
        <v>1533921</v>
      </c>
      <c r="D2334" t="s">
        <v>88</v>
      </c>
      <c r="E2334">
        <v>15.169</v>
      </c>
      <c r="F2334" t="s">
        <v>21</v>
      </c>
      <c r="G2334" t="s">
        <v>26</v>
      </c>
      <c r="H2334" t="s">
        <v>21</v>
      </c>
      <c r="I2334" t="s">
        <v>20</v>
      </c>
      <c r="J2334" t="s">
        <v>20</v>
      </c>
      <c r="K2334" t="s">
        <v>31</v>
      </c>
      <c r="L2334" t="s">
        <v>32</v>
      </c>
      <c r="M2334" t="s">
        <v>90</v>
      </c>
      <c r="N2334">
        <v>40.658060999999996</v>
      </c>
      <c r="O2334">
        <v>-111.865954</v>
      </c>
      <c r="P2334">
        <v>4280.490984</v>
      </c>
      <c r="Q2334">
        <v>318</v>
      </c>
      <c r="R2334">
        <v>0</v>
      </c>
    </row>
    <row r="2335" spans="1:18" x14ac:dyDescent="0.25">
      <c r="A2335">
        <v>2334</v>
      </c>
      <c r="B2335">
        <v>94</v>
      </c>
      <c r="C2335">
        <v>31571517</v>
      </c>
      <c r="D2335" t="s">
        <v>237</v>
      </c>
      <c r="E2335">
        <v>15.170999999999999</v>
      </c>
      <c r="F2335" t="s">
        <v>21</v>
      </c>
      <c r="G2335" t="s">
        <v>26</v>
      </c>
      <c r="H2335" t="s">
        <v>19</v>
      </c>
      <c r="I2335">
        <v>191</v>
      </c>
      <c r="J2335" t="s">
        <v>20</v>
      </c>
      <c r="K2335" t="s">
        <v>27</v>
      </c>
      <c r="L2335" t="s">
        <v>38</v>
      </c>
      <c r="M2335" t="s">
        <v>238</v>
      </c>
      <c r="N2335">
        <v>38.606113999999998</v>
      </c>
      <c r="O2335">
        <v>-109.602177</v>
      </c>
      <c r="P2335">
        <v>3947.7557929999998</v>
      </c>
      <c r="Q2335">
        <v>434</v>
      </c>
      <c r="R2335">
        <v>0</v>
      </c>
    </row>
    <row r="2336" spans="1:18" x14ac:dyDescent="0.25">
      <c r="A2336">
        <v>2335</v>
      </c>
      <c r="B2336">
        <v>94</v>
      </c>
      <c r="C2336">
        <v>31506170</v>
      </c>
      <c r="D2336" t="s">
        <v>224</v>
      </c>
      <c r="E2336">
        <v>15.18</v>
      </c>
      <c r="F2336" t="s">
        <v>21</v>
      </c>
      <c r="G2336" t="s">
        <v>26</v>
      </c>
      <c r="H2336" t="s">
        <v>21</v>
      </c>
      <c r="I2336" t="s">
        <v>20</v>
      </c>
      <c r="J2336" t="s">
        <v>20</v>
      </c>
      <c r="K2336" t="s">
        <v>22</v>
      </c>
      <c r="L2336" t="s">
        <v>140</v>
      </c>
      <c r="M2336" t="s">
        <v>194</v>
      </c>
      <c r="N2336">
        <v>40.092815999999999</v>
      </c>
      <c r="O2336">
        <v>-111.604771</v>
      </c>
      <c r="P2336">
        <v>4701.2290270000003</v>
      </c>
      <c r="Q2336">
        <v>408</v>
      </c>
      <c r="R2336">
        <v>0</v>
      </c>
    </row>
    <row r="2337" spans="1:18" x14ac:dyDescent="0.25">
      <c r="A2337">
        <v>2336</v>
      </c>
      <c r="B2337">
        <v>94</v>
      </c>
      <c r="C2337">
        <v>31194190</v>
      </c>
      <c r="D2337" t="s">
        <v>339</v>
      </c>
      <c r="E2337">
        <v>15.18</v>
      </c>
      <c r="F2337" t="s">
        <v>21</v>
      </c>
      <c r="G2337" t="s">
        <v>26</v>
      </c>
      <c r="H2337" t="s">
        <v>21</v>
      </c>
      <c r="I2337" t="s">
        <v>20</v>
      </c>
      <c r="J2337" t="s">
        <v>20</v>
      </c>
      <c r="K2337" t="s">
        <v>41</v>
      </c>
      <c r="L2337" t="s">
        <v>95</v>
      </c>
      <c r="M2337" t="s">
        <v>73</v>
      </c>
      <c r="N2337">
        <v>41.925035000000001</v>
      </c>
      <c r="O2337">
        <v>-111.856137</v>
      </c>
      <c r="P2337">
        <v>4419.6080410000004</v>
      </c>
      <c r="Q2337">
        <v>1417</v>
      </c>
      <c r="R2337">
        <v>0</v>
      </c>
    </row>
    <row r="2338" spans="1:18" x14ac:dyDescent="0.25">
      <c r="A2338">
        <v>2337</v>
      </c>
      <c r="B2338">
        <v>94</v>
      </c>
      <c r="C2338">
        <v>1128107</v>
      </c>
      <c r="D2338" t="s">
        <v>171</v>
      </c>
      <c r="E2338">
        <v>15.185</v>
      </c>
      <c r="F2338" t="s">
        <v>19</v>
      </c>
      <c r="G2338" t="s">
        <v>20</v>
      </c>
      <c r="H2338" t="s">
        <v>21</v>
      </c>
      <c r="I2338" t="s">
        <v>20</v>
      </c>
      <c r="J2338" t="s">
        <v>20</v>
      </c>
      <c r="K2338" t="s">
        <v>31</v>
      </c>
      <c r="L2338" t="s">
        <v>188</v>
      </c>
      <c r="M2338" t="s">
        <v>79</v>
      </c>
      <c r="N2338">
        <v>40.699852</v>
      </c>
      <c r="O2338">
        <v>-111.803656</v>
      </c>
      <c r="P2338">
        <v>4772.3217500000001</v>
      </c>
      <c r="Q2338">
        <v>346</v>
      </c>
      <c r="R2338">
        <v>0</v>
      </c>
    </row>
    <row r="2339" spans="1:18" x14ac:dyDescent="0.25">
      <c r="A2339">
        <v>2338</v>
      </c>
      <c r="B2339">
        <v>94</v>
      </c>
      <c r="C2339">
        <v>31498167</v>
      </c>
      <c r="D2339" t="s">
        <v>317</v>
      </c>
      <c r="E2339">
        <v>15.188000000000001</v>
      </c>
      <c r="F2339" t="s">
        <v>21</v>
      </c>
      <c r="G2339" t="s">
        <v>20</v>
      </c>
      <c r="H2339" t="s">
        <v>21</v>
      </c>
      <c r="I2339" t="s">
        <v>20</v>
      </c>
      <c r="J2339" t="s">
        <v>20</v>
      </c>
      <c r="K2339" t="s">
        <v>27</v>
      </c>
      <c r="L2339" t="s">
        <v>211</v>
      </c>
      <c r="M2339" t="s">
        <v>212</v>
      </c>
      <c r="N2339">
        <v>37.116898999999997</v>
      </c>
      <c r="O2339">
        <v>-109.957154</v>
      </c>
      <c r="P2339">
        <v>5093.2993150000002</v>
      </c>
      <c r="Q2339">
        <v>1432</v>
      </c>
      <c r="R2339">
        <v>0</v>
      </c>
    </row>
    <row r="2340" spans="1:18" x14ac:dyDescent="0.25">
      <c r="A2340">
        <v>2339</v>
      </c>
      <c r="B2340">
        <v>94</v>
      </c>
      <c r="C2340">
        <v>31417239</v>
      </c>
      <c r="D2340" t="s">
        <v>221</v>
      </c>
      <c r="E2340">
        <v>15.193</v>
      </c>
      <c r="F2340" t="s">
        <v>21</v>
      </c>
      <c r="G2340" t="s">
        <v>26</v>
      </c>
      <c r="H2340" t="s">
        <v>21</v>
      </c>
      <c r="I2340" t="s">
        <v>20</v>
      </c>
      <c r="J2340" t="s">
        <v>20</v>
      </c>
      <c r="K2340" t="s">
        <v>27</v>
      </c>
      <c r="L2340" t="s">
        <v>350</v>
      </c>
      <c r="M2340" t="s">
        <v>174</v>
      </c>
      <c r="N2340">
        <v>39.355044999999997</v>
      </c>
      <c r="O2340">
        <v>-111.92959999999999</v>
      </c>
      <c r="P2340">
        <v>5054.6863229999999</v>
      </c>
      <c r="Q2340">
        <v>1342</v>
      </c>
      <c r="R2340">
        <v>0</v>
      </c>
    </row>
    <row r="2341" spans="1:18" x14ac:dyDescent="0.25">
      <c r="A2341">
        <v>2340</v>
      </c>
      <c r="B2341">
        <v>94</v>
      </c>
      <c r="C2341">
        <v>31607890</v>
      </c>
      <c r="D2341" t="s">
        <v>50</v>
      </c>
      <c r="E2341">
        <v>15.193</v>
      </c>
      <c r="F2341" t="s">
        <v>21</v>
      </c>
      <c r="G2341" t="s">
        <v>26</v>
      </c>
      <c r="H2341" t="s">
        <v>21</v>
      </c>
      <c r="I2341" t="s">
        <v>20</v>
      </c>
      <c r="J2341" t="s">
        <v>20</v>
      </c>
      <c r="K2341" t="s">
        <v>27</v>
      </c>
      <c r="L2341" t="s">
        <v>51</v>
      </c>
      <c r="M2341" t="s">
        <v>52</v>
      </c>
      <c r="N2341">
        <v>37.696159999999999</v>
      </c>
      <c r="O2341">
        <v>-112.846383</v>
      </c>
      <c r="P2341">
        <v>9631.4830669999992</v>
      </c>
      <c r="Q2341">
        <v>1418</v>
      </c>
      <c r="R2341">
        <v>0</v>
      </c>
    </row>
    <row r="2342" spans="1:18" x14ac:dyDescent="0.25">
      <c r="A2342">
        <v>2341</v>
      </c>
      <c r="B2342">
        <v>94</v>
      </c>
      <c r="C2342" t="e">
        <f>-IowYr63GCPKWz3AvzyGpk</f>
        <v>#NAME?</v>
      </c>
      <c r="D2342" t="s">
        <v>203</v>
      </c>
      <c r="E2342">
        <v>15.201000000000001</v>
      </c>
      <c r="F2342" t="s">
        <v>21</v>
      </c>
      <c r="G2342" t="s">
        <v>20</v>
      </c>
      <c r="H2342" t="s">
        <v>21</v>
      </c>
      <c r="I2342" t="s">
        <v>20</v>
      </c>
      <c r="J2342" t="s">
        <v>20</v>
      </c>
      <c r="K2342" t="s">
        <v>41</v>
      </c>
      <c r="L2342" t="s">
        <v>255</v>
      </c>
      <c r="M2342" t="s">
        <v>204</v>
      </c>
      <c r="N2342">
        <v>41.258851999999997</v>
      </c>
      <c r="O2342">
        <v>-111.816383</v>
      </c>
      <c r="P2342">
        <v>4906.9133529999999</v>
      </c>
      <c r="Q2342">
        <v>1349</v>
      </c>
      <c r="R2342">
        <v>0</v>
      </c>
    </row>
    <row r="2343" spans="1:18" x14ac:dyDescent="0.25">
      <c r="A2343">
        <v>2342</v>
      </c>
      <c r="B2343">
        <v>94</v>
      </c>
      <c r="C2343">
        <v>31703869</v>
      </c>
      <c r="D2343" t="s">
        <v>323</v>
      </c>
      <c r="E2343">
        <v>15.222</v>
      </c>
      <c r="F2343" t="s">
        <v>21</v>
      </c>
      <c r="G2343" t="s">
        <v>26</v>
      </c>
      <c r="H2343" t="s">
        <v>21</v>
      </c>
      <c r="I2343" t="s">
        <v>20</v>
      </c>
      <c r="J2343" t="s">
        <v>20</v>
      </c>
      <c r="K2343" t="s">
        <v>31</v>
      </c>
      <c r="L2343" t="s">
        <v>130</v>
      </c>
      <c r="M2343" t="s">
        <v>131</v>
      </c>
      <c r="N2343">
        <v>40.680346</v>
      </c>
      <c r="O2343">
        <v>-111.28094900000001</v>
      </c>
      <c r="P2343">
        <v>6397.7703929999998</v>
      </c>
      <c r="Q2343">
        <v>1345</v>
      </c>
      <c r="R2343">
        <v>0</v>
      </c>
    </row>
    <row r="2344" spans="1:18" x14ac:dyDescent="0.25">
      <c r="A2344">
        <v>2343</v>
      </c>
      <c r="B2344">
        <v>94</v>
      </c>
      <c r="C2344">
        <v>31429566</v>
      </c>
      <c r="D2344" t="s">
        <v>319</v>
      </c>
      <c r="E2344">
        <v>15.225</v>
      </c>
      <c r="F2344" t="s">
        <v>21</v>
      </c>
      <c r="G2344" t="s">
        <v>20</v>
      </c>
      <c r="H2344" t="s">
        <v>21</v>
      </c>
      <c r="I2344" t="s">
        <v>20</v>
      </c>
      <c r="J2344" t="s">
        <v>20</v>
      </c>
      <c r="K2344" t="s">
        <v>27</v>
      </c>
      <c r="L2344" t="s">
        <v>162</v>
      </c>
      <c r="M2344" t="s">
        <v>55</v>
      </c>
      <c r="N2344">
        <v>37.767664000000003</v>
      </c>
      <c r="O2344">
        <v>-113.821051</v>
      </c>
      <c r="P2344">
        <v>5198.5089610000005</v>
      </c>
      <c r="Q2344">
        <v>314</v>
      </c>
      <c r="R2344">
        <v>0</v>
      </c>
    </row>
    <row r="2345" spans="1:18" x14ac:dyDescent="0.25">
      <c r="A2345">
        <v>2344</v>
      </c>
      <c r="B2345">
        <v>94</v>
      </c>
      <c r="C2345">
        <v>31754442</v>
      </c>
      <c r="D2345" t="s">
        <v>346</v>
      </c>
      <c r="E2345">
        <v>15.234</v>
      </c>
      <c r="F2345" t="s">
        <v>21</v>
      </c>
      <c r="G2345" t="s">
        <v>26</v>
      </c>
      <c r="H2345" t="s">
        <v>21</v>
      </c>
      <c r="I2345" t="s">
        <v>20</v>
      </c>
      <c r="J2345" t="s">
        <v>20</v>
      </c>
      <c r="K2345" t="s">
        <v>27</v>
      </c>
      <c r="L2345" t="s">
        <v>307</v>
      </c>
      <c r="M2345" t="s">
        <v>159</v>
      </c>
      <c r="N2345">
        <v>39.832782999999999</v>
      </c>
      <c r="O2345">
        <v>-111.13335600000001</v>
      </c>
      <c r="P2345">
        <v>7811.7449530000004</v>
      </c>
      <c r="Q2345">
        <v>1389</v>
      </c>
      <c r="R2345">
        <v>0</v>
      </c>
    </row>
    <row r="2346" spans="1:18" x14ac:dyDescent="0.25">
      <c r="A2346">
        <v>2345</v>
      </c>
      <c r="B2346">
        <v>94</v>
      </c>
      <c r="C2346">
        <v>31420507</v>
      </c>
      <c r="D2346" t="s">
        <v>345</v>
      </c>
      <c r="E2346">
        <v>15.247999999999999</v>
      </c>
      <c r="F2346" t="s">
        <v>21</v>
      </c>
      <c r="G2346" t="s">
        <v>26</v>
      </c>
      <c r="H2346" t="s">
        <v>21</v>
      </c>
      <c r="I2346" t="s">
        <v>20</v>
      </c>
      <c r="J2346" t="s">
        <v>20</v>
      </c>
      <c r="K2346" t="s">
        <v>27</v>
      </c>
      <c r="L2346" t="s">
        <v>75</v>
      </c>
      <c r="M2346" t="s">
        <v>76</v>
      </c>
      <c r="N2346">
        <v>38.772272000000001</v>
      </c>
      <c r="O2346">
        <v>-112.07412100000001</v>
      </c>
      <c r="P2346">
        <v>5256.3250770000004</v>
      </c>
      <c r="Q2346">
        <v>1403</v>
      </c>
      <c r="R2346">
        <v>0</v>
      </c>
    </row>
    <row r="2347" spans="1:18" x14ac:dyDescent="0.25">
      <c r="A2347">
        <v>2346</v>
      </c>
      <c r="B2347">
        <v>94</v>
      </c>
      <c r="C2347">
        <v>1128781</v>
      </c>
      <c r="D2347" t="s">
        <v>171</v>
      </c>
      <c r="E2347">
        <v>15.249000000000001</v>
      </c>
      <c r="F2347" t="s">
        <v>21</v>
      </c>
      <c r="G2347" t="s">
        <v>26</v>
      </c>
      <c r="H2347" t="s">
        <v>21</v>
      </c>
      <c r="I2347" t="s">
        <v>20</v>
      </c>
      <c r="J2347" t="s">
        <v>20</v>
      </c>
      <c r="K2347" t="s">
        <v>31</v>
      </c>
      <c r="L2347" t="s">
        <v>188</v>
      </c>
      <c r="M2347" t="s">
        <v>79</v>
      </c>
      <c r="N2347">
        <v>40.699857999999999</v>
      </c>
      <c r="O2347">
        <v>-111.802465</v>
      </c>
      <c r="P2347">
        <v>4775.7521290000004</v>
      </c>
      <c r="Q2347">
        <v>346</v>
      </c>
      <c r="R2347">
        <v>0</v>
      </c>
    </row>
    <row r="2348" spans="1:18" x14ac:dyDescent="0.25">
      <c r="A2348">
        <v>2347</v>
      </c>
      <c r="B2348">
        <v>94</v>
      </c>
      <c r="C2348">
        <v>28151660</v>
      </c>
      <c r="D2348" t="s">
        <v>239</v>
      </c>
      <c r="E2348">
        <v>15.255000000000001</v>
      </c>
      <c r="F2348" t="s">
        <v>21</v>
      </c>
      <c r="G2348" t="s">
        <v>26</v>
      </c>
      <c r="H2348" t="s">
        <v>21</v>
      </c>
      <c r="I2348" t="s">
        <v>20</v>
      </c>
      <c r="J2348" t="s">
        <v>20</v>
      </c>
      <c r="K2348" t="s">
        <v>41</v>
      </c>
      <c r="L2348" t="s">
        <v>181</v>
      </c>
      <c r="M2348" t="s">
        <v>178</v>
      </c>
      <c r="N2348">
        <v>41.711244000000001</v>
      </c>
      <c r="O2348">
        <v>-112.185689</v>
      </c>
      <c r="P2348">
        <v>4272.6325820000002</v>
      </c>
      <c r="Q2348">
        <v>1392</v>
      </c>
      <c r="R2348">
        <v>0</v>
      </c>
    </row>
    <row r="2349" spans="1:18" x14ac:dyDescent="0.25">
      <c r="A2349">
        <v>2348</v>
      </c>
      <c r="B2349">
        <v>94</v>
      </c>
      <c r="C2349">
        <v>1533928</v>
      </c>
      <c r="D2349" t="s">
        <v>88</v>
      </c>
      <c r="E2349">
        <v>15.265000000000001</v>
      </c>
      <c r="F2349" t="s">
        <v>19</v>
      </c>
      <c r="G2349" t="s">
        <v>20</v>
      </c>
      <c r="H2349" t="s">
        <v>21</v>
      </c>
      <c r="I2349" t="s">
        <v>20</v>
      </c>
      <c r="J2349" t="s">
        <v>20</v>
      </c>
      <c r="K2349" t="s">
        <v>31</v>
      </c>
      <c r="L2349" t="s">
        <v>32</v>
      </c>
      <c r="M2349" t="s">
        <v>90</v>
      </c>
      <c r="N2349">
        <v>40.659444999999998</v>
      </c>
      <c r="O2349">
        <v>-111.865921</v>
      </c>
      <c r="P2349">
        <v>4281.5611200000003</v>
      </c>
      <c r="Q2349">
        <v>318</v>
      </c>
      <c r="R2349">
        <v>0</v>
      </c>
    </row>
    <row r="2350" spans="1:18" x14ac:dyDescent="0.25">
      <c r="A2350">
        <v>2349</v>
      </c>
      <c r="B2350">
        <v>94</v>
      </c>
      <c r="C2350">
        <v>31494070</v>
      </c>
      <c r="D2350" t="s">
        <v>353</v>
      </c>
      <c r="E2350">
        <v>15.286</v>
      </c>
      <c r="F2350" t="s">
        <v>21</v>
      </c>
      <c r="G2350" t="s">
        <v>26</v>
      </c>
      <c r="H2350" t="s">
        <v>21</v>
      </c>
      <c r="I2350" t="s">
        <v>20</v>
      </c>
      <c r="J2350" t="s">
        <v>20</v>
      </c>
      <c r="K2350" t="s">
        <v>41</v>
      </c>
      <c r="L2350" t="s">
        <v>137</v>
      </c>
      <c r="M2350" t="s">
        <v>138</v>
      </c>
      <c r="N2350">
        <v>40.875861</v>
      </c>
      <c r="O2350">
        <v>-111.580955</v>
      </c>
      <c r="P2350">
        <v>5687.0568229999999</v>
      </c>
      <c r="Q2350">
        <v>1367</v>
      </c>
      <c r="R2350">
        <v>0</v>
      </c>
    </row>
    <row r="2351" spans="1:18" x14ac:dyDescent="0.25">
      <c r="A2351">
        <v>2350</v>
      </c>
      <c r="B2351">
        <v>94</v>
      </c>
      <c r="C2351">
        <v>31710956</v>
      </c>
      <c r="D2351" t="s">
        <v>118</v>
      </c>
      <c r="E2351">
        <v>15.294</v>
      </c>
      <c r="F2351" t="s">
        <v>21</v>
      </c>
      <c r="G2351" t="s">
        <v>26</v>
      </c>
      <c r="H2351" t="s">
        <v>21</v>
      </c>
      <c r="I2351" t="s">
        <v>20</v>
      </c>
      <c r="J2351" t="s">
        <v>20</v>
      </c>
      <c r="K2351" t="s">
        <v>22</v>
      </c>
      <c r="L2351" t="s">
        <v>35</v>
      </c>
      <c r="M2351" t="s">
        <v>120</v>
      </c>
      <c r="N2351">
        <v>40.530963999999997</v>
      </c>
      <c r="O2351">
        <v>-111.409385</v>
      </c>
      <c r="P2351">
        <v>5571.0233459999999</v>
      </c>
      <c r="Q2351">
        <v>310</v>
      </c>
      <c r="R2351">
        <v>0</v>
      </c>
    </row>
    <row r="2352" spans="1:18" x14ac:dyDescent="0.25">
      <c r="A2352">
        <v>2351</v>
      </c>
      <c r="B2352">
        <v>94</v>
      </c>
      <c r="C2352">
        <v>31714096</v>
      </c>
      <c r="D2352" t="s">
        <v>118</v>
      </c>
      <c r="E2352">
        <v>17.097999999999999</v>
      </c>
      <c r="F2352" t="s">
        <v>21</v>
      </c>
      <c r="G2352" t="s">
        <v>26</v>
      </c>
      <c r="H2352" t="s">
        <v>21</v>
      </c>
      <c r="I2352" t="s">
        <v>20</v>
      </c>
      <c r="J2352" t="s">
        <v>20</v>
      </c>
      <c r="K2352" t="s">
        <v>22</v>
      </c>
      <c r="L2352" t="s">
        <v>35</v>
      </c>
      <c r="M2352" t="s">
        <v>120</v>
      </c>
      <c r="N2352">
        <v>40.505029</v>
      </c>
      <c r="O2352">
        <v>-111.41349599999999</v>
      </c>
      <c r="P2352">
        <v>5554.166459</v>
      </c>
      <c r="Q2352">
        <v>310</v>
      </c>
      <c r="R2352">
        <v>0</v>
      </c>
    </row>
    <row r="2353" spans="1:18" x14ac:dyDescent="0.25">
      <c r="A2353">
        <v>2352</v>
      </c>
      <c r="B2353">
        <v>94</v>
      </c>
      <c r="C2353">
        <v>31532669</v>
      </c>
      <c r="D2353" t="s">
        <v>121</v>
      </c>
      <c r="E2353">
        <v>17.100000000000001</v>
      </c>
      <c r="F2353" t="s">
        <v>21</v>
      </c>
      <c r="G2353" t="s">
        <v>26</v>
      </c>
      <c r="H2353" t="s">
        <v>21</v>
      </c>
      <c r="I2353" t="s">
        <v>20</v>
      </c>
      <c r="J2353" t="s">
        <v>20</v>
      </c>
      <c r="K2353" t="s">
        <v>27</v>
      </c>
      <c r="L2353" t="s">
        <v>122</v>
      </c>
      <c r="M2353" t="s">
        <v>123</v>
      </c>
      <c r="N2353">
        <v>37.809936</v>
      </c>
      <c r="O2353">
        <v>-110.630092</v>
      </c>
      <c r="P2353">
        <v>5123.8976060000005</v>
      </c>
      <c r="Q2353">
        <v>1283</v>
      </c>
      <c r="R2353">
        <v>0</v>
      </c>
    </row>
    <row r="2354" spans="1:18" x14ac:dyDescent="0.25">
      <c r="A2354">
        <v>2353</v>
      </c>
      <c r="B2354">
        <v>94</v>
      </c>
      <c r="C2354">
        <v>28154694</v>
      </c>
      <c r="D2354" t="s">
        <v>239</v>
      </c>
      <c r="E2354">
        <v>15.991</v>
      </c>
      <c r="F2354" t="s">
        <v>21</v>
      </c>
      <c r="G2354" t="s">
        <v>26</v>
      </c>
      <c r="H2354" t="s">
        <v>21</v>
      </c>
      <c r="I2354" t="s">
        <v>20</v>
      </c>
      <c r="J2354" t="s">
        <v>20</v>
      </c>
      <c r="K2354" t="s">
        <v>41</v>
      </c>
      <c r="L2354" t="s">
        <v>181</v>
      </c>
      <c r="M2354" t="s">
        <v>178</v>
      </c>
      <c r="N2354">
        <v>41.711616999999997</v>
      </c>
      <c r="O2354">
        <v>-112.171407</v>
      </c>
      <c r="P2354">
        <v>4269.6268499999996</v>
      </c>
      <c r="Q2354">
        <v>1392</v>
      </c>
      <c r="R2354">
        <v>0</v>
      </c>
    </row>
    <row r="2355" spans="1:18" x14ac:dyDescent="0.25">
      <c r="A2355">
        <v>2354</v>
      </c>
      <c r="B2355">
        <v>94</v>
      </c>
      <c r="C2355" t="e">
        <f>-IoLxDGpFCiQ3sx3_iJrGk</f>
        <v>#NAME?</v>
      </c>
      <c r="D2355" t="s">
        <v>304</v>
      </c>
      <c r="E2355">
        <v>15.993</v>
      </c>
      <c r="F2355" t="s">
        <v>21</v>
      </c>
      <c r="G2355" t="s">
        <v>26</v>
      </c>
      <c r="H2355" t="s">
        <v>21</v>
      </c>
      <c r="I2355" t="s">
        <v>20</v>
      </c>
      <c r="J2355" t="s">
        <v>20</v>
      </c>
      <c r="K2355" t="s">
        <v>41</v>
      </c>
      <c r="L2355" t="s">
        <v>223</v>
      </c>
      <c r="M2355" t="s">
        <v>43</v>
      </c>
      <c r="N2355">
        <v>41.743276999999999</v>
      </c>
      <c r="O2355">
        <v>-112.09889699999999</v>
      </c>
      <c r="P2355">
        <v>4403.8972240000003</v>
      </c>
      <c r="Q2355">
        <v>1348</v>
      </c>
      <c r="R2355">
        <v>0</v>
      </c>
    </row>
    <row r="2356" spans="1:18" x14ac:dyDescent="0.25">
      <c r="A2356">
        <v>2355</v>
      </c>
      <c r="B2356">
        <v>94</v>
      </c>
      <c r="C2356">
        <v>31587318</v>
      </c>
      <c r="D2356" t="s">
        <v>213</v>
      </c>
      <c r="E2356">
        <v>155.79400000000001</v>
      </c>
      <c r="F2356" t="s">
        <v>21</v>
      </c>
      <c r="G2356" t="s">
        <v>26</v>
      </c>
      <c r="H2356" t="s">
        <v>21</v>
      </c>
      <c r="I2356" t="s">
        <v>20</v>
      </c>
      <c r="J2356" t="s">
        <v>20</v>
      </c>
      <c r="K2356" t="s">
        <v>22</v>
      </c>
      <c r="L2356" t="s">
        <v>198</v>
      </c>
      <c r="M2356" t="s">
        <v>214</v>
      </c>
      <c r="N2356">
        <v>39.971021999999998</v>
      </c>
      <c r="O2356">
        <v>-111.852411</v>
      </c>
      <c r="P2356">
        <v>4478.5539140000001</v>
      </c>
      <c r="Q2356">
        <v>1332</v>
      </c>
      <c r="R2356">
        <v>0</v>
      </c>
    </row>
    <row r="2357" spans="1:18" x14ac:dyDescent="0.25">
      <c r="A2357">
        <v>2356</v>
      </c>
      <c r="B2357">
        <v>94</v>
      </c>
      <c r="C2357" t="e">
        <f>-JQyFeztHWHVWNMBieWZlk</f>
        <v>#NAME?</v>
      </c>
      <c r="D2357" t="s">
        <v>213</v>
      </c>
      <c r="E2357">
        <v>155.80099999999999</v>
      </c>
      <c r="F2357" t="s">
        <v>21</v>
      </c>
      <c r="G2357" t="s">
        <v>26</v>
      </c>
      <c r="H2357" t="s">
        <v>21</v>
      </c>
      <c r="I2357" t="s">
        <v>20</v>
      </c>
      <c r="J2357" t="s">
        <v>20</v>
      </c>
      <c r="K2357" t="s">
        <v>22</v>
      </c>
      <c r="L2357" t="s">
        <v>198</v>
      </c>
      <c r="M2357" t="s">
        <v>214</v>
      </c>
      <c r="N2357">
        <v>39.971116000000002</v>
      </c>
      <c r="O2357">
        <v>-111.85229099999999</v>
      </c>
      <c r="P2357">
        <v>4480.4410239999997</v>
      </c>
      <c r="Q2357">
        <v>1332</v>
      </c>
      <c r="R2357">
        <v>0</v>
      </c>
    </row>
    <row r="2358" spans="1:18" x14ac:dyDescent="0.25">
      <c r="A2358">
        <v>2357</v>
      </c>
      <c r="B2358">
        <v>94</v>
      </c>
      <c r="C2358">
        <v>31874739</v>
      </c>
      <c r="D2358" t="s">
        <v>118</v>
      </c>
      <c r="E2358">
        <v>170.988</v>
      </c>
      <c r="F2358" t="s">
        <v>21</v>
      </c>
      <c r="G2358" t="s">
        <v>504</v>
      </c>
      <c r="H2358" t="s">
        <v>21</v>
      </c>
      <c r="I2358" t="s">
        <v>20</v>
      </c>
      <c r="J2358" t="s">
        <v>20</v>
      </c>
      <c r="K2358" t="s">
        <v>22</v>
      </c>
      <c r="L2358" t="s">
        <v>234</v>
      </c>
      <c r="M2358" t="s">
        <v>169</v>
      </c>
      <c r="N2358">
        <v>40.284692999999997</v>
      </c>
      <c r="O2358">
        <v>-109.116895</v>
      </c>
      <c r="P2358">
        <v>5306.3366550000001</v>
      </c>
      <c r="Q2358">
        <v>310</v>
      </c>
      <c r="R2358">
        <v>0</v>
      </c>
    </row>
    <row r="2359" spans="1:18" x14ac:dyDescent="0.25">
      <c r="A2359">
        <v>2358</v>
      </c>
      <c r="B2359">
        <v>94</v>
      </c>
      <c r="C2359">
        <v>31874750</v>
      </c>
      <c r="D2359" t="s">
        <v>118</v>
      </c>
      <c r="E2359">
        <v>171.18799999999999</v>
      </c>
      <c r="F2359" t="s">
        <v>21</v>
      </c>
      <c r="G2359" t="s">
        <v>20</v>
      </c>
      <c r="H2359" t="s">
        <v>21</v>
      </c>
      <c r="I2359" t="s">
        <v>20</v>
      </c>
      <c r="J2359" t="s">
        <v>20</v>
      </c>
      <c r="K2359" t="s">
        <v>22</v>
      </c>
      <c r="L2359" t="s">
        <v>234</v>
      </c>
      <c r="M2359" t="s">
        <v>169</v>
      </c>
      <c r="N2359">
        <v>40.284334000000001</v>
      </c>
      <c r="O2359">
        <v>-109.113125</v>
      </c>
      <c r="P2359">
        <v>5308.7055220000002</v>
      </c>
      <c r="Q2359">
        <v>310</v>
      </c>
      <c r="R2359">
        <v>0</v>
      </c>
    </row>
    <row r="2360" spans="1:18" x14ac:dyDescent="0.25">
      <c r="A2360">
        <v>2359</v>
      </c>
      <c r="B2360">
        <v>94</v>
      </c>
      <c r="C2360" t="e">
        <f>-IoII9MhIsLy6gbZL2Ahik</f>
        <v>#NAME?</v>
      </c>
      <c r="D2360" t="s">
        <v>272</v>
      </c>
      <c r="E2360">
        <v>171.79599999999999</v>
      </c>
      <c r="F2360" t="s">
        <v>21</v>
      </c>
      <c r="G2360" t="s">
        <v>20</v>
      </c>
      <c r="H2360" t="s">
        <v>21</v>
      </c>
      <c r="I2360" t="s">
        <v>20</v>
      </c>
      <c r="J2360" t="s">
        <v>20</v>
      </c>
      <c r="K2360" t="s">
        <v>27</v>
      </c>
      <c r="L2360" t="s">
        <v>64</v>
      </c>
      <c r="M2360" t="s">
        <v>214</v>
      </c>
      <c r="N2360">
        <v>38.345126999999998</v>
      </c>
      <c r="O2360">
        <v>-112.218649</v>
      </c>
      <c r="P2360">
        <v>6240.4810390000002</v>
      </c>
      <c r="Q2360">
        <v>1384</v>
      </c>
      <c r="R2360">
        <v>0</v>
      </c>
    </row>
    <row r="2361" spans="1:18" x14ac:dyDescent="0.25">
      <c r="A2361">
        <v>2360</v>
      </c>
      <c r="B2361">
        <v>94</v>
      </c>
      <c r="C2361" t="s">
        <v>505</v>
      </c>
      <c r="D2361" t="s">
        <v>272</v>
      </c>
      <c r="E2361">
        <v>171.99600000000001</v>
      </c>
      <c r="F2361" t="s">
        <v>21</v>
      </c>
      <c r="G2361" t="s">
        <v>26</v>
      </c>
      <c r="H2361" t="s">
        <v>21</v>
      </c>
      <c r="I2361" t="s">
        <v>20</v>
      </c>
      <c r="J2361" t="s">
        <v>20</v>
      </c>
      <c r="K2361" t="s">
        <v>27</v>
      </c>
      <c r="L2361" t="s">
        <v>64</v>
      </c>
      <c r="M2361" t="s">
        <v>214</v>
      </c>
      <c r="N2361">
        <v>38.347966999999997</v>
      </c>
      <c r="O2361">
        <v>-112.21938900000001</v>
      </c>
      <c r="P2361">
        <v>6219.8577599999999</v>
      </c>
      <c r="Q2361">
        <v>1384</v>
      </c>
      <c r="R2361">
        <v>0</v>
      </c>
    </row>
    <row r="2362" spans="1:18" x14ac:dyDescent="0.25">
      <c r="A2362">
        <v>2361</v>
      </c>
      <c r="B2362">
        <v>94</v>
      </c>
      <c r="C2362" t="e">
        <f>-IoIJTwuHI5_aXzYZPmr2V</f>
        <v>#NAME?</v>
      </c>
      <c r="D2362" t="s">
        <v>272</v>
      </c>
      <c r="E2362">
        <v>173.39500000000001</v>
      </c>
      <c r="F2362" t="s">
        <v>21</v>
      </c>
      <c r="G2362" t="s">
        <v>26</v>
      </c>
      <c r="H2362" t="s">
        <v>21</v>
      </c>
      <c r="I2362" t="s">
        <v>20</v>
      </c>
      <c r="J2362" t="s">
        <v>20</v>
      </c>
      <c r="K2362" t="s">
        <v>27</v>
      </c>
      <c r="L2362" t="s">
        <v>64</v>
      </c>
      <c r="M2362" t="s">
        <v>214</v>
      </c>
      <c r="N2362">
        <v>38.367829</v>
      </c>
      <c r="O2362">
        <v>-112.224673</v>
      </c>
      <c r="P2362">
        <v>6141.1450510000004</v>
      </c>
      <c r="Q2362">
        <v>1384</v>
      </c>
      <c r="R2362">
        <v>0</v>
      </c>
    </row>
    <row r="2363" spans="1:18" x14ac:dyDescent="0.25">
      <c r="A2363">
        <v>2362</v>
      </c>
      <c r="B2363">
        <v>94</v>
      </c>
      <c r="C2363" t="s">
        <v>506</v>
      </c>
      <c r="D2363" t="s">
        <v>272</v>
      </c>
      <c r="E2363">
        <v>173.45</v>
      </c>
      <c r="F2363" t="s">
        <v>21</v>
      </c>
      <c r="G2363" t="s">
        <v>20</v>
      </c>
      <c r="H2363" t="s">
        <v>21</v>
      </c>
      <c r="I2363" t="s">
        <v>20</v>
      </c>
      <c r="J2363" t="s">
        <v>20</v>
      </c>
      <c r="K2363" t="s">
        <v>27</v>
      </c>
      <c r="L2363" t="s">
        <v>64</v>
      </c>
      <c r="M2363" t="s">
        <v>214</v>
      </c>
      <c r="N2363">
        <v>38.368602000000003</v>
      </c>
      <c r="O2363">
        <v>-112.22488300000001</v>
      </c>
      <c r="P2363">
        <v>6139.4700389999998</v>
      </c>
      <c r="Q2363">
        <v>1384</v>
      </c>
      <c r="R2363">
        <v>0</v>
      </c>
    </row>
    <row r="2364" spans="1:18" x14ac:dyDescent="0.25">
      <c r="A2364">
        <v>2363</v>
      </c>
      <c r="B2364">
        <v>94</v>
      </c>
      <c r="C2364">
        <v>31877562</v>
      </c>
      <c r="D2364" t="s">
        <v>118</v>
      </c>
      <c r="E2364">
        <v>173.56200000000001</v>
      </c>
      <c r="F2364" t="s">
        <v>21</v>
      </c>
      <c r="G2364" t="s">
        <v>20</v>
      </c>
      <c r="H2364" t="s">
        <v>21</v>
      </c>
      <c r="I2364" t="s">
        <v>20</v>
      </c>
      <c r="J2364" t="s">
        <v>20</v>
      </c>
      <c r="K2364" t="s">
        <v>22</v>
      </c>
      <c r="L2364" t="s">
        <v>234</v>
      </c>
      <c r="M2364" t="s">
        <v>169</v>
      </c>
      <c r="N2364">
        <v>40.280068</v>
      </c>
      <c r="O2364">
        <v>-109.068443</v>
      </c>
      <c r="P2364">
        <v>5531.5077419999998</v>
      </c>
      <c r="Q2364">
        <v>310</v>
      </c>
      <c r="R2364">
        <v>0</v>
      </c>
    </row>
    <row r="2365" spans="1:18" x14ac:dyDescent="0.25">
      <c r="A2365">
        <v>2364</v>
      </c>
      <c r="B2365">
        <v>94</v>
      </c>
      <c r="C2365">
        <v>31603701</v>
      </c>
      <c r="D2365" t="s">
        <v>213</v>
      </c>
      <c r="E2365">
        <v>173.71299999999999</v>
      </c>
      <c r="F2365" t="s">
        <v>19</v>
      </c>
      <c r="G2365" t="s">
        <v>20</v>
      </c>
      <c r="H2365" t="s">
        <v>21</v>
      </c>
      <c r="I2365" t="s">
        <v>20</v>
      </c>
      <c r="J2365" t="s">
        <v>20</v>
      </c>
      <c r="K2365" t="s">
        <v>22</v>
      </c>
      <c r="L2365" t="s">
        <v>140</v>
      </c>
      <c r="M2365" t="s">
        <v>159</v>
      </c>
      <c r="N2365">
        <v>40.123196999999998</v>
      </c>
      <c r="O2365">
        <v>-111.64364500000001</v>
      </c>
      <c r="P2365">
        <v>4509.3517730000003</v>
      </c>
      <c r="Q2365">
        <v>1332</v>
      </c>
      <c r="R2365">
        <v>0</v>
      </c>
    </row>
    <row r="2366" spans="1:18" x14ac:dyDescent="0.25">
      <c r="A2366">
        <v>2365</v>
      </c>
      <c r="B2366">
        <v>94</v>
      </c>
      <c r="C2366">
        <v>31605548</v>
      </c>
      <c r="D2366" t="s">
        <v>213</v>
      </c>
      <c r="E2366">
        <v>173.983</v>
      </c>
      <c r="F2366" t="s">
        <v>19</v>
      </c>
      <c r="G2366" t="s">
        <v>20</v>
      </c>
      <c r="H2366" t="s">
        <v>21</v>
      </c>
      <c r="I2366" t="s">
        <v>20</v>
      </c>
      <c r="J2366" t="s">
        <v>20</v>
      </c>
      <c r="K2366" t="s">
        <v>22</v>
      </c>
      <c r="L2366" t="s">
        <v>140</v>
      </c>
      <c r="M2366" t="s">
        <v>159</v>
      </c>
      <c r="N2366">
        <v>40.120418000000001</v>
      </c>
      <c r="O2366">
        <v>-111.640056</v>
      </c>
      <c r="P2366">
        <v>4529.7936390000004</v>
      </c>
      <c r="Q2366">
        <v>1332</v>
      </c>
      <c r="R2366">
        <v>0</v>
      </c>
    </row>
    <row r="2367" spans="1:18" x14ac:dyDescent="0.25">
      <c r="A2367">
        <v>2366</v>
      </c>
      <c r="B2367">
        <v>94</v>
      </c>
      <c r="C2367" t="e">
        <f>-IoIKDZ0F9Dk3D-zorBHYF</f>
        <v>#NAME?</v>
      </c>
      <c r="D2367" t="s">
        <v>272</v>
      </c>
      <c r="E2367">
        <v>174.36699999999999</v>
      </c>
      <c r="F2367" t="s">
        <v>21</v>
      </c>
      <c r="G2367" t="s">
        <v>26</v>
      </c>
      <c r="H2367" t="s">
        <v>21</v>
      </c>
      <c r="I2367" t="s">
        <v>20</v>
      </c>
      <c r="J2367" t="s">
        <v>20</v>
      </c>
      <c r="K2367" t="s">
        <v>27</v>
      </c>
      <c r="L2367" t="s">
        <v>64</v>
      </c>
      <c r="M2367" t="s">
        <v>214</v>
      </c>
      <c r="N2367">
        <v>38.381627000000002</v>
      </c>
      <c r="O2367">
        <v>-112.228351</v>
      </c>
      <c r="P2367">
        <v>6174.0785930000002</v>
      </c>
      <c r="Q2367">
        <v>1384</v>
      </c>
      <c r="R2367">
        <v>0</v>
      </c>
    </row>
    <row r="2368" spans="1:18" x14ac:dyDescent="0.25">
      <c r="A2368">
        <v>2367</v>
      </c>
      <c r="B2368">
        <v>94</v>
      </c>
      <c r="C2368">
        <v>31609395</v>
      </c>
      <c r="D2368" t="s">
        <v>213</v>
      </c>
      <c r="E2368">
        <v>174.84899999999999</v>
      </c>
      <c r="F2368" t="s">
        <v>19</v>
      </c>
      <c r="G2368" t="s">
        <v>20</v>
      </c>
      <c r="H2368" t="s">
        <v>21</v>
      </c>
      <c r="I2368" t="s">
        <v>20</v>
      </c>
      <c r="J2368" t="s">
        <v>20</v>
      </c>
      <c r="K2368" t="s">
        <v>22</v>
      </c>
      <c r="L2368" t="s">
        <v>140</v>
      </c>
      <c r="M2368" t="s">
        <v>159</v>
      </c>
      <c r="N2368">
        <v>40.109704000000001</v>
      </c>
      <c r="O2368">
        <v>-111.63175099999999</v>
      </c>
      <c r="P2368">
        <v>4665.6880890000002</v>
      </c>
      <c r="Q2368">
        <v>1332</v>
      </c>
      <c r="R2368">
        <v>0</v>
      </c>
    </row>
    <row r="2369" spans="1:18" x14ac:dyDescent="0.25">
      <c r="A2369">
        <v>2368</v>
      </c>
      <c r="B2369">
        <v>94</v>
      </c>
      <c r="C2369" t="e">
        <f>-IoILlY6G-H8WMRWmlLbkk</f>
        <v>#NAME?</v>
      </c>
      <c r="D2369" t="s">
        <v>272</v>
      </c>
      <c r="E2369">
        <v>175.55</v>
      </c>
      <c r="F2369" t="s">
        <v>21</v>
      </c>
      <c r="G2369" t="s">
        <v>26</v>
      </c>
      <c r="H2369" t="s">
        <v>21</v>
      </c>
      <c r="I2369" t="s">
        <v>20</v>
      </c>
      <c r="J2369" t="s">
        <v>20</v>
      </c>
      <c r="K2369" t="s">
        <v>27</v>
      </c>
      <c r="L2369" t="s">
        <v>64</v>
      </c>
      <c r="M2369" t="s">
        <v>214</v>
      </c>
      <c r="N2369">
        <v>38.398605000000003</v>
      </c>
      <c r="O2369">
        <v>-112.23109700000001</v>
      </c>
      <c r="P2369">
        <v>6040.1265270000004</v>
      </c>
      <c r="Q2369">
        <v>1384</v>
      </c>
      <c r="R2369">
        <v>0</v>
      </c>
    </row>
    <row r="2370" spans="1:18" x14ac:dyDescent="0.25">
      <c r="A2370">
        <v>2369</v>
      </c>
      <c r="B2370">
        <v>94</v>
      </c>
      <c r="C2370" t="e">
        <f>-IoILy4iGhe6yWpHuRjOkV</f>
        <v>#NAME?</v>
      </c>
      <c r="D2370" t="s">
        <v>272</v>
      </c>
      <c r="E2370">
        <v>175.744</v>
      </c>
      <c r="F2370" t="s">
        <v>21</v>
      </c>
      <c r="G2370" t="s">
        <v>26</v>
      </c>
      <c r="H2370" t="s">
        <v>21</v>
      </c>
      <c r="I2370" t="s">
        <v>20</v>
      </c>
      <c r="J2370" t="s">
        <v>20</v>
      </c>
      <c r="K2370" t="s">
        <v>27</v>
      </c>
      <c r="L2370" t="s">
        <v>64</v>
      </c>
      <c r="M2370" t="s">
        <v>214</v>
      </c>
      <c r="N2370">
        <v>38.401432</v>
      </c>
      <c r="O2370">
        <v>-112.23115</v>
      </c>
      <c r="P2370">
        <v>6012.5946009999998</v>
      </c>
      <c r="Q2370">
        <v>1384</v>
      </c>
      <c r="R2370">
        <v>0</v>
      </c>
    </row>
    <row r="2371" spans="1:18" x14ac:dyDescent="0.25">
      <c r="A2371">
        <v>2370</v>
      </c>
      <c r="B2371">
        <v>94</v>
      </c>
      <c r="C2371">
        <v>31744304</v>
      </c>
      <c r="D2371" t="s">
        <v>336</v>
      </c>
      <c r="E2371">
        <v>16.184999999999999</v>
      </c>
      <c r="F2371" t="s">
        <v>21</v>
      </c>
      <c r="G2371" t="s">
        <v>20</v>
      </c>
      <c r="H2371" t="s">
        <v>21</v>
      </c>
      <c r="I2371" t="s">
        <v>20</v>
      </c>
      <c r="J2371" t="s">
        <v>20</v>
      </c>
      <c r="K2371" t="s">
        <v>31</v>
      </c>
      <c r="L2371" t="s">
        <v>32</v>
      </c>
      <c r="M2371" t="s">
        <v>33</v>
      </c>
      <c r="N2371">
        <v>40.602701000000003</v>
      </c>
      <c r="O2371">
        <v>-111.584447</v>
      </c>
      <c r="P2371">
        <v>8678.2415839999994</v>
      </c>
      <c r="Q2371">
        <v>404</v>
      </c>
      <c r="R2371">
        <v>0</v>
      </c>
    </row>
    <row r="2372" spans="1:18" x14ac:dyDescent="0.25">
      <c r="A2372">
        <v>2371</v>
      </c>
      <c r="B2372">
        <v>94</v>
      </c>
      <c r="C2372">
        <v>28156238</v>
      </c>
      <c r="D2372" t="s">
        <v>239</v>
      </c>
      <c r="E2372">
        <v>16.190999999999999</v>
      </c>
      <c r="F2372" t="s">
        <v>21</v>
      </c>
      <c r="G2372" t="s">
        <v>26</v>
      </c>
      <c r="H2372" t="s">
        <v>21</v>
      </c>
      <c r="I2372" t="s">
        <v>20</v>
      </c>
      <c r="J2372" t="s">
        <v>20</v>
      </c>
      <c r="K2372" t="s">
        <v>41</v>
      </c>
      <c r="L2372" t="s">
        <v>181</v>
      </c>
      <c r="M2372" t="s">
        <v>178</v>
      </c>
      <c r="N2372">
        <v>41.711731999999998</v>
      </c>
      <c r="O2372">
        <v>-112.167531</v>
      </c>
      <c r="P2372">
        <v>4268.7970109999997</v>
      </c>
      <c r="Q2372">
        <v>1392</v>
      </c>
      <c r="R2372">
        <v>0</v>
      </c>
    </row>
    <row r="2373" spans="1:18" x14ac:dyDescent="0.25">
      <c r="A2373">
        <v>2372</v>
      </c>
      <c r="B2373">
        <v>94</v>
      </c>
      <c r="C2373">
        <v>27703201</v>
      </c>
      <c r="D2373" t="s">
        <v>217</v>
      </c>
      <c r="E2373">
        <v>16.204999999999998</v>
      </c>
      <c r="F2373" t="s">
        <v>21</v>
      </c>
      <c r="G2373" t="s">
        <v>20</v>
      </c>
      <c r="H2373" t="s">
        <v>21</v>
      </c>
      <c r="I2373" t="s">
        <v>20</v>
      </c>
      <c r="J2373" t="s">
        <v>20</v>
      </c>
      <c r="K2373" t="s">
        <v>27</v>
      </c>
      <c r="L2373" t="s">
        <v>162</v>
      </c>
      <c r="M2373" t="s">
        <v>163</v>
      </c>
      <c r="N2373">
        <v>37.291170000000001</v>
      </c>
      <c r="O2373">
        <v>-113.660377</v>
      </c>
      <c r="P2373">
        <v>4604.7752</v>
      </c>
      <c r="Q2373">
        <v>304</v>
      </c>
      <c r="R2373">
        <v>0</v>
      </c>
    </row>
    <row r="2374" spans="1:18" x14ac:dyDescent="0.25">
      <c r="A2374">
        <v>2373</v>
      </c>
      <c r="B2374">
        <v>94</v>
      </c>
      <c r="C2374">
        <v>2614788</v>
      </c>
      <c r="D2374" t="s">
        <v>176</v>
      </c>
      <c r="E2374">
        <v>16.228000000000002</v>
      </c>
      <c r="F2374" t="s">
        <v>21</v>
      </c>
      <c r="G2374" t="s">
        <v>26</v>
      </c>
      <c r="H2374" t="s">
        <v>21</v>
      </c>
      <c r="I2374" t="s">
        <v>20</v>
      </c>
      <c r="J2374" t="s">
        <v>20</v>
      </c>
      <c r="K2374" t="s">
        <v>41</v>
      </c>
      <c r="L2374" t="s">
        <v>181</v>
      </c>
      <c r="M2374" t="s">
        <v>178</v>
      </c>
      <c r="N2374">
        <v>41.654953999999996</v>
      </c>
      <c r="O2374">
        <v>-112.14033999999999</v>
      </c>
      <c r="P2374">
        <v>4221.3573930000002</v>
      </c>
      <c r="Q2374">
        <v>1329</v>
      </c>
      <c r="R2374">
        <v>0</v>
      </c>
    </row>
    <row r="2375" spans="1:18" x14ac:dyDescent="0.25">
      <c r="A2375">
        <v>2374</v>
      </c>
      <c r="B2375">
        <v>94</v>
      </c>
      <c r="C2375">
        <v>31588969</v>
      </c>
      <c r="D2375" t="s">
        <v>271</v>
      </c>
      <c r="E2375">
        <v>16.254999999999999</v>
      </c>
      <c r="F2375" t="s">
        <v>21</v>
      </c>
      <c r="G2375" t="s">
        <v>20</v>
      </c>
      <c r="H2375" t="s">
        <v>21</v>
      </c>
      <c r="I2375" t="s">
        <v>20</v>
      </c>
      <c r="J2375" t="s">
        <v>20</v>
      </c>
      <c r="K2375" t="s">
        <v>22</v>
      </c>
      <c r="L2375" t="s">
        <v>263</v>
      </c>
      <c r="M2375" t="s">
        <v>24</v>
      </c>
      <c r="N2375">
        <v>40.233904000000003</v>
      </c>
      <c r="O2375">
        <v>-112.170599</v>
      </c>
      <c r="P2375">
        <v>5222.5443260000002</v>
      </c>
      <c r="Q2375">
        <v>1372</v>
      </c>
      <c r="R2375">
        <v>0</v>
      </c>
    </row>
    <row r="2376" spans="1:18" x14ac:dyDescent="0.25">
      <c r="A2376">
        <v>2375</v>
      </c>
      <c r="B2376">
        <v>94</v>
      </c>
      <c r="C2376">
        <v>31461395</v>
      </c>
      <c r="D2376" t="s">
        <v>91</v>
      </c>
      <c r="E2376">
        <v>16.263999999999999</v>
      </c>
      <c r="F2376" t="s">
        <v>21</v>
      </c>
      <c r="G2376" t="s">
        <v>26</v>
      </c>
      <c r="H2376" t="s">
        <v>21</v>
      </c>
      <c r="I2376" t="s">
        <v>20</v>
      </c>
      <c r="J2376" t="s">
        <v>20</v>
      </c>
      <c r="K2376" t="s">
        <v>41</v>
      </c>
      <c r="L2376" t="s">
        <v>42</v>
      </c>
      <c r="M2376" t="s">
        <v>73</v>
      </c>
      <c r="N2376">
        <v>41.837155000000003</v>
      </c>
      <c r="O2376">
        <v>-112.006108</v>
      </c>
      <c r="P2376">
        <v>4418.8895089999996</v>
      </c>
      <c r="Q2376">
        <v>1339</v>
      </c>
      <c r="R2376">
        <v>0</v>
      </c>
    </row>
    <row r="2377" spans="1:18" x14ac:dyDescent="0.25">
      <c r="A2377">
        <v>2376</v>
      </c>
      <c r="B2377">
        <v>94</v>
      </c>
      <c r="C2377">
        <v>31754223</v>
      </c>
      <c r="D2377" t="s">
        <v>231</v>
      </c>
      <c r="E2377">
        <v>18.468</v>
      </c>
      <c r="F2377" t="s">
        <v>21</v>
      </c>
      <c r="G2377" t="s">
        <v>26</v>
      </c>
      <c r="H2377" t="s">
        <v>21</v>
      </c>
      <c r="I2377" t="s">
        <v>20</v>
      </c>
      <c r="J2377" t="s">
        <v>20</v>
      </c>
      <c r="K2377" t="s">
        <v>41</v>
      </c>
      <c r="L2377" t="s">
        <v>57</v>
      </c>
      <c r="M2377" t="s">
        <v>93</v>
      </c>
      <c r="N2377">
        <v>41.302978000000003</v>
      </c>
      <c r="O2377">
        <v>-112.02769600000001</v>
      </c>
      <c r="P2377">
        <v>4213.514236</v>
      </c>
      <c r="Q2377">
        <v>1409</v>
      </c>
      <c r="R2377">
        <v>0</v>
      </c>
    </row>
    <row r="2378" spans="1:18" x14ac:dyDescent="0.25">
      <c r="A2378">
        <v>2377</v>
      </c>
      <c r="B2378">
        <v>94</v>
      </c>
      <c r="C2378">
        <v>31847745</v>
      </c>
      <c r="D2378" t="s">
        <v>118</v>
      </c>
      <c r="E2378">
        <v>146.398</v>
      </c>
      <c r="F2378" t="s">
        <v>21</v>
      </c>
      <c r="G2378" t="s">
        <v>26</v>
      </c>
      <c r="H2378" t="s">
        <v>21</v>
      </c>
      <c r="I2378" t="s">
        <v>20</v>
      </c>
      <c r="J2378" t="s">
        <v>20</v>
      </c>
      <c r="K2378" t="s">
        <v>22</v>
      </c>
      <c r="L2378" t="s">
        <v>234</v>
      </c>
      <c r="M2378" t="s">
        <v>169</v>
      </c>
      <c r="N2378">
        <v>40.441383000000002</v>
      </c>
      <c r="O2378">
        <v>-109.499706</v>
      </c>
      <c r="P2378">
        <v>5171.6757989999996</v>
      </c>
      <c r="Q2378">
        <v>310</v>
      </c>
      <c r="R2378">
        <v>0</v>
      </c>
    </row>
    <row r="2379" spans="1:18" x14ac:dyDescent="0.25">
      <c r="A2379">
        <v>2378</v>
      </c>
      <c r="B2379">
        <v>94</v>
      </c>
      <c r="C2379">
        <v>31582368</v>
      </c>
      <c r="D2379" t="s">
        <v>213</v>
      </c>
      <c r="E2379">
        <v>146.46700000000001</v>
      </c>
      <c r="F2379" t="s">
        <v>21</v>
      </c>
      <c r="G2379" t="s">
        <v>26</v>
      </c>
      <c r="H2379" t="s">
        <v>21</v>
      </c>
      <c r="I2379" t="s">
        <v>20</v>
      </c>
      <c r="J2379" t="s">
        <v>20</v>
      </c>
      <c r="K2379" t="s">
        <v>22</v>
      </c>
      <c r="L2379" t="s">
        <v>193</v>
      </c>
      <c r="M2379" t="s">
        <v>214</v>
      </c>
      <c r="N2379">
        <v>39.950532000000003</v>
      </c>
      <c r="O2379">
        <v>-112.02082</v>
      </c>
      <c r="P2379">
        <v>5232.088444</v>
      </c>
      <c r="Q2379">
        <v>1332</v>
      </c>
      <c r="R2379">
        <v>0</v>
      </c>
    </row>
    <row r="2380" spans="1:18" x14ac:dyDescent="0.25">
      <c r="A2380">
        <v>2379</v>
      </c>
      <c r="B2380">
        <v>94</v>
      </c>
      <c r="C2380">
        <v>31848556</v>
      </c>
      <c r="D2380" t="s">
        <v>118</v>
      </c>
      <c r="E2380">
        <v>146.51</v>
      </c>
      <c r="F2380" t="s">
        <v>21</v>
      </c>
      <c r="G2380" t="s">
        <v>26</v>
      </c>
      <c r="H2380" t="s">
        <v>21</v>
      </c>
      <c r="I2380" t="s">
        <v>20</v>
      </c>
      <c r="J2380" t="s">
        <v>20</v>
      </c>
      <c r="K2380" t="s">
        <v>22</v>
      </c>
      <c r="L2380" t="s">
        <v>234</v>
      </c>
      <c r="M2380" t="s">
        <v>169</v>
      </c>
      <c r="N2380">
        <v>40.439748000000002</v>
      </c>
      <c r="O2380">
        <v>-109.499664</v>
      </c>
      <c r="P2380">
        <v>5167.4020710000004</v>
      </c>
      <c r="Q2380">
        <v>310</v>
      </c>
      <c r="R2380">
        <v>0</v>
      </c>
    </row>
    <row r="2381" spans="1:18" x14ac:dyDescent="0.25">
      <c r="A2381">
        <v>2380</v>
      </c>
      <c r="B2381">
        <v>94</v>
      </c>
      <c r="C2381">
        <v>31848567</v>
      </c>
      <c r="D2381" t="s">
        <v>118</v>
      </c>
      <c r="E2381">
        <v>146.70699999999999</v>
      </c>
      <c r="F2381" t="s">
        <v>21</v>
      </c>
      <c r="G2381" t="s">
        <v>26</v>
      </c>
      <c r="H2381" t="s">
        <v>21</v>
      </c>
      <c r="I2381" t="s">
        <v>20</v>
      </c>
      <c r="J2381" t="s">
        <v>20</v>
      </c>
      <c r="K2381" t="s">
        <v>22</v>
      </c>
      <c r="L2381" t="s">
        <v>234</v>
      </c>
      <c r="M2381" t="s">
        <v>169</v>
      </c>
      <c r="N2381">
        <v>40.436881999999997</v>
      </c>
      <c r="O2381">
        <v>-109.49959699999999</v>
      </c>
      <c r="P2381">
        <v>5166.768634</v>
      </c>
      <c r="Q2381">
        <v>310</v>
      </c>
      <c r="R2381">
        <v>0</v>
      </c>
    </row>
    <row r="2382" spans="1:18" x14ac:dyDescent="0.25">
      <c r="A2382">
        <v>2381</v>
      </c>
      <c r="B2382">
        <v>94</v>
      </c>
      <c r="C2382">
        <v>31445211</v>
      </c>
      <c r="D2382" t="s">
        <v>288</v>
      </c>
      <c r="E2382">
        <v>120.949</v>
      </c>
      <c r="F2382" t="s">
        <v>21</v>
      </c>
      <c r="G2382" t="s">
        <v>26</v>
      </c>
      <c r="H2382" t="s">
        <v>21</v>
      </c>
      <c r="I2382" t="s">
        <v>20</v>
      </c>
      <c r="J2382" t="s">
        <v>20</v>
      </c>
      <c r="K2382" t="s">
        <v>27</v>
      </c>
      <c r="L2382" t="s">
        <v>38</v>
      </c>
      <c r="M2382" t="s">
        <v>152</v>
      </c>
      <c r="N2382">
        <v>38.522233</v>
      </c>
      <c r="O2382">
        <v>-109.497384</v>
      </c>
      <c r="P2382">
        <v>4550.2382799999996</v>
      </c>
      <c r="Q2382">
        <v>350</v>
      </c>
      <c r="R2382">
        <v>0</v>
      </c>
    </row>
    <row r="2383" spans="1:18" x14ac:dyDescent="0.25">
      <c r="A2383">
        <v>2382</v>
      </c>
      <c r="B2383">
        <v>94</v>
      </c>
      <c r="C2383">
        <v>31445222</v>
      </c>
      <c r="D2383" t="s">
        <v>288</v>
      </c>
      <c r="E2383">
        <v>121.116</v>
      </c>
      <c r="F2383" t="s">
        <v>21</v>
      </c>
      <c r="G2383" t="s">
        <v>26</v>
      </c>
      <c r="H2383" t="s">
        <v>21</v>
      </c>
      <c r="I2383" t="s">
        <v>20</v>
      </c>
      <c r="J2383" t="s">
        <v>20</v>
      </c>
      <c r="K2383" t="s">
        <v>27</v>
      </c>
      <c r="L2383" t="s">
        <v>38</v>
      </c>
      <c r="M2383" t="s">
        <v>152</v>
      </c>
      <c r="N2383">
        <v>38.524152999999998</v>
      </c>
      <c r="O2383">
        <v>-109.499285</v>
      </c>
      <c r="P2383">
        <v>4531.7141540000002</v>
      </c>
      <c r="Q2383">
        <v>350</v>
      </c>
      <c r="R2383">
        <v>0</v>
      </c>
    </row>
    <row r="2384" spans="1:18" x14ac:dyDescent="0.25">
      <c r="A2384">
        <v>2383</v>
      </c>
      <c r="B2384">
        <v>94</v>
      </c>
      <c r="C2384">
        <v>31821519</v>
      </c>
      <c r="D2384" t="s">
        <v>118</v>
      </c>
      <c r="E2384">
        <v>121.15600000000001</v>
      </c>
      <c r="F2384" t="s">
        <v>21</v>
      </c>
      <c r="G2384" t="s">
        <v>26</v>
      </c>
      <c r="H2384" t="s">
        <v>21</v>
      </c>
      <c r="I2384" t="s">
        <v>20</v>
      </c>
      <c r="J2384" t="s">
        <v>20</v>
      </c>
      <c r="K2384" t="s">
        <v>22</v>
      </c>
      <c r="L2384" t="s">
        <v>133</v>
      </c>
      <c r="M2384" t="s">
        <v>169</v>
      </c>
      <c r="N2384">
        <v>40.301876999999998</v>
      </c>
      <c r="O2384">
        <v>-109.863952</v>
      </c>
      <c r="P2384">
        <v>4995.2868680000001</v>
      </c>
      <c r="Q2384">
        <v>310</v>
      </c>
      <c r="R2384">
        <v>0</v>
      </c>
    </row>
    <row r="2385" spans="1:18" x14ac:dyDescent="0.25">
      <c r="A2385">
        <v>2384</v>
      </c>
      <c r="B2385">
        <v>94</v>
      </c>
      <c r="C2385">
        <v>31526438</v>
      </c>
      <c r="D2385" t="s">
        <v>390</v>
      </c>
      <c r="E2385">
        <v>12.667</v>
      </c>
      <c r="F2385" t="s">
        <v>21</v>
      </c>
      <c r="G2385" t="s">
        <v>26</v>
      </c>
      <c r="H2385" t="s">
        <v>19</v>
      </c>
      <c r="I2385">
        <v>144</v>
      </c>
      <c r="J2385" t="s">
        <v>20</v>
      </c>
      <c r="K2385" t="s">
        <v>22</v>
      </c>
      <c r="L2385" t="s">
        <v>60</v>
      </c>
      <c r="M2385" t="s">
        <v>335</v>
      </c>
      <c r="N2385">
        <v>40.453696000000001</v>
      </c>
      <c r="O2385">
        <v>-111.66224</v>
      </c>
      <c r="P2385">
        <v>6023.9421629999997</v>
      </c>
      <c r="Q2385">
        <v>1386</v>
      </c>
      <c r="R2385">
        <v>0</v>
      </c>
    </row>
    <row r="2386" spans="1:18" x14ac:dyDescent="0.25">
      <c r="A2386">
        <v>2385</v>
      </c>
      <c r="B2386">
        <v>94</v>
      </c>
      <c r="C2386">
        <v>31195511</v>
      </c>
      <c r="D2386" t="s">
        <v>309</v>
      </c>
      <c r="E2386">
        <v>12.667999999999999</v>
      </c>
      <c r="F2386" t="s">
        <v>21</v>
      </c>
      <c r="G2386" t="s">
        <v>26</v>
      </c>
      <c r="H2386" t="s">
        <v>21</v>
      </c>
      <c r="I2386" t="s">
        <v>20</v>
      </c>
      <c r="J2386" t="s">
        <v>20</v>
      </c>
      <c r="K2386" t="s">
        <v>22</v>
      </c>
      <c r="L2386" t="s">
        <v>140</v>
      </c>
      <c r="M2386" t="s">
        <v>125</v>
      </c>
      <c r="N2386">
        <v>40.114973999999997</v>
      </c>
      <c r="O2386">
        <v>-111.644441</v>
      </c>
      <c r="P2386">
        <v>4548.3558780000003</v>
      </c>
      <c r="Q2386">
        <v>339</v>
      </c>
      <c r="R2386">
        <v>0</v>
      </c>
    </row>
    <row r="2387" spans="1:18" x14ac:dyDescent="0.25">
      <c r="A2387">
        <v>2386</v>
      </c>
      <c r="B2387">
        <v>94</v>
      </c>
      <c r="C2387">
        <v>1393728</v>
      </c>
      <c r="D2387" t="s">
        <v>100</v>
      </c>
      <c r="E2387">
        <v>12.673</v>
      </c>
      <c r="F2387" t="s">
        <v>21</v>
      </c>
      <c r="G2387" t="s">
        <v>26</v>
      </c>
      <c r="H2387" t="s">
        <v>21</v>
      </c>
      <c r="I2387" t="s">
        <v>20</v>
      </c>
      <c r="J2387" t="s">
        <v>20</v>
      </c>
      <c r="K2387" t="s">
        <v>41</v>
      </c>
      <c r="L2387" t="s">
        <v>57</v>
      </c>
      <c r="M2387" t="s">
        <v>46</v>
      </c>
      <c r="N2387">
        <v>41.204462999999997</v>
      </c>
      <c r="O2387">
        <v>-112.03038599999999</v>
      </c>
      <c r="P2387">
        <v>4260.526965</v>
      </c>
      <c r="Q2387">
        <v>1396</v>
      </c>
      <c r="R2387">
        <v>0</v>
      </c>
    </row>
    <row r="2388" spans="1:18" x14ac:dyDescent="0.25">
      <c r="A2388">
        <v>2387</v>
      </c>
      <c r="B2388">
        <v>94</v>
      </c>
      <c r="C2388">
        <v>31279640</v>
      </c>
      <c r="D2388" t="s">
        <v>288</v>
      </c>
      <c r="E2388">
        <v>13.083</v>
      </c>
      <c r="F2388" t="s">
        <v>21</v>
      </c>
      <c r="G2388" t="s">
        <v>20</v>
      </c>
      <c r="H2388" t="s">
        <v>21</v>
      </c>
      <c r="I2388" t="s">
        <v>20</v>
      </c>
      <c r="J2388" t="s">
        <v>20</v>
      </c>
      <c r="K2388" t="s">
        <v>27</v>
      </c>
      <c r="L2388" t="s">
        <v>211</v>
      </c>
      <c r="M2388" t="s">
        <v>318</v>
      </c>
      <c r="N2388">
        <v>37.163037000000003</v>
      </c>
      <c r="O2388">
        <v>-109.574861</v>
      </c>
      <c r="P2388">
        <v>4554.5370999999996</v>
      </c>
      <c r="Q2388">
        <v>350</v>
      </c>
      <c r="R2388">
        <v>0</v>
      </c>
    </row>
    <row r="2389" spans="1:18" x14ac:dyDescent="0.25">
      <c r="A2389">
        <v>2388</v>
      </c>
      <c r="B2389">
        <v>94</v>
      </c>
      <c r="C2389">
        <v>1115319</v>
      </c>
      <c r="D2389" t="s">
        <v>171</v>
      </c>
      <c r="E2389">
        <v>13.084</v>
      </c>
      <c r="F2389" t="s">
        <v>21</v>
      </c>
      <c r="G2389" t="s">
        <v>26</v>
      </c>
      <c r="H2389" t="s">
        <v>21</v>
      </c>
      <c r="I2389" t="s">
        <v>20</v>
      </c>
      <c r="J2389" t="s">
        <v>20</v>
      </c>
      <c r="K2389" t="s">
        <v>31</v>
      </c>
      <c r="L2389" t="s">
        <v>188</v>
      </c>
      <c r="M2389" t="s">
        <v>79</v>
      </c>
      <c r="N2389">
        <v>40.699961999999999</v>
      </c>
      <c r="O2389">
        <v>-111.843557</v>
      </c>
      <c r="P2389">
        <v>4414.9611580000001</v>
      </c>
      <c r="Q2389">
        <v>346</v>
      </c>
      <c r="R2389">
        <v>0</v>
      </c>
    </row>
    <row r="2390" spans="1:18" x14ac:dyDescent="0.25">
      <c r="A2390">
        <v>2389</v>
      </c>
      <c r="B2390">
        <v>94</v>
      </c>
      <c r="C2390">
        <v>31286303</v>
      </c>
      <c r="D2390" t="s">
        <v>126</v>
      </c>
      <c r="E2390">
        <v>13.093</v>
      </c>
      <c r="F2390" t="s">
        <v>19</v>
      </c>
      <c r="G2390" t="s">
        <v>20</v>
      </c>
      <c r="H2390" t="s">
        <v>21</v>
      </c>
      <c r="I2390" t="s">
        <v>20</v>
      </c>
      <c r="J2390" t="s">
        <v>20</v>
      </c>
      <c r="K2390" t="s">
        <v>41</v>
      </c>
      <c r="L2390" t="s">
        <v>81</v>
      </c>
      <c r="M2390" t="s">
        <v>93</v>
      </c>
      <c r="N2390">
        <v>41.306260000000002</v>
      </c>
      <c r="O2390">
        <v>-111.992086</v>
      </c>
      <c r="P2390">
        <v>4263.229507</v>
      </c>
      <c r="Q2390">
        <v>1412</v>
      </c>
      <c r="R2390">
        <v>0</v>
      </c>
    </row>
    <row r="2391" spans="1:18" x14ac:dyDescent="0.25">
      <c r="A2391">
        <v>2390</v>
      </c>
      <c r="B2391">
        <v>94</v>
      </c>
      <c r="C2391">
        <v>1529515</v>
      </c>
      <c r="D2391" t="s">
        <v>88</v>
      </c>
      <c r="E2391">
        <v>13.101000000000001</v>
      </c>
      <c r="F2391" t="s">
        <v>21</v>
      </c>
      <c r="G2391" t="s">
        <v>26</v>
      </c>
      <c r="H2391" t="s">
        <v>21</v>
      </c>
      <c r="I2391" t="s">
        <v>20</v>
      </c>
      <c r="J2391" t="s">
        <v>20</v>
      </c>
      <c r="K2391" t="s">
        <v>31</v>
      </c>
      <c r="L2391" t="s">
        <v>32</v>
      </c>
      <c r="M2391" t="s">
        <v>90</v>
      </c>
      <c r="N2391">
        <v>40.628081999999999</v>
      </c>
      <c r="O2391">
        <v>-111.86597500000001</v>
      </c>
      <c r="P2391">
        <v>4364.352946</v>
      </c>
      <c r="Q2391">
        <v>318</v>
      </c>
      <c r="R2391">
        <v>0</v>
      </c>
    </row>
    <row r="2392" spans="1:18" x14ac:dyDescent="0.25">
      <c r="A2392">
        <v>2391</v>
      </c>
      <c r="B2392">
        <v>94</v>
      </c>
      <c r="C2392">
        <v>31829114</v>
      </c>
      <c r="D2392" t="s">
        <v>118</v>
      </c>
      <c r="E2392">
        <v>140.78899999999999</v>
      </c>
      <c r="F2392" t="s">
        <v>21</v>
      </c>
      <c r="G2392" t="s">
        <v>26</v>
      </c>
      <c r="H2392" t="s">
        <v>21</v>
      </c>
      <c r="I2392" t="s">
        <v>20</v>
      </c>
      <c r="J2392" t="s">
        <v>20</v>
      </c>
      <c r="K2392" t="s">
        <v>22</v>
      </c>
      <c r="L2392" t="s">
        <v>234</v>
      </c>
      <c r="M2392" t="s">
        <v>169</v>
      </c>
      <c r="N2392">
        <v>40.426540000000003</v>
      </c>
      <c r="O2392">
        <v>-109.579021</v>
      </c>
      <c r="P2392">
        <v>5601.8179410000002</v>
      </c>
      <c r="Q2392">
        <v>310</v>
      </c>
      <c r="R2392">
        <v>0</v>
      </c>
    </row>
    <row r="2393" spans="1:18" x14ac:dyDescent="0.25">
      <c r="A2393">
        <v>2392</v>
      </c>
      <c r="B2393">
        <v>94</v>
      </c>
      <c r="C2393" t="s">
        <v>507</v>
      </c>
      <c r="D2393" t="s">
        <v>213</v>
      </c>
      <c r="E2393">
        <v>140.88300000000001</v>
      </c>
      <c r="F2393" t="s">
        <v>21</v>
      </c>
      <c r="G2393" t="s">
        <v>26</v>
      </c>
      <c r="H2393" t="s">
        <v>21</v>
      </c>
      <c r="I2393" t="s">
        <v>20</v>
      </c>
      <c r="J2393" t="s">
        <v>20</v>
      </c>
      <c r="K2393" t="s">
        <v>22</v>
      </c>
      <c r="L2393" t="s">
        <v>193</v>
      </c>
      <c r="M2393" t="s">
        <v>214</v>
      </c>
      <c r="N2393">
        <v>39.958221999999999</v>
      </c>
      <c r="O2393">
        <v>-112.104823</v>
      </c>
      <c r="P2393">
        <v>6522.9824479999997</v>
      </c>
      <c r="Q2393">
        <v>1332</v>
      </c>
      <c r="R2393">
        <v>0</v>
      </c>
    </row>
    <row r="2394" spans="1:18" x14ac:dyDescent="0.25">
      <c r="A2394">
        <v>2393</v>
      </c>
      <c r="B2394">
        <v>94</v>
      </c>
      <c r="C2394">
        <v>31829125</v>
      </c>
      <c r="D2394" t="s">
        <v>118</v>
      </c>
      <c r="E2394">
        <v>141.1</v>
      </c>
      <c r="F2394" t="s">
        <v>21</v>
      </c>
      <c r="G2394" t="s">
        <v>26</v>
      </c>
      <c r="H2394" t="s">
        <v>21</v>
      </c>
      <c r="I2394" t="s">
        <v>20</v>
      </c>
      <c r="J2394" t="s">
        <v>20</v>
      </c>
      <c r="K2394" t="s">
        <v>22</v>
      </c>
      <c r="L2394" t="s">
        <v>234</v>
      </c>
      <c r="M2394" t="s">
        <v>169</v>
      </c>
      <c r="N2394">
        <v>40.430306000000002</v>
      </c>
      <c r="O2394">
        <v>-109.57575799999999</v>
      </c>
      <c r="P2394">
        <v>5562.0609869999998</v>
      </c>
      <c r="Q2394">
        <v>310</v>
      </c>
      <c r="R2394">
        <v>0</v>
      </c>
    </row>
    <row r="2395" spans="1:18" x14ac:dyDescent="0.25">
      <c r="A2395">
        <v>2394</v>
      </c>
      <c r="B2395">
        <v>94</v>
      </c>
      <c r="C2395" t="e">
        <f>-IoHpJJ8IRXYcuBnD8v_9k</f>
        <v>#NAME?</v>
      </c>
      <c r="D2395" t="s">
        <v>272</v>
      </c>
      <c r="E2395">
        <v>141.107</v>
      </c>
      <c r="F2395" t="s">
        <v>21</v>
      </c>
      <c r="G2395" t="s">
        <v>26</v>
      </c>
      <c r="H2395" t="s">
        <v>19</v>
      </c>
      <c r="I2395">
        <v>20</v>
      </c>
      <c r="J2395" t="s">
        <v>20</v>
      </c>
      <c r="K2395" t="s">
        <v>27</v>
      </c>
      <c r="L2395" t="s">
        <v>247</v>
      </c>
      <c r="M2395" t="s">
        <v>214</v>
      </c>
      <c r="N2395">
        <v>37.965209000000002</v>
      </c>
      <c r="O2395">
        <v>-112.412296</v>
      </c>
      <c r="P2395">
        <v>6408.908762</v>
      </c>
      <c r="Q2395">
        <v>1384</v>
      </c>
      <c r="R2395">
        <v>0</v>
      </c>
    </row>
    <row r="2396" spans="1:18" x14ac:dyDescent="0.25">
      <c r="A2396">
        <v>2395</v>
      </c>
      <c r="B2396">
        <v>94</v>
      </c>
      <c r="C2396">
        <v>31488691</v>
      </c>
      <c r="D2396" t="s">
        <v>288</v>
      </c>
      <c r="E2396">
        <v>141.126</v>
      </c>
      <c r="F2396" t="s">
        <v>21</v>
      </c>
      <c r="G2396" t="s">
        <v>20</v>
      </c>
      <c r="H2396" t="s">
        <v>21</v>
      </c>
      <c r="I2396" t="s">
        <v>20</v>
      </c>
      <c r="J2396" t="s">
        <v>20</v>
      </c>
      <c r="K2396" t="s">
        <v>27</v>
      </c>
      <c r="L2396" t="s">
        <v>38</v>
      </c>
      <c r="M2396" t="s">
        <v>152</v>
      </c>
      <c r="N2396">
        <v>38.727176</v>
      </c>
      <c r="O2396">
        <v>-109.722289</v>
      </c>
      <c r="P2396">
        <v>4390.1619170000004</v>
      </c>
      <c r="Q2396">
        <v>350</v>
      </c>
      <c r="R2396">
        <v>0</v>
      </c>
    </row>
    <row r="2397" spans="1:18" x14ac:dyDescent="0.25">
      <c r="A2397">
        <v>2396</v>
      </c>
      <c r="B2397">
        <v>94</v>
      </c>
      <c r="C2397">
        <v>31581324</v>
      </c>
      <c r="D2397" t="s">
        <v>213</v>
      </c>
      <c r="E2397">
        <v>141.238</v>
      </c>
      <c r="F2397" t="s">
        <v>21</v>
      </c>
      <c r="G2397" t="s">
        <v>26</v>
      </c>
      <c r="H2397" t="s">
        <v>21</v>
      </c>
      <c r="I2397" t="s">
        <v>20</v>
      </c>
      <c r="J2397" t="s">
        <v>20</v>
      </c>
      <c r="K2397" t="s">
        <v>22</v>
      </c>
      <c r="L2397" t="s">
        <v>193</v>
      </c>
      <c r="M2397" t="s">
        <v>214</v>
      </c>
      <c r="N2397">
        <v>39.961567000000002</v>
      </c>
      <c r="O2397">
        <v>-112.099707</v>
      </c>
      <c r="P2397">
        <v>6465.4809859999996</v>
      </c>
      <c r="Q2397">
        <v>1332</v>
      </c>
      <c r="R2397">
        <v>0</v>
      </c>
    </row>
    <row r="2398" spans="1:18" x14ac:dyDescent="0.25">
      <c r="A2398">
        <v>2397</v>
      </c>
      <c r="B2398">
        <v>94</v>
      </c>
      <c r="C2398" t="e">
        <f>-JSZ6D8PF6mJ3sXK8YiSWV</f>
        <v>#NAME?</v>
      </c>
      <c r="D2398" t="s">
        <v>288</v>
      </c>
      <c r="E2398">
        <v>141.34800000000001</v>
      </c>
      <c r="F2398" t="s">
        <v>21</v>
      </c>
      <c r="G2398" t="s">
        <v>20</v>
      </c>
      <c r="H2398" t="s">
        <v>21</v>
      </c>
      <c r="I2398" t="s">
        <v>20</v>
      </c>
      <c r="J2398" t="s">
        <v>20</v>
      </c>
      <c r="K2398" t="s">
        <v>27</v>
      </c>
      <c r="L2398" t="s">
        <v>38</v>
      </c>
      <c r="M2398" t="s">
        <v>152</v>
      </c>
      <c r="N2398">
        <v>38.729568999999998</v>
      </c>
      <c r="O2398">
        <v>-109.724993</v>
      </c>
      <c r="P2398">
        <v>4393.655557</v>
      </c>
      <c r="Q2398">
        <v>350</v>
      </c>
      <c r="R2398">
        <v>0</v>
      </c>
    </row>
    <row r="2399" spans="1:18" x14ac:dyDescent="0.25">
      <c r="A2399">
        <v>2398</v>
      </c>
      <c r="B2399">
        <v>94</v>
      </c>
      <c r="C2399">
        <v>31829136</v>
      </c>
      <c r="D2399" t="s">
        <v>118</v>
      </c>
      <c r="E2399">
        <v>141.37100000000001</v>
      </c>
      <c r="F2399" t="s">
        <v>21</v>
      </c>
      <c r="G2399" t="s">
        <v>26</v>
      </c>
      <c r="H2399" t="s">
        <v>21</v>
      </c>
      <c r="I2399" t="s">
        <v>20</v>
      </c>
      <c r="J2399" t="s">
        <v>20</v>
      </c>
      <c r="K2399" t="s">
        <v>22</v>
      </c>
      <c r="L2399" t="s">
        <v>234</v>
      </c>
      <c r="M2399" t="s">
        <v>169</v>
      </c>
      <c r="N2399">
        <v>40.433450000000001</v>
      </c>
      <c r="O2399">
        <v>-109.572692</v>
      </c>
      <c r="P2399">
        <v>5495.0314779999999</v>
      </c>
      <c r="Q2399">
        <v>310</v>
      </c>
      <c r="R2399">
        <v>0</v>
      </c>
    </row>
    <row r="2400" spans="1:18" x14ac:dyDescent="0.25">
      <c r="A2400">
        <v>2399</v>
      </c>
      <c r="B2400">
        <v>94</v>
      </c>
      <c r="C2400" t="e">
        <f>-IoHprO-G359GH0mEThTPF</f>
        <v>#NAME?</v>
      </c>
      <c r="D2400" t="s">
        <v>272</v>
      </c>
      <c r="E2400">
        <v>141.792</v>
      </c>
      <c r="F2400" t="s">
        <v>21</v>
      </c>
      <c r="G2400" t="s">
        <v>20</v>
      </c>
      <c r="H2400" t="s">
        <v>21</v>
      </c>
      <c r="I2400" t="s">
        <v>20</v>
      </c>
      <c r="J2400" t="s">
        <v>20</v>
      </c>
      <c r="K2400" t="s">
        <v>27</v>
      </c>
      <c r="L2400" t="s">
        <v>247</v>
      </c>
      <c r="M2400" t="s">
        <v>214</v>
      </c>
      <c r="N2400">
        <v>37.974004000000001</v>
      </c>
      <c r="O2400">
        <v>-112.40645000000001</v>
      </c>
      <c r="P2400">
        <v>6367.4356360000002</v>
      </c>
      <c r="Q2400">
        <v>1384</v>
      </c>
      <c r="R2400">
        <v>0</v>
      </c>
    </row>
    <row r="2401" spans="1:18" x14ac:dyDescent="0.25">
      <c r="A2401">
        <v>2400</v>
      </c>
      <c r="B2401">
        <v>94</v>
      </c>
      <c r="C2401">
        <v>31829147</v>
      </c>
      <c r="D2401" t="s">
        <v>118</v>
      </c>
      <c r="E2401">
        <v>141.833</v>
      </c>
      <c r="F2401" t="s">
        <v>21</v>
      </c>
      <c r="G2401" t="s">
        <v>26</v>
      </c>
      <c r="H2401" t="s">
        <v>21</v>
      </c>
      <c r="I2401" t="s">
        <v>20</v>
      </c>
      <c r="J2401" t="s">
        <v>20</v>
      </c>
      <c r="K2401" t="s">
        <v>22</v>
      </c>
      <c r="L2401" t="s">
        <v>234</v>
      </c>
      <c r="M2401" t="s">
        <v>169</v>
      </c>
      <c r="N2401">
        <v>40.438236000000003</v>
      </c>
      <c r="O2401">
        <v>-109.566402</v>
      </c>
      <c r="P2401">
        <v>5436.4918100000004</v>
      </c>
      <c r="Q2401">
        <v>310</v>
      </c>
      <c r="R2401">
        <v>0</v>
      </c>
    </row>
    <row r="2402" spans="1:18" x14ac:dyDescent="0.25">
      <c r="A2402">
        <v>2401</v>
      </c>
      <c r="B2402">
        <v>94</v>
      </c>
      <c r="C2402">
        <v>31830308</v>
      </c>
      <c r="D2402" t="s">
        <v>118</v>
      </c>
      <c r="E2402">
        <v>142.05199999999999</v>
      </c>
      <c r="F2402" t="s">
        <v>19</v>
      </c>
      <c r="G2402" t="s">
        <v>20</v>
      </c>
      <c r="H2402" t="s">
        <v>21</v>
      </c>
      <c r="I2402" t="s">
        <v>20</v>
      </c>
      <c r="J2402" t="s">
        <v>20</v>
      </c>
      <c r="K2402" t="s">
        <v>22</v>
      </c>
      <c r="L2402" t="s">
        <v>234</v>
      </c>
      <c r="M2402" t="s">
        <v>169</v>
      </c>
      <c r="N2402">
        <v>40.440474999999999</v>
      </c>
      <c r="O2402">
        <v>-109.563412</v>
      </c>
      <c r="P2402">
        <v>5417.6222429999998</v>
      </c>
      <c r="Q2402">
        <v>310</v>
      </c>
      <c r="R2402">
        <v>0</v>
      </c>
    </row>
    <row r="2403" spans="1:18" x14ac:dyDescent="0.25">
      <c r="A2403">
        <v>2402</v>
      </c>
      <c r="B2403">
        <v>94</v>
      </c>
      <c r="C2403">
        <v>31581335</v>
      </c>
      <c r="D2403" t="s">
        <v>213</v>
      </c>
      <c r="E2403">
        <v>142.07499999999999</v>
      </c>
      <c r="F2403" t="s">
        <v>21</v>
      </c>
      <c r="G2403" t="s">
        <v>26</v>
      </c>
      <c r="H2403" t="s">
        <v>21</v>
      </c>
      <c r="I2403" t="s">
        <v>20</v>
      </c>
      <c r="J2403" t="s">
        <v>20</v>
      </c>
      <c r="K2403" t="s">
        <v>22</v>
      </c>
      <c r="L2403" t="s">
        <v>193</v>
      </c>
      <c r="M2403" t="s">
        <v>214</v>
      </c>
      <c r="N2403">
        <v>39.969582000000003</v>
      </c>
      <c r="O2403">
        <v>-112.08780400000001</v>
      </c>
      <c r="P2403">
        <v>6258.4030519999997</v>
      </c>
      <c r="Q2403">
        <v>1332</v>
      </c>
      <c r="R2403">
        <v>0</v>
      </c>
    </row>
    <row r="2404" spans="1:18" x14ac:dyDescent="0.25">
      <c r="A2404">
        <v>2403</v>
      </c>
      <c r="B2404">
        <v>94</v>
      </c>
      <c r="C2404">
        <v>31831555</v>
      </c>
      <c r="D2404" t="s">
        <v>118</v>
      </c>
      <c r="E2404">
        <v>142.226</v>
      </c>
      <c r="F2404" t="s">
        <v>21</v>
      </c>
      <c r="G2404" t="s">
        <v>26</v>
      </c>
      <c r="H2404" t="s">
        <v>21</v>
      </c>
      <c r="I2404" t="s">
        <v>20</v>
      </c>
      <c r="J2404" t="s">
        <v>20</v>
      </c>
      <c r="K2404" t="s">
        <v>22</v>
      </c>
      <c r="L2404" t="s">
        <v>234</v>
      </c>
      <c r="M2404" t="s">
        <v>169</v>
      </c>
      <c r="N2404">
        <v>40.442273</v>
      </c>
      <c r="O2404">
        <v>-109.56104000000001</v>
      </c>
      <c r="P2404">
        <v>5400.7742559999997</v>
      </c>
      <c r="Q2404">
        <v>310</v>
      </c>
      <c r="R2404">
        <v>0</v>
      </c>
    </row>
    <row r="2405" spans="1:18" x14ac:dyDescent="0.25">
      <c r="A2405">
        <v>2404</v>
      </c>
      <c r="B2405">
        <v>94</v>
      </c>
      <c r="C2405">
        <v>31581346</v>
      </c>
      <c r="D2405" t="s">
        <v>213</v>
      </c>
      <c r="E2405">
        <v>142.22800000000001</v>
      </c>
      <c r="F2405" t="s">
        <v>21</v>
      </c>
      <c r="G2405" t="s">
        <v>20</v>
      </c>
      <c r="H2405" t="s">
        <v>21</v>
      </c>
      <c r="I2405" t="s">
        <v>20</v>
      </c>
      <c r="J2405" t="s">
        <v>20</v>
      </c>
      <c r="K2405" t="s">
        <v>22</v>
      </c>
      <c r="L2405" t="s">
        <v>193</v>
      </c>
      <c r="M2405" t="s">
        <v>214</v>
      </c>
      <c r="N2405">
        <v>39.971083999999998</v>
      </c>
      <c r="O2405">
        <v>-112.085666</v>
      </c>
      <c r="P2405">
        <v>6216.485302</v>
      </c>
      <c r="Q2405">
        <v>1332</v>
      </c>
      <c r="R2405">
        <v>0</v>
      </c>
    </row>
    <row r="2406" spans="1:18" x14ac:dyDescent="0.25">
      <c r="A2406">
        <v>2405</v>
      </c>
      <c r="B2406">
        <v>94</v>
      </c>
      <c r="C2406">
        <v>31195160</v>
      </c>
      <c r="D2406" t="s">
        <v>309</v>
      </c>
      <c r="E2406">
        <v>12.302</v>
      </c>
      <c r="F2406" t="s">
        <v>21</v>
      </c>
      <c r="G2406" t="s">
        <v>26</v>
      </c>
      <c r="H2406" t="s">
        <v>21</v>
      </c>
      <c r="I2406" t="s">
        <v>20</v>
      </c>
      <c r="J2406" t="s">
        <v>20</v>
      </c>
      <c r="K2406" t="s">
        <v>22</v>
      </c>
      <c r="L2406" t="s">
        <v>140</v>
      </c>
      <c r="M2406" t="s">
        <v>125</v>
      </c>
      <c r="N2406">
        <v>40.115003999999999</v>
      </c>
      <c r="O2406">
        <v>-111.65132800000001</v>
      </c>
      <c r="P2406">
        <v>4530.6982529999996</v>
      </c>
      <c r="Q2406">
        <v>339</v>
      </c>
      <c r="R2406">
        <v>0</v>
      </c>
    </row>
    <row r="2407" spans="1:18" x14ac:dyDescent="0.25">
      <c r="A2407">
        <v>2406</v>
      </c>
      <c r="B2407">
        <v>94</v>
      </c>
      <c r="C2407" t="e">
        <f>-JWvxPxKF4yC6oYgaOMhQk</f>
        <v>#NAME?</v>
      </c>
      <c r="D2407" t="s">
        <v>303</v>
      </c>
      <c r="E2407">
        <v>12.303000000000001</v>
      </c>
      <c r="F2407" t="s">
        <v>21</v>
      </c>
      <c r="G2407" t="s">
        <v>26</v>
      </c>
      <c r="H2407" t="s">
        <v>21</v>
      </c>
      <c r="I2407" t="s">
        <v>20</v>
      </c>
      <c r="J2407" t="s">
        <v>20</v>
      </c>
      <c r="K2407" t="s">
        <v>27</v>
      </c>
      <c r="L2407" t="s">
        <v>72</v>
      </c>
      <c r="M2407" t="s">
        <v>73</v>
      </c>
      <c r="N2407">
        <v>37.208612000000002</v>
      </c>
      <c r="O2407">
        <v>-113.272171</v>
      </c>
      <c r="P2407">
        <v>3144.1762950000002</v>
      </c>
      <c r="Q2407">
        <v>1326</v>
      </c>
      <c r="R2407">
        <v>0</v>
      </c>
    </row>
    <row r="2408" spans="1:18" x14ac:dyDescent="0.25">
      <c r="A2408">
        <v>2407</v>
      </c>
      <c r="B2408">
        <v>94</v>
      </c>
      <c r="C2408">
        <v>31346194</v>
      </c>
      <c r="D2408" t="s">
        <v>220</v>
      </c>
      <c r="E2408">
        <v>12.308</v>
      </c>
      <c r="F2408" t="s">
        <v>21</v>
      </c>
      <c r="G2408" t="s">
        <v>20</v>
      </c>
      <c r="H2408" t="s">
        <v>21</v>
      </c>
      <c r="I2408" t="s">
        <v>20</v>
      </c>
      <c r="J2408" t="s">
        <v>20</v>
      </c>
      <c r="K2408" t="s">
        <v>27</v>
      </c>
      <c r="L2408" t="s">
        <v>28</v>
      </c>
      <c r="M2408" t="s">
        <v>29</v>
      </c>
      <c r="N2408">
        <v>37.696482000000003</v>
      </c>
      <c r="O2408">
        <v>-112.175209</v>
      </c>
      <c r="P2408">
        <v>7563.0094360000003</v>
      </c>
      <c r="Q2408">
        <v>1328</v>
      </c>
      <c r="R2408">
        <v>0</v>
      </c>
    </row>
    <row r="2409" spans="1:18" x14ac:dyDescent="0.25">
      <c r="A2409">
        <v>2408</v>
      </c>
      <c r="B2409">
        <v>94</v>
      </c>
      <c r="C2409" t="e">
        <f>-JXgvWlwGBHNQ-N7O5-rlk</f>
        <v>#NAME?</v>
      </c>
      <c r="D2409" t="s">
        <v>390</v>
      </c>
      <c r="E2409">
        <v>12.31</v>
      </c>
      <c r="F2409" t="s">
        <v>21</v>
      </c>
      <c r="G2409" t="s">
        <v>26</v>
      </c>
      <c r="H2409" t="s">
        <v>21</v>
      </c>
      <c r="I2409" t="s">
        <v>20</v>
      </c>
      <c r="J2409" t="s">
        <v>20</v>
      </c>
      <c r="K2409" t="s">
        <v>22</v>
      </c>
      <c r="L2409" t="s">
        <v>84</v>
      </c>
      <c r="M2409" t="s">
        <v>335</v>
      </c>
      <c r="N2409">
        <v>40.451011000000001</v>
      </c>
      <c r="O2409">
        <v>-111.66801</v>
      </c>
      <c r="P2409">
        <v>5995.426923</v>
      </c>
      <c r="Q2409">
        <v>1386</v>
      </c>
      <c r="R2409">
        <v>0</v>
      </c>
    </row>
    <row r="2410" spans="1:18" x14ac:dyDescent="0.25">
      <c r="A2410">
        <v>2409</v>
      </c>
      <c r="B2410">
        <v>94</v>
      </c>
      <c r="C2410">
        <v>1525478</v>
      </c>
      <c r="D2410" t="s">
        <v>88</v>
      </c>
      <c r="E2410">
        <v>12.311999999999999</v>
      </c>
      <c r="F2410" t="s">
        <v>21</v>
      </c>
      <c r="G2410" t="s">
        <v>26</v>
      </c>
      <c r="H2410" t="s">
        <v>21</v>
      </c>
      <c r="I2410" t="s">
        <v>20</v>
      </c>
      <c r="J2410" t="s">
        <v>20</v>
      </c>
      <c r="K2410" t="s">
        <v>31</v>
      </c>
      <c r="L2410" t="s">
        <v>32</v>
      </c>
      <c r="M2410" t="s">
        <v>90</v>
      </c>
      <c r="N2410">
        <v>40.616728999999999</v>
      </c>
      <c r="O2410">
        <v>-111.866674</v>
      </c>
      <c r="P2410">
        <v>4430.9464939999998</v>
      </c>
      <c r="Q2410">
        <v>318</v>
      </c>
      <c r="R2410">
        <v>0</v>
      </c>
    </row>
    <row r="2411" spans="1:18" x14ac:dyDescent="0.25">
      <c r="A2411">
        <v>2410</v>
      </c>
      <c r="B2411">
        <v>94</v>
      </c>
      <c r="C2411">
        <v>28357060</v>
      </c>
      <c r="D2411" t="s">
        <v>323</v>
      </c>
      <c r="E2411">
        <v>12.316000000000001</v>
      </c>
      <c r="F2411" t="s">
        <v>21</v>
      </c>
      <c r="G2411" t="s">
        <v>26</v>
      </c>
      <c r="H2411" t="s">
        <v>21</v>
      </c>
      <c r="I2411" t="s">
        <v>20</v>
      </c>
      <c r="J2411" t="s">
        <v>20</v>
      </c>
      <c r="K2411" t="s">
        <v>31</v>
      </c>
      <c r="L2411" t="s">
        <v>130</v>
      </c>
      <c r="M2411" t="s">
        <v>131</v>
      </c>
      <c r="N2411">
        <v>40.638250999999997</v>
      </c>
      <c r="O2411">
        <v>-111.28074700000001</v>
      </c>
      <c r="P2411">
        <v>6438.8387000000002</v>
      </c>
      <c r="Q2411">
        <v>1345</v>
      </c>
      <c r="R2411">
        <v>0</v>
      </c>
    </row>
    <row r="2412" spans="1:18" x14ac:dyDescent="0.25">
      <c r="A2412">
        <v>2411</v>
      </c>
      <c r="B2412">
        <v>94</v>
      </c>
      <c r="C2412">
        <v>31279629</v>
      </c>
      <c r="D2412" t="s">
        <v>288</v>
      </c>
      <c r="E2412">
        <v>12.566000000000001</v>
      </c>
      <c r="F2412" t="s">
        <v>21</v>
      </c>
      <c r="G2412" t="s">
        <v>26</v>
      </c>
      <c r="H2412" t="s">
        <v>21</v>
      </c>
      <c r="I2412" t="s">
        <v>20</v>
      </c>
      <c r="J2412" t="s">
        <v>20</v>
      </c>
      <c r="K2412" t="s">
        <v>27</v>
      </c>
      <c r="L2412" t="s">
        <v>211</v>
      </c>
      <c r="M2412" t="s">
        <v>318</v>
      </c>
      <c r="N2412">
        <v>37.156483999999999</v>
      </c>
      <c r="O2412">
        <v>-109.57026</v>
      </c>
      <c r="P2412">
        <v>4579.271111</v>
      </c>
      <c r="Q2412">
        <v>350</v>
      </c>
      <c r="R2412">
        <v>0</v>
      </c>
    </row>
    <row r="2413" spans="1:18" x14ac:dyDescent="0.25">
      <c r="A2413">
        <v>2412</v>
      </c>
      <c r="B2413">
        <v>94</v>
      </c>
      <c r="C2413">
        <v>31406773</v>
      </c>
      <c r="D2413" t="s">
        <v>63</v>
      </c>
      <c r="E2413">
        <v>12.57</v>
      </c>
      <c r="F2413" t="s">
        <v>21</v>
      </c>
      <c r="G2413" t="s">
        <v>26</v>
      </c>
      <c r="H2413" t="s">
        <v>21</v>
      </c>
      <c r="I2413" t="s">
        <v>20</v>
      </c>
      <c r="J2413" t="s">
        <v>20</v>
      </c>
      <c r="K2413" t="s">
        <v>27</v>
      </c>
      <c r="L2413" t="s">
        <v>64</v>
      </c>
      <c r="M2413" t="s">
        <v>29</v>
      </c>
      <c r="N2413">
        <v>38.169562999999997</v>
      </c>
      <c r="O2413">
        <v>-112.027123</v>
      </c>
      <c r="P2413">
        <v>6318.9681460000002</v>
      </c>
      <c r="Q2413">
        <v>1365</v>
      </c>
      <c r="R2413">
        <v>0</v>
      </c>
    </row>
    <row r="2414" spans="1:18" x14ac:dyDescent="0.25">
      <c r="A2414">
        <v>2413</v>
      </c>
      <c r="B2414">
        <v>94</v>
      </c>
      <c r="C2414">
        <v>31764675</v>
      </c>
      <c r="D2414" t="s">
        <v>312</v>
      </c>
      <c r="E2414">
        <v>12.571</v>
      </c>
      <c r="F2414" t="s">
        <v>21</v>
      </c>
      <c r="G2414" t="s">
        <v>20</v>
      </c>
      <c r="H2414" t="s">
        <v>21</v>
      </c>
      <c r="I2414" t="s">
        <v>20</v>
      </c>
      <c r="J2414" t="s">
        <v>20</v>
      </c>
      <c r="K2414" t="s">
        <v>27</v>
      </c>
      <c r="L2414" t="s">
        <v>143</v>
      </c>
      <c r="M2414" t="s">
        <v>313</v>
      </c>
      <c r="N2414">
        <v>38.576134000000003</v>
      </c>
      <c r="O2414">
        <v>-112.989541</v>
      </c>
      <c r="P2414">
        <v>4815.0266979999997</v>
      </c>
      <c r="Q2414">
        <v>255</v>
      </c>
      <c r="R2414">
        <v>0</v>
      </c>
    </row>
    <row r="2415" spans="1:18" x14ac:dyDescent="0.25">
      <c r="A2415">
        <v>2414</v>
      </c>
      <c r="B2415">
        <v>94</v>
      </c>
      <c r="C2415">
        <v>1442720</v>
      </c>
      <c r="D2415" t="s">
        <v>304</v>
      </c>
      <c r="E2415">
        <v>12.571999999999999</v>
      </c>
      <c r="F2415" t="s">
        <v>21</v>
      </c>
      <c r="G2415" t="s">
        <v>26</v>
      </c>
      <c r="H2415" t="s">
        <v>21</v>
      </c>
      <c r="I2415" t="s">
        <v>20</v>
      </c>
      <c r="J2415" t="s">
        <v>20</v>
      </c>
      <c r="K2415" t="s">
        <v>41</v>
      </c>
      <c r="L2415" t="s">
        <v>223</v>
      </c>
      <c r="M2415" t="s">
        <v>43</v>
      </c>
      <c r="N2415">
        <v>41.694947999999997</v>
      </c>
      <c r="O2415">
        <v>-112.090034</v>
      </c>
      <c r="P2415">
        <v>4268.0682980000001</v>
      </c>
      <c r="Q2415">
        <v>1348</v>
      </c>
      <c r="R2415">
        <v>0</v>
      </c>
    </row>
    <row r="2416" spans="1:18" x14ac:dyDescent="0.25">
      <c r="A2416">
        <v>2415</v>
      </c>
      <c r="B2416">
        <v>94</v>
      </c>
      <c r="C2416">
        <v>27870414</v>
      </c>
      <c r="D2416" t="s">
        <v>91</v>
      </c>
      <c r="E2416">
        <v>12.574</v>
      </c>
      <c r="F2416" t="s">
        <v>21</v>
      </c>
      <c r="G2416" t="s">
        <v>26</v>
      </c>
      <c r="H2416" t="s">
        <v>21</v>
      </c>
      <c r="I2416" t="s">
        <v>20</v>
      </c>
      <c r="J2416" t="s">
        <v>20</v>
      </c>
      <c r="K2416" t="s">
        <v>41</v>
      </c>
      <c r="L2416" t="s">
        <v>42</v>
      </c>
      <c r="M2416" t="s">
        <v>73</v>
      </c>
      <c r="N2416">
        <v>41.786329000000002</v>
      </c>
      <c r="O2416">
        <v>-111.987273</v>
      </c>
      <c r="P2416">
        <v>4398.8728950000004</v>
      </c>
      <c r="Q2416">
        <v>1339</v>
      </c>
      <c r="R2416">
        <v>0</v>
      </c>
    </row>
    <row r="2417" spans="1:18" x14ac:dyDescent="0.25">
      <c r="A2417">
        <v>2416</v>
      </c>
      <c r="B2417">
        <v>94</v>
      </c>
      <c r="C2417">
        <v>31195200</v>
      </c>
      <c r="D2417" t="s">
        <v>309</v>
      </c>
      <c r="E2417">
        <v>12.58</v>
      </c>
      <c r="F2417" t="s">
        <v>21</v>
      </c>
      <c r="G2417" t="s">
        <v>26</v>
      </c>
      <c r="H2417" t="s">
        <v>21</v>
      </c>
      <c r="I2417" t="s">
        <v>20</v>
      </c>
      <c r="J2417" t="s">
        <v>20</v>
      </c>
      <c r="K2417" t="s">
        <v>22</v>
      </c>
      <c r="L2417" t="s">
        <v>140</v>
      </c>
      <c r="M2417" t="s">
        <v>125</v>
      </c>
      <c r="N2417">
        <v>40.114975999999999</v>
      </c>
      <c r="O2417">
        <v>-111.646111</v>
      </c>
      <c r="P2417">
        <v>4539.6989910000002</v>
      </c>
      <c r="Q2417">
        <v>339</v>
      </c>
      <c r="R2417">
        <v>0</v>
      </c>
    </row>
    <row r="2418" spans="1:18" x14ac:dyDescent="0.25">
      <c r="A2418">
        <v>2417</v>
      </c>
      <c r="B2418">
        <v>94</v>
      </c>
      <c r="C2418">
        <v>31639062</v>
      </c>
      <c r="D2418" t="s">
        <v>309</v>
      </c>
      <c r="E2418">
        <v>12.59</v>
      </c>
      <c r="F2418" t="s">
        <v>21</v>
      </c>
      <c r="G2418" t="s">
        <v>26</v>
      </c>
      <c r="H2418" t="s">
        <v>21</v>
      </c>
      <c r="I2418" t="s">
        <v>20</v>
      </c>
      <c r="J2418" t="s">
        <v>20</v>
      </c>
      <c r="K2418" t="s">
        <v>22</v>
      </c>
      <c r="L2418" t="s">
        <v>140</v>
      </c>
      <c r="M2418" t="s">
        <v>125</v>
      </c>
      <c r="N2418">
        <v>40.114970999999997</v>
      </c>
      <c r="O2418">
        <v>-111.64592</v>
      </c>
      <c r="P2418">
        <v>4540.3191770000003</v>
      </c>
      <c r="Q2418">
        <v>339</v>
      </c>
      <c r="R2418">
        <v>0</v>
      </c>
    </row>
    <row r="2419" spans="1:18" x14ac:dyDescent="0.25">
      <c r="A2419">
        <v>2418</v>
      </c>
      <c r="B2419">
        <v>94</v>
      </c>
      <c r="C2419">
        <v>31280539</v>
      </c>
      <c r="D2419" t="s">
        <v>303</v>
      </c>
      <c r="E2419">
        <v>12.596</v>
      </c>
      <c r="F2419" t="s">
        <v>21</v>
      </c>
      <c r="G2419" t="s">
        <v>26</v>
      </c>
      <c r="H2419" t="s">
        <v>21</v>
      </c>
      <c r="I2419" t="s">
        <v>20</v>
      </c>
      <c r="J2419" t="s">
        <v>20</v>
      </c>
      <c r="K2419" t="s">
        <v>27</v>
      </c>
      <c r="L2419" t="s">
        <v>72</v>
      </c>
      <c r="M2419" t="s">
        <v>73</v>
      </c>
      <c r="N2419">
        <v>37.210881000000001</v>
      </c>
      <c r="O2419">
        <v>-113.26970300000001</v>
      </c>
      <c r="P2419">
        <v>3161.6374649999998</v>
      </c>
      <c r="Q2419">
        <v>1326</v>
      </c>
      <c r="R2419">
        <v>0</v>
      </c>
    </row>
    <row r="2420" spans="1:18" x14ac:dyDescent="0.25">
      <c r="A2420">
        <v>2419</v>
      </c>
      <c r="B2420">
        <v>94</v>
      </c>
      <c r="C2420">
        <v>27852496</v>
      </c>
      <c r="D2420" t="s">
        <v>136</v>
      </c>
      <c r="E2420">
        <v>12.609</v>
      </c>
      <c r="F2420" t="s">
        <v>21</v>
      </c>
      <c r="G2420" t="s">
        <v>26</v>
      </c>
      <c r="H2420" t="s">
        <v>21</v>
      </c>
      <c r="I2420" t="s">
        <v>20</v>
      </c>
      <c r="J2420" t="s">
        <v>20</v>
      </c>
      <c r="K2420" t="s">
        <v>41</v>
      </c>
      <c r="L2420" t="s">
        <v>137</v>
      </c>
      <c r="M2420" t="s">
        <v>138</v>
      </c>
      <c r="N2420">
        <v>41.034317999999999</v>
      </c>
      <c r="O2420">
        <v>-111.676535</v>
      </c>
      <c r="P2420">
        <v>5015.0357080000003</v>
      </c>
      <c r="Q2420">
        <v>317</v>
      </c>
      <c r="R2420">
        <v>0</v>
      </c>
    </row>
    <row r="2421" spans="1:18" x14ac:dyDescent="0.25">
      <c r="A2421">
        <v>2420</v>
      </c>
      <c r="B2421">
        <v>94</v>
      </c>
      <c r="C2421">
        <v>27701235</v>
      </c>
      <c r="D2421" t="s">
        <v>217</v>
      </c>
      <c r="E2421">
        <v>12.615</v>
      </c>
      <c r="F2421" t="s">
        <v>21</v>
      </c>
      <c r="G2421" t="s">
        <v>26</v>
      </c>
      <c r="H2421" t="s">
        <v>21</v>
      </c>
      <c r="I2421" t="s">
        <v>20</v>
      </c>
      <c r="J2421" t="s">
        <v>20</v>
      </c>
      <c r="K2421" t="s">
        <v>27</v>
      </c>
      <c r="L2421" t="s">
        <v>72</v>
      </c>
      <c r="M2421" t="s">
        <v>163</v>
      </c>
      <c r="N2421">
        <v>37.247686000000002</v>
      </c>
      <c r="O2421">
        <v>-113.62725</v>
      </c>
      <c r="P2421">
        <v>4407.4880020000001</v>
      </c>
      <c r="Q2421">
        <v>304</v>
      </c>
      <c r="R2421">
        <v>0</v>
      </c>
    </row>
    <row r="2422" spans="1:18" x14ac:dyDescent="0.25">
      <c r="A2422">
        <v>2421</v>
      </c>
      <c r="B2422">
        <v>94</v>
      </c>
      <c r="C2422" t="e">
        <f>-Ip-YlV-ImmZfJs6fmMjmV</f>
        <v>#NAME?</v>
      </c>
      <c r="D2422" t="s">
        <v>338</v>
      </c>
      <c r="E2422">
        <v>12.617000000000001</v>
      </c>
      <c r="F2422" t="s">
        <v>21</v>
      </c>
      <c r="G2422" t="s">
        <v>26</v>
      </c>
      <c r="H2422" t="s">
        <v>21</v>
      </c>
      <c r="I2422" t="s">
        <v>20</v>
      </c>
      <c r="J2422" t="s">
        <v>20</v>
      </c>
      <c r="K2422" t="s">
        <v>27</v>
      </c>
      <c r="L2422" t="s">
        <v>72</v>
      </c>
      <c r="M2422" t="s">
        <v>73</v>
      </c>
      <c r="N2422">
        <v>37.117730999999999</v>
      </c>
      <c r="O2422">
        <v>-113.164258</v>
      </c>
      <c r="P2422">
        <v>4573.5228649999999</v>
      </c>
      <c r="Q2422">
        <v>315</v>
      </c>
      <c r="R2422">
        <v>0</v>
      </c>
    </row>
    <row r="2423" spans="1:18" x14ac:dyDescent="0.25">
      <c r="A2423">
        <v>2422</v>
      </c>
      <c r="B2423">
        <v>94</v>
      </c>
      <c r="C2423">
        <v>31502309</v>
      </c>
      <c r="D2423" t="s">
        <v>224</v>
      </c>
      <c r="E2423">
        <v>12.618</v>
      </c>
      <c r="F2423" t="s">
        <v>21</v>
      </c>
      <c r="G2423" t="s">
        <v>26</v>
      </c>
      <c r="H2423" t="s">
        <v>21</v>
      </c>
      <c r="I2423" t="s">
        <v>20</v>
      </c>
      <c r="J2423" t="s">
        <v>20</v>
      </c>
      <c r="K2423" t="s">
        <v>22</v>
      </c>
      <c r="L2423" t="s">
        <v>140</v>
      </c>
      <c r="M2423" t="s">
        <v>194</v>
      </c>
      <c r="N2423">
        <v>40.105848000000002</v>
      </c>
      <c r="O2423">
        <v>-111.649563</v>
      </c>
      <c r="P2423">
        <v>4569.837853</v>
      </c>
      <c r="Q2423">
        <v>408</v>
      </c>
      <c r="R2423">
        <v>0</v>
      </c>
    </row>
    <row r="2424" spans="1:18" x14ac:dyDescent="0.25">
      <c r="A2424">
        <v>2423</v>
      </c>
      <c r="B2424">
        <v>94</v>
      </c>
      <c r="C2424">
        <v>31270678</v>
      </c>
      <c r="D2424" t="s">
        <v>241</v>
      </c>
      <c r="E2424">
        <v>12.622999999999999</v>
      </c>
      <c r="F2424" t="s">
        <v>21</v>
      </c>
      <c r="G2424" t="s">
        <v>26</v>
      </c>
      <c r="H2424" t="s">
        <v>21</v>
      </c>
      <c r="I2424" t="s">
        <v>20</v>
      </c>
      <c r="J2424" t="s">
        <v>20</v>
      </c>
      <c r="K2424" t="s">
        <v>27</v>
      </c>
      <c r="L2424" t="s">
        <v>242</v>
      </c>
      <c r="M2424" t="s">
        <v>243</v>
      </c>
      <c r="N2424">
        <v>38.923171000000004</v>
      </c>
      <c r="O2424">
        <v>-111.248648</v>
      </c>
      <c r="P2424">
        <v>6187.2508829999997</v>
      </c>
      <c r="Q2424">
        <v>1327</v>
      </c>
      <c r="R2424">
        <v>0</v>
      </c>
    </row>
    <row r="2425" spans="1:18" x14ac:dyDescent="0.25">
      <c r="A2425">
        <v>2424</v>
      </c>
      <c r="B2425">
        <v>94</v>
      </c>
      <c r="C2425">
        <v>31606222</v>
      </c>
      <c r="D2425" t="s">
        <v>145</v>
      </c>
      <c r="E2425">
        <v>12.624000000000001</v>
      </c>
      <c r="F2425" t="s">
        <v>21</v>
      </c>
      <c r="G2425" t="s">
        <v>26</v>
      </c>
      <c r="H2425" t="s">
        <v>21</v>
      </c>
      <c r="I2425" t="s">
        <v>20</v>
      </c>
      <c r="J2425" t="s">
        <v>20</v>
      </c>
      <c r="K2425" t="s">
        <v>27</v>
      </c>
      <c r="L2425" t="s">
        <v>146</v>
      </c>
      <c r="M2425" t="s">
        <v>147</v>
      </c>
      <c r="N2425">
        <v>37.838253999999999</v>
      </c>
      <c r="O2425">
        <v>-109.117756</v>
      </c>
      <c r="P2425">
        <v>6751.6271379999998</v>
      </c>
      <c r="Q2425">
        <v>1291</v>
      </c>
      <c r="R2425">
        <v>0</v>
      </c>
    </row>
    <row r="2426" spans="1:18" x14ac:dyDescent="0.25">
      <c r="A2426">
        <v>2425</v>
      </c>
      <c r="B2426">
        <v>94</v>
      </c>
      <c r="C2426">
        <v>28231923</v>
      </c>
      <c r="D2426" t="s">
        <v>240</v>
      </c>
      <c r="E2426">
        <v>12.625</v>
      </c>
      <c r="F2426" t="s">
        <v>21</v>
      </c>
      <c r="G2426" t="s">
        <v>26</v>
      </c>
      <c r="H2426" t="s">
        <v>21</v>
      </c>
      <c r="I2426" t="s">
        <v>20</v>
      </c>
      <c r="J2426" t="s">
        <v>20</v>
      </c>
      <c r="K2426" t="s">
        <v>27</v>
      </c>
      <c r="L2426" t="s">
        <v>146</v>
      </c>
      <c r="M2426" t="s">
        <v>147</v>
      </c>
      <c r="N2426">
        <v>38.343029000000001</v>
      </c>
      <c r="O2426">
        <v>-109.20734899999999</v>
      </c>
      <c r="P2426">
        <v>7653.8625819999997</v>
      </c>
      <c r="Q2426">
        <v>1355</v>
      </c>
      <c r="R2426">
        <v>0</v>
      </c>
    </row>
    <row r="2427" spans="1:18" x14ac:dyDescent="0.25">
      <c r="A2427">
        <v>2426</v>
      </c>
      <c r="B2427">
        <v>94</v>
      </c>
      <c r="C2427">
        <v>1528016</v>
      </c>
      <c r="D2427" t="s">
        <v>88</v>
      </c>
      <c r="E2427">
        <v>12.635999999999999</v>
      </c>
      <c r="F2427" t="s">
        <v>21</v>
      </c>
      <c r="G2427" t="s">
        <v>26</v>
      </c>
      <c r="H2427" t="s">
        <v>21</v>
      </c>
      <c r="I2427" t="s">
        <v>20</v>
      </c>
      <c r="J2427" t="s">
        <v>20</v>
      </c>
      <c r="K2427" t="s">
        <v>31</v>
      </c>
      <c r="L2427" t="s">
        <v>32</v>
      </c>
      <c r="M2427" t="s">
        <v>90</v>
      </c>
      <c r="N2427">
        <v>40.621355999999999</v>
      </c>
      <c r="O2427">
        <v>-111.86592899999999</v>
      </c>
      <c r="P2427">
        <v>4391.1335630000003</v>
      </c>
      <c r="Q2427">
        <v>318</v>
      </c>
      <c r="R2427">
        <v>0</v>
      </c>
    </row>
    <row r="2428" spans="1:18" x14ac:dyDescent="0.25">
      <c r="A2428">
        <v>2427</v>
      </c>
      <c r="B2428">
        <v>94</v>
      </c>
      <c r="C2428" t="e">
        <f>-IP5-SvrGfTnt0T6PJFeDF</f>
        <v>#NAME?</v>
      </c>
      <c r="D2428" t="s">
        <v>88</v>
      </c>
      <c r="E2428">
        <v>12.638999999999999</v>
      </c>
      <c r="F2428" t="s">
        <v>21</v>
      </c>
      <c r="G2428" t="s">
        <v>26</v>
      </c>
      <c r="H2428" t="s">
        <v>21</v>
      </c>
      <c r="I2428" t="s">
        <v>20</v>
      </c>
      <c r="J2428" t="s">
        <v>20</v>
      </c>
      <c r="K2428" t="s">
        <v>31</v>
      </c>
      <c r="L2428" t="s">
        <v>32</v>
      </c>
      <c r="M2428" t="s">
        <v>49</v>
      </c>
      <c r="N2428">
        <v>40.621397000000002</v>
      </c>
      <c r="O2428">
        <v>-111.866079</v>
      </c>
      <c r="P2428">
        <v>4391.0536810000003</v>
      </c>
      <c r="Q2428">
        <v>318</v>
      </c>
      <c r="R2428">
        <v>0</v>
      </c>
    </row>
    <row r="2429" spans="1:18" x14ac:dyDescent="0.25">
      <c r="A2429">
        <v>2428</v>
      </c>
      <c r="B2429">
        <v>94</v>
      </c>
      <c r="C2429">
        <v>31597046</v>
      </c>
      <c r="D2429" t="s">
        <v>50</v>
      </c>
      <c r="E2429">
        <v>1.5840000000000001</v>
      </c>
      <c r="F2429" t="s">
        <v>21</v>
      </c>
      <c r="G2429" t="s">
        <v>26</v>
      </c>
      <c r="H2429" t="s">
        <v>21</v>
      </c>
      <c r="I2429" t="s">
        <v>20</v>
      </c>
      <c r="J2429" t="s">
        <v>20</v>
      </c>
      <c r="K2429" t="s">
        <v>27</v>
      </c>
      <c r="L2429" t="s">
        <v>51</v>
      </c>
      <c r="M2429" t="s">
        <v>52</v>
      </c>
      <c r="N2429">
        <v>37.838709000000001</v>
      </c>
      <c r="O2429">
        <v>-112.842679</v>
      </c>
      <c r="P2429">
        <v>5866.8349609999996</v>
      </c>
      <c r="Q2429">
        <v>1418</v>
      </c>
      <c r="R2429">
        <v>0</v>
      </c>
    </row>
    <row r="2430" spans="1:18" x14ac:dyDescent="0.25">
      <c r="A2430">
        <v>2429</v>
      </c>
      <c r="B2430">
        <v>94</v>
      </c>
      <c r="C2430">
        <v>27683005</v>
      </c>
      <c r="D2430" t="s">
        <v>217</v>
      </c>
      <c r="E2430">
        <v>1.585</v>
      </c>
      <c r="F2430" t="s">
        <v>21</v>
      </c>
      <c r="G2430" t="s">
        <v>26</v>
      </c>
      <c r="H2430" t="s">
        <v>21</v>
      </c>
      <c r="I2430" t="s">
        <v>20</v>
      </c>
      <c r="J2430" t="s">
        <v>20</v>
      </c>
      <c r="K2430" t="s">
        <v>27</v>
      </c>
      <c r="L2430" t="s">
        <v>72</v>
      </c>
      <c r="M2430" t="s">
        <v>163</v>
      </c>
      <c r="N2430">
        <v>37.102772999999999</v>
      </c>
      <c r="O2430">
        <v>-113.591615</v>
      </c>
      <c r="P2430">
        <v>2640.6595870000001</v>
      </c>
      <c r="Q2430">
        <v>304</v>
      </c>
      <c r="R2430">
        <v>0</v>
      </c>
    </row>
    <row r="2431" spans="1:18" x14ac:dyDescent="0.25">
      <c r="A2431">
        <v>2430</v>
      </c>
      <c r="B2431">
        <v>94</v>
      </c>
      <c r="C2431">
        <v>31528035</v>
      </c>
      <c r="D2431" t="s">
        <v>182</v>
      </c>
      <c r="E2431">
        <v>1.5860000000000001</v>
      </c>
      <c r="F2431" t="s">
        <v>21</v>
      </c>
      <c r="G2431" t="s">
        <v>26</v>
      </c>
      <c r="H2431" t="s">
        <v>21</v>
      </c>
      <c r="I2431" t="s">
        <v>20</v>
      </c>
      <c r="J2431" t="s">
        <v>20</v>
      </c>
      <c r="K2431" t="s">
        <v>27</v>
      </c>
      <c r="L2431" t="s">
        <v>183</v>
      </c>
      <c r="M2431" t="s">
        <v>76</v>
      </c>
      <c r="N2431">
        <v>38.923678000000002</v>
      </c>
      <c r="O2431">
        <v>-111.934033</v>
      </c>
      <c r="P2431">
        <v>5144.1389939999999</v>
      </c>
      <c r="Q2431">
        <v>429</v>
      </c>
      <c r="R2431">
        <v>0</v>
      </c>
    </row>
    <row r="2432" spans="1:18" x14ac:dyDescent="0.25">
      <c r="A2432">
        <v>2431</v>
      </c>
      <c r="B2432">
        <v>94</v>
      </c>
      <c r="C2432" t="s">
        <v>508</v>
      </c>
      <c r="D2432" t="s">
        <v>63</v>
      </c>
      <c r="E2432">
        <v>1.587</v>
      </c>
      <c r="F2432" t="s">
        <v>21</v>
      </c>
      <c r="G2432" t="s">
        <v>20</v>
      </c>
      <c r="H2432" t="s">
        <v>21</v>
      </c>
      <c r="I2432" t="s">
        <v>20</v>
      </c>
      <c r="J2432" t="s">
        <v>20</v>
      </c>
      <c r="K2432" t="s">
        <v>27</v>
      </c>
      <c r="L2432" t="s">
        <v>64</v>
      </c>
      <c r="M2432" t="s">
        <v>29</v>
      </c>
      <c r="N2432">
        <v>38.208348999999998</v>
      </c>
      <c r="O2432">
        <v>-112.19569199999999</v>
      </c>
      <c r="P2432">
        <v>5941.8165559999998</v>
      </c>
      <c r="Q2432">
        <v>1365</v>
      </c>
      <c r="R2432">
        <v>0</v>
      </c>
    </row>
    <row r="2433" spans="1:18" x14ac:dyDescent="0.25">
      <c r="A2433">
        <v>2432</v>
      </c>
      <c r="B2433">
        <v>94</v>
      </c>
      <c r="C2433" t="e">
        <f>-JNKzzvjGtardLVUJ49uMV</f>
        <v>#NAME?</v>
      </c>
      <c r="D2433" t="s">
        <v>124</v>
      </c>
      <c r="E2433">
        <v>1.587</v>
      </c>
      <c r="F2433" t="s">
        <v>21</v>
      </c>
      <c r="G2433" t="s">
        <v>26</v>
      </c>
      <c r="H2433" t="s">
        <v>21</v>
      </c>
      <c r="I2433" t="s">
        <v>20</v>
      </c>
      <c r="J2433" t="s">
        <v>20</v>
      </c>
      <c r="K2433" t="s">
        <v>22</v>
      </c>
      <c r="L2433" t="s">
        <v>193</v>
      </c>
      <c r="M2433" t="s">
        <v>194</v>
      </c>
      <c r="N2433">
        <v>39.975019000000003</v>
      </c>
      <c r="O2433">
        <v>-111.956935</v>
      </c>
      <c r="P2433">
        <v>4616.048683</v>
      </c>
      <c r="Q2433">
        <v>1368</v>
      </c>
      <c r="R2433">
        <v>0</v>
      </c>
    </row>
    <row r="2434" spans="1:18" x14ac:dyDescent="0.25">
      <c r="A2434">
        <v>2433</v>
      </c>
      <c r="B2434">
        <v>94</v>
      </c>
      <c r="C2434">
        <v>31592184</v>
      </c>
      <c r="D2434" t="s">
        <v>145</v>
      </c>
      <c r="E2434">
        <v>1.5880000000000001</v>
      </c>
      <c r="F2434" t="s">
        <v>21</v>
      </c>
      <c r="G2434" t="s">
        <v>26</v>
      </c>
      <c r="H2434" t="s">
        <v>21</v>
      </c>
      <c r="I2434" t="s">
        <v>20</v>
      </c>
      <c r="J2434" t="s">
        <v>20</v>
      </c>
      <c r="K2434" t="s">
        <v>27</v>
      </c>
      <c r="L2434" t="s">
        <v>146</v>
      </c>
      <c r="M2434" t="s">
        <v>147</v>
      </c>
      <c r="N2434">
        <v>37.872788999999997</v>
      </c>
      <c r="O2434">
        <v>-109.313774</v>
      </c>
      <c r="P2434">
        <v>6810.8388370000002</v>
      </c>
      <c r="Q2434">
        <v>1291</v>
      </c>
      <c r="R2434">
        <v>0</v>
      </c>
    </row>
    <row r="2435" spans="1:18" x14ac:dyDescent="0.25">
      <c r="A2435">
        <v>2434</v>
      </c>
      <c r="B2435">
        <v>94</v>
      </c>
      <c r="C2435" t="e">
        <f>-JL5N8LLFBuT_kmMSGQXzV</f>
        <v>#NAME?</v>
      </c>
      <c r="D2435" t="s">
        <v>107</v>
      </c>
      <c r="E2435">
        <v>1.589</v>
      </c>
      <c r="F2435" t="s">
        <v>21</v>
      </c>
      <c r="G2435" t="s">
        <v>26</v>
      </c>
      <c r="H2435" t="s">
        <v>21</v>
      </c>
      <c r="I2435" t="s">
        <v>20</v>
      </c>
      <c r="J2435" t="s">
        <v>20</v>
      </c>
      <c r="K2435" t="s">
        <v>41</v>
      </c>
      <c r="L2435" t="s">
        <v>81</v>
      </c>
      <c r="M2435" t="s">
        <v>93</v>
      </c>
      <c r="N2435">
        <v>41.215702</v>
      </c>
      <c r="O2435">
        <v>-111.978972</v>
      </c>
      <c r="P2435">
        <v>4247.6451630000001</v>
      </c>
      <c r="Q2435">
        <v>413</v>
      </c>
      <c r="R2435">
        <v>0</v>
      </c>
    </row>
    <row r="2436" spans="1:18" x14ac:dyDescent="0.25">
      <c r="A2436">
        <v>2435</v>
      </c>
      <c r="B2436">
        <v>94</v>
      </c>
      <c r="C2436">
        <v>618757</v>
      </c>
      <c r="D2436" t="s">
        <v>47</v>
      </c>
      <c r="E2436">
        <v>1.591</v>
      </c>
      <c r="F2436" t="s">
        <v>21</v>
      </c>
      <c r="G2436" t="s">
        <v>26</v>
      </c>
      <c r="H2436" t="s">
        <v>21</v>
      </c>
      <c r="I2436" t="s">
        <v>20</v>
      </c>
      <c r="J2436" t="s">
        <v>20</v>
      </c>
      <c r="K2436" t="s">
        <v>31</v>
      </c>
      <c r="L2436" t="s">
        <v>48</v>
      </c>
      <c r="M2436" t="s">
        <v>49</v>
      </c>
      <c r="N2436">
        <v>40.544142999999998</v>
      </c>
      <c r="O2436">
        <v>-111.953632</v>
      </c>
      <c r="P2436">
        <v>4444.43696</v>
      </c>
      <c r="Q2436">
        <v>6715</v>
      </c>
      <c r="R2436">
        <v>0</v>
      </c>
    </row>
    <row r="2437" spans="1:18" x14ac:dyDescent="0.25">
      <c r="A2437">
        <v>2436</v>
      </c>
      <c r="B2437">
        <v>94</v>
      </c>
      <c r="C2437">
        <v>31439666</v>
      </c>
      <c r="D2437" t="s">
        <v>254</v>
      </c>
      <c r="E2437">
        <v>1.5920000000000001</v>
      </c>
      <c r="F2437" t="s">
        <v>21</v>
      </c>
      <c r="G2437" t="s">
        <v>26</v>
      </c>
      <c r="H2437" t="s">
        <v>21</v>
      </c>
      <c r="I2437" t="s">
        <v>20</v>
      </c>
      <c r="J2437" t="s">
        <v>20</v>
      </c>
      <c r="K2437" t="s">
        <v>41</v>
      </c>
      <c r="L2437" t="s">
        <v>255</v>
      </c>
      <c r="M2437" t="s">
        <v>204</v>
      </c>
      <c r="N2437">
        <v>41.268293999999997</v>
      </c>
      <c r="O2437">
        <v>-111.822981</v>
      </c>
      <c r="P2437">
        <v>4892.6761660000002</v>
      </c>
      <c r="Q2437">
        <v>1429</v>
      </c>
      <c r="R2437">
        <v>0</v>
      </c>
    </row>
    <row r="2438" spans="1:18" x14ac:dyDescent="0.25">
      <c r="A2438">
        <v>2437</v>
      </c>
      <c r="B2438">
        <v>94</v>
      </c>
      <c r="C2438">
        <v>31535155</v>
      </c>
      <c r="D2438" t="s">
        <v>53</v>
      </c>
      <c r="E2438">
        <v>1.5980000000000001</v>
      </c>
      <c r="F2438" t="s">
        <v>21</v>
      </c>
      <c r="G2438" t="s">
        <v>26</v>
      </c>
      <c r="H2438" t="s">
        <v>21</v>
      </c>
      <c r="I2438" t="s">
        <v>20</v>
      </c>
      <c r="J2438" t="s">
        <v>20</v>
      </c>
      <c r="K2438" t="s">
        <v>27</v>
      </c>
      <c r="L2438" t="s">
        <v>54</v>
      </c>
      <c r="M2438" t="s">
        <v>55</v>
      </c>
      <c r="N2438">
        <v>37.674213999999999</v>
      </c>
      <c r="O2438">
        <v>-113.068184</v>
      </c>
      <c r="P2438">
        <v>5782.7513509999999</v>
      </c>
      <c r="Q2438">
        <v>1285</v>
      </c>
      <c r="R2438">
        <v>0</v>
      </c>
    </row>
    <row r="2439" spans="1:18" x14ac:dyDescent="0.25">
      <c r="A2439">
        <v>2438</v>
      </c>
      <c r="B2439">
        <v>94</v>
      </c>
      <c r="C2439">
        <v>31191700</v>
      </c>
      <c r="D2439" t="s">
        <v>150</v>
      </c>
      <c r="E2439">
        <v>1.6</v>
      </c>
      <c r="F2439" t="s">
        <v>21</v>
      </c>
      <c r="G2439" t="s">
        <v>26</v>
      </c>
      <c r="H2439" t="s">
        <v>21</v>
      </c>
      <c r="I2439" t="s">
        <v>20</v>
      </c>
      <c r="J2439" t="s">
        <v>20</v>
      </c>
      <c r="K2439" t="s">
        <v>27</v>
      </c>
      <c r="L2439" t="s">
        <v>151</v>
      </c>
      <c r="M2439" t="s">
        <v>152</v>
      </c>
      <c r="N2439">
        <v>38.995496000000003</v>
      </c>
      <c r="O2439">
        <v>-110.162171</v>
      </c>
      <c r="P2439">
        <v>4000.9968370000001</v>
      </c>
      <c r="Q2439">
        <v>1336</v>
      </c>
      <c r="R2439">
        <v>0</v>
      </c>
    </row>
    <row r="2440" spans="1:18" x14ac:dyDescent="0.25">
      <c r="A2440">
        <v>2439</v>
      </c>
      <c r="B2440">
        <v>94</v>
      </c>
      <c r="C2440">
        <v>1151717</v>
      </c>
      <c r="D2440" t="s">
        <v>128</v>
      </c>
      <c r="E2440">
        <v>1.6</v>
      </c>
      <c r="F2440" t="s">
        <v>19</v>
      </c>
      <c r="G2440" t="s">
        <v>20</v>
      </c>
      <c r="H2440" t="s">
        <v>21</v>
      </c>
      <c r="I2440" t="s">
        <v>20</v>
      </c>
      <c r="J2440" t="s">
        <v>20</v>
      </c>
      <c r="K2440" t="s">
        <v>41</v>
      </c>
      <c r="L2440" t="s">
        <v>42</v>
      </c>
      <c r="M2440" t="s">
        <v>73</v>
      </c>
      <c r="N2440">
        <v>41.720742999999999</v>
      </c>
      <c r="O2440">
        <v>-111.859939</v>
      </c>
      <c r="P2440">
        <v>4420.0015130000002</v>
      </c>
      <c r="Q2440">
        <v>5943</v>
      </c>
      <c r="R2440">
        <v>0</v>
      </c>
    </row>
    <row r="2441" spans="1:18" x14ac:dyDescent="0.25">
      <c r="A2441">
        <v>2440</v>
      </c>
      <c r="B2441">
        <v>94</v>
      </c>
      <c r="C2441">
        <v>31289763</v>
      </c>
      <c r="D2441" t="s">
        <v>126</v>
      </c>
      <c r="E2441">
        <v>1.6020000000000001</v>
      </c>
      <c r="F2441" t="s">
        <v>21</v>
      </c>
      <c r="G2441" t="s">
        <v>26</v>
      </c>
      <c r="H2441" t="s">
        <v>21</v>
      </c>
      <c r="I2441" t="s">
        <v>20</v>
      </c>
      <c r="J2441" t="s">
        <v>20</v>
      </c>
      <c r="K2441" t="s">
        <v>41</v>
      </c>
      <c r="L2441" t="s">
        <v>57</v>
      </c>
      <c r="M2441" t="s">
        <v>93</v>
      </c>
      <c r="N2441">
        <v>41.214092000000001</v>
      </c>
      <c r="O2441">
        <v>-112.09291</v>
      </c>
      <c r="P2441">
        <v>4182.326051</v>
      </c>
      <c r="Q2441">
        <v>1412</v>
      </c>
      <c r="R2441">
        <v>0</v>
      </c>
    </row>
    <row r="2442" spans="1:18" x14ac:dyDescent="0.25">
      <c r="A2442">
        <v>2441</v>
      </c>
      <c r="B2442">
        <v>94</v>
      </c>
      <c r="C2442">
        <v>31511597</v>
      </c>
      <c r="D2442" t="s">
        <v>292</v>
      </c>
      <c r="E2442">
        <v>21.369</v>
      </c>
      <c r="F2442" t="s">
        <v>21</v>
      </c>
      <c r="G2442" t="s">
        <v>26</v>
      </c>
      <c r="H2442" t="s">
        <v>21</v>
      </c>
      <c r="I2442" t="s">
        <v>20</v>
      </c>
      <c r="J2442" t="s">
        <v>20</v>
      </c>
      <c r="K2442" t="s">
        <v>22</v>
      </c>
      <c r="L2442" t="s">
        <v>253</v>
      </c>
      <c r="M2442" t="s">
        <v>134</v>
      </c>
      <c r="N2442">
        <v>40.359290000000001</v>
      </c>
      <c r="O2442">
        <v>-110.28609899999999</v>
      </c>
      <c r="P2442">
        <v>6327.8502740000004</v>
      </c>
      <c r="Q2442">
        <v>323</v>
      </c>
      <c r="R2442">
        <v>0</v>
      </c>
    </row>
    <row r="2443" spans="1:18" x14ac:dyDescent="0.25">
      <c r="A2443">
        <v>2442</v>
      </c>
      <c r="B2443">
        <v>94</v>
      </c>
      <c r="C2443">
        <v>31435774</v>
      </c>
      <c r="D2443" t="s">
        <v>333</v>
      </c>
      <c r="E2443">
        <v>21.385000000000002</v>
      </c>
      <c r="F2443" t="s">
        <v>19</v>
      </c>
      <c r="G2443" t="s">
        <v>20</v>
      </c>
      <c r="H2443" t="s">
        <v>21</v>
      </c>
      <c r="I2443" t="s">
        <v>20</v>
      </c>
      <c r="J2443" t="s">
        <v>20</v>
      </c>
      <c r="K2443" t="s">
        <v>31</v>
      </c>
      <c r="L2443" t="s">
        <v>78</v>
      </c>
      <c r="M2443" t="s">
        <v>49</v>
      </c>
      <c r="N2443">
        <v>40.730865000000001</v>
      </c>
      <c r="O2443">
        <v>-111.987336</v>
      </c>
      <c r="P2443">
        <v>4183.0769689999997</v>
      </c>
      <c r="Q2443">
        <v>1426</v>
      </c>
      <c r="R2443">
        <v>0</v>
      </c>
    </row>
    <row r="2444" spans="1:18" x14ac:dyDescent="0.25">
      <c r="A2444">
        <v>2443</v>
      </c>
      <c r="B2444">
        <v>94</v>
      </c>
      <c r="C2444">
        <v>31473010</v>
      </c>
      <c r="D2444" t="s">
        <v>213</v>
      </c>
      <c r="E2444">
        <v>21.385999999999999</v>
      </c>
      <c r="F2444" t="s">
        <v>21</v>
      </c>
      <c r="G2444" t="s">
        <v>20</v>
      </c>
      <c r="H2444" t="s">
        <v>21</v>
      </c>
      <c r="I2444" t="s">
        <v>20</v>
      </c>
      <c r="J2444" t="s">
        <v>20</v>
      </c>
      <c r="K2444" t="s">
        <v>27</v>
      </c>
      <c r="L2444" t="s">
        <v>173</v>
      </c>
      <c r="M2444" t="s">
        <v>214</v>
      </c>
      <c r="N2444">
        <v>39.072781999999997</v>
      </c>
      <c r="O2444">
        <v>-113.664303</v>
      </c>
      <c r="P2444">
        <v>5988.3422849999997</v>
      </c>
      <c r="Q2444">
        <v>1332</v>
      </c>
      <c r="R2444">
        <v>0</v>
      </c>
    </row>
    <row r="2445" spans="1:18" x14ac:dyDescent="0.25">
      <c r="A2445">
        <v>2444</v>
      </c>
      <c r="B2445">
        <v>94</v>
      </c>
      <c r="C2445">
        <v>31720250</v>
      </c>
      <c r="D2445" t="s">
        <v>118</v>
      </c>
      <c r="E2445">
        <v>21.398</v>
      </c>
      <c r="F2445" t="s">
        <v>21</v>
      </c>
      <c r="G2445" t="s">
        <v>20</v>
      </c>
      <c r="H2445" t="s">
        <v>21</v>
      </c>
      <c r="I2445" t="s">
        <v>20</v>
      </c>
      <c r="J2445" t="s">
        <v>20</v>
      </c>
      <c r="K2445" t="s">
        <v>22</v>
      </c>
      <c r="L2445" t="s">
        <v>119</v>
      </c>
      <c r="M2445" t="s">
        <v>120</v>
      </c>
      <c r="N2445">
        <v>40.453223000000001</v>
      </c>
      <c r="O2445">
        <v>-111.372803</v>
      </c>
      <c r="P2445">
        <v>5939.6109660000002</v>
      </c>
      <c r="Q2445">
        <v>310</v>
      </c>
      <c r="R2445">
        <v>0</v>
      </c>
    </row>
    <row r="2446" spans="1:18" x14ac:dyDescent="0.25">
      <c r="A2446">
        <v>2445</v>
      </c>
      <c r="B2446">
        <v>94</v>
      </c>
      <c r="C2446">
        <v>31420260</v>
      </c>
      <c r="D2446" t="s">
        <v>221</v>
      </c>
      <c r="E2446">
        <v>21.408000000000001</v>
      </c>
      <c r="F2446" t="s">
        <v>21</v>
      </c>
      <c r="G2446" t="s">
        <v>20</v>
      </c>
      <c r="H2446" t="s">
        <v>21</v>
      </c>
      <c r="I2446" t="s">
        <v>20</v>
      </c>
      <c r="J2446" t="s">
        <v>20</v>
      </c>
      <c r="K2446" t="s">
        <v>22</v>
      </c>
      <c r="L2446" t="s">
        <v>155</v>
      </c>
      <c r="M2446" t="s">
        <v>174</v>
      </c>
      <c r="N2446">
        <v>39.443618999999998</v>
      </c>
      <c r="O2446">
        <v>-111.913714</v>
      </c>
      <c r="P2446">
        <v>5300.5288229999996</v>
      </c>
      <c r="Q2446">
        <v>1342</v>
      </c>
      <c r="R2446">
        <v>0</v>
      </c>
    </row>
    <row r="2447" spans="1:18" x14ac:dyDescent="0.25">
      <c r="A2447">
        <v>2446</v>
      </c>
      <c r="B2447">
        <v>94</v>
      </c>
      <c r="C2447">
        <v>31306553</v>
      </c>
      <c r="D2447" t="s">
        <v>203</v>
      </c>
      <c r="E2447">
        <v>21.436</v>
      </c>
      <c r="F2447" t="s">
        <v>21</v>
      </c>
      <c r="G2447" t="s">
        <v>26</v>
      </c>
      <c r="H2447" t="s">
        <v>21</v>
      </c>
      <c r="I2447" t="s">
        <v>20</v>
      </c>
      <c r="J2447" t="s">
        <v>20</v>
      </c>
      <c r="K2447" t="s">
        <v>41</v>
      </c>
      <c r="L2447" t="s">
        <v>255</v>
      </c>
      <c r="M2447" t="s">
        <v>204</v>
      </c>
      <c r="N2447">
        <v>41.261021</v>
      </c>
      <c r="O2447">
        <v>-111.72085800000001</v>
      </c>
      <c r="P2447">
        <v>4979.6043229999996</v>
      </c>
      <c r="Q2447">
        <v>1349</v>
      </c>
      <c r="R2447">
        <v>0</v>
      </c>
    </row>
    <row r="2448" spans="1:18" x14ac:dyDescent="0.25">
      <c r="A2448">
        <v>2447</v>
      </c>
      <c r="B2448">
        <v>94</v>
      </c>
      <c r="C2448">
        <v>31512058</v>
      </c>
      <c r="D2448" t="s">
        <v>292</v>
      </c>
      <c r="E2448">
        <v>21.442</v>
      </c>
      <c r="F2448" t="s">
        <v>21</v>
      </c>
      <c r="G2448" t="s">
        <v>26</v>
      </c>
      <c r="H2448" t="s">
        <v>21</v>
      </c>
      <c r="I2448" t="s">
        <v>20</v>
      </c>
      <c r="J2448" t="s">
        <v>20</v>
      </c>
      <c r="K2448" t="s">
        <v>22</v>
      </c>
      <c r="L2448" t="s">
        <v>253</v>
      </c>
      <c r="M2448" t="s">
        <v>134</v>
      </c>
      <c r="N2448">
        <v>40.359321000000001</v>
      </c>
      <c r="O2448">
        <v>-110.284704</v>
      </c>
      <c r="P2448">
        <v>6323.2108559999997</v>
      </c>
      <c r="Q2448">
        <v>323</v>
      </c>
      <c r="R2448">
        <v>0</v>
      </c>
    </row>
    <row r="2449" spans="1:18" x14ac:dyDescent="0.25">
      <c r="A2449">
        <v>2448</v>
      </c>
      <c r="B2449">
        <v>94</v>
      </c>
      <c r="C2449">
        <v>1566408</v>
      </c>
      <c r="D2449" t="s">
        <v>88</v>
      </c>
      <c r="E2449">
        <v>21.442</v>
      </c>
      <c r="F2449" t="s">
        <v>21</v>
      </c>
      <c r="G2449" t="s">
        <v>26</v>
      </c>
      <c r="H2449" t="s">
        <v>21</v>
      </c>
      <c r="I2449" t="s">
        <v>20</v>
      </c>
      <c r="J2449" t="s">
        <v>20</v>
      </c>
      <c r="K2449" t="s">
        <v>31</v>
      </c>
      <c r="L2449" t="s">
        <v>66</v>
      </c>
      <c r="M2449" t="s">
        <v>90</v>
      </c>
      <c r="N2449">
        <v>40.745711999999997</v>
      </c>
      <c r="O2449">
        <v>-111.871081</v>
      </c>
      <c r="P2449">
        <v>4221.4449439999999</v>
      </c>
      <c r="Q2449">
        <v>318</v>
      </c>
      <c r="R2449">
        <v>0</v>
      </c>
    </row>
    <row r="2450" spans="1:18" x14ac:dyDescent="0.25">
      <c r="A2450">
        <v>2449</v>
      </c>
      <c r="B2450">
        <v>94</v>
      </c>
      <c r="C2450">
        <v>31432288</v>
      </c>
      <c r="D2450" t="s">
        <v>345</v>
      </c>
      <c r="E2450">
        <v>21.445</v>
      </c>
      <c r="F2450" t="s">
        <v>21</v>
      </c>
      <c r="G2450" t="s">
        <v>26</v>
      </c>
      <c r="H2450" t="s">
        <v>21</v>
      </c>
      <c r="I2450" t="s">
        <v>20</v>
      </c>
      <c r="J2450" t="s">
        <v>20</v>
      </c>
      <c r="K2450" t="s">
        <v>27</v>
      </c>
      <c r="L2450" t="s">
        <v>75</v>
      </c>
      <c r="M2450" t="s">
        <v>76</v>
      </c>
      <c r="N2450">
        <v>38.83135</v>
      </c>
      <c r="O2450">
        <v>-111.98935299999999</v>
      </c>
      <c r="P2450">
        <v>5202.961123</v>
      </c>
      <c r="Q2450">
        <v>1403</v>
      </c>
      <c r="R2450">
        <v>0</v>
      </c>
    </row>
    <row r="2451" spans="1:18" x14ac:dyDescent="0.25">
      <c r="A2451">
        <v>2450</v>
      </c>
      <c r="B2451">
        <v>94</v>
      </c>
      <c r="C2451">
        <v>31826876</v>
      </c>
      <c r="D2451" t="s">
        <v>118</v>
      </c>
      <c r="E2451">
        <v>133.99299999999999</v>
      </c>
      <c r="F2451" t="s">
        <v>21</v>
      </c>
      <c r="G2451" t="s">
        <v>26</v>
      </c>
      <c r="H2451" t="s">
        <v>21</v>
      </c>
      <c r="I2451" t="s">
        <v>20</v>
      </c>
      <c r="J2451" t="s">
        <v>20</v>
      </c>
      <c r="K2451" t="s">
        <v>22</v>
      </c>
      <c r="L2451" t="s">
        <v>234</v>
      </c>
      <c r="M2451" t="s">
        <v>169</v>
      </c>
      <c r="N2451">
        <v>40.338000999999998</v>
      </c>
      <c r="O2451">
        <v>-109.631466</v>
      </c>
      <c r="P2451">
        <v>4936.6738750000004</v>
      </c>
      <c r="Q2451">
        <v>310</v>
      </c>
      <c r="R2451">
        <v>0</v>
      </c>
    </row>
    <row r="2452" spans="1:18" x14ac:dyDescent="0.25">
      <c r="A2452">
        <v>2451</v>
      </c>
      <c r="B2452">
        <v>94</v>
      </c>
      <c r="C2452" t="s">
        <v>509</v>
      </c>
      <c r="D2452" t="s">
        <v>213</v>
      </c>
      <c r="E2452">
        <v>134.58699999999999</v>
      </c>
      <c r="F2452" t="s">
        <v>21</v>
      </c>
      <c r="G2452" t="s">
        <v>20</v>
      </c>
      <c r="H2452" t="s">
        <v>21</v>
      </c>
      <c r="I2452" t="s">
        <v>20</v>
      </c>
      <c r="J2452" t="s">
        <v>20</v>
      </c>
      <c r="K2452" t="s">
        <v>22</v>
      </c>
      <c r="L2452" t="s">
        <v>193</v>
      </c>
      <c r="M2452" t="s">
        <v>214</v>
      </c>
      <c r="N2452">
        <v>39.889626999999997</v>
      </c>
      <c r="O2452">
        <v>-112.137996</v>
      </c>
      <c r="P2452">
        <v>5808.3585110000004</v>
      </c>
      <c r="Q2452">
        <v>1332</v>
      </c>
      <c r="R2452">
        <v>0</v>
      </c>
    </row>
    <row r="2453" spans="1:18" x14ac:dyDescent="0.25">
      <c r="A2453">
        <v>2452</v>
      </c>
      <c r="B2453">
        <v>94</v>
      </c>
      <c r="C2453" t="e">
        <f>-IoHVvohFVivn635zMeB2k</f>
        <v>#NAME?</v>
      </c>
      <c r="D2453" t="s">
        <v>272</v>
      </c>
      <c r="E2453">
        <v>134.80000000000001</v>
      </c>
      <c r="F2453" t="s">
        <v>21</v>
      </c>
      <c r="G2453" t="s">
        <v>26</v>
      </c>
      <c r="H2453" t="s">
        <v>21</v>
      </c>
      <c r="I2453" t="s">
        <v>20</v>
      </c>
      <c r="J2453" t="s">
        <v>20</v>
      </c>
      <c r="K2453" t="s">
        <v>27</v>
      </c>
      <c r="L2453" t="s">
        <v>247</v>
      </c>
      <c r="M2453" t="s">
        <v>214</v>
      </c>
      <c r="N2453">
        <v>37.876185999999997</v>
      </c>
      <c r="O2453">
        <v>-112.436868</v>
      </c>
      <c r="P2453">
        <v>6486.4383900000003</v>
      </c>
      <c r="Q2453">
        <v>1384</v>
      </c>
      <c r="R2453">
        <v>0</v>
      </c>
    </row>
    <row r="2454" spans="1:18" x14ac:dyDescent="0.25">
      <c r="A2454">
        <v>2453</v>
      </c>
      <c r="B2454">
        <v>94</v>
      </c>
      <c r="C2454">
        <v>31576125</v>
      </c>
      <c r="D2454" t="s">
        <v>213</v>
      </c>
      <c r="E2454">
        <v>135.089</v>
      </c>
      <c r="F2454" t="s">
        <v>21</v>
      </c>
      <c r="G2454" t="s">
        <v>26</v>
      </c>
      <c r="H2454" t="s">
        <v>21</v>
      </c>
      <c r="I2454" t="s">
        <v>20</v>
      </c>
      <c r="J2454" t="s">
        <v>20</v>
      </c>
      <c r="K2454" t="s">
        <v>22</v>
      </c>
      <c r="L2454" t="s">
        <v>193</v>
      </c>
      <c r="M2454" t="s">
        <v>214</v>
      </c>
      <c r="N2454">
        <v>39.896890999999997</v>
      </c>
      <c r="O2454">
        <v>-112.137973</v>
      </c>
      <c r="P2454">
        <v>5885.2767180000001</v>
      </c>
      <c r="Q2454">
        <v>1332</v>
      </c>
      <c r="R2454">
        <v>0</v>
      </c>
    </row>
    <row r="2455" spans="1:18" x14ac:dyDescent="0.25">
      <c r="A2455">
        <v>2454</v>
      </c>
      <c r="B2455">
        <v>94</v>
      </c>
      <c r="C2455">
        <v>31486562</v>
      </c>
      <c r="D2455" t="s">
        <v>288</v>
      </c>
      <c r="E2455">
        <v>135.44399999999999</v>
      </c>
      <c r="F2455" t="s">
        <v>21</v>
      </c>
      <c r="G2455" t="s">
        <v>26</v>
      </c>
      <c r="H2455" t="s">
        <v>21</v>
      </c>
      <c r="I2455" t="s">
        <v>20</v>
      </c>
      <c r="J2455" t="s">
        <v>20</v>
      </c>
      <c r="K2455" t="s">
        <v>27</v>
      </c>
      <c r="L2455" t="s">
        <v>38</v>
      </c>
      <c r="M2455" t="s">
        <v>152</v>
      </c>
      <c r="N2455">
        <v>38.656157999999998</v>
      </c>
      <c r="O2455">
        <v>-109.676847</v>
      </c>
      <c r="P2455">
        <v>4505.9630100000004</v>
      </c>
      <c r="Q2455">
        <v>350</v>
      </c>
      <c r="R2455">
        <v>0</v>
      </c>
    </row>
    <row r="2456" spans="1:18" x14ac:dyDescent="0.25">
      <c r="A2456">
        <v>2455</v>
      </c>
      <c r="B2456">
        <v>94</v>
      </c>
      <c r="C2456" t="e">
        <f>-JObpE7rHg5GLNyX7MsQjV</f>
        <v>#NAME?</v>
      </c>
      <c r="D2456" t="s">
        <v>244</v>
      </c>
      <c r="E2456">
        <v>135.46</v>
      </c>
      <c r="F2456" t="s">
        <v>21</v>
      </c>
      <c r="G2456" t="s">
        <v>26</v>
      </c>
      <c r="H2456" t="s">
        <v>21</v>
      </c>
      <c r="I2456" t="s">
        <v>20</v>
      </c>
      <c r="J2456" t="s">
        <v>20</v>
      </c>
      <c r="K2456" t="s">
        <v>27</v>
      </c>
      <c r="L2456" t="s">
        <v>122</v>
      </c>
      <c r="M2456" t="s">
        <v>270</v>
      </c>
      <c r="N2456">
        <v>38.623309999999996</v>
      </c>
      <c r="O2456">
        <v>-110.57118699999999</v>
      </c>
      <c r="P2456">
        <v>4947.1481030000004</v>
      </c>
      <c r="Q2456">
        <v>1340</v>
      </c>
      <c r="R2456">
        <v>0</v>
      </c>
    </row>
    <row r="2457" spans="1:18" x14ac:dyDescent="0.25">
      <c r="A2457">
        <v>2456</v>
      </c>
      <c r="B2457">
        <v>94</v>
      </c>
      <c r="C2457" t="s">
        <v>510</v>
      </c>
      <c r="D2457" t="s">
        <v>272</v>
      </c>
      <c r="E2457">
        <v>135.55000000000001</v>
      </c>
      <c r="F2457" t="s">
        <v>21</v>
      </c>
      <c r="G2457" t="s">
        <v>20</v>
      </c>
      <c r="H2457" t="s">
        <v>21</v>
      </c>
      <c r="I2457" t="s">
        <v>20</v>
      </c>
      <c r="J2457" t="s">
        <v>20</v>
      </c>
      <c r="K2457" t="s">
        <v>27</v>
      </c>
      <c r="L2457" t="s">
        <v>247</v>
      </c>
      <c r="M2457" t="s">
        <v>214</v>
      </c>
      <c r="N2457">
        <v>37.887017</v>
      </c>
      <c r="O2457">
        <v>-112.435693</v>
      </c>
      <c r="P2457">
        <v>6466.3515479999996</v>
      </c>
      <c r="Q2457">
        <v>1384</v>
      </c>
      <c r="R2457">
        <v>0</v>
      </c>
    </row>
    <row r="2458" spans="1:18" x14ac:dyDescent="0.25">
      <c r="A2458">
        <v>2457</v>
      </c>
      <c r="B2458">
        <v>94</v>
      </c>
      <c r="C2458" t="s">
        <v>511</v>
      </c>
      <c r="D2458" t="s">
        <v>284</v>
      </c>
      <c r="E2458">
        <v>15.851000000000001</v>
      </c>
      <c r="F2458" t="s">
        <v>21</v>
      </c>
      <c r="G2458" t="s">
        <v>20</v>
      </c>
      <c r="H2458" t="s">
        <v>21</v>
      </c>
      <c r="I2458" t="s">
        <v>20</v>
      </c>
      <c r="J2458" t="s">
        <v>20</v>
      </c>
      <c r="K2458" t="s">
        <v>31</v>
      </c>
      <c r="L2458" t="s">
        <v>285</v>
      </c>
      <c r="M2458" t="s">
        <v>206</v>
      </c>
      <c r="N2458">
        <v>40.454712999999998</v>
      </c>
      <c r="O2458">
        <v>-112.747868</v>
      </c>
      <c r="P2458">
        <v>4402.0205729999998</v>
      </c>
      <c r="Q2458">
        <v>407</v>
      </c>
      <c r="R2458">
        <v>0</v>
      </c>
    </row>
    <row r="2459" spans="1:18" x14ac:dyDescent="0.25">
      <c r="A2459">
        <v>2458</v>
      </c>
      <c r="B2459">
        <v>94</v>
      </c>
      <c r="C2459">
        <v>31532658</v>
      </c>
      <c r="D2459" t="s">
        <v>121</v>
      </c>
      <c r="E2459">
        <v>15.853999999999999</v>
      </c>
      <c r="F2459" t="s">
        <v>21</v>
      </c>
      <c r="G2459" t="s">
        <v>26</v>
      </c>
      <c r="H2459" t="s">
        <v>21</v>
      </c>
      <c r="I2459" t="s">
        <v>20</v>
      </c>
      <c r="J2459" t="s">
        <v>20</v>
      </c>
      <c r="K2459" t="s">
        <v>27</v>
      </c>
      <c r="L2459" t="s">
        <v>122</v>
      </c>
      <c r="M2459" t="s">
        <v>123</v>
      </c>
      <c r="N2459">
        <v>37.820301999999998</v>
      </c>
      <c r="O2459">
        <v>-110.61168600000001</v>
      </c>
      <c r="P2459">
        <v>4985.8146930000003</v>
      </c>
      <c r="Q2459">
        <v>1283</v>
      </c>
      <c r="R2459">
        <v>0</v>
      </c>
    </row>
    <row r="2460" spans="1:18" x14ac:dyDescent="0.25">
      <c r="A2460">
        <v>2459</v>
      </c>
      <c r="B2460">
        <v>94</v>
      </c>
      <c r="C2460">
        <v>31371698</v>
      </c>
      <c r="D2460" t="s">
        <v>199</v>
      </c>
      <c r="E2460">
        <v>15.867000000000001</v>
      </c>
      <c r="F2460" t="s">
        <v>21</v>
      </c>
      <c r="G2460" t="s">
        <v>20</v>
      </c>
      <c r="H2460" t="s">
        <v>21</v>
      </c>
      <c r="I2460" t="s">
        <v>20</v>
      </c>
      <c r="J2460" t="s">
        <v>20</v>
      </c>
      <c r="K2460" t="s">
        <v>27</v>
      </c>
      <c r="L2460" t="s">
        <v>103</v>
      </c>
      <c r="M2460" t="s">
        <v>200</v>
      </c>
      <c r="N2460">
        <v>38.303415000000001</v>
      </c>
      <c r="O2460">
        <v>-112.425994</v>
      </c>
      <c r="P2460">
        <v>8497.4736780000003</v>
      </c>
      <c r="Q2460">
        <v>341</v>
      </c>
      <c r="R2460">
        <v>0</v>
      </c>
    </row>
    <row r="2461" spans="1:18" x14ac:dyDescent="0.25">
      <c r="A2461">
        <v>2460</v>
      </c>
      <c r="B2461">
        <v>94</v>
      </c>
      <c r="C2461">
        <v>31417250</v>
      </c>
      <c r="D2461" t="s">
        <v>221</v>
      </c>
      <c r="E2461">
        <v>15.875</v>
      </c>
      <c r="F2461" t="s">
        <v>21</v>
      </c>
      <c r="G2461" t="s">
        <v>20</v>
      </c>
      <c r="H2461" t="s">
        <v>21</v>
      </c>
      <c r="I2461" t="s">
        <v>20</v>
      </c>
      <c r="J2461" t="s">
        <v>20</v>
      </c>
      <c r="K2461" t="s">
        <v>27</v>
      </c>
      <c r="L2461" t="s">
        <v>350</v>
      </c>
      <c r="M2461" t="s">
        <v>174</v>
      </c>
      <c r="N2461">
        <v>39.364936</v>
      </c>
      <c r="O2461">
        <v>-111.929793</v>
      </c>
      <c r="P2461">
        <v>5113.9422880000002</v>
      </c>
      <c r="Q2461">
        <v>1342</v>
      </c>
      <c r="R2461">
        <v>0</v>
      </c>
    </row>
    <row r="2462" spans="1:18" x14ac:dyDescent="0.25">
      <c r="A2462">
        <v>2461</v>
      </c>
      <c r="B2462">
        <v>94</v>
      </c>
      <c r="C2462">
        <v>31461384</v>
      </c>
      <c r="D2462" t="s">
        <v>91</v>
      </c>
      <c r="E2462">
        <v>15.891</v>
      </c>
      <c r="F2462" t="s">
        <v>21</v>
      </c>
      <c r="G2462" t="s">
        <v>26</v>
      </c>
      <c r="H2462" t="s">
        <v>21</v>
      </c>
      <c r="I2462" t="s">
        <v>20</v>
      </c>
      <c r="J2462" t="s">
        <v>20</v>
      </c>
      <c r="K2462" t="s">
        <v>41</v>
      </c>
      <c r="L2462" t="s">
        <v>42</v>
      </c>
      <c r="M2462" t="s">
        <v>73</v>
      </c>
      <c r="N2462">
        <v>41.832749</v>
      </c>
      <c r="O2462">
        <v>-112.003089</v>
      </c>
      <c r="P2462">
        <v>4397.7792840000002</v>
      </c>
      <c r="Q2462">
        <v>1339</v>
      </c>
      <c r="R2462">
        <v>0</v>
      </c>
    </row>
    <row r="2463" spans="1:18" x14ac:dyDescent="0.25">
      <c r="A2463">
        <v>2462</v>
      </c>
      <c r="B2463">
        <v>94</v>
      </c>
      <c r="C2463">
        <v>31348995</v>
      </c>
      <c r="D2463" t="s">
        <v>333</v>
      </c>
      <c r="E2463">
        <v>15.926</v>
      </c>
      <c r="F2463" t="s">
        <v>19</v>
      </c>
      <c r="G2463" t="s">
        <v>20</v>
      </c>
      <c r="H2463" t="s">
        <v>19</v>
      </c>
      <c r="I2463">
        <v>173</v>
      </c>
      <c r="J2463" t="s">
        <v>20</v>
      </c>
      <c r="K2463" t="s">
        <v>31</v>
      </c>
      <c r="L2463" t="s">
        <v>48</v>
      </c>
      <c r="M2463" t="s">
        <v>49</v>
      </c>
      <c r="N2463">
        <v>40.653030000000001</v>
      </c>
      <c r="O2463">
        <v>-111.981364</v>
      </c>
      <c r="P2463">
        <v>4492.1686079999999</v>
      </c>
      <c r="Q2463">
        <v>1426</v>
      </c>
      <c r="R2463">
        <v>0</v>
      </c>
    </row>
    <row r="2464" spans="1:18" x14ac:dyDescent="0.25">
      <c r="A2464">
        <v>2463</v>
      </c>
      <c r="B2464">
        <v>94</v>
      </c>
      <c r="C2464">
        <v>31710967</v>
      </c>
      <c r="D2464" t="s">
        <v>118</v>
      </c>
      <c r="E2464">
        <v>15.926</v>
      </c>
      <c r="F2464" t="s">
        <v>21</v>
      </c>
      <c r="G2464" t="s">
        <v>26</v>
      </c>
      <c r="H2464" t="s">
        <v>21</v>
      </c>
      <c r="I2464" t="s">
        <v>20</v>
      </c>
      <c r="J2464" t="s">
        <v>20</v>
      </c>
      <c r="K2464" t="s">
        <v>22</v>
      </c>
      <c r="L2464" t="s">
        <v>35</v>
      </c>
      <c r="M2464" t="s">
        <v>120</v>
      </c>
      <c r="N2464">
        <v>40.521832000000003</v>
      </c>
      <c r="O2464">
        <v>-111.410788</v>
      </c>
      <c r="P2464">
        <v>5533.5136490000004</v>
      </c>
      <c r="Q2464">
        <v>310</v>
      </c>
      <c r="R2464">
        <v>0</v>
      </c>
    </row>
    <row r="2465" spans="1:18" x14ac:dyDescent="0.25">
      <c r="A2465">
        <v>2464</v>
      </c>
      <c r="B2465">
        <v>94</v>
      </c>
      <c r="C2465">
        <v>31430473</v>
      </c>
      <c r="D2465" t="s">
        <v>345</v>
      </c>
      <c r="E2465">
        <v>15.928000000000001</v>
      </c>
      <c r="F2465" t="s">
        <v>21</v>
      </c>
      <c r="G2465" t="s">
        <v>26</v>
      </c>
      <c r="H2465" t="s">
        <v>21</v>
      </c>
      <c r="I2465" t="s">
        <v>20</v>
      </c>
      <c r="J2465" t="s">
        <v>20</v>
      </c>
      <c r="K2465" t="s">
        <v>27</v>
      </c>
      <c r="L2465" t="s">
        <v>75</v>
      </c>
      <c r="M2465" t="s">
        <v>76</v>
      </c>
      <c r="N2465">
        <v>38.777087000000002</v>
      </c>
      <c r="O2465">
        <v>-112.06431600000001</v>
      </c>
      <c r="P2465">
        <v>5232.5395559999997</v>
      </c>
      <c r="Q2465">
        <v>1403</v>
      </c>
      <c r="R2465">
        <v>0</v>
      </c>
    </row>
    <row r="2466" spans="1:18" x14ac:dyDescent="0.25">
      <c r="A2466">
        <v>2465</v>
      </c>
      <c r="B2466">
        <v>94</v>
      </c>
      <c r="C2466">
        <v>27703190</v>
      </c>
      <c r="D2466" t="s">
        <v>217</v>
      </c>
      <c r="E2466">
        <v>15.939</v>
      </c>
      <c r="F2466" t="s">
        <v>21</v>
      </c>
      <c r="G2466" t="s">
        <v>20</v>
      </c>
      <c r="H2466" t="s">
        <v>21</v>
      </c>
      <c r="I2466" t="s">
        <v>20</v>
      </c>
      <c r="J2466" t="s">
        <v>20</v>
      </c>
      <c r="K2466" t="s">
        <v>27</v>
      </c>
      <c r="L2466" t="s">
        <v>162</v>
      </c>
      <c r="M2466" t="s">
        <v>163</v>
      </c>
      <c r="N2466">
        <v>37.287849000000001</v>
      </c>
      <c r="O2466">
        <v>-113.657982</v>
      </c>
      <c r="P2466">
        <v>4625.7722430000003</v>
      </c>
      <c r="Q2466">
        <v>304</v>
      </c>
      <c r="R2466">
        <v>0</v>
      </c>
    </row>
    <row r="2467" spans="1:18" x14ac:dyDescent="0.25">
      <c r="A2467">
        <v>2466</v>
      </c>
      <c r="B2467">
        <v>94</v>
      </c>
      <c r="C2467">
        <v>31743871</v>
      </c>
      <c r="D2467" t="s">
        <v>336</v>
      </c>
      <c r="E2467">
        <v>15.972</v>
      </c>
      <c r="F2467" t="s">
        <v>21</v>
      </c>
      <c r="G2467" t="s">
        <v>20</v>
      </c>
      <c r="H2467" t="s">
        <v>21</v>
      </c>
      <c r="I2467" t="s">
        <v>20</v>
      </c>
      <c r="J2467" t="s">
        <v>20</v>
      </c>
      <c r="K2467" t="s">
        <v>31</v>
      </c>
      <c r="L2467" t="s">
        <v>32</v>
      </c>
      <c r="M2467" t="s">
        <v>33</v>
      </c>
      <c r="N2467">
        <v>40.604790999999999</v>
      </c>
      <c r="O2467">
        <v>-111.581738</v>
      </c>
      <c r="P2467">
        <v>8662.1780130000006</v>
      </c>
      <c r="Q2467">
        <v>404</v>
      </c>
      <c r="R2467">
        <v>0</v>
      </c>
    </row>
    <row r="2468" spans="1:18" x14ac:dyDescent="0.25">
      <c r="A2468">
        <v>2467</v>
      </c>
      <c r="B2468">
        <v>94</v>
      </c>
      <c r="C2468">
        <v>28563091</v>
      </c>
      <c r="D2468" t="s">
        <v>323</v>
      </c>
      <c r="E2468">
        <v>15.975</v>
      </c>
      <c r="F2468" t="s">
        <v>21</v>
      </c>
      <c r="G2468" t="s">
        <v>26</v>
      </c>
      <c r="H2468" t="s">
        <v>21</v>
      </c>
      <c r="I2468" t="s">
        <v>20</v>
      </c>
      <c r="J2468" t="s">
        <v>20</v>
      </c>
      <c r="K2468" t="s">
        <v>31</v>
      </c>
      <c r="L2468" t="s">
        <v>130</v>
      </c>
      <c r="M2468" t="s">
        <v>131</v>
      </c>
      <c r="N2468">
        <v>40.691279000000002</v>
      </c>
      <c r="O2468">
        <v>-111.28102</v>
      </c>
      <c r="P2468">
        <v>6409.9114099999997</v>
      </c>
      <c r="Q2468">
        <v>1345</v>
      </c>
      <c r="R2468">
        <v>0</v>
      </c>
    </row>
    <row r="2469" spans="1:18" x14ac:dyDescent="0.25">
      <c r="A2469">
        <v>2468</v>
      </c>
      <c r="B2469">
        <v>94</v>
      </c>
      <c r="C2469">
        <v>31315445</v>
      </c>
      <c r="D2469" t="s">
        <v>347</v>
      </c>
      <c r="E2469">
        <v>15.98</v>
      </c>
      <c r="F2469" t="s">
        <v>21</v>
      </c>
      <c r="G2469" t="s">
        <v>26</v>
      </c>
      <c r="H2469" t="s">
        <v>21</v>
      </c>
      <c r="I2469" t="s">
        <v>20</v>
      </c>
      <c r="J2469" t="s">
        <v>20</v>
      </c>
      <c r="K2469" t="s">
        <v>41</v>
      </c>
      <c r="L2469" t="s">
        <v>325</v>
      </c>
      <c r="M2469" t="s">
        <v>204</v>
      </c>
      <c r="N2469">
        <v>41.598785999999997</v>
      </c>
      <c r="O2469">
        <v>-111.174806</v>
      </c>
      <c r="P2469">
        <v>6247.9857300000003</v>
      </c>
      <c r="Q2469">
        <v>1334</v>
      </c>
      <c r="R2469">
        <v>0</v>
      </c>
    </row>
    <row r="2470" spans="1:18" x14ac:dyDescent="0.25">
      <c r="A2470">
        <v>2469</v>
      </c>
      <c r="B2470">
        <v>94</v>
      </c>
      <c r="C2470" t="e">
        <f>-IpPh_o6GSaMo1jVoP2fIk</f>
        <v>#NAME?</v>
      </c>
      <c r="D2470" t="s">
        <v>317</v>
      </c>
      <c r="E2470">
        <v>15.989000000000001</v>
      </c>
      <c r="F2470" t="s">
        <v>21</v>
      </c>
      <c r="G2470" t="s">
        <v>20</v>
      </c>
      <c r="H2470" t="s">
        <v>21</v>
      </c>
      <c r="I2470" t="s">
        <v>20</v>
      </c>
      <c r="J2470" t="s">
        <v>20</v>
      </c>
      <c r="K2470" t="s">
        <v>27</v>
      </c>
      <c r="L2470" t="s">
        <v>211</v>
      </c>
      <c r="M2470" t="s">
        <v>212</v>
      </c>
      <c r="N2470">
        <v>37.119872000000001</v>
      </c>
      <c r="O2470">
        <v>-109.943158</v>
      </c>
      <c r="P2470">
        <v>5016.833208</v>
      </c>
      <c r="Q2470">
        <v>1432</v>
      </c>
      <c r="R2470">
        <v>0</v>
      </c>
    </row>
    <row r="2471" spans="1:18" x14ac:dyDescent="0.25">
      <c r="A2471">
        <v>2470</v>
      </c>
      <c r="B2471">
        <v>94</v>
      </c>
      <c r="C2471" t="e">
        <f>-Iore1sPGWeyerRqDtRSVF</f>
        <v>#NAME?</v>
      </c>
      <c r="D2471" t="s">
        <v>91</v>
      </c>
      <c r="E2471">
        <v>15.989000000000001</v>
      </c>
      <c r="F2471" t="s">
        <v>21</v>
      </c>
      <c r="G2471" t="s">
        <v>26</v>
      </c>
      <c r="H2471" t="s">
        <v>21</v>
      </c>
      <c r="I2471" t="s">
        <v>20</v>
      </c>
      <c r="J2471" t="s">
        <v>20</v>
      </c>
      <c r="K2471" t="s">
        <v>41</v>
      </c>
      <c r="L2471" t="s">
        <v>42</v>
      </c>
      <c r="M2471" t="s">
        <v>73</v>
      </c>
      <c r="N2471">
        <v>41.8337</v>
      </c>
      <c r="O2471">
        <v>-112.00443300000001</v>
      </c>
      <c r="P2471">
        <v>4406.0653220000004</v>
      </c>
      <c r="Q2471">
        <v>1339</v>
      </c>
      <c r="R2471">
        <v>0</v>
      </c>
    </row>
    <row r="2472" spans="1:18" x14ac:dyDescent="0.25">
      <c r="A2472">
        <v>2471</v>
      </c>
      <c r="B2472">
        <v>94</v>
      </c>
      <c r="C2472">
        <v>31415650</v>
      </c>
      <c r="D2472" t="s">
        <v>345</v>
      </c>
      <c r="E2472">
        <v>14.525</v>
      </c>
      <c r="F2472" t="s">
        <v>21</v>
      </c>
      <c r="G2472" t="s">
        <v>26</v>
      </c>
      <c r="H2472" t="s">
        <v>21</v>
      </c>
      <c r="I2472" t="s">
        <v>20</v>
      </c>
      <c r="J2472" t="s">
        <v>20</v>
      </c>
      <c r="K2472" t="s">
        <v>27</v>
      </c>
      <c r="L2472" t="s">
        <v>75</v>
      </c>
      <c r="M2472" t="s">
        <v>76</v>
      </c>
      <c r="N2472">
        <v>38.747582000000001</v>
      </c>
      <c r="O2472">
        <v>-112.08890599999999</v>
      </c>
      <c r="P2472">
        <v>5217.0309610000004</v>
      </c>
      <c r="Q2472">
        <v>1403</v>
      </c>
      <c r="R2472">
        <v>0</v>
      </c>
    </row>
    <row r="2473" spans="1:18" x14ac:dyDescent="0.25">
      <c r="A2473">
        <v>2472</v>
      </c>
      <c r="B2473">
        <v>94</v>
      </c>
      <c r="C2473">
        <v>31345518</v>
      </c>
      <c r="D2473" t="s">
        <v>333</v>
      </c>
      <c r="E2473">
        <v>14.754</v>
      </c>
      <c r="F2473" t="s">
        <v>19</v>
      </c>
      <c r="G2473" t="s">
        <v>20</v>
      </c>
      <c r="H2473" t="s">
        <v>21</v>
      </c>
      <c r="I2473" t="s">
        <v>20</v>
      </c>
      <c r="J2473" t="s">
        <v>20</v>
      </c>
      <c r="K2473" t="s">
        <v>31</v>
      </c>
      <c r="L2473" t="s">
        <v>48</v>
      </c>
      <c r="M2473" t="s">
        <v>49</v>
      </c>
      <c r="N2473">
        <v>40.636597000000002</v>
      </c>
      <c r="O2473">
        <v>-111.97666100000001</v>
      </c>
      <c r="P2473">
        <v>4476.7610109999996</v>
      </c>
      <c r="Q2473">
        <v>1426</v>
      </c>
      <c r="R2473">
        <v>0</v>
      </c>
    </row>
    <row r="2474" spans="1:18" x14ac:dyDescent="0.25">
      <c r="A2474">
        <v>2473</v>
      </c>
      <c r="B2474">
        <v>94</v>
      </c>
      <c r="C2474">
        <v>31528321</v>
      </c>
      <c r="D2474" t="s">
        <v>390</v>
      </c>
      <c r="E2474">
        <v>16.045000000000002</v>
      </c>
      <c r="F2474" t="s">
        <v>21</v>
      </c>
      <c r="G2474" t="s">
        <v>20</v>
      </c>
      <c r="H2474" t="s">
        <v>21</v>
      </c>
      <c r="I2474" t="s">
        <v>20</v>
      </c>
      <c r="J2474" t="s">
        <v>20</v>
      </c>
      <c r="K2474" t="s">
        <v>22</v>
      </c>
      <c r="L2474" t="s">
        <v>60</v>
      </c>
      <c r="M2474" t="s">
        <v>335</v>
      </c>
      <c r="N2474">
        <v>40.433073999999998</v>
      </c>
      <c r="O2474">
        <v>-111.63618700000001</v>
      </c>
      <c r="P2474">
        <v>7204.408222</v>
      </c>
      <c r="Q2474">
        <v>1386</v>
      </c>
      <c r="R2474">
        <v>0</v>
      </c>
    </row>
    <row r="2475" spans="1:18" x14ac:dyDescent="0.25">
      <c r="A2475">
        <v>2474</v>
      </c>
      <c r="B2475">
        <v>94</v>
      </c>
      <c r="C2475">
        <v>2592059</v>
      </c>
      <c r="D2475" t="s">
        <v>176</v>
      </c>
      <c r="E2475">
        <v>16.050999999999998</v>
      </c>
      <c r="F2475" t="s">
        <v>21</v>
      </c>
      <c r="G2475" t="s">
        <v>26</v>
      </c>
      <c r="H2475" t="s">
        <v>21</v>
      </c>
      <c r="I2475" t="s">
        <v>20</v>
      </c>
      <c r="J2475" t="s">
        <v>20</v>
      </c>
      <c r="K2475" t="s">
        <v>41</v>
      </c>
      <c r="L2475" t="s">
        <v>181</v>
      </c>
      <c r="M2475" t="s">
        <v>178</v>
      </c>
      <c r="N2475">
        <v>41.652414999999998</v>
      </c>
      <c r="O2475">
        <v>-112.139875</v>
      </c>
      <c r="P2475">
        <v>4220.572741</v>
      </c>
      <c r="Q2475">
        <v>1329</v>
      </c>
      <c r="R2475">
        <v>0</v>
      </c>
    </row>
    <row r="2476" spans="1:18" x14ac:dyDescent="0.25">
      <c r="A2476">
        <v>2475</v>
      </c>
      <c r="B2476">
        <v>94</v>
      </c>
      <c r="C2476">
        <v>28155238</v>
      </c>
      <c r="D2476" t="s">
        <v>239</v>
      </c>
      <c r="E2476">
        <v>16.053999999999998</v>
      </c>
      <c r="F2476" t="s">
        <v>21</v>
      </c>
      <c r="G2476" t="s">
        <v>26</v>
      </c>
      <c r="H2476" t="s">
        <v>21</v>
      </c>
      <c r="I2476" t="s">
        <v>20</v>
      </c>
      <c r="J2476" t="s">
        <v>20</v>
      </c>
      <c r="K2476" t="s">
        <v>41</v>
      </c>
      <c r="L2476" t="s">
        <v>181</v>
      </c>
      <c r="M2476" t="s">
        <v>178</v>
      </c>
      <c r="N2476">
        <v>41.711654000000003</v>
      </c>
      <c r="O2476">
        <v>-112.170181</v>
      </c>
      <c r="P2476">
        <v>4269.3100780000004</v>
      </c>
      <c r="Q2476">
        <v>1392</v>
      </c>
      <c r="R2476">
        <v>0</v>
      </c>
    </row>
    <row r="2477" spans="1:18" x14ac:dyDescent="0.25">
      <c r="A2477">
        <v>2476</v>
      </c>
      <c r="B2477">
        <v>94</v>
      </c>
      <c r="C2477">
        <v>31351228</v>
      </c>
      <c r="D2477" t="s">
        <v>333</v>
      </c>
      <c r="E2477">
        <v>16.056999999999999</v>
      </c>
      <c r="F2477" t="s">
        <v>19</v>
      </c>
      <c r="G2477" t="s">
        <v>20</v>
      </c>
      <c r="H2477" t="s">
        <v>21</v>
      </c>
      <c r="I2477" t="s">
        <v>20</v>
      </c>
      <c r="J2477" t="s">
        <v>20</v>
      </c>
      <c r="K2477" t="s">
        <v>31</v>
      </c>
      <c r="L2477" t="s">
        <v>78</v>
      </c>
      <c r="M2477" t="s">
        <v>49</v>
      </c>
      <c r="N2477">
        <v>40.654851000000001</v>
      </c>
      <c r="O2477">
        <v>-111.982011</v>
      </c>
      <c r="P2477">
        <v>4478.7186659999998</v>
      </c>
      <c r="Q2477">
        <v>1426</v>
      </c>
      <c r="R2477">
        <v>0</v>
      </c>
    </row>
    <row r="2478" spans="1:18" x14ac:dyDescent="0.25">
      <c r="A2478">
        <v>2477</v>
      </c>
      <c r="B2478">
        <v>94</v>
      </c>
      <c r="C2478">
        <v>31743893</v>
      </c>
      <c r="D2478" t="s">
        <v>336</v>
      </c>
      <c r="E2478">
        <v>16.065999999999999</v>
      </c>
      <c r="F2478" t="s">
        <v>21</v>
      </c>
      <c r="G2478" t="s">
        <v>20</v>
      </c>
      <c r="H2478" t="s">
        <v>21</v>
      </c>
      <c r="I2478" t="s">
        <v>20</v>
      </c>
      <c r="J2478" t="s">
        <v>20</v>
      </c>
      <c r="K2478" t="s">
        <v>31</v>
      </c>
      <c r="L2478" t="s">
        <v>32</v>
      </c>
      <c r="M2478" t="s">
        <v>33</v>
      </c>
      <c r="N2478">
        <v>40.603563999999999</v>
      </c>
      <c r="O2478">
        <v>-111.58268099999999</v>
      </c>
      <c r="P2478">
        <v>8667.5350209999997</v>
      </c>
      <c r="Q2478">
        <v>404</v>
      </c>
      <c r="R2478">
        <v>0</v>
      </c>
    </row>
    <row r="2479" spans="1:18" x14ac:dyDescent="0.25">
      <c r="A2479">
        <v>2478</v>
      </c>
      <c r="B2479">
        <v>94</v>
      </c>
      <c r="C2479">
        <v>31764782</v>
      </c>
      <c r="D2479" t="s">
        <v>268</v>
      </c>
      <c r="E2479">
        <v>16.091999999999999</v>
      </c>
      <c r="F2479" t="s">
        <v>21</v>
      </c>
      <c r="G2479" t="s">
        <v>20</v>
      </c>
      <c r="H2479" t="s">
        <v>21</v>
      </c>
      <c r="I2479" t="s">
        <v>20</v>
      </c>
      <c r="J2479" t="s">
        <v>20</v>
      </c>
      <c r="K2479" t="s">
        <v>41</v>
      </c>
      <c r="L2479" t="s">
        <v>181</v>
      </c>
      <c r="M2479" t="s">
        <v>43</v>
      </c>
      <c r="N2479">
        <v>41.631363999999998</v>
      </c>
      <c r="O2479">
        <v>-112.418902</v>
      </c>
      <c r="P2479">
        <v>4225.1304330000003</v>
      </c>
      <c r="Q2479">
        <v>1380</v>
      </c>
      <c r="R2479">
        <v>0</v>
      </c>
    </row>
    <row r="2480" spans="1:18" x14ac:dyDescent="0.25">
      <c r="A2480">
        <v>2479</v>
      </c>
      <c r="B2480">
        <v>94</v>
      </c>
      <c r="C2480">
        <v>31753102</v>
      </c>
      <c r="D2480" t="s">
        <v>231</v>
      </c>
      <c r="E2480">
        <v>16.108000000000001</v>
      </c>
      <c r="F2480" t="s">
        <v>19</v>
      </c>
      <c r="G2480" t="s">
        <v>20</v>
      </c>
      <c r="H2480" t="s">
        <v>21</v>
      </c>
      <c r="I2480" t="s">
        <v>20</v>
      </c>
      <c r="J2480" t="s">
        <v>20</v>
      </c>
      <c r="K2480" t="s">
        <v>41</v>
      </c>
      <c r="L2480" t="s">
        <v>57</v>
      </c>
      <c r="M2480" t="s">
        <v>93</v>
      </c>
      <c r="N2480">
        <v>41.268662999999997</v>
      </c>
      <c r="O2480">
        <v>-112.028049</v>
      </c>
      <c r="P2480">
        <v>4188.4482889999999</v>
      </c>
      <c r="Q2480">
        <v>1409</v>
      </c>
      <c r="R2480">
        <v>0</v>
      </c>
    </row>
    <row r="2481" spans="1:18" x14ac:dyDescent="0.25">
      <c r="A2481">
        <v>2480</v>
      </c>
      <c r="B2481">
        <v>94</v>
      </c>
      <c r="C2481">
        <v>1471053</v>
      </c>
      <c r="D2481" t="s">
        <v>304</v>
      </c>
      <c r="E2481">
        <v>16.11</v>
      </c>
      <c r="F2481" t="s">
        <v>21</v>
      </c>
      <c r="G2481" t="s">
        <v>26</v>
      </c>
      <c r="H2481" t="s">
        <v>21</v>
      </c>
      <c r="I2481" t="s">
        <v>20</v>
      </c>
      <c r="J2481" t="s">
        <v>20</v>
      </c>
      <c r="K2481" t="s">
        <v>41</v>
      </c>
      <c r="L2481" t="s">
        <v>223</v>
      </c>
      <c r="M2481" t="s">
        <v>43</v>
      </c>
      <c r="N2481">
        <v>41.744916000000003</v>
      </c>
      <c r="O2481">
        <v>-112.09945999999999</v>
      </c>
      <c r="P2481">
        <v>4401.5671309999998</v>
      </c>
      <c r="Q2481">
        <v>1348</v>
      </c>
      <c r="R2481">
        <v>0</v>
      </c>
    </row>
    <row r="2482" spans="1:18" x14ac:dyDescent="0.25">
      <c r="A2482">
        <v>2481</v>
      </c>
      <c r="B2482">
        <v>94</v>
      </c>
      <c r="C2482">
        <v>28155653</v>
      </c>
      <c r="D2482" t="s">
        <v>239</v>
      </c>
      <c r="E2482">
        <v>16.117000000000001</v>
      </c>
      <c r="F2482" t="s">
        <v>21</v>
      </c>
      <c r="G2482" t="s">
        <v>26</v>
      </c>
      <c r="H2482" t="s">
        <v>21</v>
      </c>
      <c r="I2482" t="s">
        <v>20</v>
      </c>
      <c r="J2482" t="s">
        <v>20</v>
      </c>
      <c r="K2482" t="s">
        <v>41</v>
      </c>
      <c r="L2482" t="s">
        <v>181</v>
      </c>
      <c r="M2482" t="s">
        <v>178</v>
      </c>
      <c r="N2482">
        <v>41.711691999999999</v>
      </c>
      <c r="O2482">
        <v>-112.16897299999999</v>
      </c>
      <c r="P2482">
        <v>4269.4961309999999</v>
      </c>
      <c r="Q2482">
        <v>1392</v>
      </c>
      <c r="R2482">
        <v>0</v>
      </c>
    </row>
    <row r="2483" spans="1:18" x14ac:dyDescent="0.25">
      <c r="A2483">
        <v>2482</v>
      </c>
      <c r="B2483">
        <v>94</v>
      </c>
      <c r="C2483">
        <v>31281036</v>
      </c>
      <c r="D2483" t="s">
        <v>303</v>
      </c>
      <c r="E2483">
        <v>16.117000000000001</v>
      </c>
      <c r="F2483" t="s">
        <v>21</v>
      </c>
      <c r="G2483" t="s">
        <v>26</v>
      </c>
      <c r="H2483" t="s">
        <v>21</v>
      </c>
      <c r="I2483" t="s">
        <v>20</v>
      </c>
      <c r="J2483" t="s">
        <v>20</v>
      </c>
      <c r="K2483" t="s">
        <v>27</v>
      </c>
      <c r="L2483" t="s">
        <v>72</v>
      </c>
      <c r="M2483" t="s">
        <v>73</v>
      </c>
      <c r="N2483">
        <v>37.207982999999999</v>
      </c>
      <c r="O2483">
        <v>-113.232989</v>
      </c>
      <c r="P2483">
        <v>3520.5072479999999</v>
      </c>
      <c r="Q2483">
        <v>1326</v>
      </c>
      <c r="R2483">
        <v>0</v>
      </c>
    </row>
    <row r="2484" spans="1:18" x14ac:dyDescent="0.25">
      <c r="A2484">
        <v>2483</v>
      </c>
      <c r="B2484">
        <v>94</v>
      </c>
      <c r="C2484">
        <v>31470901</v>
      </c>
      <c r="D2484" t="s">
        <v>348</v>
      </c>
      <c r="E2484">
        <v>16.125</v>
      </c>
      <c r="F2484" t="s">
        <v>21</v>
      </c>
      <c r="G2484" t="s">
        <v>26</v>
      </c>
      <c r="H2484" t="s">
        <v>21</v>
      </c>
      <c r="I2484" t="s">
        <v>20</v>
      </c>
      <c r="J2484" t="s">
        <v>20</v>
      </c>
      <c r="K2484" t="s">
        <v>27</v>
      </c>
      <c r="L2484" t="s">
        <v>122</v>
      </c>
      <c r="M2484" t="s">
        <v>123</v>
      </c>
      <c r="N2484">
        <v>38.151805000000003</v>
      </c>
      <c r="O2484">
        <v>-110.62030799999999</v>
      </c>
      <c r="P2484">
        <v>4889.6466950000004</v>
      </c>
      <c r="Q2484">
        <v>1388</v>
      </c>
      <c r="R2484">
        <v>0</v>
      </c>
    </row>
    <row r="2485" spans="1:18" x14ac:dyDescent="0.25">
      <c r="A2485">
        <v>2484</v>
      </c>
      <c r="B2485">
        <v>94</v>
      </c>
      <c r="C2485">
        <v>27870745</v>
      </c>
      <c r="D2485" t="s">
        <v>91</v>
      </c>
      <c r="E2485">
        <v>16.138999999999999</v>
      </c>
      <c r="F2485" t="s">
        <v>21</v>
      </c>
      <c r="G2485" t="s">
        <v>26</v>
      </c>
      <c r="H2485" t="s">
        <v>21</v>
      </c>
      <c r="I2485" t="s">
        <v>20</v>
      </c>
      <c r="J2485" t="s">
        <v>20</v>
      </c>
      <c r="K2485" t="s">
        <v>41</v>
      </c>
      <c r="L2485" t="s">
        <v>42</v>
      </c>
      <c r="M2485" t="s">
        <v>73</v>
      </c>
      <c r="N2485">
        <v>41.835358999999997</v>
      </c>
      <c r="O2485">
        <v>-112.006072</v>
      </c>
      <c r="P2485">
        <v>4421.833509</v>
      </c>
      <c r="Q2485">
        <v>1339</v>
      </c>
      <c r="R2485">
        <v>0</v>
      </c>
    </row>
    <row r="2486" spans="1:18" x14ac:dyDescent="0.25">
      <c r="A2486">
        <v>2485</v>
      </c>
      <c r="B2486">
        <v>94</v>
      </c>
      <c r="C2486">
        <v>1538731</v>
      </c>
      <c r="D2486" t="s">
        <v>88</v>
      </c>
      <c r="E2486">
        <v>16.143999999999998</v>
      </c>
      <c r="F2486" t="s">
        <v>21</v>
      </c>
      <c r="G2486" t="s">
        <v>20</v>
      </c>
      <c r="H2486" t="s">
        <v>21</v>
      </c>
      <c r="I2486" t="s">
        <v>20</v>
      </c>
      <c r="J2486" t="s">
        <v>20</v>
      </c>
      <c r="K2486" t="s">
        <v>31</v>
      </c>
      <c r="L2486" t="s">
        <v>32</v>
      </c>
      <c r="M2486" t="s">
        <v>90</v>
      </c>
      <c r="N2486">
        <v>40.668951</v>
      </c>
      <c r="O2486">
        <v>-111.871359</v>
      </c>
      <c r="P2486">
        <v>4234.1586349999998</v>
      </c>
      <c r="Q2486">
        <v>318</v>
      </c>
      <c r="R2486">
        <v>0</v>
      </c>
    </row>
    <row r="2487" spans="1:18" x14ac:dyDescent="0.25">
      <c r="A2487">
        <v>2486</v>
      </c>
      <c r="B2487">
        <v>94</v>
      </c>
      <c r="C2487">
        <v>31522646</v>
      </c>
      <c r="D2487" t="s">
        <v>309</v>
      </c>
      <c r="E2487">
        <v>16.158999999999999</v>
      </c>
      <c r="F2487" t="s">
        <v>21</v>
      </c>
      <c r="G2487" t="s">
        <v>26</v>
      </c>
      <c r="H2487" t="s">
        <v>21</v>
      </c>
      <c r="I2487" t="s">
        <v>20</v>
      </c>
      <c r="J2487" t="s">
        <v>20</v>
      </c>
      <c r="K2487" t="s">
        <v>22</v>
      </c>
      <c r="L2487" t="s">
        <v>140</v>
      </c>
      <c r="M2487" t="s">
        <v>125</v>
      </c>
      <c r="N2487">
        <v>40.115842999999998</v>
      </c>
      <c r="O2487">
        <v>-111.57867299999999</v>
      </c>
      <c r="P2487">
        <v>4693.9896189999999</v>
      </c>
      <c r="Q2487">
        <v>339</v>
      </c>
      <c r="R2487">
        <v>0</v>
      </c>
    </row>
    <row r="2488" spans="1:18" x14ac:dyDescent="0.25">
      <c r="A2488">
        <v>2487</v>
      </c>
      <c r="B2488">
        <v>94</v>
      </c>
      <c r="C2488">
        <v>31277704</v>
      </c>
      <c r="D2488" t="s">
        <v>241</v>
      </c>
      <c r="E2488">
        <v>16.161999999999999</v>
      </c>
      <c r="F2488" t="s">
        <v>21</v>
      </c>
      <c r="G2488" t="s">
        <v>26</v>
      </c>
      <c r="H2488" t="s">
        <v>21</v>
      </c>
      <c r="I2488" t="s">
        <v>20</v>
      </c>
      <c r="J2488" t="s">
        <v>20</v>
      </c>
      <c r="K2488" t="s">
        <v>27</v>
      </c>
      <c r="L2488" t="s">
        <v>242</v>
      </c>
      <c r="M2488" t="s">
        <v>243</v>
      </c>
      <c r="N2488">
        <v>38.957293</v>
      </c>
      <c r="O2488">
        <v>-111.20153999999999</v>
      </c>
      <c r="P2488">
        <v>6168.2761579999997</v>
      </c>
      <c r="Q2488">
        <v>1327</v>
      </c>
      <c r="R2488">
        <v>0</v>
      </c>
    </row>
    <row r="2489" spans="1:18" x14ac:dyDescent="0.25">
      <c r="A2489">
        <v>2488</v>
      </c>
      <c r="B2489">
        <v>94</v>
      </c>
      <c r="C2489" t="e">
        <f>-Ip_HUWAGOLqIDxhjwX_ok</f>
        <v>#NAME?</v>
      </c>
      <c r="D2489" t="s">
        <v>272</v>
      </c>
      <c r="E2489">
        <v>16.173999999999999</v>
      </c>
      <c r="F2489" t="s">
        <v>21</v>
      </c>
      <c r="G2489" t="s">
        <v>20</v>
      </c>
      <c r="H2489" t="s">
        <v>21</v>
      </c>
      <c r="I2489" t="s">
        <v>20</v>
      </c>
      <c r="J2489" t="s">
        <v>20</v>
      </c>
      <c r="K2489" t="s">
        <v>27</v>
      </c>
      <c r="L2489" t="s">
        <v>259</v>
      </c>
      <c r="M2489" t="s">
        <v>214</v>
      </c>
      <c r="N2489">
        <v>37.102859000000002</v>
      </c>
      <c r="O2489">
        <v>-111.81962300000001</v>
      </c>
      <c r="P2489">
        <v>4506.5453010000001</v>
      </c>
      <c r="Q2489">
        <v>1384</v>
      </c>
      <c r="R2489">
        <v>0</v>
      </c>
    </row>
    <row r="2490" spans="1:18" x14ac:dyDescent="0.25">
      <c r="A2490">
        <v>2489</v>
      </c>
      <c r="B2490">
        <v>94</v>
      </c>
      <c r="C2490">
        <v>31406956</v>
      </c>
      <c r="D2490" t="s">
        <v>63</v>
      </c>
      <c r="E2490">
        <v>13.241</v>
      </c>
      <c r="F2490" t="s">
        <v>21</v>
      </c>
      <c r="G2490" t="s">
        <v>26</v>
      </c>
      <c r="H2490" t="s">
        <v>21</v>
      </c>
      <c r="I2490" t="s">
        <v>20</v>
      </c>
      <c r="J2490" t="s">
        <v>20</v>
      </c>
      <c r="K2490" t="s">
        <v>27</v>
      </c>
      <c r="L2490" t="s">
        <v>64</v>
      </c>
      <c r="M2490" t="s">
        <v>29</v>
      </c>
      <c r="N2490">
        <v>38.177937</v>
      </c>
      <c r="O2490">
        <v>-112.02176900000001</v>
      </c>
      <c r="P2490">
        <v>6444.3924720000005</v>
      </c>
      <c r="Q2490">
        <v>1365</v>
      </c>
      <c r="R2490">
        <v>0</v>
      </c>
    </row>
    <row r="2491" spans="1:18" x14ac:dyDescent="0.25">
      <c r="A2491">
        <v>2490</v>
      </c>
      <c r="B2491">
        <v>94</v>
      </c>
      <c r="C2491">
        <v>27841699</v>
      </c>
      <c r="D2491" t="s">
        <v>245</v>
      </c>
      <c r="E2491">
        <v>13.242000000000001</v>
      </c>
      <c r="F2491" t="s">
        <v>21</v>
      </c>
      <c r="G2491" t="s">
        <v>26</v>
      </c>
      <c r="H2491" t="s">
        <v>21</v>
      </c>
      <c r="I2491" t="s">
        <v>20</v>
      </c>
      <c r="J2491" t="s">
        <v>20</v>
      </c>
      <c r="K2491" t="s">
        <v>22</v>
      </c>
      <c r="L2491" t="s">
        <v>97</v>
      </c>
      <c r="M2491" t="s">
        <v>98</v>
      </c>
      <c r="N2491">
        <v>40.873041000000001</v>
      </c>
      <c r="O2491">
        <v>-109.69257500000001</v>
      </c>
      <c r="P2491">
        <v>7268.5602230000004</v>
      </c>
      <c r="Q2491">
        <v>1353</v>
      </c>
      <c r="R2491">
        <v>0</v>
      </c>
    </row>
    <row r="2492" spans="1:18" x14ac:dyDescent="0.25">
      <c r="A2492">
        <v>2491</v>
      </c>
      <c r="B2492">
        <v>94</v>
      </c>
      <c r="C2492">
        <v>31707873</v>
      </c>
      <c r="D2492" t="s">
        <v>118</v>
      </c>
      <c r="E2492">
        <v>13.246</v>
      </c>
      <c r="F2492" t="s">
        <v>19</v>
      </c>
      <c r="G2492" t="s">
        <v>20</v>
      </c>
      <c r="H2492" t="s">
        <v>19</v>
      </c>
      <c r="I2492">
        <v>32</v>
      </c>
      <c r="J2492" t="s">
        <v>20</v>
      </c>
      <c r="K2492" t="s">
        <v>22</v>
      </c>
      <c r="L2492" t="s">
        <v>35</v>
      </c>
      <c r="M2492" t="s">
        <v>120</v>
      </c>
      <c r="N2492">
        <v>40.557678000000003</v>
      </c>
      <c r="O2492">
        <v>-111.425707</v>
      </c>
      <c r="P2492">
        <v>5671.0782509999999</v>
      </c>
      <c r="Q2492">
        <v>310</v>
      </c>
      <c r="R2492">
        <v>0</v>
      </c>
    </row>
    <row r="2493" spans="1:18" x14ac:dyDescent="0.25">
      <c r="A2493">
        <v>2492</v>
      </c>
      <c r="B2493">
        <v>94</v>
      </c>
      <c r="C2493">
        <v>27854120</v>
      </c>
      <c r="D2493" t="s">
        <v>136</v>
      </c>
      <c r="E2493">
        <v>13.252000000000001</v>
      </c>
      <c r="F2493" t="s">
        <v>21</v>
      </c>
      <c r="G2493" t="s">
        <v>26</v>
      </c>
      <c r="H2493" t="s">
        <v>21</v>
      </c>
      <c r="I2493" t="s">
        <v>20</v>
      </c>
      <c r="J2493" t="s">
        <v>20</v>
      </c>
      <c r="K2493" t="s">
        <v>41</v>
      </c>
      <c r="L2493" t="s">
        <v>137</v>
      </c>
      <c r="M2493" t="s">
        <v>138</v>
      </c>
      <c r="N2493">
        <v>41.042999000000002</v>
      </c>
      <c r="O2493">
        <v>-111.67874500000001</v>
      </c>
      <c r="P2493">
        <v>5004.921797</v>
      </c>
      <c r="Q2493">
        <v>317</v>
      </c>
      <c r="R2493">
        <v>0</v>
      </c>
    </row>
    <row r="2494" spans="1:18" x14ac:dyDescent="0.25">
      <c r="A2494">
        <v>2493</v>
      </c>
      <c r="B2494">
        <v>94</v>
      </c>
      <c r="C2494">
        <v>31490328</v>
      </c>
      <c r="D2494" t="s">
        <v>288</v>
      </c>
      <c r="E2494">
        <v>142.84399999999999</v>
      </c>
      <c r="F2494" t="s">
        <v>21</v>
      </c>
      <c r="G2494" t="s">
        <v>20</v>
      </c>
      <c r="H2494" t="s">
        <v>21</v>
      </c>
      <c r="I2494" t="s">
        <v>20</v>
      </c>
      <c r="J2494" t="s">
        <v>20</v>
      </c>
      <c r="K2494" t="s">
        <v>27</v>
      </c>
      <c r="L2494" t="s">
        <v>38</v>
      </c>
      <c r="M2494" t="s">
        <v>152</v>
      </c>
      <c r="N2494">
        <v>38.748446999999999</v>
      </c>
      <c r="O2494">
        <v>-109.738113</v>
      </c>
      <c r="P2494">
        <v>4438.6652590000003</v>
      </c>
      <c r="Q2494">
        <v>350</v>
      </c>
      <c r="R2494">
        <v>0</v>
      </c>
    </row>
    <row r="2495" spans="1:18" x14ac:dyDescent="0.25">
      <c r="A2495">
        <v>2494</v>
      </c>
      <c r="B2495">
        <v>94</v>
      </c>
      <c r="C2495">
        <v>31372809</v>
      </c>
      <c r="D2495" t="s">
        <v>199</v>
      </c>
      <c r="E2495">
        <v>16.28</v>
      </c>
      <c r="F2495" t="s">
        <v>21</v>
      </c>
      <c r="G2495" t="s">
        <v>26</v>
      </c>
      <c r="H2495" t="s">
        <v>21</v>
      </c>
      <c r="I2495" t="s">
        <v>20</v>
      </c>
      <c r="J2495" t="s">
        <v>20</v>
      </c>
      <c r="K2495" t="s">
        <v>27</v>
      </c>
      <c r="L2495" t="s">
        <v>103</v>
      </c>
      <c r="M2495" t="s">
        <v>200</v>
      </c>
      <c r="N2495">
        <v>38.305475999999999</v>
      </c>
      <c r="O2495">
        <v>-112.418892</v>
      </c>
      <c r="P2495">
        <v>8567.7047089999996</v>
      </c>
      <c r="Q2495">
        <v>341</v>
      </c>
      <c r="R2495">
        <v>0</v>
      </c>
    </row>
    <row r="2496" spans="1:18" x14ac:dyDescent="0.25">
      <c r="A2496">
        <v>2495</v>
      </c>
      <c r="B2496">
        <v>94</v>
      </c>
      <c r="C2496">
        <v>1538852</v>
      </c>
      <c r="D2496" t="s">
        <v>88</v>
      </c>
      <c r="E2496">
        <v>16.312000000000001</v>
      </c>
      <c r="F2496" t="s">
        <v>21</v>
      </c>
      <c r="G2496" t="s">
        <v>20</v>
      </c>
      <c r="H2496" t="s">
        <v>21</v>
      </c>
      <c r="I2496" t="s">
        <v>20</v>
      </c>
      <c r="J2496" t="s">
        <v>20</v>
      </c>
      <c r="K2496" t="s">
        <v>31</v>
      </c>
      <c r="L2496" t="s">
        <v>32</v>
      </c>
      <c r="M2496" t="s">
        <v>90</v>
      </c>
      <c r="N2496">
        <v>40.671407000000002</v>
      </c>
      <c r="O2496">
        <v>-111.871475</v>
      </c>
      <c r="P2496">
        <v>4254.0687129999997</v>
      </c>
      <c r="Q2496">
        <v>318</v>
      </c>
      <c r="R2496">
        <v>0</v>
      </c>
    </row>
    <row r="2497" spans="1:18" x14ac:dyDescent="0.25">
      <c r="A2497">
        <v>2496</v>
      </c>
      <c r="B2497">
        <v>94</v>
      </c>
      <c r="C2497">
        <v>31665745</v>
      </c>
      <c r="D2497" t="s">
        <v>217</v>
      </c>
      <c r="E2497">
        <v>16.321999999999999</v>
      </c>
      <c r="F2497" t="s">
        <v>21</v>
      </c>
      <c r="G2497" t="s">
        <v>20</v>
      </c>
      <c r="H2497" t="s">
        <v>21</v>
      </c>
      <c r="I2497" t="s">
        <v>20</v>
      </c>
      <c r="J2497" t="s">
        <v>20</v>
      </c>
      <c r="K2497" t="s">
        <v>27</v>
      </c>
      <c r="L2497" t="s">
        <v>162</v>
      </c>
      <c r="M2497" t="s">
        <v>163</v>
      </c>
      <c r="N2497">
        <v>37.292656000000001</v>
      </c>
      <c r="O2497">
        <v>-113.661444</v>
      </c>
      <c r="P2497">
        <v>4594.9510680000003</v>
      </c>
      <c r="Q2497">
        <v>304</v>
      </c>
      <c r="R2497">
        <v>0</v>
      </c>
    </row>
    <row r="2498" spans="1:18" x14ac:dyDescent="0.25">
      <c r="A2498">
        <v>2497</v>
      </c>
      <c r="B2498">
        <v>94</v>
      </c>
      <c r="C2498">
        <v>31609517</v>
      </c>
      <c r="D2498" t="s">
        <v>50</v>
      </c>
      <c r="E2498">
        <v>16.338000000000001</v>
      </c>
      <c r="F2498" t="s">
        <v>21</v>
      </c>
      <c r="G2498" t="s">
        <v>26</v>
      </c>
      <c r="H2498" t="s">
        <v>21</v>
      </c>
      <c r="I2498" t="s">
        <v>20</v>
      </c>
      <c r="J2498" t="s">
        <v>20</v>
      </c>
      <c r="K2498" t="s">
        <v>27</v>
      </c>
      <c r="L2498" t="s">
        <v>51</v>
      </c>
      <c r="M2498" t="s">
        <v>52</v>
      </c>
      <c r="N2498">
        <v>37.682699</v>
      </c>
      <c r="O2498">
        <v>-112.855283</v>
      </c>
      <c r="P2498">
        <v>9902.7968980000005</v>
      </c>
      <c r="Q2498">
        <v>1418</v>
      </c>
      <c r="R2498">
        <v>0</v>
      </c>
    </row>
    <row r="2499" spans="1:18" x14ac:dyDescent="0.25">
      <c r="A2499">
        <v>2498</v>
      </c>
      <c r="B2499">
        <v>94</v>
      </c>
      <c r="C2499">
        <v>28157594</v>
      </c>
      <c r="D2499" t="s">
        <v>239</v>
      </c>
      <c r="E2499">
        <v>16.341000000000001</v>
      </c>
      <c r="F2499" t="s">
        <v>21</v>
      </c>
      <c r="G2499" t="s">
        <v>26</v>
      </c>
      <c r="H2499" t="s">
        <v>21</v>
      </c>
      <c r="I2499" t="s">
        <v>20</v>
      </c>
      <c r="J2499" t="s">
        <v>20</v>
      </c>
      <c r="K2499" t="s">
        <v>41</v>
      </c>
      <c r="L2499" t="s">
        <v>181</v>
      </c>
      <c r="M2499" t="s">
        <v>178</v>
      </c>
      <c r="N2499">
        <v>41.711818000000001</v>
      </c>
      <c r="O2499">
        <v>-112.16463299999999</v>
      </c>
      <c r="P2499">
        <v>4269.2691240000004</v>
      </c>
      <c r="Q2499">
        <v>1392</v>
      </c>
      <c r="R2499">
        <v>0</v>
      </c>
    </row>
    <row r="2500" spans="1:18" x14ac:dyDescent="0.25">
      <c r="A2500">
        <v>2499</v>
      </c>
      <c r="B2500">
        <v>94</v>
      </c>
      <c r="C2500">
        <v>31523257</v>
      </c>
      <c r="D2500" t="s">
        <v>309</v>
      </c>
      <c r="E2500">
        <v>16.350999999999999</v>
      </c>
      <c r="F2500" t="s">
        <v>21</v>
      </c>
      <c r="G2500" t="s">
        <v>26</v>
      </c>
      <c r="H2500" t="s">
        <v>21</v>
      </c>
      <c r="I2500" t="s">
        <v>20</v>
      </c>
      <c r="J2500" t="s">
        <v>20</v>
      </c>
      <c r="K2500" t="s">
        <v>22</v>
      </c>
      <c r="L2500" t="s">
        <v>140</v>
      </c>
      <c r="M2500" t="s">
        <v>125</v>
      </c>
      <c r="N2500">
        <v>40.118611000000001</v>
      </c>
      <c r="O2500">
        <v>-111.578681</v>
      </c>
      <c r="P2500">
        <v>4677.9498460000004</v>
      </c>
      <c r="Q2500">
        <v>339</v>
      </c>
      <c r="R2500">
        <v>0</v>
      </c>
    </row>
    <row r="2501" spans="1:18" x14ac:dyDescent="0.25">
      <c r="A2501">
        <v>2500</v>
      </c>
      <c r="B2501">
        <v>94</v>
      </c>
      <c r="C2501">
        <v>1538867</v>
      </c>
      <c r="D2501" t="s">
        <v>88</v>
      </c>
      <c r="E2501">
        <v>16.367000000000001</v>
      </c>
      <c r="F2501" t="s">
        <v>21</v>
      </c>
      <c r="G2501" t="s">
        <v>20</v>
      </c>
      <c r="H2501" t="s">
        <v>21</v>
      </c>
      <c r="I2501" t="s">
        <v>20</v>
      </c>
      <c r="J2501" t="s">
        <v>20</v>
      </c>
      <c r="K2501" t="s">
        <v>31</v>
      </c>
      <c r="L2501" t="s">
        <v>32</v>
      </c>
      <c r="M2501" t="s">
        <v>90</v>
      </c>
      <c r="N2501">
        <v>40.672207</v>
      </c>
      <c r="O2501">
        <v>-111.871438</v>
      </c>
      <c r="P2501">
        <v>4252.3613509999996</v>
      </c>
      <c r="Q2501">
        <v>318</v>
      </c>
      <c r="R2501">
        <v>0</v>
      </c>
    </row>
    <row r="2502" spans="1:18" x14ac:dyDescent="0.25">
      <c r="A2502">
        <v>2501</v>
      </c>
      <c r="B2502">
        <v>94</v>
      </c>
      <c r="C2502">
        <v>31407361</v>
      </c>
      <c r="D2502" t="s">
        <v>63</v>
      </c>
      <c r="E2502">
        <v>16.376999999999999</v>
      </c>
      <c r="F2502" t="s">
        <v>21</v>
      </c>
      <c r="G2502" t="s">
        <v>26</v>
      </c>
      <c r="H2502" t="s">
        <v>21</v>
      </c>
      <c r="I2502" t="s">
        <v>20</v>
      </c>
      <c r="J2502" t="s">
        <v>20</v>
      </c>
      <c r="K2502" t="s">
        <v>27</v>
      </c>
      <c r="L2502" t="s">
        <v>64</v>
      </c>
      <c r="M2502" t="s">
        <v>29</v>
      </c>
      <c r="N2502">
        <v>38.219645</v>
      </c>
      <c r="O2502">
        <v>-112.000089</v>
      </c>
      <c r="P2502">
        <v>6439.6265219999996</v>
      </c>
      <c r="Q2502">
        <v>1365</v>
      </c>
      <c r="R2502">
        <v>0</v>
      </c>
    </row>
    <row r="2503" spans="1:18" x14ac:dyDescent="0.25">
      <c r="A2503">
        <v>2502</v>
      </c>
      <c r="B2503">
        <v>94</v>
      </c>
      <c r="C2503">
        <v>31648278</v>
      </c>
      <c r="D2503" t="s">
        <v>239</v>
      </c>
      <c r="E2503">
        <v>16.411999999999999</v>
      </c>
      <c r="F2503" t="s">
        <v>21</v>
      </c>
      <c r="G2503" t="s">
        <v>26</v>
      </c>
      <c r="H2503" t="s">
        <v>21</v>
      </c>
      <c r="I2503" t="s">
        <v>20</v>
      </c>
      <c r="J2503" t="s">
        <v>20</v>
      </c>
      <c r="K2503" t="s">
        <v>41</v>
      </c>
      <c r="L2503" t="s">
        <v>181</v>
      </c>
      <c r="M2503" t="s">
        <v>178</v>
      </c>
      <c r="N2503">
        <v>41.711849999999998</v>
      </c>
      <c r="O2503">
        <v>-112.163275</v>
      </c>
      <c r="P2503">
        <v>4261.9255910000002</v>
      </c>
      <c r="Q2503">
        <v>1392</v>
      </c>
      <c r="R2503">
        <v>0</v>
      </c>
    </row>
    <row r="2504" spans="1:18" x14ac:dyDescent="0.25">
      <c r="A2504">
        <v>2503</v>
      </c>
      <c r="B2504">
        <v>94</v>
      </c>
      <c r="C2504" t="e">
        <f>-JOd29YNIDyf2OR1jNAyyk</f>
        <v>#NAME?</v>
      </c>
      <c r="D2504" t="s">
        <v>116</v>
      </c>
      <c r="E2504">
        <v>16.425999999999998</v>
      </c>
      <c r="F2504" t="s">
        <v>21</v>
      </c>
      <c r="G2504" t="s">
        <v>26</v>
      </c>
      <c r="H2504" t="s">
        <v>21</v>
      </c>
      <c r="I2504" t="s">
        <v>20</v>
      </c>
      <c r="J2504" t="s">
        <v>20</v>
      </c>
      <c r="K2504" t="s">
        <v>41</v>
      </c>
      <c r="L2504" t="s">
        <v>42</v>
      </c>
      <c r="M2504" t="s">
        <v>43</v>
      </c>
      <c r="N2504">
        <v>41.609786</v>
      </c>
      <c r="O2504">
        <v>-111.938774</v>
      </c>
      <c r="P2504">
        <v>4749.3034580000003</v>
      </c>
      <c r="Q2504">
        <v>324</v>
      </c>
      <c r="R2504">
        <v>0</v>
      </c>
    </row>
    <row r="2505" spans="1:18" x14ac:dyDescent="0.25">
      <c r="A2505">
        <v>2504</v>
      </c>
      <c r="B2505">
        <v>94</v>
      </c>
      <c r="C2505" t="e">
        <f>-JYmKRecFG5fbybnwoPd6k</f>
        <v>#NAME?</v>
      </c>
      <c r="D2505" t="s">
        <v>336</v>
      </c>
      <c r="E2505">
        <v>16.439</v>
      </c>
      <c r="F2505" t="s">
        <v>21</v>
      </c>
      <c r="G2505" t="s">
        <v>20</v>
      </c>
      <c r="H2505" t="s">
        <v>21</v>
      </c>
      <c r="I2505" t="s">
        <v>20</v>
      </c>
      <c r="J2505" t="s">
        <v>20</v>
      </c>
      <c r="K2505" t="s">
        <v>31</v>
      </c>
      <c r="L2505" t="s">
        <v>32</v>
      </c>
      <c r="M2505" t="s">
        <v>33</v>
      </c>
      <c r="N2505">
        <v>40.599265000000003</v>
      </c>
      <c r="O2505">
        <v>-111.584312</v>
      </c>
      <c r="P2505">
        <v>8703.4097999999994</v>
      </c>
      <c r="Q2505">
        <v>404</v>
      </c>
      <c r="R2505">
        <v>0</v>
      </c>
    </row>
    <row r="2506" spans="1:18" x14ac:dyDescent="0.25">
      <c r="A2506">
        <v>2505</v>
      </c>
      <c r="B2506">
        <v>94</v>
      </c>
      <c r="C2506">
        <v>31418161</v>
      </c>
      <c r="D2506" t="s">
        <v>221</v>
      </c>
      <c r="E2506">
        <v>16.457999999999998</v>
      </c>
      <c r="F2506" t="s">
        <v>21</v>
      </c>
      <c r="G2506" t="s">
        <v>20</v>
      </c>
      <c r="H2506" t="s">
        <v>21</v>
      </c>
      <c r="I2506" t="s">
        <v>20</v>
      </c>
      <c r="J2506" t="s">
        <v>20</v>
      </c>
      <c r="K2506" t="s">
        <v>22</v>
      </c>
      <c r="L2506" t="s">
        <v>155</v>
      </c>
      <c r="M2506" t="s">
        <v>174</v>
      </c>
      <c r="N2506">
        <v>39.373330000000003</v>
      </c>
      <c r="O2506">
        <v>-111.928557</v>
      </c>
      <c r="P2506">
        <v>5156.0953140000001</v>
      </c>
      <c r="Q2506">
        <v>1342</v>
      </c>
      <c r="R2506">
        <v>0</v>
      </c>
    </row>
    <row r="2507" spans="1:18" x14ac:dyDescent="0.25">
      <c r="A2507">
        <v>2506</v>
      </c>
      <c r="B2507">
        <v>94</v>
      </c>
      <c r="C2507">
        <v>31584551</v>
      </c>
      <c r="D2507" t="s">
        <v>409</v>
      </c>
      <c r="E2507">
        <v>13.391</v>
      </c>
      <c r="F2507" t="s">
        <v>21</v>
      </c>
      <c r="G2507" t="s">
        <v>20</v>
      </c>
      <c r="H2507" t="s">
        <v>21</v>
      </c>
      <c r="I2507" t="s">
        <v>20</v>
      </c>
      <c r="J2507" t="s">
        <v>20</v>
      </c>
      <c r="K2507" t="s">
        <v>27</v>
      </c>
      <c r="L2507" t="s">
        <v>247</v>
      </c>
      <c r="M2507" t="s">
        <v>117</v>
      </c>
      <c r="N2507">
        <v>38.005839999999999</v>
      </c>
      <c r="O2507">
        <v>-112.509033</v>
      </c>
      <c r="P2507">
        <v>6949.5462079999998</v>
      </c>
      <c r="Q2507">
        <v>1337</v>
      </c>
      <c r="R2507">
        <v>0</v>
      </c>
    </row>
    <row r="2508" spans="1:18" x14ac:dyDescent="0.25">
      <c r="A2508">
        <v>2507</v>
      </c>
      <c r="B2508">
        <v>94</v>
      </c>
      <c r="C2508">
        <v>31845686</v>
      </c>
      <c r="D2508" t="s">
        <v>118</v>
      </c>
      <c r="E2508">
        <v>145.33099999999999</v>
      </c>
      <c r="F2508" t="s">
        <v>21</v>
      </c>
      <c r="G2508" t="s">
        <v>26</v>
      </c>
      <c r="H2508" t="s">
        <v>21</v>
      </c>
      <c r="I2508" t="s">
        <v>20</v>
      </c>
      <c r="J2508" t="s">
        <v>20</v>
      </c>
      <c r="K2508" t="s">
        <v>22</v>
      </c>
      <c r="L2508" t="s">
        <v>234</v>
      </c>
      <c r="M2508" t="s">
        <v>169</v>
      </c>
      <c r="N2508">
        <v>40.454310999999997</v>
      </c>
      <c r="O2508">
        <v>-109.50927299999999</v>
      </c>
      <c r="P2508">
        <v>5210.0547589999996</v>
      </c>
      <c r="Q2508">
        <v>310</v>
      </c>
      <c r="R2508">
        <v>0</v>
      </c>
    </row>
    <row r="2509" spans="1:18" x14ac:dyDescent="0.25">
      <c r="A2509">
        <v>2508</v>
      </c>
      <c r="B2509">
        <v>94</v>
      </c>
      <c r="C2509" t="e">
        <f>-IoHtIkcFAmq5A-AXTwlqF</f>
        <v>#NAME?</v>
      </c>
      <c r="D2509" t="s">
        <v>272</v>
      </c>
      <c r="E2509">
        <v>145.345</v>
      </c>
      <c r="F2509" t="s">
        <v>21</v>
      </c>
      <c r="G2509" t="s">
        <v>20</v>
      </c>
      <c r="H2509" t="s">
        <v>21</v>
      </c>
      <c r="I2509" t="s">
        <v>20</v>
      </c>
      <c r="J2509" t="s">
        <v>20</v>
      </c>
      <c r="K2509" t="s">
        <v>27</v>
      </c>
      <c r="L2509" t="s">
        <v>247</v>
      </c>
      <c r="M2509" t="s">
        <v>214</v>
      </c>
      <c r="N2509">
        <v>38.016497000000001</v>
      </c>
      <c r="O2509">
        <v>-112.369281</v>
      </c>
      <c r="P2509">
        <v>6317.5458200000003</v>
      </c>
      <c r="Q2509">
        <v>1384</v>
      </c>
      <c r="R2509">
        <v>0</v>
      </c>
    </row>
    <row r="2510" spans="1:18" x14ac:dyDescent="0.25">
      <c r="A2510">
        <v>2509</v>
      </c>
      <c r="B2510">
        <v>94</v>
      </c>
      <c r="C2510">
        <v>31845697</v>
      </c>
      <c r="D2510" t="s">
        <v>118</v>
      </c>
      <c r="E2510">
        <v>145.381</v>
      </c>
      <c r="F2510" t="s">
        <v>21</v>
      </c>
      <c r="G2510" t="s">
        <v>26</v>
      </c>
      <c r="H2510" t="s">
        <v>21</v>
      </c>
      <c r="I2510" t="s">
        <v>20</v>
      </c>
      <c r="J2510" t="s">
        <v>20</v>
      </c>
      <c r="K2510" t="s">
        <v>22</v>
      </c>
      <c r="L2510" t="s">
        <v>234</v>
      </c>
      <c r="M2510" t="s">
        <v>169</v>
      </c>
      <c r="N2510">
        <v>40.453802000000003</v>
      </c>
      <c r="O2510">
        <v>-109.508582</v>
      </c>
      <c r="P2510">
        <v>5206.8410889999996</v>
      </c>
      <c r="Q2510">
        <v>310</v>
      </c>
      <c r="R2510">
        <v>0</v>
      </c>
    </row>
    <row r="2511" spans="1:18" x14ac:dyDescent="0.25">
      <c r="A2511">
        <v>2510</v>
      </c>
      <c r="B2511">
        <v>94</v>
      </c>
      <c r="C2511">
        <v>31846358</v>
      </c>
      <c r="D2511" t="s">
        <v>118</v>
      </c>
      <c r="E2511">
        <v>145.666</v>
      </c>
      <c r="F2511" t="s">
        <v>21</v>
      </c>
      <c r="G2511" t="s">
        <v>26</v>
      </c>
      <c r="H2511" t="s">
        <v>21</v>
      </c>
      <c r="I2511" t="s">
        <v>20</v>
      </c>
      <c r="J2511" t="s">
        <v>20</v>
      </c>
      <c r="K2511" t="s">
        <v>22</v>
      </c>
      <c r="L2511" t="s">
        <v>234</v>
      </c>
      <c r="M2511" t="s">
        <v>169</v>
      </c>
      <c r="N2511">
        <v>40.450924999999998</v>
      </c>
      <c r="O2511">
        <v>-109.504665</v>
      </c>
      <c r="P2511">
        <v>5191.5962280000003</v>
      </c>
      <c r="Q2511">
        <v>310</v>
      </c>
      <c r="R2511">
        <v>0</v>
      </c>
    </row>
    <row r="2512" spans="1:18" x14ac:dyDescent="0.25">
      <c r="A2512">
        <v>2511</v>
      </c>
      <c r="B2512">
        <v>94</v>
      </c>
      <c r="C2512" t="e">
        <f>-IoHtlJjFqeSoaSSrVdyak</f>
        <v>#NAME?</v>
      </c>
      <c r="D2512" t="s">
        <v>272</v>
      </c>
      <c r="E2512">
        <v>145.822</v>
      </c>
      <c r="F2512" t="s">
        <v>21</v>
      </c>
      <c r="G2512" t="s">
        <v>20</v>
      </c>
      <c r="H2512" t="s">
        <v>21</v>
      </c>
      <c r="I2512" t="s">
        <v>20</v>
      </c>
      <c r="J2512" t="s">
        <v>20</v>
      </c>
      <c r="K2512" t="s">
        <v>27</v>
      </c>
      <c r="L2512" t="s">
        <v>247</v>
      </c>
      <c r="M2512" t="s">
        <v>214</v>
      </c>
      <c r="N2512">
        <v>38.021748000000002</v>
      </c>
      <c r="O2512">
        <v>-112.363581</v>
      </c>
      <c r="P2512">
        <v>6285.0020549999999</v>
      </c>
      <c r="Q2512">
        <v>1384</v>
      </c>
      <c r="R2512">
        <v>0</v>
      </c>
    </row>
    <row r="2513" spans="1:18" x14ac:dyDescent="0.25">
      <c r="A2513">
        <v>2512</v>
      </c>
      <c r="B2513">
        <v>94</v>
      </c>
      <c r="C2513">
        <v>31846369</v>
      </c>
      <c r="D2513" t="s">
        <v>118</v>
      </c>
      <c r="E2513">
        <v>145.87200000000001</v>
      </c>
      <c r="F2513" t="s">
        <v>19</v>
      </c>
      <c r="G2513" t="s">
        <v>20</v>
      </c>
      <c r="H2513" t="s">
        <v>21</v>
      </c>
      <c r="I2513" t="s">
        <v>20</v>
      </c>
      <c r="J2513" t="s">
        <v>20</v>
      </c>
      <c r="K2513" t="s">
        <v>22</v>
      </c>
      <c r="L2513" t="s">
        <v>234</v>
      </c>
      <c r="M2513" t="s">
        <v>169</v>
      </c>
      <c r="N2513">
        <v>40.448689000000002</v>
      </c>
      <c r="O2513">
        <v>-109.502043</v>
      </c>
      <c r="P2513">
        <v>5182.091015</v>
      </c>
      <c r="Q2513">
        <v>310</v>
      </c>
      <c r="R2513">
        <v>0</v>
      </c>
    </row>
    <row r="2514" spans="1:18" x14ac:dyDescent="0.25">
      <c r="A2514">
        <v>2513</v>
      </c>
      <c r="B2514">
        <v>94</v>
      </c>
      <c r="C2514">
        <v>31541255</v>
      </c>
      <c r="D2514" t="s">
        <v>320</v>
      </c>
      <c r="E2514">
        <v>145.95599999999999</v>
      </c>
      <c r="F2514" t="s">
        <v>21</v>
      </c>
      <c r="G2514" t="s">
        <v>26</v>
      </c>
      <c r="H2514" t="s">
        <v>21</v>
      </c>
      <c r="I2514" t="s">
        <v>20</v>
      </c>
      <c r="J2514" t="s">
        <v>20</v>
      </c>
      <c r="K2514" t="s">
        <v>27</v>
      </c>
      <c r="L2514" t="s">
        <v>202</v>
      </c>
      <c r="M2514" t="s">
        <v>76</v>
      </c>
      <c r="N2514">
        <v>39.038679999999999</v>
      </c>
      <c r="O2514">
        <v>-112.041093</v>
      </c>
      <c r="P2514">
        <v>6078.0667990000002</v>
      </c>
      <c r="Q2514">
        <v>1356</v>
      </c>
      <c r="R2514">
        <v>0</v>
      </c>
    </row>
    <row r="2515" spans="1:18" x14ac:dyDescent="0.25">
      <c r="A2515">
        <v>2514</v>
      </c>
      <c r="B2515">
        <v>94</v>
      </c>
      <c r="C2515">
        <v>31847734</v>
      </c>
      <c r="D2515" t="s">
        <v>118</v>
      </c>
      <c r="E2515">
        <v>146.09399999999999</v>
      </c>
      <c r="F2515" t="s">
        <v>21</v>
      </c>
      <c r="G2515" t="s">
        <v>26</v>
      </c>
      <c r="H2515" t="s">
        <v>21</v>
      </c>
      <c r="I2515" t="s">
        <v>20</v>
      </c>
      <c r="J2515" t="s">
        <v>20</v>
      </c>
      <c r="K2515" t="s">
        <v>22</v>
      </c>
      <c r="L2515" t="s">
        <v>234</v>
      </c>
      <c r="M2515" t="s">
        <v>169</v>
      </c>
      <c r="N2515">
        <v>40.445771999999998</v>
      </c>
      <c r="O2515">
        <v>-109.500265</v>
      </c>
      <c r="P2515">
        <v>5175.9654170000003</v>
      </c>
      <c r="Q2515">
        <v>310</v>
      </c>
      <c r="R2515">
        <v>0</v>
      </c>
    </row>
    <row r="2516" spans="1:18" x14ac:dyDescent="0.25">
      <c r="A2516">
        <v>2515</v>
      </c>
      <c r="B2516">
        <v>94</v>
      </c>
      <c r="C2516" t="s">
        <v>512</v>
      </c>
      <c r="D2516" t="s">
        <v>213</v>
      </c>
      <c r="E2516">
        <v>146.15600000000001</v>
      </c>
      <c r="F2516" t="s">
        <v>21</v>
      </c>
      <c r="G2516" t="s">
        <v>26</v>
      </c>
      <c r="H2516" t="s">
        <v>21</v>
      </c>
      <c r="I2516" t="s">
        <v>20</v>
      </c>
      <c r="J2516" t="s">
        <v>20</v>
      </c>
      <c r="K2516" t="s">
        <v>22</v>
      </c>
      <c r="L2516" t="s">
        <v>193</v>
      </c>
      <c r="M2516" t="s">
        <v>214</v>
      </c>
      <c r="N2516">
        <v>39.951608</v>
      </c>
      <c r="O2516">
        <v>-112.026512</v>
      </c>
      <c r="P2516">
        <v>5306.0459879999999</v>
      </c>
      <c r="Q2516">
        <v>1332</v>
      </c>
      <c r="R2516">
        <v>0</v>
      </c>
    </row>
    <row r="2517" spans="1:18" x14ac:dyDescent="0.25">
      <c r="A2517">
        <v>2516</v>
      </c>
      <c r="B2517">
        <v>94</v>
      </c>
      <c r="C2517">
        <v>31420282</v>
      </c>
      <c r="D2517" t="s">
        <v>221</v>
      </c>
      <c r="E2517">
        <v>21.446000000000002</v>
      </c>
      <c r="F2517" t="s">
        <v>21</v>
      </c>
      <c r="G2517" t="s">
        <v>20</v>
      </c>
      <c r="H2517" t="s">
        <v>21</v>
      </c>
      <c r="I2517" t="s">
        <v>20</v>
      </c>
      <c r="J2517" t="s">
        <v>20</v>
      </c>
      <c r="K2517" t="s">
        <v>22</v>
      </c>
      <c r="L2517" t="s">
        <v>155</v>
      </c>
      <c r="M2517" t="s">
        <v>174</v>
      </c>
      <c r="N2517">
        <v>39.444133000000001</v>
      </c>
      <c r="O2517">
        <v>-111.91347500000001</v>
      </c>
      <c r="P2517">
        <v>5295.065098</v>
      </c>
      <c r="Q2517">
        <v>1342</v>
      </c>
      <c r="R2517">
        <v>0</v>
      </c>
    </row>
    <row r="2518" spans="1:18" x14ac:dyDescent="0.25">
      <c r="A2518">
        <v>2517</v>
      </c>
      <c r="B2518">
        <v>94</v>
      </c>
      <c r="C2518">
        <v>31568467</v>
      </c>
      <c r="D2518" t="s">
        <v>172</v>
      </c>
      <c r="E2518">
        <v>21.469000000000001</v>
      </c>
      <c r="F2518" t="s">
        <v>21</v>
      </c>
      <c r="G2518" t="s">
        <v>26</v>
      </c>
      <c r="H2518" t="s">
        <v>21</v>
      </c>
      <c r="I2518" t="s">
        <v>20</v>
      </c>
      <c r="J2518" t="s">
        <v>20</v>
      </c>
      <c r="K2518" t="s">
        <v>22</v>
      </c>
      <c r="L2518" t="s">
        <v>155</v>
      </c>
      <c r="M2518" t="s">
        <v>174</v>
      </c>
      <c r="N2518">
        <v>39.665810999999998</v>
      </c>
      <c r="O2518">
        <v>-112.039624</v>
      </c>
      <c r="P2518">
        <v>5481.8118160000004</v>
      </c>
      <c r="Q2518">
        <v>1411</v>
      </c>
      <c r="R2518">
        <v>0</v>
      </c>
    </row>
    <row r="2519" spans="1:18" x14ac:dyDescent="0.25">
      <c r="A2519">
        <v>2518</v>
      </c>
      <c r="B2519">
        <v>94</v>
      </c>
      <c r="C2519">
        <v>31517033</v>
      </c>
      <c r="D2519" t="s">
        <v>132</v>
      </c>
      <c r="E2519">
        <v>21.475999999999999</v>
      </c>
      <c r="F2519" t="s">
        <v>21</v>
      </c>
      <c r="G2519" t="s">
        <v>26</v>
      </c>
      <c r="H2519" t="s">
        <v>21</v>
      </c>
      <c r="I2519" t="s">
        <v>20</v>
      </c>
      <c r="J2519" t="s">
        <v>20</v>
      </c>
      <c r="K2519" t="s">
        <v>22</v>
      </c>
      <c r="L2519" t="s">
        <v>133</v>
      </c>
      <c r="M2519" t="s">
        <v>134</v>
      </c>
      <c r="N2519">
        <v>40.403705000000002</v>
      </c>
      <c r="O2519">
        <v>-109.84076899999999</v>
      </c>
      <c r="P2519">
        <v>5365.7664150000001</v>
      </c>
      <c r="Q2519">
        <v>1405</v>
      </c>
      <c r="R2519">
        <v>0</v>
      </c>
    </row>
    <row r="2520" spans="1:18" x14ac:dyDescent="0.25">
      <c r="A2520">
        <v>2519</v>
      </c>
      <c r="B2520">
        <v>94</v>
      </c>
      <c r="C2520">
        <v>27967826</v>
      </c>
      <c r="D2520" t="s">
        <v>281</v>
      </c>
      <c r="E2520">
        <v>21.484000000000002</v>
      </c>
      <c r="F2520" t="s">
        <v>21</v>
      </c>
      <c r="G2520" t="s">
        <v>26</v>
      </c>
      <c r="H2520" t="s">
        <v>21</v>
      </c>
      <c r="I2520" t="s">
        <v>20</v>
      </c>
      <c r="J2520" t="s">
        <v>20</v>
      </c>
      <c r="K2520" t="s">
        <v>31</v>
      </c>
      <c r="L2520" t="s">
        <v>282</v>
      </c>
      <c r="M2520" t="s">
        <v>174</v>
      </c>
      <c r="N2520">
        <v>40.092108000000003</v>
      </c>
      <c r="O2520">
        <v>-112.430834</v>
      </c>
      <c r="P2520">
        <v>5486.9080009999998</v>
      </c>
      <c r="Q2520">
        <v>1347</v>
      </c>
      <c r="R2520">
        <v>0</v>
      </c>
    </row>
    <row r="2521" spans="1:18" x14ac:dyDescent="0.25">
      <c r="A2521">
        <v>2520</v>
      </c>
      <c r="B2521">
        <v>94</v>
      </c>
      <c r="C2521">
        <v>31755308</v>
      </c>
      <c r="D2521" t="s">
        <v>231</v>
      </c>
      <c r="E2521">
        <v>21.495000000000001</v>
      </c>
      <c r="F2521" t="s">
        <v>21</v>
      </c>
      <c r="G2521" t="s">
        <v>26</v>
      </c>
      <c r="H2521" t="s">
        <v>21</v>
      </c>
      <c r="I2521" t="s">
        <v>20</v>
      </c>
      <c r="J2521" t="s">
        <v>20</v>
      </c>
      <c r="K2521" t="s">
        <v>41</v>
      </c>
      <c r="L2521" t="s">
        <v>57</v>
      </c>
      <c r="M2521" t="s">
        <v>93</v>
      </c>
      <c r="N2521">
        <v>41.345157999999998</v>
      </c>
      <c r="O2521">
        <v>-112.033432</v>
      </c>
      <c r="P2521">
        <v>4252.1975629999997</v>
      </c>
      <c r="Q2521">
        <v>1409</v>
      </c>
      <c r="R2521">
        <v>0</v>
      </c>
    </row>
    <row r="2522" spans="1:18" x14ac:dyDescent="0.25">
      <c r="A2522">
        <v>2521</v>
      </c>
      <c r="B2522">
        <v>94</v>
      </c>
      <c r="C2522">
        <v>1393735</v>
      </c>
      <c r="D2522" t="s">
        <v>100</v>
      </c>
      <c r="E2522">
        <v>12.913</v>
      </c>
      <c r="F2522" t="s">
        <v>19</v>
      </c>
      <c r="G2522" t="s">
        <v>20</v>
      </c>
      <c r="H2522" t="s">
        <v>19</v>
      </c>
      <c r="I2522">
        <v>126</v>
      </c>
      <c r="J2522" t="s">
        <v>20</v>
      </c>
      <c r="K2522" t="s">
        <v>41</v>
      </c>
      <c r="L2522" t="s">
        <v>57</v>
      </c>
      <c r="M2522" t="s">
        <v>46</v>
      </c>
      <c r="N2522">
        <v>41.205368</v>
      </c>
      <c r="O2522">
        <v>-112.025813</v>
      </c>
      <c r="P2522">
        <v>4274.1094149999999</v>
      </c>
      <c r="Q2522">
        <v>1396</v>
      </c>
      <c r="R2522">
        <v>0</v>
      </c>
    </row>
    <row r="2523" spans="1:18" x14ac:dyDescent="0.25">
      <c r="A2523">
        <v>2522</v>
      </c>
      <c r="B2523">
        <v>94</v>
      </c>
      <c r="C2523">
        <v>1114675</v>
      </c>
      <c r="D2523" t="s">
        <v>171</v>
      </c>
      <c r="E2523">
        <v>12.92</v>
      </c>
      <c r="F2523" t="s">
        <v>21</v>
      </c>
      <c r="G2523" t="s">
        <v>26</v>
      </c>
      <c r="H2523" t="s">
        <v>21</v>
      </c>
      <c r="I2523" t="s">
        <v>20</v>
      </c>
      <c r="J2523" t="s">
        <v>20</v>
      </c>
      <c r="K2523" t="s">
        <v>31</v>
      </c>
      <c r="L2523" t="s">
        <v>188</v>
      </c>
      <c r="M2523" t="s">
        <v>79</v>
      </c>
      <c r="N2523">
        <v>40.699930999999999</v>
      </c>
      <c r="O2523">
        <v>-111.846664</v>
      </c>
      <c r="P2523">
        <v>4398.9972269999998</v>
      </c>
      <c r="Q2523">
        <v>346</v>
      </c>
      <c r="R2523">
        <v>0</v>
      </c>
    </row>
    <row r="2524" spans="1:18" x14ac:dyDescent="0.25">
      <c r="A2524">
        <v>2523</v>
      </c>
      <c r="B2524">
        <v>94</v>
      </c>
      <c r="C2524">
        <v>31740511</v>
      </c>
      <c r="D2524" t="s">
        <v>336</v>
      </c>
      <c r="E2524">
        <v>12.923999999999999</v>
      </c>
      <c r="F2524" t="s">
        <v>21</v>
      </c>
      <c r="G2524" t="s">
        <v>20</v>
      </c>
      <c r="H2524" t="s">
        <v>21</v>
      </c>
      <c r="I2524" t="s">
        <v>20</v>
      </c>
      <c r="J2524" t="s">
        <v>20</v>
      </c>
      <c r="K2524" t="s">
        <v>31</v>
      </c>
      <c r="L2524" t="s">
        <v>32</v>
      </c>
      <c r="M2524" t="s">
        <v>33</v>
      </c>
      <c r="N2524">
        <v>40.634872999999999</v>
      </c>
      <c r="O2524">
        <v>-111.614689</v>
      </c>
      <c r="P2524">
        <v>7640.3591919999999</v>
      </c>
      <c r="Q2524">
        <v>404</v>
      </c>
      <c r="R2524">
        <v>0</v>
      </c>
    </row>
    <row r="2525" spans="1:18" x14ac:dyDescent="0.25">
      <c r="A2525">
        <v>2524</v>
      </c>
      <c r="B2525">
        <v>94</v>
      </c>
      <c r="C2525">
        <v>31271111</v>
      </c>
      <c r="D2525" t="s">
        <v>241</v>
      </c>
      <c r="E2525">
        <v>12.925000000000001</v>
      </c>
      <c r="F2525" t="s">
        <v>21</v>
      </c>
      <c r="G2525" t="s">
        <v>26</v>
      </c>
      <c r="H2525" t="s">
        <v>21</v>
      </c>
      <c r="I2525" t="s">
        <v>20</v>
      </c>
      <c r="J2525" t="s">
        <v>20</v>
      </c>
      <c r="K2525" t="s">
        <v>27</v>
      </c>
      <c r="L2525" t="s">
        <v>242</v>
      </c>
      <c r="M2525" t="s">
        <v>243</v>
      </c>
      <c r="N2525">
        <v>38.923416000000003</v>
      </c>
      <c r="O2525">
        <v>-111.243055</v>
      </c>
      <c r="P2525">
        <v>6162.7213009999996</v>
      </c>
      <c r="Q2525">
        <v>1327</v>
      </c>
      <c r="R2525">
        <v>0</v>
      </c>
    </row>
    <row r="2526" spans="1:18" x14ac:dyDescent="0.25">
      <c r="A2526">
        <v>2525</v>
      </c>
      <c r="B2526">
        <v>94</v>
      </c>
      <c r="C2526">
        <v>27853411</v>
      </c>
      <c r="D2526" t="s">
        <v>136</v>
      </c>
      <c r="E2526">
        <v>12.93</v>
      </c>
      <c r="F2526" t="s">
        <v>21</v>
      </c>
      <c r="G2526" t="s">
        <v>26</v>
      </c>
      <c r="H2526" t="s">
        <v>21</v>
      </c>
      <c r="I2526" t="s">
        <v>20</v>
      </c>
      <c r="J2526" t="s">
        <v>20</v>
      </c>
      <c r="K2526" t="s">
        <v>41</v>
      </c>
      <c r="L2526" t="s">
        <v>137</v>
      </c>
      <c r="M2526" t="s">
        <v>138</v>
      </c>
      <c r="N2526">
        <v>41.038671000000001</v>
      </c>
      <c r="O2526">
        <v>-111.67871</v>
      </c>
      <c r="P2526">
        <v>5008.7325119999996</v>
      </c>
      <c r="Q2526">
        <v>317</v>
      </c>
      <c r="R2526">
        <v>0</v>
      </c>
    </row>
    <row r="2527" spans="1:18" x14ac:dyDescent="0.25">
      <c r="A2527">
        <v>2526</v>
      </c>
      <c r="B2527">
        <v>94</v>
      </c>
      <c r="C2527">
        <v>1114682</v>
      </c>
      <c r="D2527" t="s">
        <v>171</v>
      </c>
      <c r="E2527">
        <v>12.93</v>
      </c>
      <c r="F2527" t="s">
        <v>21</v>
      </c>
      <c r="G2527" t="s">
        <v>26</v>
      </c>
      <c r="H2527" t="s">
        <v>21</v>
      </c>
      <c r="I2527" t="s">
        <v>20</v>
      </c>
      <c r="J2527" t="s">
        <v>20</v>
      </c>
      <c r="K2527" t="s">
        <v>31</v>
      </c>
      <c r="L2527" t="s">
        <v>188</v>
      </c>
      <c r="M2527" t="s">
        <v>79</v>
      </c>
      <c r="N2527">
        <v>40.699931999999997</v>
      </c>
      <c r="O2527">
        <v>-111.84648300000001</v>
      </c>
      <c r="P2527">
        <v>4399.6853090000004</v>
      </c>
      <c r="Q2527">
        <v>346</v>
      </c>
      <c r="R2527">
        <v>0</v>
      </c>
    </row>
    <row r="2528" spans="1:18" x14ac:dyDescent="0.25">
      <c r="A2528">
        <v>2527</v>
      </c>
      <c r="B2528">
        <v>94</v>
      </c>
      <c r="C2528">
        <v>31502953</v>
      </c>
      <c r="D2528" t="s">
        <v>224</v>
      </c>
      <c r="E2528">
        <v>12.942</v>
      </c>
      <c r="F2528" t="s">
        <v>21</v>
      </c>
      <c r="G2528" t="s">
        <v>26</v>
      </c>
      <c r="H2528" t="s">
        <v>21</v>
      </c>
      <c r="I2528" t="s">
        <v>20</v>
      </c>
      <c r="J2528" t="s">
        <v>20</v>
      </c>
      <c r="K2528" t="s">
        <v>22</v>
      </c>
      <c r="L2528" t="s">
        <v>140</v>
      </c>
      <c r="M2528" t="s">
        <v>194</v>
      </c>
      <c r="N2528">
        <v>40.105697999999997</v>
      </c>
      <c r="O2528">
        <v>-111.643445</v>
      </c>
      <c r="P2528">
        <v>4619.0790660000002</v>
      </c>
      <c r="Q2528">
        <v>408</v>
      </c>
      <c r="R2528">
        <v>0</v>
      </c>
    </row>
    <row r="2529" spans="1:18" x14ac:dyDescent="0.25">
      <c r="A2529">
        <v>2528</v>
      </c>
      <c r="B2529">
        <v>94</v>
      </c>
      <c r="C2529">
        <v>31406795</v>
      </c>
      <c r="D2529" t="s">
        <v>63</v>
      </c>
      <c r="E2529">
        <v>12.949</v>
      </c>
      <c r="F2529" t="s">
        <v>21</v>
      </c>
      <c r="G2529" t="s">
        <v>26</v>
      </c>
      <c r="H2529" t="s">
        <v>21</v>
      </c>
      <c r="I2529" t="s">
        <v>20</v>
      </c>
      <c r="J2529" t="s">
        <v>20</v>
      </c>
      <c r="K2529" t="s">
        <v>27</v>
      </c>
      <c r="L2529" t="s">
        <v>64</v>
      </c>
      <c r="M2529" t="s">
        <v>29</v>
      </c>
      <c r="N2529">
        <v>38.174689999999998</v>
      </c>
      <c r="O2529">
        <v>-112.025218</v>
      </c>
      <c r="P2529">
        <v>6396.6876620000003</v>
      </c>
      <c r="Q2529">
        <v>1365</v>
      </c>
      <c r="R2529">
        <v>0</v>
      </c>
    </row>
    <row r="2530" spans="1:18" x14ac:dyDescent="0.25">
      <c r="A2530">
        <v>2529</v>
      </c>
      <c r="B2530">
        <v>94</v>
      </c>
      <c r="C2530">
        <v>31397184</v>
      </c>
      <c r="D2530" t="s">
        <v>210</v>
      </c>
      <c r="E2530">
        <v>12.95</v>
      </c>
      <c r="F2530" t="s">
        <v>21</v>
      </c>
      <c r="G2530" t="s">
        <v>20</v>
      </c>
      <c r="H2530" t="s">
        <v>21</v>
      </c>
      <c r="I2530" t="s">
        <v>20</v>
      </c>
      <c r="J2530" t="s">
        <v>20</v>
      </c>
      <c r="K2530" t="s">
        <v>27</v>
      </c>
      <c r="L2530" t="s">
        <v>211</v>
      </c>
      <c r="M2530" t="s">
        <v>212</v>
      </c>
      <c r="N2530">
        <v>37.273273000000003</v>
      </c>
      <c r="O2530">
        <v>-109.33129</v>
      </c>
      <c r="P2530">
        <v>4356.8179179999997</v>
      </c>
      <c r="Q2530">
        <v>344</v>
      </c>
      <c r="R2530">
        <v>0</v>
      </c>
    </row>
    <row r="2531" spans="1:18" x14ac:dyDescent="0.25">
      <c r="A2531">
        <v>2530</v>
      </c>
      <c r="B2531">
        <v>94</v>
      </c>
      <c r="C2531" t="e">
        <f>-JXkMnZ3IiDGnUBi9AonWV</f>
        <v>#NAME?</v>
      </c>
      <c r="D2531" t="s">
        <v>203</v>
      </c>
      <c r="E2531">
        <v>12.957000000000001</v>
      </c>
      <c r="F2531" t="s">
        <v>21</v>
      </c>
      <c r="G2531" t="s">
        <v>20</v>
      </c>
      <c r="H2531" t="s">
        <v>21</v>
      </c>
      <c r="I2531" t="s">
        <v>20</v>
      </c>
      <c r="J2531" t="s">
        <v>20</v>
      </c>
      <c r="K2531" t="s">
        <v>41</v>
      </c>
      <c r="L2531" t="s">
        <v>255</v>
      </c>
      <c r="M2531" t="s">
        <v>204</v>
      </c>
      <c r="N2531">
        <v>41.254700999999997</v>
      </c>
      <c r="O2531">
        <v>-111.85739599999999</v>
      </c>
      <c r="P2531">
        <v>4733.4035359999998</v>
      </c>
      <c r="Q2531">
        <v>1349</v>
      </c>
      <c r="R2531">
        <v>0</v>
      </c>
    </row>
    <row r="2532" spans="1:18" x14ac:dyDescent="0.25">
      <c r="A2532">
        <v>2531</v>
      </c>
      <c r="B2532">
        <v>94</v>
      </c>
      <c r="C2532">
        <v>31519110</v>
      </c>
      <c r="D2532" t="s">
        <v>309</v>
      </c>
      <c r="E2532">
        <v>12.96</v>
      </c>
      <c r="F2532" t="s">
        <v>21</v>
      </c>
      <c r="G2532" t="s">
        <v>26</v>
      </c>
      <c r="H2532" t="s">
        <v>21</v>
      </c>
      <c r="I2532" t="s">
        <v>20</v>
      </c>
      <c r="J2532" t="s">
        <v>20</v>
      </c>
      <c r="K2532" t="s">
        <v>22</v>
      </c>
      <c r="L2532" t="s">
        <v>140</v>
      </c>
      <c r="M2532" t="s">
        <v>125</v>
      </c>
      <c r="N2532">
        <v>40.114947000000001</v>
      </c>
      <c r="O2532">
        <v>-111.638994</v>
      </c>
      <c r="P2532">
        <v>4576.2673690000001</v>
      </c>
      <c r="Q2532">
        <v>339</v>
      </c>
      <c r="R2532">
        <v>0</v>
      </c>
    </row>
    <row r="2533" spans="1:18" x14ac:dyDescent="0.25">
      <c r="A2533">
        <v>2532</v>
      </c>
      <c r="B2533">
        <v>94</v>
      </c>
      <c r="C2533" t="e">
        <f>-JZBIYRPG8i84kefEynSrV</f>
        <v>#NAME?</v>
      </c>
      <c r="D2533" t="s">
        <v>30</v>
      </c>
      <c r="E2533">
        <v>12.962</v>
      </c>
      <c r="F2533" t="s">
        <v>21</v>
      </c>
      <c r="G2533" t="s">
        <v>26</v>
      </c>
      <c r="H2533" t="s">
        <v>21</v>
      </c>
      <c r="I2533" t="s">
        <v>20</v>
      </c>
      <c r="J2533" t="s">
        <v>20</v>
      </c>
      <c r="K2533" t="s">
        <v>31</v>
      </c>
      <c r="L2533" t="s">
        <v>32</v>
      </c>
      <c r="M2533" t="s">
        <v>62</v>
      </c>
      <c r="N2533">
        <v>40.585552999999997</v>
      </c>
      <c r="O2533">
        <v>-111.650235</v>
      </c>
      <c r="P2533">
        <v>8333.6050049999994</v>
      </c>
      <c r="Q2533">
        <v>415</v>
      </c>
      <c r="R2533">
        <v>0</v>
      </c>
    </row>
    <row r="2534" spans="1:18" x14ac:dyDescent="0.25">
      <c r="A2534">
        <v>2533</v>
      </c>
      <c r="B2534">
        <v>94</v>
      </c>
      <c r="C2534">
        <v>27955406</v>
      </c>
      <c r="D2534" t="s">
        <v>281</v>
      </c>
      <c r="E2534">
        <v>12.964</v>
      </c>
      <c r="F2534" t="s">
        <v>21</v>
      </c>
      <c r="G2534" t="s">
        <v>26</v>
      </c>
      <c r="H2534" t="s">
        <v>21</v>
      </c>
      <c r="I2534" t="s">
        <v>20</v>
      </c>
      <c r="J2534" t="s">
        <v>20</v>
      </c>
      <c r="K2534" t="s">
        <v>31</v>
      </c>
      <c r="L2534" t="s">
        <v>282</v>
      </c>
      <c r="M2534" t="s">
        <v>174</v>
      </c>
      <c r="N2534">
        <v>40.046706</v>
      </c>
      <c r="O2534">
        <v>-112.293688</v>
      </c>
      <c r="P2534">
        <v>5495.7628350000005</v>
      </c>
      <c r="Q2534">
        <v>1347</v>
      </c>
      <c r="R2534">
        <v>0</v>
      </c>
    </row>
    <row r="2535" spans="1:18" x14ac:dyDescent="0.25">
      <c r="A2535">
        <v>2534</v>
      </c>
      <c r="B2535">
        <v>94</v>
      </c>
      <c r="C2535">
        <v>2584392</v>
      </c>
      <c r="D2535" t="s">
        <v>176</v>
      </c>
      <c r="E2535">
        <v>12.972</v>
      </c>
      <c r="F2535" t="s">
        <v>21</v>
      </c>
      <c r="G2535" t="s">
        <v>26</v>
      </c>
      <c r="H2535" t="s">
        <v>21</v>
      </c>
      <c r="I2535" t="s">
        <v>20</v>
      </c>
      <c r="J2535" t="s">
        <v>20</v>
      </c>
      <c r="K2535" t="s">
        <v>41</v>
      </c>
      <c r="L2535" t="s">
        <v>181</v>
      </c>
      <c r="M2535" t="s">
        <v>178</v>
      </c>
      <c r="N2535">
        <v>41.610323999999999</v>
      </c>
      <c r="O2535">
        <v>-112.127139</v>
      </c>
      <c r="P2535">
        <v>4204.2661580000004</v>
      </c>
      <c r="Q2535">
        <v>1329</v>
      </c>
      <c r="R2535">
        <v>0</v>
      </c>
    </row>
    <row r="2536" spans="1:18" x14ac:dyDescent="0.25">
      <c r="A2536">
        <v>2535</v>
      </c>
      <c r="B2536">
        <v>94</v>
      </c>
      <c r="C2536" t="s">
        <v>513</v>
      </c>
      <c r="D2536" t="s">
        <v>184</v>
      </c>
      <c r="E2536">
        <v>12.977</v>
      </c>
      <c r="F2536" t="s">
        <v>21</v>
      </c>
      <c r="G2536" t="s">
        <v>20</v>
      </c>
      <c r="H2536" t="s">
        <v>21</v>
      </c>
      <c r="I2536" t="s">
        <v>20</v>
      </c>
      <c r="J2536" t="s">
        <v>20</v>
      </c>
      <c r="K2536" t="s">
        <v>27</v>
      </c>
      <c r="L2536" t="s">
        <v>54</v>
      </c>
      <c r="M2536" t="s">
        <v>55</v>
      </c>
      <c r="N2536">
        <v>37.824233</v>
      </c>
      <c r="O2536">
        <v>-113.050392</v>
      </c>
      <c r="P2536">
        <v>5360.168909</v>
      </c>
      <c r="Q2536">
        <v>1410</v>
      </c>
      <c r="R2536">
        <v>0</v>
      </c>
    </row>
    <row r="2537" spans="1:18" x14ac:dyDescent="0.25">
      <c r="A2537">
        <v>2536</v>
      </c>
      <c r="B2537">
        <v>94</v>
      </c>
      <c r="C2537" t="s">
        <v>514</v>
      </c>
      <c r="D2537" t="s">
        <v>124</v>
      </c>
      <c r="E2537">
        <v>12.984</v>
      </c>
      <c r="F2537" t="s">
        <v>21</v>
      </c>
      <c r="G2537" t="s">
        <v>20</v>
      </c>
      <c r="H2537" t="s">
        <v>21</v>
      </c>
      <c r="I2537" t="s">
        <v>20</v>
      </c>
      <c r="J2537" t="s">
        <v>20</v>
      </c>
      <c r="K2537" t="s">
        <v>22</v>
      </c>
      <c r="L2537" t="s">
        <v>193</v>
      </c>
      <c r="M2537" t="s">
        <v>194</v>
      </c>
      <c r="N2537">
        <v>40.137982999999998</v>
      </c>
      <c r="O2537">
        <v>-111.949595</v>
      </c>
      <c r="P2537">
        <v>4499.1175919999996</v>
      </c>
      <c r="Q2537">
        <v>1368</v>
      </c>
      <c r="R2537">
        <v>0</v>
      </c>
    </row>
    <row r="2538" spans="1:18" x14ac:dyDescent="0.25">
      <c r="A2538">
        <v>2537</v>
      </c>
      <c r="B2538">
        <v>94</v>
      </c>
      <c r="C2538">
        <v>28002048</v>
      </c>
      <c r="D2538" t="s">
        <v>346</v>
      </c>
      <c r="E2538">
        <v>12.989000000000001</v>
      </c>
      <c r="F2538" t="s">
        <v>21</v>
      </c>
      <c r="G2538" t="s">
        <v>20</v>
      </c>
      <c r="H2538" t="s">
        <v>21</v>
      </c>
      <c r="I2538" t="s">
        <v>20</v>
      </c>
      <c r="J2538" t="s">
        <v>20</v>
      </c>
      <c r="K2538" t="s">
        <v>27</v>
      </c>
      <c r="L2538" t="s">
        <v>307</v>
      </c>
      <c r="M2538" t="s">
        <v>159</v>
      </c>
      <c r="N2538">
        <v>39.803663999999998</v>
      </c>
      <c r="O2538">
        <v>-111.134749</v>
      </c>
      <c r="P2538">
        <v>7614.8490789999996</v>
      </c>
      <c r="Q2538">
        <v>1389</v>
      </c>
      <c r="R2538">
        <v>0</v>
      </c>
    </row>
    <row r="2539" spans="1:18" x14ac:dyDescent="0.25">
      <c r="A2539">
        <v>2538</v>
      </c>
      <c r="B2539">
        <v>94</v>
      </c>
      <c r="C2539">
        <v>31406978</v>
      </c>
      <c r="D2539" t="s">
        <v>63</v>
      </c>
      <c r="E2539">
        <v>14.534000000000001</v>
      </c>
      <c r="F2539" t="s">
        <v>21</v>
      </c>
      <c r="G2539" t="s">
        <v>26</v>
      </c>
      <c r="H2539" t="s">
        <v>21</v>
      </c>
      <c r="I2539" t="s">
        <v>20</v>
      </c>
      <c r="J2539" t="s">
        <v>20</v>
      </c>
      <c r="K2539" t="s">
        <v>27</v>
      </c>
      <c r="L2539" t="s">
        <v>64</v>
      </c>
      <c r="M2539" t="s">
        <v>29</v>
      </c>
      <c r="N2539">
        <v>38.194234000000002</v>
      </c>
      <c r="O2539">
        <v>-112.01079</v>
      </c>
      <c r="P2539">
        <v>6431.5449259999996</v>
      </c>
      <c r="Q2539">
        <v>1365</v>
      </c>
      <c r="R2539">
        <v>0</v>
      </c>
    </row>
    <row r="2540" spans="1:18" x14ac:dyDescent="0.25">
      <c r="A2540">
        <v>2539</v>
      </c>
      <c r="B2540">
        <v>94</v>
      </c>
      <c r="C2540">
        <v>31398806</v>
      </c>
      <c r="D2540" t="s">
        <v>210</v>
      </c>
      <c r="E2540">
        <v>14.536</v>
      </c>
      <c r="F2540" t="s">
        <v>21</v>
      </c>
      <c r="G2540" t="s">
        <v>26</v>
      </c>
      <c r="H2540" t="s">
        <v>19</v>
      </c>
      <c r="I2540">
        <v>262</v>
      </c>
      <c r="J2540" t="s">
        <v>20</v>
      </c>
      <c r="K2540" t="s">
        <v>27</v>
      </c>
      <c r="L2540" t="s">
        <v>211</v>
      </c>
      <c r="M2540" t="s">
        <v>212</v>
      </c>
      <c r="N2540">
        <v>37.262424000000003</v>
      </c>
      <c r="O2540">
        <v>-109.30582099999999</v>
      </c>
      <c r="P2540">
        <v>4386.077851</v>
      </c>
      <c r="Q2540">
        <v>344</v>
      </c>
      <c r="R2540">
        <v>0</v>
      </c>
    </row>
    <row r="2541" spans="1:18" x14ac:dyDescent="0.25">
      <c r="A2541">
        <v>2540</v>
      </c>
      <c r="B2541">
        <v>94</v>
      </c>
      <c r="C2541">
        <v>31281612</v>
      </c>
      <c r="D2541" t="s">
        <v>288</v>
      </c>
      <c r="E2541">
        <v>14.561</v>
      </c>
      <c r="F2541" t="s">
        <v>21</v>
      </c>
      <c r="G2541" t="s">
        <v>26</v>
      </c>
      <c r="H2541" t="s">
        <v>21</v>
      </c>
      <c r="I2541" t="s">
        <v>20</v>
      </c>
      <c r="J2541" t="s">
        <v>20</v>
      </c>
      <c r="K2541" t="s">
        <v>27</v>
      </c>
      <c r="L2541" t="s">
        <v>211</v>
      </c>
      <c r="M2541" t="s">
        <v>318</v>
      </c>
      <c r="N2541">
        <v>37.181465000000003</v>
      </c>
      <c r="O2541">
        <v>-109.588677</v>
      </c>
      <c r="P2541">
        <v>4566.249116</v>
      </c>
      <c r="Q2541">
        <v>350</v>
      </c>
      <c r="R2541">
        <v>0</v>
      </c>
    </row>
    <row r="2542" spans="1:18" x14ac:dyDescent="0.25">
      <c r="A2542">
        <v>2541</v>
      </c>
      <c r="B2542">
        <v>94</v>
      </c>
      <c r="C2542">
        <v>31735629</v>
      </c>
      <c r="D2542" t="s">
        <v>290</v>
      </c>
      <c r="E2542">
        <v>14.583</v>
      </c>
      <c r="F2542" t="s">
        <v>21</v>
      </c>
      <c r="G2542" t="s">
        <v>20</v>
      </c>
      <c r="H2542" t="s">
        <v>21</v>
      </c>
      <c r="I2542" t="s">
        <v>20</v>
      </c>
      <c r="J2542" t="s">
        <v>20</v>
      </c>
      <c r="K2542" t="s">
        <v>41</v>
      </c>
      <c r="L2542" t="s">
        <v>291</v>
      </c>
      <c r="M2542" t="s">
        <v>238</v>
      </c>
      <c r="N2542">
        <v>41.433208</v>
      </c>
      <c r="O2542">
        <v>-113.77797099999999</v>
      </c>
      <c r="P2542">
        <v>4578.9335639999999</v>
      </c>
      <c r="Q2542">
        <v>1343</v>
      </c>
      <c r="R2542">
        <v>0</v>
      </c>
    </row>
    <row r="2543" spans="1:18" x14ac:dyDescent="0.25">
      <c r="A2543">
        <v>2542</v>
      </c>
      <c r="B2543">
        <v>94</v>
      </c>
      <c r="C2543">
        <v>31565934</v>
      </c>
      <c r="D2543" t="s">
        <v>172</v>
      </c>
      <c r="E2543">
        <v>14.583</v>
      </c>
      <c r="F2543" t="s">
        <v>21</v>
      </c>
      <c r="G2543" t="s">
        <v>26</v>
      </c>
      <c r="H2543" t="s">
        <v>21</v>
      </c>
      <c r="I2543" t="s">
        <v>20</v>
      </c>
      <c r="J2543" t="s">
        <v>20</v>
      </c>
      <c r="K2543" t="s">
        <v>22</v>
      </c>
      <c r="L2543" t="s">
        <v>155</v>
      </c>
      <c r="M2543" t="s">
        <v>174</v>
      </c>
      <c r="N2543">
        <v>39.609430000000003</v>
      </c>
      <c r="O2543">
        <v>-112.135593</v>
      </c>
      <c r="P2543">
        <v>4978.6741810000003</v>
      </c>
      <c r="Q2543">
        <v>1411</v>
      </c>
      <c r="R2543">
        <v>0</v>
      </c>
    </row>
    <row r="2544" spans="1:18" x14ac:dyDescent="0.25">
      <c r="A2544">
        <v>2543</v>
      </c>
      <c r="B2544">
        <v>94</v>
      </c>
      <c r="C2544">
        <v>1532605</v>
      </c>
      <c r="D2544" t="s">
        <v>88</v>
      </c>
      <c r="E2544">
        <v>14.584</v>
      </c>
      <c r="F2544" t="s">
        <v>19</v>
      </c>
      <c r="G2544" t="s">
        <v>20</v>
      </c>
      <c r="H2544" t="s">
        <v>21</v>
      </c>
      <c r="I2544" t="s">
        <v>20</v>
      </c>
      <c r="J2544" t="s">
        <v>20</v>
      </c>
      <c r="K2544" t="s">
        <v>31</v>
      </c>
      <c r="L2544" t="s">
        <v>32</v>
      </c>
      <c r="M2544" t="s">
        <v>90</v>
      </c>
      <c r="N2544">
        <v>40.649586999999997</v>
      </c>
      <c r="O2544">
        <v>-111.86592899999999</v>
      </c>
      <c r="P2544">
        <v>4281.8937669999996</v>
      </c>
      <c r="Q2544">
        <v>318</v>
      </c>
      <c r="R2544">
        <v>0</v>
      </c>
    </row>
    <row r="2545" spans="1:18" x14ac:dyDescent="0.25">
      <c r="A2545">
        <v>2544</v>
      </c>
      <c r="B2545">
        <v>94</v>
      </c>
      <c r="C2545" t="e">
        <f>-IoI6BGAHDPnDlx2ucnK6F</f>
        <v>#NAME?</v>
      </c>
      <c r="D2545" t="s">
        <v>272</v>
      </c>
      <c r="E2545">
        <v>158.35599999999999</v>
      </c>
      <c r="F2545" t="s">
        <v>21</v>
      </c>
      <c r="G2545" t="s">
        <v>26</v>
      </c>
      <c r="H2545" t="s">
        <v>21</v>
      </c>
      <c r="I2545" t="s">
        <v>20</v>
      </c>
      <c r="J2545" t="s">
        <v>20</v>
      </c>
      <c r="K2545" t="s">
        <v>27</v>
      </c>
      <c r="L2545" t="s">
        <v>64</v>
      </c>
      <c r="M2545" t="s">
        <v>214</v>
      </c>
      <c r="N2545">
        <v>38.171745999999999</v>
      </c>
      <c r="O2545">
        <v>-112.272496</v>
      </c>
      <c r="P2545">
        <v>6002.5740409999999</v>
      </c>
      <c r="Q2545">
        <v>1384</v>
      </c>
      <c r="R2545">
        <v>0</v>
      </c>
    </row>
    <row r="2546" spans="1:18" x14ac:dyDescent="0.25">
      <c r="A2546">
        <v>2545</v>
      </c>
      <c r="B2546">
        <v>94</v>
      </c>
      <c r="C2546">
        <v>31550045</v>
      </c>
      <c r="D2546" t="s">
        <v>320</v>
      </c>
      <c r="E2546">
        <v>158.42500000000001</v>
      </c>
      <c r="F2546" t="s">
        <v>21</v>
      </c>
      <c r="G2546" t="s">
        <v>26</v>
      </c>
      <c r="H2546" t="s">
        <v>21</v>
      </c>
      <c r="I2546" t="s">
        <v>20</v>
      </c>
      <c r="J2546" t="s">
        <v>20</v>
      </c>
      <c r="K2546" t="s">
        <v>27</v>
      </c>
      <c r="L2546" t="s">
        <v>183</v>
      </c>
      <c r="M2546" t="s">
        <v>76</v>
      </c>
      <c r="N2546">
        <v>38.957591999999998</v>
      </c>
      <c r="O2546">
        <v>-111.861789</v>
      </c>
      <c r="P2546">
        <v>5097.2186140000003</v>
      </c>
      <c r="Q2546">
        <v>1356</v>
      </c>
      <c r="R2546">
        <v>0</v>
      </c>
    </row>
    <row r="2547" spans="1:18" x14ac:dyDescent="0.25">
      <c r="A2547">
        <v>2546</v>
      </c>
      <c r="B2547">
        <v>94</v>
      </c>
      <c r="C2547" t="e">
        <f>-IoI6MxNI3P5Ge_jrX-ESk</f>
        <v>#NAME?</v>
      </c>
      <c r="D2547" t="s">
        <v>272</v>
      </c>
      <c r="E2547">
        <v>158.465</v>
      </c>
      <c r="F2547" t="s">
        <v>21</v>
      </c>
      <c r="G2547" t="s">
        <v>26</v>
      </c>
      <c r="H2547" t="s">
        <v>21</v>
      </c>
      <c r="I2547" t="s">
        <v>20</v>
      </c>
      <c r="J2547" t="s">
        <v>20</v>
      </c>
      <c r="K2547" t="s">
        <v>27</v>
      </c>
      <c r="L2547" t="s">
        <v>64</v>
      </c>
      <c r="M2547" t="s">
        <v>214</v>
      </c>
      <c r="N2547">
        <v>38.171759000000002</v>
      </c>
      <c r="O2547">
        <v>-112.270481</v>
      </c>
      <c r="P2547">
        <v>6000.9485780000005</v>
      </c>
      <c r="Q2547">
        <v>1384</v>
      </c>
      <c r="R2547">
        <v>0</v>
      </c>
    </row>
    <row r="2548" spans="1:18" x14ac:dyDescent="0.25">
      <c r="A2548">
        <v>2547</v>
      </c>
      <c r="B2548">
        <v>94</v>
      </c>
      <c r="C2548">
        <v>31588422</v>
      </c>
      <c r="D2548" t="s">
        <v>213</v>
      </c>
      <c r="E2548">
        <v>159.27699999999999</v>
      </c>
      <c r="F2548" t="s">
        <v>21</v>
      </c>
      <c r="G2548" t="s">
        <v>26</v>
      </c>
      <c r="H2548" t="s">
        <v>21</v>
      </c>
      <c r="I2548" t="s">
        <v>20</v>
      </c>
      <c r="J2548" t="s">
        <v>20</v>
      </c>
      <c r="K2548" t="s">
        <v>22</v>
      </c>
      <c r="L2548" t="s">
        <v>198</v>
      </c>
      <c r="M2548" t="s">
        <v>214</v>
      </c>
      <c r="N2548">
        <v>39.976345000000002</v>
      </c>
      <c r="O2548">
        <v>-111.79559</v>
      </c>
      <c r="P2548">
        <v>4881.2782770000003</v>
      </c>
      <c r="Q2548">
        <v>1332</v>
      </c>
      <c r="R2548">
        <v>0</v>
      </c>
    </row>
    <row r="2549" spans="1:18" x14ac:dyDescent="0.25">
      <c r="A2549">
        <v>2548</v>
      </c>
      <c r="B2549">
        <v>94</v>
      </c>
      <c r="C2549">
        <v>31588433</v>
      </c>
      <c r="D2549" t="s">
        <v>213</v>
      </c>
      <c r="E2549">
        <v>159.34100000000001</v>
      </c>
      <c r="F2549" t="s">
        <v>21</v>
      </c>
      <c r="G2549" t="s">
        <v>20</v>
      </c>
      <c r="H2549" t="s">
        <v>21</v>
      </c>
      <c r="I2549" t="s">
        <v>20</v>
      </c>
      <c r="J2549" t="s">
        <v>20</v>
      </c>
      <c r="K2549" t="s">
        <v>22</v>
      </c>
      <c r="L2549" t="s">
        <v>198</v>
      </c>
      <c r="M2549" t="s">
        <v>214</v>
      </c>
      <c r="N2549">
        <v>39.975889000000002</v>
      </c>
      <c r="O2549">
        <v>-111.79454200000001</v>
      </c>
      <c r="P2549">
        <v>4890.788571</v>
      </c>
      <c r="Q2549">
        <v>1332</v>
      </c>
      <c r="R2549">
        <v>0</v>
      </c>
    </row>
    <row r="2550" spans="1:18" x14ac:dyDescent="0.25">
      <c r="A2550">
        <v>2549</v>
      </c>
      <c r="B2550">
        <v>94</v>
      </c>
      <c r="C2550">
        <v>31588444</v>
      </c>
      <c r="D2550" t="s">
        <v>213</v>
      </c>
      <c r="E2550">
        <v>159.423</v>
      </c>
      <c r="F2550" t="s">
        <v>21</v>
      </c>
      <c r="G2550" t="s">
        <v>26</v>
      </c>
      <c r="H2550" t="s">
        <v>21</v>
      </c>
      <c r="I2550" t="s">
        <v>20</v>
      </c>
      <c r="J2550" t="s">
        <v>20</v>
      </c>
      <c r="K2550" t="s">
        <v>22</v>
      </c>
      <c r="L2550" t="s">
        <v>198</v>
      </c>
      <c r="M2550" t="s">
        <v>214</v>
      </c>
      <c r="N2550">
        <v>39.975636999999999</v>
      </c>
      <c r="O2550">
        <v>-111.793065</v>
      </c>
      <c r="P2550">
        <v>4899.4631550000004</v>
      </c>
      <c r="Q2550">
        <v>1332</v>
      </c>
      <c r="R2550">
        <v>0</v>
      </c>
    </row>
    <row r="2551" spans="1:18" x14ac:dyDescent="0.25">
      <c r="A2551">
        <v>2550</v>
      </c>
      <c r="B2551">
        <v>94</v>
      </c>
      <c r="C2551">
        <v>31600805</v>
      </c>
      <c r="D2551" t="s">
        <v>213</v>
      </c>
      <c r="E2551">
        <v>159.505</v>
      </c>
      <c r="F2551" t="s">
        <v>21</v>
      </c>
      <c r="G2551" t="s">
        <v>26</v>
      </c>
      <c r="H2551" t="s">
        <v>21</v>
      </c>
      <c r="I2551" t="s">
        <v>20</v>
      </c>
      <c r="J2551" t="s">
        <v>20</v>
      </c>
      <c r="K2551" t="s">
        <v>22</v>
      </c>
      <c r="L2551" t="s">
        <v>198</v>
      </c>
      <c r="M2551" t="s">
        <v>214</v>
      </c>
      <c r="N2551">
        <v>39.975622999999999</v>
      </c>
      <c r="O2551">
        <v>-111.791555</v>
      </c>
      <c r="P2551">
        <v>4903.9215789999998</v>
      </c>
      <c r="Q2551">
        <v>1332</v>
      </c>
      <c r="R2551">
        <v>0</v>
      </c>
    </row>
    <row r="2552" spans="1:18" x14ac:dyDescent="0.25">
      <c r="A2552">
        <v>2551</v>
      </c>
      <c r="B2552">
        <v>94</v>
      </c>
      <c r="C2552">
        <v>31600816</v>
      </c>
      <c r="D2552" t="s">
        <v>213</v>
      </c>
      <c r="E2552">
        <v>159.613</v>
      </c>
      <c r="F2552" t="s">
        <v>21</v>
      </c>
      <c r="G2552" t="s">
        <v>26</v>
      </c>
      <c r="H2552" t="s">
        <v>21</v>
      </c>
      <c r="I2552" t="s">
        <v>20</v>
      </c>
      <c r="J2552" t="s">
        <v>20</v>
      </c>
      <c r="K2552" t="s">
        <v>22</v>
      </c>
      <c r="L2552" t="s">
        <v>198</v>
      </c>
      <c r="M2552" t="s">
        <v>214</v>
      </c>
      <c r="N2552">
        <v>39.975614</v>
      </c>
      <c r="O2552">
        <v>-111.789523</v>
      </c>
      <c r="P2552">
        <v>4909.3048399999998</v>
      </c>
      <c r="Q2552">
        <v>1332</v>
      </c>
      <c r="R2552">
        <v>0</v>
      </c>
    </row>
    <row r="2553" spans="1:18" x14ac:dyDescent="0.25">
      <c r="A2553">
        <v>2552</v>
      </c>
      <c r="B2553">
        <v>94</v>
      </c>
      <c r="C2553" t="e">
        <f>-IoI7d1sH-i8AMkj8aOL-V</f>
        <v>#NAME?</v>
      </c>
      <c r="D2553" t="s">
        <v>272</v>
      </c>
      <c r="E2553">
        <v>159.625</v>
      </c>
      <c r="F2553" t="s">
        <v>21</v>
      </c>
      <c r="G2553" t="s">
        <v>26</v>
      </c>
      <c r="H2553" t="s">
        <v>21</v>
      </c>
      <c r="I2553" t="s">
        <v>20</v>
      </c>
      <c r="J2553" t="s">
        <v>20</v>
      </c>
      <c r="K2553" t="s">
        <v>27</v>
      </c>
      <c r="L2553" t="s">
        <v>64</v>
      </c>
      <c r="M2553" t="s">
        <v>214</v>
      </c>
      <c r="N2553">
        <v>38.178099000000003</v>
      </c>
      <c r="O2553">
        <v>-112.25214699999999</v>
      </c>
      <c r="P2553">
        <v>5991.9620580000001</v>
      </c>
      <c r="Q2553">
        <v>1384</v>
      </c>
      <c r="R2553">
        <v>0</v>
      </c>
    </row>
    <row r="2554" spans="1:18" x14ac:dyDescent="0.25">
      <c r="A2554">
        <v>2553</v>
      </c>
      <c r="B2554">
        <v>94</v>
      </c>
      <c r="C2554">
        <v>31600827</v>
      </c>
      <c r="D2554" t="s">
        <v>213</v>
      </c>
      <c r="E2554">
        <v>159.726</v>
      </c>
      <c r="F2554" t="s">
        <v>21</v>
      </c>
      <c r="G2554" t="s">
        <v>26</v>
      </c>
      <c r="H2554" t="s">
        <v>21</v>
      </c>
      <c r="I2554" t="s">
        <v>20</v>
      </c>
      <c r="J2554" t="s">
        <v>20</v>
      </c>
      <c r="K2554" t="s">
        <v>22</v>
      </c>
      <c r="L2554" t="s">
        <v>198</v>
      </c>
      <c r="M2554" t="s">
        <v>214</v>
      </c>
      <c r="N2554">
        <v>39.975602000000002</v>
      </c>
      <c r="O2554">
        <v>-111.787404</v>
      </c>
      <c r="P2554">
        <v>4911.5118419999999</v>
      </c>
      <c r="Q2554">
        <v>1332</v>
      </c>
      <c r="R2554">
        <v>0</v>
      </c>
    </row>
    <row r="2555" spans="1:18" x14ac:dyDescent="0.25">
      <c r="A2555">
        <v>2554</v>
      </c>
      <c r="B2555">
        <v>94</v>
      </c>
      <c r="C2555" t="s">
        <v>515</v>
      </c>
      <c r="D2555" t="s">
        <v>272</v>
      </c>
      <c r="E2555">
        <v>159.73400000000001</v>
      </c>
      <c r="F2555" t="s">
        <v>21</v>
      </c>
      <c r="G2555" t="s">
        <v>26</v>
      </c>
      <c r="H2555" t="s">
        <v>21</v>
      </c>
      <c r="I2555" t="s">
        <v>20</v>
      </c>
      <c r="J2555" t="s">
        <v>20</v>
      </c>
      <c r="K2555" t="s">
        <v>27</v>
      </c>
      <c r="L2555" t="s">
        <v>64</v>
      </c>
      <c r="M2555" t="s">
        <v>214</v>
      </c>
      <c r="N2555">
        <v>38.179228999999999</v>
      </c>
      <c r="O2555">
        <v>-112.250736</v>
      </c>
      <c r="P2555">
        <v>5989.9492289999998</v>
      </c>
      <c r="Q2555">
        <v>1384</v>
      </c>
      <c r="R2555">
        <v>0</v>
      </c>
    </row>
    <row r="2556" spans="1:18" x14ac:dyDescent="0.25">
      <c r="A2556">
        <v>2555</v>
      </c>
      <c r="B2556">
        <v>94</v>
      </c>
      <c r="C2556">
        <v>31600838</v>
      </c>
      <c r="D2556" t="s">
        <v>213</v>
      </c>
      <c r="E2556">
        <v>159.83799999999999</v>
      </c>
      <c r="F2556" t="s">
        <v>21</v>
      </c>
      <c r="G2556" t="s">
        <v>26</v>
      </c>
      <c r="H2556" t="s">
        <v>21</v>
      </c>
      <c r="I2556" t="s">
        <v>20</v>
      </c>
      <c r="J2556" t="s">
        <v>20</v>
      </c>
      <c r="K2556" t="s">
        <v>22</v>
      </c>
      <c r="L2556" t="s">
        <v>198</v>
      </c>
      <c r="M2556" t="s">
        <v>214</v>
      </c>
      <c r="N2556">
        <v>39.975597999999998</v>
      </c>
      <c r="O2556">
        <v>-111.78527099999999</v>
      </c>
      <c r="P2556">
        <v>4911.8189320000001</v>
      </c>
      <c r="Q2556">
        <v>1332</v>
      </c>
      <c r="R2556">
        <v>0</v>
      </c>
    </row>
    <row r="2557" spans="1:18" x14ac:dyDescent="0.25">
      <c r="A2557">
        <v>2556</v>
      </c>
      <c r="B2557">
        <v>94</v>
      </c>
      <c r="C2557">
        <v>31743947</v>
      </c>
      <c r="D2557" t="s">
        <v>244</v>
      </c>
      <c r="E2557">
        <v>159.93299999999999</v>
      </c>
      <c r="F2557" t="s">
        <v>21</v>
      </c>
      <c r="G2557" t="s">
        <v>26</v>
      </c>
      <c r="H2557" t="s">
        <v>21</v>
      </c>
      <c r="I2557" t="s">
        <v>20</v>
      </c>
      <c r="J2557" t="s">
        <v>20</v>
      </c>
      <c r="K2557" t="s">
        <v>27</v>
      </c>
      <c r="L2557" t="s">
        <v>151</v>
      </c>
      <c r="M2557" t="s">
        <v>270</v>
      </c>
      <c r="N2557">
        <v>38.920473000000001</v>
      </c>
      <c r="O2557">
        <v>-110.375286</v>
      </c>
      <c r="P2557">
        <v>4197.4192650000005</v>
      </c>
      <c r="Q2557">
        <v>1340</v>
      </c>
      <c r="R2557">
        <v>0</v>
      </c>
    </row>
    <row r="2558" spans="1:18" x14ac:dyDescent="0.25">
      <c r="A2558">
        <v>2557</v>
      </c>
      <c r="B2558">
        <v>94</v>
      </c>
      <c r="C2558">
        <v>31600849</v>
      </c>
      <c r="D2558" t="s">
        <v>213</v>
      </c>
      <c r="E2558">
        <v>159.947</v>
      </c>
      <c r="F2558" t="s">
        <v>21</v>
      </c>
      <c r="G2558" t="s">
        <v>26</v>
      </c>
      <c r="H2558" t="s">
        <v>21</v>
      </c>
      <c r="I2558" t="s">
        <v>20</v>
      </c>
      <c r="J2558" t="s">
        <v>20</v>
      </c>
      <c r="K2558" t="s">
        <v>22</v>
      </c>
      <c r="L2558" t="s">
        <v>198</v>
      </c>
      <c r="M2558" t="s">
        <v>214</v>
      </c>
      <c r="N2558">
        <v>39.975594000000001</v>
      </c>
      <c r="O2558">
        <v>-111.783192</v>
      </c>
      <c r="P2558">
        <v>4910.1880590000001</v>
      </c>
      <c r="Q2558">
        <v>1332</v>
      </c>
      <c r="R2558">
        <v>0</v>
      </c>
    </row>
    <row r="2559" spans="1:18" x14ac:dyDescent="0.25">
      <c r="A2559">
        <v>2558</v>
      </c>
      <c r="B2559">
        <v>94</v>
      </c>
      <c r="C2559">
        <v>31312343</v>
      </c>
      <c r="D2559" t="s">
        <v>40</v>
      </c>
      <c r="E2559">
        <v>13.065</v>
      </c>
      <c r="F2559" t="s">
        <v>21</v>
      </c>
      <c r="G2559" t="s">
        <v>26</v>
      </c>
      <c r="H2559" t="s">
        <v>21</v>
      </c>
      <c r="I2559" t="s">
        <v>20</v>
      </c>
      <c r="J2559" t="s">
        <v>20</v>
      </c>
      <c r="K2559" t="s">
        <v>41</v>
      </c>
      <c r="L2559" t="s">
        <v>42</v>
      </c>
      <c r="M2559" t="s">
        <v>43</v>
      </c>
      <c r="N2559">
        <v>41.631121</v>
      </c>
      <c r="O2559">
        <v>-111.70749000000001</v>
      </c>
      <c r="P2559">
        <v>5044.3140759999997</v>
      </c>
      <c r="Q2559">
        <v>1391</v>
      </c>
      <c r="R2559">
        <v>0</v>
      </c>
    </row>
    <row r="2560" spans="1:18" x14ac:dyDescent="0.25">
      <c r="A2560">
        <v>2559</v>
      </c>
      <c r="B2560">
        <v>94</v>
      </c>
      <c r="C2560">
        <v>31271122</v>
      </c>
      <c r="D2560" t="s">
        <v>241</v>
      </c>
      <c r="E2560">
        <v>13.068</v>
      </c>
      <c r="F2560" t="s">
        <v>21</v>
      </c>
      <c r="G2560" t="s">
        <v>26</v>
      </c>
      <c r="H2560" t="s">
        <v>21</v>
      </c>
      <c r="I2560" t="s">
        <v>20</v>
      </c>
      <c r="J2560" t="s">
        <v>20</v>
      </c>
      <c r="K2560" t="s">
        <v>27</v>
      </c>
      <c r="L2560" t="s">
        <v>242</v>
      </c>
      <c r="M2560" t="s">
        <v>243</v>
      </c>
      <c r="N2560">
        <v>38.924551000000001</v>
      </c>
      <c r="O2560">
        <v>-111.240903</v>
      </c>
      <c r="P2560">
        <v>6164.1837109999997</v>
      </c>
      <c r="Q2560">
        <v>1327</v>
      </c>
      <c r="R2560">
        <v>0</v>
      </c>
    </row>
    <row r="2561" spans="1:18" x14ac:dyDescent="0.25">
      <c r="A2561">
        <v>2560</v>
      </c>
      <c r="B2561">
        <v>94</v>
      </c>
      <c r="C2561" t="e">
        <f>-Ip0KTLWIFaIVlq-OPUglk</f>
        <v>#NAME?</v>
      </c>
      <c r="D2561" t="s">
        <v>118</v>
      </c>
      <c r="E2561">
        <v>142.91</v>
      </c>
      <c r="F2561" t="s">
        <v>21</v>
      </c>
      <c r="G2561" t="s">
        <v>26</v>
      </c>
      <c r="H2561" t="s">
        <v>21</v>
      </c>
      <c r="I2561" t="s">
        <v>20</v>
      </c>
      <c r="J2561" t="s">
        <v>20</v>
      </c>
      <c r="K2561" t="s">
        <v>22</v>
      </c>
      <c r="L2561" t="s">
        <v>234</v>
      </c>
      <c r="M2561" t="s">
        <v>169</v>
      </c>
      <c r="N2561">
        <v>40.449328999999999</v>
      </c>
      <c r="O2561">
        <v>-109.55173600000001</v>
      </c>
      <c r="P2561">
        <v>5350.3310670000001</v>
      </c>
      <c r="Q2561">
        <v>310</v>
      </c>
      <c r="R2561">
        <v>0</v>
      </c>
    </row>
    <row r="2562" spans="1:18" x14ac:dyDescent="0.25">
      <c r="A2562">
        <v>2561</v>
      </c>
      <c r="B2562">
        <v>94</v>
      </c>
      <c r="C2562">
        <v>31833832</v>
      </c>
      <c r="D2562" t="s">
        <v>118</v>
      </c>
      <c r="E2562">
        <v>143.017</v>
      </c>
      <c r="F2562" t="s">
        <v>21</v>
      </c>
      <c r="G2562" t="s">
        <v>26</v>
      </c>
      <c r="H2562" t="s">
        <v>21</v>
      </c>
      <c r="I2562" t="s">
        <v>20</v>
      </c>
      <c r="J2562" t="s">
        <v>20</v>
      </c>
      <c r="K2562" t="s">
        <v>22</v>
      </c>
      <c r="L2562" t="s">
        <v>234</v>
      </c>
      <c r="M2562" t="s">
        <v>169</v>
      </c>
      <c r="N2562">
        <v>40.450431000000002</v>
      </c>
      <c r="O2562">
        <v>-109.550274</v>
      </c>
      <c r="P2562">
        <v>5346.6465129999997</v>
      </c>
      <c r="Q2562">
        <v>310</v>
      </c>
      <c r="R2562">
        <v>0</v>
      </c>
    </row>
    <row r="2563" spans="1:18" x14ac:dyDescent="0.25">
      <c r="A2563">
        <v>2562</v>
      </c>
      <c r="B2563">
        <v>94</v>
      </c>
      <c r="C2563">
        <v>31833843</v>
      </c>
      <c r="D2563" t="s">
        <v>118</v>
      </c>
      <c r="E2563">
        <v>143.375</v>
      </c>
      <c r="F2563" t="s">
        <v>19</v>
      </c>
      <c r="G2563" t="s">
        <v>20</v>
      </c>
      <c r="H2563" t="s">
        <v>21</v>
      </c>
      <c r="I2563" t="s">
        <v>20</v>
      </c>
      <c r="J2563" t="s">
        <v>20</v>
      </c>
      <c r="K2563" t="s">
        <v>22</v>
      </c>
      <c r="L2563" t="s">
        <v>234</v>
      </c>
      <c r="M2563" t="s">
        <v>169</v>
      </c>
      <c r="N2563">
        <v>40.454130999999997</v>
      </c>
      <c r="O2563">
        <v>-109.545416</v>
      </c>
      <c r="P2563">
        <v>5335.0076010000002</v>
      </c>
      <c r="Q2563">
        <v>310</v>
      </c>
      <c r="R2563">
        <v>0</v>
      </c>
    </row>
    <row r="2564" spans="1:18" x14ac:dyDescent="0.25">
      <c r="A2564">
        <v>2563</v>
      </c>
      <c r="B2564">
        <v>94</v>
      </c>
      <c r="C2564">
        <v>31837226</v>
      </c>
      <c r="D2564" t="s">
        <v>118</v>
      </c>
      <c r="E2564">
        <v>143.53</v>
      </c>
      <c r="F2564" t="s">
        <v>21</v>
      </c>
      <c r="G2564" t="s">
        <v>26</v>
      </c>
      <c r="H2564" t="s">
        <v>21</v>
      </c>
      <c r="I2564" t="s">
        <v>20</v>
      </c>
      <c r="J2564" t="s">
        <v>20</v>
      </c>
      <c r="K2564" t="s">
        <v>22</v>
      </c>
      <c r="L2564" t="s">
        <v>234</v>
      </c>
      <c r="M2564" t="s">
        <v>169</v>
      </c>
      <c r="N2564">
        <v>40.455331000000001</v>
      </c>
      <c r="O2564">
        <v>-109.542923</v>
      </c>
      <c r="P2564">
        <v>5326.2064300000002</v>
      </c>
      <c r="Q2564">
        <v>310</v>
      </c>
      <c r="R2564">
        <v>0</v>
      </c>
    </row>
    <row r="2565" spans="1:18" x14ac:dyDescent="0.25">
      <c r="A2565">
        <v>2564</v>
      </c>
      <c r="B2565">
        <v>94</v>
      </c>
      <c r="C2565">
        <v>31837237</v>
      </c>
      <c r="D2565" t="s">
        <v>118</v>
      </c>
      <c r="E2565">
        <v>143.60300000000001</v>
      </c>
      <c r="F2565" t="s">
        <v>21</v>
      </c>
      <c r="G2565" t="s">
        <v>26</v>
      </c>
      <c r="H2565" t="s">
        <v>21</v>
      </c>
      <c r="I2565" t="s">
        <v>20</v>
      </c>
      <c r="J2565" t="s">
        <v>20</v>
      </c>
      <c r="K2565" t="s">
        <v>22</v>
      </c>
      <c r="L2565" t="s">
        <v>234</v>
      </c>
      <c r="M2565" t="s">
        <v>169</v>
      </c>
      <c r="N2565">
        <v>40.455537</v>
      </c>
      <c r="O2565">
        <v>-109.541555</v>
      </c>
      <c r="P2565">
        <v>5320.7122509999999</v>
      </c>
      <c r="Q2565">
        <v>310</v>
      </c>
      <c r="R2565">
        <v>0</v>
      </c>
    </row>
    <row r="2566" spans="1:18" x14ac:dyDescent="0.25">
      <c r="A2566">
        <v>2565</v>
      </c>
      <c r="B2566">
        <v>94</v>
      </c>
      <c r="C2566">
        <v>31837248</v>
      </c>
      <c r="D2566" t="s">
        <v>118</v>
      </c>
      <c r="E2566">
        <v>143.69499999999999</v>
      </c>
      <c r="F2566" t="s">
        <v>21</v>
      </c>
      <c r="G2566" t="s">
        <v>26</v>
      </c>
      <c r="H2566" t="s">
        <v>21</v>
      </c>
      <c r="I2566" t="s">
        <v>20</v>
      </c>
      <c r="J2566" t="s">
        <v>20</v>
      </c>
      <c r="K2566" t="s">
        <v>22</v>
      </c>
      <c r="L2566" t="s">
        <v>234</v>
      </c>
      <c r="M2566" t="s">
        <v>169</v>
      </c>
      <c r="N2566">
        <v>40.455570999999999</v>
      </c>
      <c r="O2566">
        <v>-109.53980300000001</v>
      </c>
      <c r="P2566">
        <v>5314.6333720000002</v>
      </c>
      <c r="Q2566">
        <v>310</v>
      </c>
      <c r="R2566">
        <v>0</v>
      </c>
    </row>
    <row r="2567" spans="1:18" x14ac:dyDescent="0.25">
      <c r="A2567">
        <v>2566</v>
      </c>
      <c r="B2567">
        <v>94</v>
      </c>
      <c r="C2567">
        <v>31838109</v>
      </c>
      <c r="D2567" t="s">
        <v>118</v>
      </c>
      <c r="E2567">
        <v>143.786</v>
      </c>
      <c r="F2567" t="s">
        <v>19</v>
      </c>
      <c r="G2567" t="s">
        <v>20</v>
      </c>
      <c r="H2567" t="s">
        <v>19</v>
      </c>
      <c r="I2567">
        <v>121</v>
      </c>
      <c r="J2567" t="s">
        <v>20</v>
      </c>
      <c r="K2567" t="s">
        <v>22</v>
      </c>
      <c r="L2567" t="s">
        <v>234</v>
      </c>
      <c r="M2567" t="s">
        <v>169</v>
      </c>
      <c r="N2567">
        <v>40.455593999999998</v>
      </c>
      <c r="O2567">
        <v>-109.53805199999999</v>
      </c>
      <c r="P2567">
        <v>5308.2583940000004</v>
      </c>
      <c r="Q2567">
        <v>310</v>
      </c>
      <c r="R2567">
        <v>0</v>
      </c>
    </row>
    <row r="2568" spans="1:18" x14ac:dyDescent="0.25">
      <c r="A2568">
        <v>2567</v>
      </c>
      <c r="B2568">
        <v>94</v>
      </c>
      <c r="C2568" t="e">
        <f>-JS-cs5HIbXoAboluOtDRF</f>
        <v>#NAME?</v>
      </c>
      <c r="D2568" t="s">
        <v>288</v>
      </c>
      <c r="E2568">
        <v>143.80199999999999</v>
      </c>
      <c r="F2568" t="s">
        <v>21</v>
      </c>
      <c r="G2568" t="s">
        <v>26</v>
      </c>
      <c r="H2568" t="s">
        <v>21</v>
      </c>
      <c r="I2568" t="s">
        <v>20</v>
      </c>
      <c r="J2568" t="s">
        <v>20</v>
      </c>
      <c r="K2568" t="s">
        <v>27</v>
      </c>
      <c r="L2568" t="s">
        <v>38</v>
      </c>
      <c r="M2568" t="s">
        <v>152</v>
      </c>
      <c r="N2568">
        <v>38.761851</v>
      </c>
      <c r="O2568">
        <v>-109.742667</v>
      </c>
      <c r="P2568">
        <v>4482.2760150000004</v>
      </c>
      <c r="Q2568">
        <v>350</v>
      </c>
      <c r="R2568">
        <v>0</v>
      </c>
    </row>
    <row r="2569" spans="1:18" x14ac:dyDescent="0.25">
      <c r="A2569">
        <v>2568</v>
      </c>
      <c r="B2569">
        <v>94</v>
      </c>
      <c r="C2569">
        <v>31839856</v>
      </c>
      <c r="D2569" t="s">
        <v>118</v>
      </c>
      <c r="E2569">
        <v>143.869</v>
      </c>
      <c r="F2569" t="s">
        <v>21</v>
      </c>
      <c r="G2569" t="s">
        <v>26</v>
      </c>
      <c r="H2569" t="s">
        <v>21</v>
      </c>
      <c r="I2569" t="s">
        <v>20</v>
      </c>
      <c r="J2569" t="s">
        <v>20</v>
      </c>
      <c r="K2569" t="s">
        <v>22</v>
      </c>
      <c r="L2569" t="s">
        <v>234</v>
      </c>
      <c r="M2569" t="s">
        <v>169</v>
      </c>
      <c r="N2569">
        <v>40.455609000000003</v>
      </c>
      <c r="O2569">
        <v>-109.536466</v>
      </c>
      <c r="P2569">
        <v>5302.4783630000002</v>
      </c>
      <c r="Q2569">
        <v>310</v>
      </c>
      <c r="R2569">
        <v>0</v>
      </c>
    </row>
    <row r="2570" spans="1:18" x14ac:dyDescent="0.25">
      <c r="A2570">
        <v>2569</v>
      </c>
      <c r="B2570">
        <v>94</v>
      </c>
      <c r="C2570" t="e">
        <f>-IoHs7xbFN9F8if4MckerV</f>
        <v>#NAME?</v>
      </c>
      <c r="D2570" t="s">
        <v>272</v>
      </c>
      <c r="E2570">
        <v>143.88200000000001</v>
      </c>
      <c r="F2570" t="s">
        <v>21</v>
      </c>
      <c r="G2570" t="s">
        <v>26</v>
      </c>
      <c r="H2570" t="s">
        <v>21</v>
      </c>
      <c r="I2570" t="s">
        <v>20</v>
      </c>
      <c r="J2570" t="s">
        <v>20</v>
      </c>
      <c r="K2570" t="s">
        <v>27</v>
      </c>
      <c r="L2570" t="s">
        <v>247</v>
      </c>
      <c r="M2570" t="s">
        <v>214</v>
      </c>
      <c r="N2570">
        <v>37.999541000000001</v>
      </c>
      <c r="O2570">
        <v>-112.38554000000001</v>
      </c>
      <c r="P2570">
        <v>6319.3055880000002</v>
      </c>
      <c r="Q2570">
        <v>1384</v>
      </c>
      <c r="R2570">
        <v>0</v>
      </c>
    </row>
    <row r="2571" spans="1:18" x14ac:dyDescent="0.25">
      <c r="A2571">
        <v>2570</v>
      </c>
      <c r="B2571">
        <v>94</v>
      </c>
      <c r="C2571">
        <v>31582357</v>
      </c>
      <c r="D2571" t="s">
        <v>213</v>
      </c>
      <c r="E2571">
        <v>143.893</v>
      </c>
      <c r="F2571" t="s">
        <v>21</v>
      </c>
      <c r="G2571" t="s">
        <v>26</v>
      </c>
      <c r="H2571" t="s">
        <v>21</v>
      </c>
      <c r="I2571" t="s">
        <v>20</v>
      </c>
      <c r="J2571" t="s">
        <v>20</v>
      </c>
      <c r="K2571" t="s">
        <v>22</v>
      </c>
      <c r="L2571" t="s">
        <v>193</v>
      </c>
      <c r="M2571" t="s">
        <v>214</v>
      </c>
      <c r="N2571">
        <v>39.970030999999999</v>
      </c>
      <c r="O2571">
        <v>-112.06053300000001</v>
      </c>
      <c r="P2571">
        <v>5974.7781660000001</v>
      </c>
      <c r="Q2571">
        <v>1332</v>
      </c>
      <c r="R2571">
        <v>0</v>
      </c>
    </row>
    <row r="2572" spans="1:18" x14ac:dyDescent="0.25">
      <c r="A2572">
        <v>2571</v>
      </c>
      <c r="B2572">
        <v>94</v>
      </c>
      <c r="C2572">
        <v>31839867</v>
      </c>
      <c r="D2572" t="s">
        <v>118</v>
      </c>
      <c r="E2572">
        <v>143.95400000000001</v>
      </c>
      <c r="F2572" t="s">
        <v>21</v>
      </c>
      <c r="G2572" t="s">
        <v>26</v>
      </c>
      <c r="H2572" t="s">
        <v>21</v>
      </c>
      <c r="I2572" t="s">
        <v>20</v>
      </c>
      <c r="J2572" t="s">
        <v>20</v>
      </c>
      <c r="K2572" t="s">
        <v>22</v>
      </c>
      <c r="L2572" t="s">
        <v>234</v>
      </c>
      <c r="M2572" t="s">
        <v>169</v>
      </c>
      <c r="N2572">
        <v>40.455634000000003</v>
      </c>
      <c r="O2572">
        <v>-109.534853</v>
      </c>
      <c r="P2572">
        <v>5297.6782329999996</v>
      </c>
      <c r="Q2572">
        <v>310</v>
      </c>
      <c r="R2572">
        <v>0</v>
      </c>
    </row>
    <row r="2573" spans="1:18" x14ac:dyDescent="0.25">
      <c r="A2573">
        <v>2572</v>
      </c>
      <c r="B2573">
        <v>94</v>
      </c>
      <c r="C2573">
        <v>31839878</v>
      </c>
      <c r="D2573" t="s">
        <v>118</v>
      </c>
      <c r="E2573">
        <v>144.09</v>
      </c>
      <c r="F2573" t="s">
        <v>21</v>
      </c>
      <c r="G2573" t="s">
        <v>26</v>
      </c>
      <c r="H2573" t="s">
        <v>21</v>
      </c>
      <c r="I2573" t="s">
        <v>20</v>
      </c>
      <c r="J2573" t="s">
        <v>20</v>
      </c>
      <c r="K2573" t="s">
        <v>22</v>
      </c>
      <c r="L2573" t="s">
        <v>234</v>
      </c>
      <c r="M2573" t="s">
        <v>169</v>
      </c>
      <c r="N2573">
        <v>40.455682000000003</v>
      </c>
      <c r="O2573">
        <v>-109.532263</v>
      </c>
      <c r="P2573">
        <v>5287.823136</v>
      </c>
      <c r="Q2573">
        <v>310</v>
      </c>
      <c r="R2573">
        <v>0</v>
      </c>
    </row>
    <row r="2574" spans="1:18" x14ac:dyDescent="0.25">
      <c r="A2574">
        <v>2573</v>
      </c>
      <c r="B2574">
        <v>94</v>
      </c>
      <c r="C2574">
        <v>31841357</v>
      </c>
      <c r="D2574" t="s">
        <v>118</v>
      </c>
      <c r="E2574">
        <v>144.18700000000001</v>
      </c>
      <c r="F2574" t="s">
        <v>19</v>
      </c>
      <c r="G2574" t="s">
        <v>20</v>
      </c>
      <c r="H2574" t="s">
        <v>21</v>
      </c>
      <c r="I2574" t="s">
        <v>20</v>
      </c>
      <c r="J2574" t="s">
        <v>20</v>
      </c>
      <c r="K2574" t="s">
        <v>22</v>
      </c>
      <c r="L2574" t="s">
        <v>234</v>
      </c>
      <c r="M2574" t="s">
        <v>169</v>
      </c>
      <c r="N2574">
        <v>40.455689</v>
      </c>
      <c r="O2574">
        <v>-109.530401</v>
      </c>
      <c r="P2574">
        <v>5279.8780720000004</v>
      </c>
      <c r="Q2574">
        <v>310</v>
      </c>
      <c r="R2574">
        <v>0</v>
      </c>
    </row>
    <row r="2575" spans="1:18" x14ac:dyDescent="0.25">
      <c r="A2575">
        <v>2574</v>
      </c>
      <c r="B2575">
        <v>94</v>
      </c>
      <c r="C2575">
        <v>31842672</v>
      </c>
      <c r="D2575" t="s">
        <v>118</v>
      </c>
      <c r="E2575">
        <v>144.285</v>
      </c>
      <c r="F2575" t="s">
        <v>19</v>
      </c>
      <c r="G2575" t="s">
        <v>20</v>
      </c>
      <c r="H2575" t="s">
        <v>19</v>
      </c>
      <c r="I2575">
        <v>191</v>
      </c>
      <c r="J2575" t="s">
        <v>20</v>
      </c>
      <c r="K2575" t="s">
        <v>22</v>
      </c>
      <c r="L2575" t="s">
        <v>234</v>
      </c>
      <c r="M2575" t="s">
        <v>169</v>
      </c>
      <c r="N2575">
        <v>40.455719999999999</v>
      </c>
      <c r="O2575">
        <v>-109.528533</v>
      </c>
      <c r="P2575">
        <v>5274.5812299999998</v>
      </c>
      <c r="Q2575">
        <v>310</v>
      </c>
      <c r="R2575">
        <v>0</v>
      </c>
    </row>
    <row r="2576" spans="1:18" x14ac:dyDescent="0.25">
      <c r="A2576">
        <v>2575</v>
      </c>
      <c r="B2576">
        <v>94</v>
      </c>
      <c r="C2576">
        <v>31843823</v>
      </c>
      <c r="D2576" t="s">
        <v>118</v>
      </c>
      <c r="E2576">
        <v>144.38</v>
      </c>
      <c r="F2576" t="s">
        <v>21</v>
      </c>
      <c r="G2576" t="s">
        <v>26</v>
      </c>
      <c r="H2576" t="s">
        <v>21</v>
      </c>
      <c r="I2576" t="s">
        <v>20</v>
      </c>
      <c r="J2576" t="s">
        <v>20</v>
      </c>
      <c r="K2576" t="s">
        <v>22</v>
      </c>
      <c r="L2576" t="s">
        <v>234</v>
      </c>
      <c r="M2576" t="s">
        <v>169</v>
      </c>
      <c r="N2576">
        <v>40.455739999999999</v>
      </c>
      <c r="O2576">
        <v>-109.526712</v>
      </c>
      <c r="P2576">
        <v>5270.0845959999997</v>
      </c>
      <c r="Q2576">
        <v>310</v>
      </c>
      <c r="R2576">
        <v>0</v>
      </c>
    </row>
    <row r="2577" spans="1:18" x14ac:dyDescent="0.25">
      <c r="A2577">
        <v>2576</v>
      </c>
      <c r="B2577">
        <v>94</v>
      </c>
      <c r="C2577">
        <v>31843834</v>
      </c>
      <c r="D2577" t="s">
        <v>118</v>
      </c>
      <c r="E2577">
        <v>144.47900000000001</v>
      </c>
      <c r="F2577" t="s">
        <v>21</v>
      </c>
      <c r="G2577" t="s">
        <v>26</v>
      </c>
      <c r="H2577" t="s">
        <v>21</v>
      </c>
      <c r="I2577" t="s">
        <v>20</v>
      </c>
      <c r="J2577" t="s">
        <v>20</v>
      </c>
      <c r="K2577" t="s">
        <v>22</v>
      </c>
      <c r="L2577" t="s">
        <v>234</v>
      </c>
      <c r="M2577" t="s">
        <v>169</v>
      </c>
      <c r="N2577">
        <v>40.455759</v>
      </c>
      <c r="O2577">
        <v>-109.524835</v>
      </c>
      <c r="P2577">
        <v>5263.2870309999998</v>
      </c>
      <c r="Q2577">
        <v>310</v>
      </c>
      <c r="R2577">
        <v>0</v>
      </c>
    </row>
    <row r="2578" spans="1:18" x14ac:dyDescent="0.25">
      <c r="A2578">
        <v>2577</v>
      </c>
      <c r="B2578">
        <v>94</v>
      </c>
      <c r="C2578">
        <v>31432034</v>
      </c>
      <c r="D2578" t="s">
        <v>319</v>
      </c>
      <c r="E2578">
        <v>19.863</v>
      </c>
      <c r="F2578" t="s">
        <v>21</v>
      </c>
      <c r="G2578" t="s">
        <v>26</v>
      </c>
      <c r="H2578" t="s">
        <v>21</v>
      </c>
      <c r="I2578" t="s">
        <v>20</v>
      </c>
      <c r="J2578" t="s">
        <v>20</v>
      </c>
      <c r="K2578" t="s">
        <v>27</v>
      </c>
      <c r="L2578" t="s">
        <v>162</v>
      </c>
      <c r="M2578" t="s">
        <v>55</v>
      </c>
      <c r="N2578">
        <v>37.740769999999998</v>
      </c>
      <c r="O2578">
        <v>-113.743414</v>
      </c>
      <c r="P2578">
        <v>5118.2116910000004</v>
      </c>
      <c r="Q2578">
        <v>314</v>
      </c>
      <c r="R2578">
        <v>0</v>
      </c>
    </row>
    <row r="2579" spans="1:18" x14ac:dyDescent="0.25">
      <c r="A2579">
        <v>2578</v>
      </c>
      <c r="B2579">
        <v>94</v>
      </c>
      <c r="C2579">
        <v>31717932</v>
      </c>
      <c r="D2579" t="s">
        <v>245</v>
      </c>
      <c r="E2579">
        <v>19.873999999999999</v>
      </c>
      <c r="F2579" t="s">
        <v>21</v>
      </c>
      <c r="G2579" t="s">
        <v>26</v>
      </c>
      <c r="H2579" t="s">
        <v>21</v>
      </c>
      <c r="I2579" t="s">
        <v>20</v>
      </c>
      <c r="J2579" t="s">
        <v>20</v>
      </c>
      <c r="K2579" t="s">
        <v>22</v>
      </c>
      <c r="L2579" t="s">
        <v>97</v>
      </c>
      <c r="M2579" t="s">
        <v>98</v>
      </c>
      <c r="N2579">
        <v>40.915813999999997</v>
      </c>
      <c r="O2579">
        <v>-109.684426</v>
      </c>
      <c r="P2579">
        <v>6316.5092599999998</v>
      </c>
      <c r="Q2579">
        <v>1353</v>
      </c>
      <c r="R2579">
        <v>0</v>
      </c>
    </row>
    <row r="2580" spans="1:18" x14ac:dyDescent="0.25">
      <c r="A2580">
        <v>2579</v>
      </c>
      <c r="B2580">
        <v>94</v>
      </c>
      <c r="C2580">
        <v>1559708</v>
      </c>
      <c r="D2580" t="s">
        <v>88</v>
      </c>
      <c r="E2580">
        <v>19.896000000000001</v>
      </c>
      <c r="F2580" t="s">
        <v>21</v>
      </c>
      <c r="G2580" t="s">
        <v>26</v>
      </c>
      <c r="H2580" t="s">
        <v>21</v>
      </c>
      <c r="I2580" t="s">
        <v>20</v>
      </c>
      <c r="J2580" t="s">
        <v>20</v>
      </c>
      <c r="K2580" t="s">
        <v>31</v>
      </c>
      <c r="L2580" t="s">
        <v>66</v>
      </c>
      <c r="M2580" t="s">
        <v>90</v>
      </c>
      <c r="N2580">
        <v>40.723323999999998</v>
      </c>
      <c r="O2580">
        <v>-111.871227</v>
      </c>
      <c r="P2580">
        <v>4254.6303520000001</v>
      </c>
      <c r="Q2580">
        <v>318</v>
      </c>
      <c r="R2580">
        <v>0</v>
      </c>
    </row>
    <row r="2581" spans="1:18" x14ac:dyDescent="0.25">
      <c r="A2581">
        <v>2580</v>
      </c>
      <c r="B2581">
        <v>94</v>
      </c>
      <c r="C2581">
        <v>31672278</v>
      </c>
      <c r="D2581" t="s">
        <v>217</v>
      </c>
      <c r="E2581">
        <v>19.905000000000001</v>
      </c>
      <c r="F2581" t="s">
        <v>21</v>
      </c>
      <c r="G2581" t="s">
        <v>20</v>
      </c>
      <c r="H2581" t="s">
        <v>21</v>
      </c>
      <c r="I2581" t="s">
        <v>20</v>
      </c>
      <c r="J2581" t="s">
        <v>20</v>
      </c>
      <c r="K2581" t="s">
        <v>27</v>
      </c>
      <c r="L2581" t="s">
        <v>162</v>
      </c>
      <c r="M2581" t="s">
        <v>163</v>
      </c>
      <c r="N2581">
        <v>37.333928999999998</v>
      </c>
      <c r="O2581">
        <v>-113.693213</v>
      </c>
      <c r="P2581">
        <v>4356.9574089999996</v>
      </c>
      <c r="Q2581">
        <v>304</v>
      </c>
      <c r="R2581">
        <v>0</v>
      </c>
    </row>
    <row r="2582" spans="1:18" x14ac:dyDescent="0.25">
      <c r="A2582">
        <v>2581</v>
      </c>
      <c r="B2582">
        <v>94</v>
      </c>
      <c r="C2582">
        <v>31194000</v>
      </c>
      <c r="D2582" t="s">
        <v>310</v>
      </c>
      <c r="E2582">
        <v>19.917000000000002</v>
      </c>
      <c r="F2582" t="s">
        <v>21</v>
      </c>
      <c r="G2582" t="s">
        <v>26</v>
      </c>
      <c r="H2582" t="s">
        <v>21</v>
      </c>
      <c r="I2582" t="s">
        <v>20</v>
      </c>
      <c r="J2582" t="s">
        <v>20</v>
      </c>
      <c r="K2582" t="s">
        <v>31</v>
      </c>
      <c r="L2582" t="s">
        <v>285</v>
      </c>
      <c r="M2582" t="s">
        <v>206</v>
      </c>
      <c r="N2582">
        <v>40.649917000000002</v>
      </c>
      <c r="O2582">
        <v>-112.297809</v>
      </c>
      <c r="P2582">
        <v>4209.923804</v>
      </c>
      <c r="Q2582">
        <v>1414</v>
      </c>
      <c r="R2582">
        <v>0</v>
      </c>
    </row>
    <row r="2583" spans="1:18" x14ac:dyDescent="0.25">
      <c r="A2583">
        <v>2582</v>
      </c>
      <c r="B2583">
        <v>94</v>
      </c>
      <c r="C2583">
        <v>1737683</v>
      </c>
      <c r="D2583" t="s">
        <v>197</v>
      </c>
      <c r="E2583">
        <v>2.2040000000000002</v>
      </c>
      <c r="F2583" t="s">
        <v>21</v>
      </c>
      <c r="G2583" t="s">
        <v>26</v>
      </c>
      <c r="H2583" t="s">
        <v>21</v>
      </c>
      <c r="I2583" t="s">
        <v>20</v>
      </c>
      <c r="J2583" t="s">
        <v>20</v>
      </c>
      <c r="K2583" t="s">
        <v>22</v>
      </c>
      <c r="L2583" t="s">
        <v>198</v>
      </c>
      <c r="M2583" t="s">
        <v>125</v>
      </c>
      <c r="N2583">
        <v>39.996682</v>
      </c>
      <c r="O2583">
        <v>-111.82456999999999</v>
      </c>
      <c r="P2583">
        <v>4641.7169780000004</v>
      </c>
      <c r="Q2583">
        <v>1416</v>
      </c>
      <c r="R2583">
        <v>0</v>
      </c>
    </row>
    <row r="2584" spans="1:18" x14ac:dyDescent="0.25">
      <c r="A2584">
        <v>2583</v>
      </c>
      <c r="B2584">
        <v>94</v>
      </c>
      <c r="C2584">
        <v>31501873</v>
      </c>
      <c r="D2584" t="s">
        <v>150</v>
      </c>
      <c r="E2584">
        <v>2.2069999999999999</v>
      </c>
      <c r="F2584" t="s">
        <v>21</v>
      </c>
      <c r="G2584" t="s">
        <v>26</v>
      </c>
      <c r="H2584" t="s">
        <v>21</v>
      </c>
      <c r="I2584" t="s">
        <v>20</v>
      </c>
      <c r="J2584" t="s">
        <v>20</v>
      </c>
      <c r="K2584" t="s">
        <v>27</v>
      </c>
      <c r="L2584" t="s">
        <v>151</v>
      </c>
      <c r="M2584" t="s">
        <v>152</v>
      </c>
      <c r="N2584">
        <v>38.995168</v>
      </c>
      <c r="O2584">
        <v>-110.15085500000001</v>
      </c>
      <c r="P2584">
        <v>3994.221873</v>
      </c>
      <c r="Q2584">
        <v>1336</v>
      </c>
      <c r="R2584">
        <v>0</v>
      </c>
    </row>
    <row r="2585" spans="1:18" x14ac:dyDescent="0.25">
      <c r="A2585">
        <v>2584</v>
      </c>
      <c r="B2585">
        <v>94</v>
      </c>
      <c r="C2585">
        <v>28002144</v>
      </c>
      <c r="D2585" t="s">
        <v>59</v>
      </c>
      <c r="E2585">
        <v>2.2069999999999999</v>
      </c>
      <c r="F2585" t="s">
        <v>21</v>
      </c>
      <c r="G2585" t="s">
        <v>26</v>
      </c>
      <c r="H2585" t="s">
        <v>21</v>
      </c>
      <c r="I2585" t="s">
        <v>20</v>
      </c>
      <c r="J2585" t="s">
        <v>20</v>
      </c>
      <c r="K2585" t="s">
        <v>22</v>
      </c>
      <c r="L2585" t="s">
        <v>60</v>
      </c>
      <c r="M2585" t="s">
        <v>24</v>
      </c>
      <c r="N2585">
        <v>40.311954999999998</v>
      </c>
      <c r="O2585">
        <v>-111.69295700000001</v>
      </c>
      <c r="P2585">
        <v>4736.5118759999996</v>
      </c>
      <c r="Q2585">
        <v>313</v>
      </c>
      <c r="R2585">
        <v>0</v>
      </c>
    </row>
    <row r="2586" spans="1:18" x14ac:dyDescent="0.25">
      <c r="A2586">
        <v>2585</v>
      </c>
      <c r="B2586">
        <v>94</v>
      </c>
      <c r="C2586" t="e">
        <f>-JXV7atKHTqX-KFQ1rKjoV</f>
        <v>#NAME?</v>
      </c>
      <c r="D2586" t="s">
        <v>239</v>
      </c>
      <c r="E2586">
        <v>2.2090000000000001</v>
      </c>
      <c r="F2586" t="s">
        <v>21</v>
      </c>
      <c r="G2586" t="s">
        <v>20</v>
      </c>
      <c r="H2586" t="s">
        <v>21</v>
      </c>
      <c r="I2586" t="s">
        <v>20</v>
      </c>
      <c r="J2586" t="s">
        <v>20</v>
      </c>
      <c r="K2586" t="s">
        <v>41</v>
      </c>
      <c r="L2586" t="s">
        <v>181</v>
      </c>
      <c r="M2586" t="s">
        <v>178</v>
      </c>
      <c r="N2586">
        <v>41.626804999999997</v>
      </c>
      <c r="O2586">
        <v>-112.332836</v>
      </c>
      <c r="P2586">
        <v>4203.9766159999999</v>
      </c>
      <c r="Q2586">
        <v>1392</v>
      </c>
      <c r="R2586">
        <v>0</v>
      </c>
    </row>
    <row r="2587" spans="1:18" x14ac:dyDescent="0.25">
      <c r="A2587">
        <v>2586</v>
      </c>
      <c r="B2587">
        <v>94</v>
      </c>
      <c r="C2587">
        <v>504986</v>
      </c>
      <c r="D2587" t="s">
        <v>135</v>
      </c>
      <c r="E2587">
        <v>2.2109999999999999</v>
      </c>
      <c r="F2587" t="s">
        <v>21</v>
      </c>
      <c r="G2587" t="s">
        <v>26</v>
      </c>
      <c r="H2587" t="s">
        <v>21</v>
      </c>
      <c r="I2587" t="s">
        <v>20</v>
      </c>
      <c r="J2587" t="s">
        <v>20</v>
      </c>
      <c r="K2587" t="s">
        <v>31</v>
      </c>
      <c r="L2587" t="s">
        <v>89</v>
      </c>
      <c r="M2587" t="s">
        <v>144</v>
      </c>
      <c r="N2587">
        <v>40.562308999999999</v>
      </c>
      <c r="O2587">
        <v>-111.93470499999999</v>
      </c>
      <c r="P2587">
        <v>4399.7688790000002</v>
      </c>
      <c r="Q2587">
        <v>1423</v>
      </c>
      <c r="R2587">
        <v>0</v>
      </c>
    </row>
    <row r="2588" spans="1:18" x14ac:dyDescent="0.25">
      <c r="A2588">
        <v>2587</v>
      </c>
      <c r="B2588">
        <v>94</v>
      </c>
      <c r="C2588">
        <v>31406871</v>
      </c>
      <c r="D2588" t="s">
        <v>74</v>
      </c>
      <c r="E2588">
        <v>2.2120000000000002</v>
      </c>
      <c r="F2588" t="s">
        <v>21</v>
      </c>
      <c r="G2588" t="s">
        <v>26</v>
      </c>
      <c r="H2588" t="s">
        <v>21</v>
      </c>
      <c r="I2588" t="s">
        <v>20</v>
      </c>
      <c r="J2588" t="s">
        <v>20</v>
      </c>
      <c r="K2588" t="s">
        <v>27</v>
      </c>
      <c r="L2588" t="s">
        <v>75</v>
      </c>
      <c r="M2588" t="s">
        <v>76</v>
      </c>
      <c r="N2588">
        <v>38.766674000000002</v>
      </c>
      <c r="O2588">
        <v>-112.084772</v>
      </c>
      <c r="P2588">
        <v>5266.7899200000002</v>
      </c>
      <c r="Q2588">
        <v>332</v>
      </c>
      <c r="R2588">
        <v>0</v>
      </c>
    </row>
    <row r="2589" spans="1:18" x14ac:dyDescent="0.25">
      <c r="A2589">
        <v>2588</v>
      </c>
      <c r="B2589">
        <v>94</v>
      </c>
      <c r="C2589">
        <v>754899</v>
      </c>
      <c r="D2589" t="s">
        <v>86</v>
      </c>
      <c r="E2589">
        <v>2.2149999999999999</v>
      </c>
      <c r="F2589" t="s">
        <v>21</v>
      </c>
      <c r="G2589" t="s">
        <v>26</v>
      </c>
      <c r="H2589" t="s">
        <v>21</v>
      </c>
      <c r="I2589" t="s">
        <v>20</v>
      </c>
      <c r="J2589" t="s">
        <v>20</v>
      </c>
      <c r="K2589" t="s">
        <v>41</v>
      </c>
      <c r="L2589" t="s">
        <v>87</v>
      </c>
      <c r="M2589" t="s">
        <v>58</v>
      </c>
      <c r="N2589">
        <v>41.034869999999998</v>
      </c>
      <c r="O2589">
        <v>-111.938636</v>
      </c>
      <c r="P2589">
        <v>4294.7152070000002</v>
      </c>
      <c r="Q2589">
        <v>258</v>
      </c>
      <c r="R2589">
        <v>0</v>
      </c>
    </row>
    <row r="2590" spans="1:18" x14ac:dyDescent="0.25">
      <c r="A2590">
        <v>2589</v>
      </c>
      <c r="B2590">
        <v>94</v>
      </c>
      <c r="C2590">
        <v>956883</v>
      </c>
      <c r="D2590" t="s">
        <v>65</v>
      </c>
      <c r="E2590">
        <v>2.2149999999999999</v>
      </c>
      <c r="F2590" t="s">
        <v>19</v>
      </c>
      <c r="G2590" t="s">
        <v>20</v>
      </c>
      <c r="H2590" t="s">
        <v>21</v>
      </c>
      <c r="I2590" t="s">
        <v>20</v>
      </c>
      <c r="J2590" t="s">
        <v>20</v>
      </c>
      <c r="K2590" t="s">
        <v>31</v>
      </c>
      <c r="L2590" t="s">
        <v>66</v>
      </c>
      <c r="M2590" t="s">
        <v>67</v>
      </c>
      <c r="N2590">
        <v>40.76717</v>
      </c>
      <c r="O2590">
        <v>-111.88825799999999</v>
      </c>
      <c r="P2590">
        <v>4255.1132040000002</v>
      </c>
      <c r="Q2590">
        <v>402</v>
      </c>
      <c r="R2590">
        <v>0</v>
      </c>
    </row>
    <row r="2591" spans="1:18" x14ac:dyDescent="0.25">
      <c r="A2591">
        <v>2590</v>
      </c>
      <c r="B2591">
        <v>94</v>
      </c>
      <c r="C2591">
        <v>1237565</v>
      </c>
      <c r="D2591" t="s">
        <v>189</v>
      </c>
      <c r="E2591">
        <v>2.2149999999999999</v>
      </c>
      <c r="F2591" t="s">
        <v>21</v>
      </c>
      <c r="G2591" t="s">
        <v>26</v>
      </c>
      <c r="H2591" t="s">
        <v>21</v>
      </c>
      <c r="I2591" t="s">
        <v>20</v>
      </c>
      <c r="J2591" t="s">
        <v>20</v>
      </c>
      <c r="K2591" t="s">
        <v>41</v>
      </c>
      <c r="L2591" t="s">
        <v>81</v>
      </c>
      <c r="M2591" t="s">
        <v>190</v>
      </c>
      <c r="N2591">
        <v>41.185260999999997</v>
      </c>
      <c r="O2591">
        <v>-111.949072</v>
      </c>
      <c r="P2591">
        <v>4644.5228379999999</v>
      </c>
      <c r="Q2591">
        <v>412</v>
      </c>
      <c r="R2591">
        <v>0</v>
      </c>
    </row>
    <row r="2592" spans="1:18" x14ac:dyDescent="0.25">
      <c r="A2592">
        <v>2591</v>
      </c>
      <c r="B2592">
        <v>94</v>
      </c>
      <c r="C2592">
        <v>31370677</v>
      </c>
      <c r="D2592" t="s">
        <v>199</v>
      </c>
      <c r="E2592">
        <v>2.2160000000000002</v>
      </c>
      <c r="F2592" t="s">
        <v>21</v>
      </c>
      <c r="G2592" t="s">
        <v>26</v>
      </c>
      <c r="H2592" t="s">
        <v>21</v>
      </c>
      <c r="I2592" t="s">
        <v>20</v>
      </c>
      <c r="J2592" t="s">
        <v>20</v>
      </c>
      <c r="K2592" t="s">
        <v>27</v>
      </c>
      <c r="L2592" t="s">
        <v>103</v>
      </c>
      <c r="M2592" t="s">
        <v>200</v>
      </c>
      <c r="N2592">
        <v>38.278967000000002</v>
      </c>
      <c r="O2592">
        <v>-112.60247699999999</v>
      </c>
      <c r="P2592">
        <v>5984.0842400000001</v>
      </c>
      <c r="Q2592">
        <v>341</v>
      </c>
      <c r="R2592">
        <v>0</v>
      </c>
    </row>
    <row r="2593" spans="1:18" x14ac:dyDescent="0.25">
      <c r="A2593">
        <v>2592</v>
      </c>
      <c r="B2593">
        <v>94</v>
      </c>
      <c r="C2593">
        <v>31406057</v>
      </c>
      <c r="D2593" t="s">
        <v>30</v>
      </c>
      <c r="E2593">
        <v>2.2170000000000001</v>
      </c>
      <c r="F2593" t="s">
        <v>19</v>
      </c>
      <c r="G2593" t="s">
        <v>20</v>
      </c>
      <c r="H2593" t="s">
        <v>21</v>
      </c>
      <c r="I2593" t="s">
        <v>20</v>
      </c>
      <c r="J2593" t="s">
        <v>20</v>
      </c>
      <c r="K2593" t="s">
        <v>31</v>
      </c>
      <c r="L2593" t="s">
        <v>32</v>
      </c>
      <c r="M2593" t="s">
        <v>33</v>
      </c>
      <c r="N2593">
        <v>40.589333000000003</v>
      </c>
      <c r="O2593">
        <v>-111.793582</v>
      </c>
      <c r="P2593">
        <v>5045.9509010000002</v>
      </c>
      <c r="Q2593">
        <v>415</v>
      </c>
      <c r="R2593">
        <v>0</v>
      </c>
    </row>
    <row r="2594" spans="1:18" x14ac:dyDescent="0.25">
      <c r="A2594">
        <v>2593</v>
      </c>
      <c r="B2594">
        <v>94</v>
      </c>
      <c r="C2594">
        <v>31373203</v>
      </c>
      <c r="D2594" t="s">
        <v>199</v>
      </c>
      <c r="E2594">
        <v>18.699000000000002</v>
      </c>
      <c r="F2594" t="s">
        <v>21</v>
      </c>
      <c r="G2594" t="s">
        <v>20</v>
      </c>
      <c r="H2594" t="s">
        <v>21</v>
      </c>
      <c r="I2594" t="s">
        <v>20</v>
      </c>
      <c r="J2594" t="s">
        <v>20</v>
      </c>
      <c r="K2594" t="s">
        <v>27</v>
      </c>
      <c r="L2594" t="s">
        <v>103</v>
      </c>
      <c r="M2594" t="s">
        <v>200</v>
      </c>
      <c r="N2594">
        <v>38.320515999999998</v>
      </c>
      <c r="O2594">
        <v>-112.38649599999999</v>
      </c>
      <c r="P2594">
        <v>9566.070001</v>
      </c>
      <c r="Q2594">
        <v>341</v>
      </c>
      <c r="R2594">
        <v>0</v>
      </c>
    </row>
    <row r="2595" spans="1:18" x14ac:dyDescent="0.25">
      <c r="A2595">
        <v>2594</v>
      </c>
      <c r="B2595">
        <v>94</v>
      </c>
      <c r="C2595">
        <v>31754234</v>
      </c>
      <c r="D2595" t="s">
        <v>231</v>
      </c>
      <c r="E2595">
        <v>18.718</v>
      </c>
      <c r="F2595" t="s">
        <v>19</v>
      </c>
      <c r="G2595" t="s">
        <v>20</v>
      </c>
      <c r="H2595" t="s">
        <v>19</v>
      </c>
      <c r="I2595">
        <v>134</v>
      </c>
      <c r="J2595" t="s">
        <v>20</v>
      </c>
      <c r="K2595" t="s">
        <v>41</v>
      </c>
      <c r="L2595" t="s">
        <v>57</v>
      </c>
      <c r="M2595" t="s">
        <v>93</v>
      </c>
      <c r="N2595">
        <v>41.306634000000003</v>
      </c>
      <c r="O2595">
        <v>-112.027659</v>
      </c>
      <c r="P2595">
        <v>4213.8958339999999</v>
      </c>
      <c r="Q2595">
        <v>1409</v>
      </c>
      <c r="R2595">
        <v>0</v>
      </c>
    </row>
    <row r="2596" spans="1:18" x14ac:dyDescent="0.25">
      <c r="A2596">
        <v>2595</v>
      </c>
      <c r="B2596">
        <v>94</v>
      </c>
      <c r="C2596">
        <v>31757412</v>
      </c>
      <c r="D2596" t="s">
        <v>88</v>
      </c>
      <c r="E2596">
        <v>18.718</v>
      </c>
      <c r="F2596" t="s">
        <v>21</v>
      </c>
      <c r="G2596" t="s">
        <v>26</v>
      </c>
      <c r="H2596" t="s">
        <v>21</v>
      </c>
      <c r="I2596" t="s">
        <v>20</v>
      </c>
      <c r="J2596" t="s">
        <v>20</v>
      </c>
      <c r="K2596" t="s">
        <v>31</v>
      </c>
      <c r="L2596" t="s">
        <v>66</v>
      </c>
      <c r="M2596" t="s">
        <v>49</v>
      </c>
      <c r="N2596">
        <v>40.706274999999998</v>
      </c>
      <c r="O2596">
        <v>-111.87142799999999</v>
      </c>
      <c r="P2596">
        <v>4228.4140310000003</v>
      </c>
      <c r="Q2596">
        <v>318</v>
      </c>
      <c r="R2596">
        <v>0</v>
      </c>
    </row>
    <row r="2597" spans="1:18" x14ac:dyDescent="0.25">
      <c r="A2597">
        <v>2596</v>
      </c>
      <c r="B2597">
        <v>94</v>
      </c>
      <c r="C2597" t="e">
        <f>-JODmsfRGJ57FznAwnaV1V</f>
        <v>#NAME?</v>
      </c>
      <c r="D2597" t="s">
        <v>210</v>
      </c>
      <c r="E2597">
        <v>18.725000000000001</v>
      </c>
      <c r="F2597" t="s">
        <v>21</v>
      </c>
      <c r="G2597" t="s">
        <v>26</v>
      </c>
      <c r="H2597" t="s">
        <v>21</v>
      </c>
      <c r="I2597" t="s">
        <v>20</v>
      </c>
      <c r="J2597" t="s">
        <v>20</v>
      </c>
      <c r="K2597" t="s">
        <v>27</v>
      </c>
      <c r="L2597" t="s">
        <v>211</v>
      </c>
      <c r="M2597" t="s">
        <v>212</v>
      </c>
      <c r="N2597">
        <v>37.240668999999997</v>
      </c>
      <c r="O2597">
        <v>-109.24250000000001</v>
      </c>
      <c r="P2597">
        <v>4429.3018849999999</v>
      </c>
      <c r="Q2597">
        <v>344</v>
      </c>
      <c r="R2597">
        <v>0</v>
      </c>
    </row>
    <row r="2598" spans="1:18" x14ac:dyDescent="0.25">
      <c r="A2598">
        <v>2597</v>
      </c>
      <c r="B2598">
        <v>94</v>
      </c>
      <c r="C2598">
        <v>31323361</v>
      </c>
      <c r="D2598" t="s">
        <v>303</v>
      </c>
      <c r="E2598">
        <v>18.728000000000002</v>
      </c>
      <c r="F2598" t="s">
        <v>21</v>
      </c>
      <c r="G2598" t="s">
        <v>26</v>
      </c>
      <c r="H2598" t="s">
        <v>21</v>
      </c>
      <c r="I2598" t="s">
        <v>20</v>
      </c>
      <c r="J2598" t="s">
        <v>20</v>
      </c>
      <c r="K2598" t="s">
        <v>27</v>
      </c>
      <c r="L2598" t="s">
        <v>72</v>
      </c>
      <c r="M2598" t="s">
        <v>73</v>
      </c>
      <c r="N2598">
        <v>37.203685</v>
      </c>
      <c r="O2598">
        <v>-113.18600000000001</v>
      </c>
      <c r="P2598">
        <v>3477.8743709999999</v>
      </c>
      <c r="Q2598">
        <v>1326</v>
      </c>
      <c r="R2598">
        <v>0</v>
      </c>
    </row>
    <row r="2599" spans="1:18" x14ac:dyDescent="0.25">
      <c r="A2599">
        <v>2598</v>
      </c>
      <c r="B2599">
        <v>94</v>
      </c>
      <c r="C2599">
        <v>31824699</v>
      </c>
      <c r="D2599" t="s">
        <v>118</v>
      </c>
      <c r="E2599">
        <v>125.971</v>
      </c>
      <c r="F2599" t="s">
        <v>21</v>
      </c>
      <c r="G2599" t="s">
        <v>20</v>
      </c>
      <c r="H2599" t="s">
        <v>21</v>
      </c>
      <c r="I2599" t="s">
        <v>20</v>
      </c>
      <c r="J2599" t="s">
        <v>20</v>
      </c>
      <c r="K2599" t="s">
        <v>22</v>
      </c>
      <c r="L2599" t="s">
        <v>133</v>
      </c>
      <c r="M2599" t="s">
        <v>169</v>
      </c>
      <c r="N2599">
        <v>40.304890999999998</v>
      </c>
      <c r="O2599">
        <v>-109.77280399999999</v>
      </c>
      <c r="P2599">
        <v>5088.2510620000003</v>
      </c>
      <c r="Q2599">
        <v>310</v>
      </c>
      <c r="R2599">
        <v>0</v>
      </c>
    </row>
    <row r="2600" spans="1:18" x14ac:dyDescent="0.25">
      <c r="A2600">
        <v>2599</v>
      </c>
      <c r="B2600">
        <v>94</v>
      </c>
      <c r="C2600">
        <v>31469495</v>
      </c>
      <c r="D2600" t="s">
        <v>288</v>
      </c>
      <c r="E2600">
        <v>126.01900000000001</v>
      </c>
      <c r="F2600" t="s">
        <v>21</v>
      </c>
      <c r="G2600" t="s">
        <v>26</v>
      </c>
      <c r="H2600" t="s">
        <v>21</v>
      </c>
      <c r="I2600" t="s">
        <v>20</v>
      </c>
      <c r="J2600" t="s">
        <v>20</v>
      </c>
      <c r="K2600" t="s">
        <v>27</v>
      </c>
      <c r="L2600" t="s">
        <v>38</v>
      </c>
      <c r="M2600" t="s">
        <v>152</v>
      </c>
      <c r="N2600">
        <v>38.577764000000002</v>
      </c>
      <c r="O2600">
        <v>-109.550758</v>
      </c>
      <c r="P2600">
        <v>3948.6750310000002</v>
      </c>
      <c r="Q2600">
        <v>350</v>
      </c>
      <c r="R2600">
        <v>0</v>
      </c>
    </row>
    <row r="2601" spans="1:18" x14ac:dyDescent="0.25">
      <c r="A2601">
        <v>2600</v>
      </c>
      <c r="B2601">
        <v>94</v>
      </c>
      <c r="C2601">
        <v>31471656</v>
      </c>
      <c r="D2601" t="s">
        <v>288</v>
      </c>
      <c r="E2601">
        <v>126.123</v>
      </c>
      <c r="F2601" t="s">
        <v>21</v>
      </c>
      <c r="G2601" t="s">
        <v>26</v>
      </c>
      <c r="H2601" t="s">
        <v>21</v>
      </c>
      <c r="I2601" t="s">
        <v>20</v>
      </c>
      <c r="J2601" t="s">
        <v>20</v>
      </c>
      <c r="K2601" t="s">
        <v>27</v>
      </c>
      <c r="L2601" t="s">
        <v>38</v>
      </c>
      <c r="M2601" t="s">
        <v>152</v>
      </c>
      <c r="N2601">
        <v>38.579264000000002</v>
      </c>
      <c r="O2601">
        <v>-109.55089</v>
      </c>
      <c r="P2601">
        <v>3956.6940930000001</v>
      </c>
      <c r="Q2601">
        <v>350</v>
      </c>
      <c r="R2601">
        <v>0</v>
      </c>
    </row>
    <row r="2602" spans="1:18" x14ac:dyDescent="0.25">
      <c r="A2602">
        <v>2601</v>
      </c>
      <c r="B2602">
        <v>94</v>
      </c>
      <c r="C2602">
        <v>31471667</v>
      </c>
      <c r="D2602" t="s">
        <v>288</v>
      </c>
      <c r="E2602">
        <v>126.3</v>
      </c>
      <c r="F2602" t="s">
        <v>21</v>
      </c>
      <c r="G2602" t="s">
        <v>26</v>
      </c>
      <c r="H2602" t="s">
        <v>21</v>
      </c>
      <c r="I2602" t="s">
        <v>20</v>
      </c>
      <c r="J2602" t="s">
        <v>20</v>
      </c>
      <c r="K2602" t="s">
        <v>27</v>
      </c>
      <c r="L2602" t="s">
        <v>38</v>
      </c>
      <c r="M2602" t="s">
        <v>152</v>
      </c>
      <c r="N2602">
        <v>38.581645000000002</v>
      </c>
      <c r="O2602">
        <v>-109.552087</v>
      </c>
      <c r="P2602">
        <v>3962.757302</v>
      </c>
      <c r="Q2602">
        <v>350</v>
      </c>
      <c r="R2602">
        <v>0</v>
      </c>
    </row>
    <row r="2603" spans="1:18" x14ac:dyDescent="0.25">
      <c r="A2603">
        <v>2602</v>
      </c>
      <c r="B2603">
        <v>94</v>
      </c>
      <c r="C2603">
        <v>31471678</v>
      </c>
      <c r="D2603" t="s">
        <v>288</v>
      </c>
      <c r="E2603">
        <v>126.562</v>
      </c>
      <c r="F2603" t="s">
        <v>21</v>
      </c>
      <c r="G2603" t="s">
        <v>26</v>
      </c>
      <c r="H2603" t="s">
        <v>21</v>
      </c>
      <c r="I2603" t="s">
        <v>20</v>
      </c>
      <c r="J2603" t="s">
        <v>20</v>
      </c>
      <c r="K2603" t="s">
        <v>27</v>
      </c>
      <c r="L2603" t="s">
        <v>38</v>
      </c>
      <c r="M2603" t="s">
        <v>152</v>
      </c>
      <c r="N2603">
        <v>38.584420999999999</v>
      </c>
      <c r="O2603">
        <v>-109.555364</v>
      </c>
      <c r="P2603">
        <v>3959.6531570000002</v>
      </c>
      <c r="Q2603">
        <v>350</v>
      </c>
      <c r="R2603">
        <v>0</v>
      </c>
    </row>
    <row r="2604" spans="1:18" x14ac:dyDescent="0.25">
      <c r="A2604">
        <v>2603</v>
      </c>
      <c r="B2604">
        <v>94</v>
      </c>
      <c r="C2604">
        <v>31574359</v>
      </c>
      <c r="D2604" t="s">
        <v>213</v>
      </c>
      <c r="E2604">
        <v>126.691</v>
      </c>
      <c r="F2604" t="s">
        <v>21</v>
      </c>
      <c r="G2604" t="s">
        <v>26</v>
      </c>
      <c r="H2604" t="s">
        <v>21</v>
      </c>
      <c r="I2604" t="s">
        <v>20</v>
      </c>
      <c r="J2604" t="s">
        <v>20</v>
      </c>
      <c r="K2604" t="s">
        <v>22</v>
      </c>
      <c r="L2604" t="s">
        <v>193</v>
      </c>
      <c r="M2604" t="s">
        <v>214</v>
      </c>
      <c r="N2604">
        <v>39.776513000000001</v>
      </c>
      <c r="O2604">
        <v>-112.15405699999999</v>
      </c>
      <c r="P2604">
        <v>5729.7227519999997</v>
      </c>
      <c r="Q2604">
        <v>1332</v>
      </c>
      <c r="R2604">
        <v>0</v>
      </c>
    </row>
    <row r="2605" spans="1:18" x14ac:dyDescent="0.25">
      <c r="A2605">
        <v>2604</v>
      </c>
      <c r="B2605">
        <v>94</v>
      </c>
      <c r="C2605">
        <v>28358527</v>
      </c>
      <c r="D2605" t="s">
        <v>323</v>
      </c>
      <c r="E2605">
        <v>12.993</v>
      </c>
      <c r="F2605" t="s">
        <v>21</v>
      </c>
      <c r="G2605" t="s">
        <v>26</v>
      </c>
      <c r="H2605" t="s">
        <v>21</v>
      </c>
      <c r="I2605" t="s">
        <v>20</v>
      </c>
      <c r="J2605" t="s">
        <v>20</v>
      </c>
      <c r="K2605" t="s">
        <v>31</v>
      </c>
      <c r="L2605" t="s">
        <v>130</v>
      </c>
      <c r="M2605" t="s">
        <v>131</v>
      </c>
      <c r="N2605">
        <v>40.648040999999999</v>
      </c>
      <c r="O2605">
        <v>-111.28080300000001</v>
      </c>
      <c r="P2605">
        <v>6416.7483380000003</v>
      </c>
      <c r="Q2605">
        <v>1345</v>
      </c>
      <c r="R2605">
        <v>0</v>
      </c>
    </row>
    <row r="2606" spans="1:18" x14ac:dyDescent="0.25">
      <c r="A2606">
        <v>2605</v>
      </c>
      <c r="B2606">
        <v>94</v>
      </c>
      <c r="C2606">
        <v>27853422</v>
      </c>
      <c r="D2606" t="s">
        <v>136</v>
      </c>
      <c r="E2606">
        <v>12.994999999999999</v>
      </c>
      <c r="F2606" t="s">
        <v>21</v>
      </c>
      <c r="G2606" t="s">
        <v>26</v>
      </c>
      <c r="H2606" t="s">
        <v>21</v>
      </c>
      <c r="I2606" t="s">
        <v>20</v>
      </c>
      <c r="J2606" t="s">
        <v>20</v>
      </c>
      <c r="K2606" t="s">
        <v>41</v>
      </c>
      <c r="L2606" t="s">
        <v>137</v>
      </c>
      <c r="M2606" t="s">
        <v>138</v>
      </c>
      <c r="N2606">
        <v>41.039541</v>
      </c>
      <c r="O2606">
        <v>-111.679153</v>
      </c>
      <c r="P2606">
        <v>5007.7953630000002</v>
      </c>
      <c r="Q2606">
        <v>317</v>
      </c>
      <c r="R2606">
        <v>0</v>
      </c>
    </row>
    <row r="2607" spans="1:18" x14ac:dyDescent="0.25">
      <c r="A2607">
        <v>2606</v>
      </c>
      <c r="B2607">
        <v>94</v>
      </c>
      <c r="C2607">
        <v>31534454</v>
      </c>
      <c r="D2607" t="s">
        <v>412</v>
      </c>
      <c r="E2607">
        <v>12.997999999999999</v>
      </c>
      <c r="F2607" t="s">
        <v>21</v>
      </c>
      <c r="G2607" t="s">
        <v>26</v>
      </c>
      <c r="H2607" t="s">
        <v>21</v>
      </c>
      <c r="I2607" t="s">
        <v>20</v>
      </c>
      <c r="J2607" t="s">
        <v>20</v>
      </c>
      <c r="K2607" t="s">
        <v>27</v>
      </c>
      <c r="L2607" t="s">
        <v>173</v>
      </c>
      <c r="M2607" t="s">
        <v>267</v>
      </c>
      <c r="N2607">
        <v>39.427725000000002</v>
      </c>
      <c r="O2607">
        <v>-112.32567899999999</v>
      </c>
      <c r="P2607">
        <v>4862.2754320000004</v>
      </c>
      <c r="Q2607">
        <v>1408</v>
      </c>
      <c r="R2607">
        <v>0</v>
      </c>
    </row>
    <row r="2608" spans="1:18" x14ac:dyDescent="0.25">
      <c r="A2608">
        <v>2607</v>
      </c>
      <c r="B2608">
        <v>94</v>
      </c>
      <c r="C2608">
        <v>31522696</v>
      </c>
      <c r="D2608" t="s">
        <v>132</v>
      </c>
      <c r="E2608">
        <v>12.999000000000001</v>
      </c>
      <c r="F2608" t="s">
        <v>21</v>
      </c>
      <c r="G2608" t="s">
        <v>26</v>
      </c>
      <c r="H2608" t="s">
        <v>21</v>
      </c>
      <c r="I2608" t="s">
        <v>20</v>
      </c>
      <c r="J2608" t="s">
        <v>20</v>
      </c>
      <c r="K2608" t="s">
        <v>22</v>
      </c>
      <c r="L2608" t="s">
        <v>133</v>
      </c>
      <c r="M2608" t="s">
        <v>134</v>
      </c>
      <c r="N2608">
        <v>40.432920000000003</v>
      </c>
      <c r="O2608">
        <v>-109.97323400000001</v>
      </c>
      <c r="P2608">
        <v>5837.8923860000004</v>
      </c>
      <c r="Q2608">
        <v>1405</v>
      </c>
      <c r="R2608">
        <v>0</v>
      </c>
    </row>
    <row r="2609" spans="1:18" x14ac:dyDescent="0.25">
      <c r="A2609">
        <v>2608</v>
      </c>
      <c r="B2609">
        <v>94</v>
      </c>
      <c r="C2609">
        <v>31444367</v>
      </c>
      <c r="D2609" t="s">
        <v>288</v>
      </c>
      <c r="E2609">
        <v>120.021</v>
      </c>
      <c r="F2609" t="s">
        <v>21</v>
      </c>
      <c r="G2609" t="s">
        <v>26</v>
      </c>
      <c r="H2609" t="s">
        <v>21</v>
      </c>
      <c r="I2609" t="s">
        <v>20</v>
      </c>
      <c r="J2609" t="s">
        <v>20</v>
      </c>
      <c r="K2609" t="s">
        <v>27</v>
      </c>
      <c r="L2609" t="s">
        <v>38</v>
      </c>
      <c r="M2609" t="s">
        <v>152</v>
      </c>
      <c r="N2609">
        <v>38.511606</v>
      </c>
      <c r="O2609">
        <v>-109.48687200000001</v>
      </c>
      <c r="P2609">
        <v>4591.2649439999996</v>
      </c>
      <c r="Q2609">
        <v>350</v>
      </c>
      <c r="R2609">
        <v>0</v>
      </c>
    </row>
    <row r="2610" spans="1:18" x14ac:dyDescent="0.25">
      <c r="A2610">
        <v>2609</v>
      </c>
      <c r="B2610">
        <v>94</v>
      </c>
      <c r="C2610" t="e">
        <f>-IovdmoKGWaAuuI6ooVoVF</f>
        <v>#NAME?</v>
      </c>
      <c r="D2610" t="s">
        <v>290</v>
      </c>
      <c r="E2610">
        <v>120.053</v>
      </c>
      <c r="F2610" t="s">
        <v>21</v>
      </c>
      <c r="G2610" t="s">
        <v>26</v>
      </c>
      <c r="H2610" t="s">
        <v>21</v>
      </c>
      <c r="I2610" t="s">
        <v>20</v>
      </c>
      <c r="J2610" t="s">
        <v>20</v>
      </c>
      <c r="K2610" t="s">
        <v>41</v>
      </c>
      <c r="L2610" t="s">
        <v>325</v>
      </c>
      <c r="M2610" t="s">
        <v>280</v>
      </c>
      <c r="N2610">
        <v>41.829321999999998</v>
      </c>
      <c r="O2610">
        <v>-111.317196</v>
      </c>
      <c r="P2610">
        <v>5939.6464489999998</v>
      </c>
      <c r="Q2610">
        <v>1343</v>
      </c>
      <c r="R2610">
        <v>0</v>
      </c>
    </row>
    <row r="2611" spans="1:18" x14ac:dyDescent="0.25">
      <c r="A2611">
        <v>2610</v>
      </c>
      <c r="B2611">
        <v>94</v>
      </c>
      <c r="C2611" t="s">
        <v>516</v>
      </c>
      <c r="D2611" t="s">
        <v>290</v>
      </c>
      <c r="E2611">
        <v>120.227</v>
      </c>
      <c r="F2611" t="s">
        <v>21</v>
      </c>
      <c r="G2611" t="s">
        <v>26</v>
      </c>
      <c r="H2611" t="s">
        <v>21</v>
      </c>
      <c r="I2611" t="s">
        <v>20</v>
      </c>
      <c r="J2611" t="s">
        <v>20</v>
      </c>
      <c r="K2611" t="s">
        <v>41</v>
      </c>
      <c r="L2611" t="s">
        <v>325</v>
      </c>
      <c r="M2611" t="s">
        <v>280</v>
      </c>
      <c r="N2611">
        <v>41.82808</v>
      </c>
      <c r="O2611">
        <v>-111.31425400000001</v>
      </c>
      <c r="P2611">
        <v>5965.392742</v>
      </c>
      <c r="Q2611">
        <v>1343</v>
      </c>
      <c r="R2611">
        <v>0</v>
      </c>
    </row>
    <row r="2612" spans="1:18" x14ac:dyDescent="0.25">
      <c r="A2612">
        <v>2611</v>
      </c>
      <c r="B2612">
        <v>94</v>
      </c>
      <c r="C2612" t="e">
        <f>-IovdvxVIje5Bkh01bQIyV</f>
        <v>#NAME?</v>
      </c>
      <c r="D2612" t="s">
        <v>290</v>
      </c>
      <c r="E2612">
        <v>120.25700000000001</v>
      </c>
      <c r="F2612" t="s">
        <v>21</v>
      </c>
      <c r="G2612" t="s">
        <v>26</v>
      </c>
      <c r="H2612" t="s">
        <v>21</v>
      </c>
      <c r="I2612" t="s">
        <v>20</v>
      </c>
      <c r="J2612" t="s">
        <v>20</v>
      </c>
      <c r="K2612" t="s">
        <v>41</v>
      </c>
      <c r="L2612" t="s">
        <v>325</v>
      </c>
      <c r="M2612" t="s">
        <v>280</v>
      </c>
      <c r="N2612">
        <v>41.827857000000002</v>
      </c>
      <c r="O2612">
        <v>-111.313751</v>
      </c>
      <c r="P2612">
        <v>5972.267409</v>
      </c>
      <c r="Q2612">
        <v>1343</v>
      </c>
      <c r="R2612">
        <v>0</v>
      </c>
    </row>
    <row r="2613" spans="1:18" x14ac:dyDescent="0.25">
      <c r="A2613">
        <v>2612</v>
      </c>
      <c r="B2613">
        <v>94</v>
      </c>
      <c r="C2613" t="e">
        <f>-JSUG446IUq6eYdaaQi3xF</f>
        <v>#NAME?</v>
      </c>
      <c r="D2613" t="s">
        <v>118</v>
      </c>
      <c r="E2613">
        <v>120.286</v>
      </c>
      <c r="F2613" t="s">
        <v>21</v>
      </c>
      <c r="G2613" t="s">
        <v>26</v>
      </c>
      <c r="H2613" t="s">
        <v>21</v>
      </c>
      <c r="I2613" t="s">
        <v>20</v>
      </c>
      <c r="J2613" t="s">
        <v>20</v>
      </c>
      <c r="K2613" t="s">
        <v>22</v>
      </c>
      <c r="L2613" t="s">
        <v>133</v>
      </c>
      <c r="M2613" t="s">
        <v>169</v>
      </c>
      <c r="N2613">
        <v>40.301865999999997</v>
      </c>
      <c r="O2613">
        <v>-109.880475</v>
      </c>
      <c r="P2613">
        <v>5099.9813210000002</v>
      </c>
      <c r="Q2613">
        <v>310</v>
      </c>
      <c r="R2613">
        <v>0</v>
      </c>
    </row>
    <row r="2614" spans="1:18" x14ac:dyDescent="0.25">
      <c r="A2614">
        <v>2613</v>
      </c>
      <c r="B2614">
        <v>94</v>
      </c>
      <c r="C2614" t="e">
        <f>-Ip-hrMkIRaSiGtD_GRx4V</f>
        <v>#NAME?</v>
      </c>
      <c r="D2614" t="s">
        <v>118</v>
      </c>
      <c r="E2614">
        <v>120.395</v>
      </c>
      <c r="F2614" t="s">
        <v>21</v>
      </c>
      <c r="G2614" t="s">
        <v>26</v>
      </c>
      <c r="H2614" t="s">
        <v>21</v>
      </c>
      <c r="I2614" t="s">
        <v>20</v>
      </c>
      <c r="J2614" t="s">
        <v>20</v>
      </c>
      <c r="K2614" t="s">
        <v>22</v>
      </c>
      <c r="L2614" t="s">
        <v>133</v>
      </c>
      <c r="M2614" t="s">
        <v>169</v>
      </c>
      <c r="N2614">
        <v>40.301896999999997</v>
      </c>
      <c r="O2614">
        <v>-109.878389</v>
      </c>
      <c r="P2614">
        <v>5100.6918509999996</v>
      </c>
      <c r="Q2614">
        <v>310</v>
      </c>
      <c r="R2614">
        <v>0</v>
      </c>
    </row>
    <row r="2615" spans="1:18" x14ac:dyDescent="0.25">
      <c r="A2615">
        <v>2614</v>
      </c>
      <c r="B2615">
        <v>94</v>
      </c>
      <c r="C2615">
        <v>31821508</v>
      </c>
      <c r="D2615" t="s">
        <v>118</v>
      </c>
      <c r="E2615">
        <v>120.42100000000001</v>
      </c>
      <c r="F2615" t="s">
        <v>21</v>
      </c>
      <c r="G2615" t="s">
        <v>26</v>
      </c>
      <c r="H2615" t="s">
        <v>21</v>
      </c>
      <c r="I2615" t="s">
        <v>20</v>
      </c>
      <c r="J2615" t="s">
        <v>20</v>
      </c>
      <c r="K2615" t="s">
        <v>22</v>
      </c>
      <c r="L2615" t="s">
        <v>133</v>
      </c>
      <c r="M2615" t="s">
        <v>169</v>
      </c>
      <c r="N2615">
        <v>40.30189</v>
      </c>
      <c r="O2615">
        <v>-109.87791199999999</v>
      </c>
      <c r="P2615">
        <v>5098.1226159999997</v>
      </c>
      <c r="Q2615">
        <v>310</v>
      </c>
      <c r="R2615">
        <v>0</v>
      </c>
    </row>
    <row r="2616" spans="1:18" x14ac:dyDescent="0.25">
      <c r="A2616">
        <v>2615</v>
      </c>
      <c r="B2616">
        <v>94</v>
      </c>
      <c r="C2616">
        <v>28313261</v>
      </c>
      <c r="D2616" t="s">
        <v>220</v>
      </c>
      <c r="E2616">
        <v>120.491</v>
      </c>
      <c r="F2616" t="s">
        <v>21</v>
      </c>
      <c r="G2616" t="s">
        <v>20</v>
      </c>
      <c r="H2616" t="s">
        <v>21</v>
      </c>
      <c r="I2616" t="s">
        <v>20</v>
      </c>
      <c r="J2616" t="s">
        <v>20</v>
      </c>
      <c r="K2616" t="s">
        <v>27</v>
      </c>
      <c r="L2616" t="s">
        <v>266</v>
      </c>
      <c r="M2616" t="s">
        <v>267</v>
      </c>
      <c r="N2616">
        <v>38.272908000000001</v>
      </c>
      <c r="O2616">
        <v>-111.378989</v>
      </c>
      <c r="P2616">
        <v>6570.4030119999998</v>
      </c>
      <c r="Q2616">
        <v>1328</v>
      </c>
      <c r="R2616">
        <v>0</v>
      </c>
    </row>
    <row r="2617" spans="1:18" x14ac:dyDescent="0.25">
      <c r="A2617">
        <v>2616</v>
      </c>
      <c r="B2617">
        <v>94</v>
      </c>
      <c r="C2617">
        <v>31444378</v>
      </c>
      <c r="D2617" t="s">
        <v>288</v>
      </c>
      <c r="E2617">
        <v>120.61</v>
      </c>
      <c r="F2617" t="s">
        <v>21</v>
      </c>
      <c r="G2617" t="s">
        <v>26</v>
      </c>
      <c r="H2617" t="s">
        <v>21</v>
      </c>
      <c r="I2617" t="s">
        <v>20</v>
      </c>
      <c r="J2617" t="s">
        <v>20</v>
      </c>
      <c r="K2617" t="s">
        <v>27</v>
      </c>
      <c r="L2617" t="s">
        <v>38</v>
      </c>
      <c r="M2617" t="s">
        <v>152</v>
      </c>
      <c r="N2617">
        <v>38.518365000000003</v>
      </c>
      <c r="O2617">
        <v>-109.493523</v>
      </c>
      <c r="P2617">
        <v>4560.5652460000001</v>
      </c>
      <c r="Q2617">
        <v>350</v>
      </c>
      <c r="R2617">
        <v>0</v>
      </c>
    </row>
    <row r="2618" spans="1:18" x14ac:dyDescent="0.25">
      <c r="A2618">
        <v>2617</v>
      </c>
      <c r="B2618">
        <v>94</v>
      </c>
      <c r="C2618">
        <v>31444389</v>
      </c>
      <c r="D2618" t="s">
        <v>288</v>
      </c>
      <c r="E2618">
        <v>120.818</v>
      </c>
      <c r="F2618" t="s">
        <v>21</v>
      </c>
      <c r="G2618" t="s">
        <v>26</v>
      </c>
      <c r="H2618" t="s">
        <v>21</v>
      </c>
      <c r="I2618" t="s">
        <v>20</v>
      </c>
      <c r="J2618" t="s">
        <v>20</v>
      </c>
      <c r="K2618" t="s">
        <v>27</v>
      </c>
      <c r="L2618" t="s">
        <v>38</v>
      </c>
      <c r="M2618" t="s">
        <v>152</v>
      </c>
      <c r="N2618">
        <v>38.520755999999999</v>
      </c>
      <c r="O2618">
        <v>-109.495886</v>
      </c>
      <c r="P2618">
        <v>4553.5044330000001</v>
      </c>
      <c r="Q2618">
        <v>350</v>
      </c>
      <c r="R2618">
        <v>0</v>
      </c>
    </row>
    <row r="2619" spans="1:18" x14ac:dyDescent="0.25">
      <c r="A2619">
        <v>2618</v>
      </c>
      <c r="B2619">
        <v>94</v>
      </c>
      <c r="C2619" t="e">
        <f>-JOnykjpIE9C03bCMSSWjk</f>
        <v>#NAME?</v>
      </c>
      <c r="D2619" t="s">
        <v>348</v>
      </c>
      <c r="E2619">
        <v>120.84</v>
      </c>
      <c r="F2619" t="s">
        <v>21</v>
      </c>
      <c r="G2619" t="s">
        <v>20</v>
      </c>
      <c r="H2619" t="s">
        <v>21</v>
      </c>
      <c r="I2619" t="s">
        <v>20</v>
      </c>
      <c r="J2619" t="s">
        <v>20</v>
      </c>
      <c r="K2619" t="s">
        <v>27</v>
      </c>
      <c r="L2619" t="s">
        <v>327</v>
      </c>
      <c r="M2619" t="s">
        <v>123</v>
      </c>
      <c r="N2619">
        <v>37.573585999999999</v>
      </c>
      <c r="O2619">
        <v>-109.496274</v>
      </c>
      <c r="P2619">
        <v>5700.1563900000001</v>
      </c>
      <c r="Q2619">
        <v>1388</v>
      </c>
      <c r="R2619">
        <v>0</v>
      </c>
    </row>
    <row r="2620" spans="1:18" x14ac:dyDescent="0.25">
      <c r="A2620">
        <v>2619</v>
      </c>
      <c r="B2620">
        <v>94</v>
      </c>
      <c r="C2620">
        <v>31444400</v>
      </c>
      <c r="D2620" t="s">
        <v>288</v>
      </c>
      <c r="E2620">
        <v>120.902</v>
      </c>
      <c r="F2620" t="s">
        <v>21</v>
      </c>
      <c r="G2620" t="s">
        <v>26</v>
      </c>
      <c r="H2620" t="s">
        <v>21</v>
      </c>
      <c r="I2620" t="s">
        <v>20</v>
      </c>
      <c r="J2620" t="s">
        <v>20</v>
      </c>
      <c r="K2620" t="s">
        <v>27</v>
      </c>
      <c r="L2620" t="s">
        <v>38</v>
      </c>
      <c r="M2620" t="s">
        <v>152</v>
      </c>
      <c r="N2620">
        <v>38.521695000000001</v>
      </c>
      <c r="O2620">
        <v>-109.496849</v>
      </c>
      <c r="P2620">
        <v>4552.8542100000004</v>
      </c>
      <c r="Q2620">
        <v>350</v>
      </c>
      <c r="R2620">
        <v>0</v>
      </c>
    </row>
    <row r="2621" spans="1:18" x14ac:dyDescent="0.25">
      <c r="A2621">
        <v>2620</v>
      </c>
      <c r="B2621">
        <v>94</v>
      </c>
      <c r="C2621">
        <v>1176271</v>
      </c>
      <c r="D2621" t="s">
        <v>108</v>
      </c>
      <c r="E2621">
        <v>1.8029999999999999</v>
      </c>
      <c r="F2621" t="s">
        <v>19</v>
      </c>
      <c r="G2621" t="s">
        <v>20</v>
      </c>
      <c r="H2621" t="s">
        <v>21</v>
      </c>
      <c r="I2621" t="s">
        <v>20</v>
      </c>
      <c r="J2621" t="s">
        <v>20</v>
      </c>
      <c r="K2621" t="s">
        <v>41</v>
      </c>
      <c r="L2621" t="s">
        <v>81</v>
      </c>
      <c r="M2621" t="s">
        <v>93</v>
      </c>
      <c r="N2621">
        <v>41.179989999999997</v>
      </c>
      <c r="O2621">
        <v>-111.995724</v>
      </c>
      <c r="P2621">
        <v>4304.7449450000004</v>
      </c>
      <c r="Q2621">
        <v>1341</v>
      </c>
      <c r="R2621">
        <v>0</v>
      </c>
    </row>
    <row r="2622" spans="1:18" x14ac:dyDescent="0.25">
      <c r="A2622">
        <v>2621</v>
      </c>
      <c r="B2622">
        <v>94</v>
      </c>
      <c r="C2622">
        <v>31876871</v>
      </c>
      <c r="D2622" t="s">
        <v>179</v>
      </c>
      <c r="E2622">
        <v>1.804</v>
      </c>
      <c r="F2622" t="s">
        <v>19</v>
      </c>
      <c r="G2622" t="s">
        <v>20</v>
      </c>
      <c r="H2622" t="s">
        <v>21</v>
      </c>
      <c r="I2622" t="s">
        <v>20</v>
      </c>
      <c r="J2622" t="s">
        <v>20</v>
      </c>
      <c r="K2622" t="s">
        <v>31</v>
      </c>
      <c r="L2622" t="s">
        <v>66</v>
      </c>
      <c r="M2622" t="s">
        <v>67</v>
      </c>
      <c r="N2622">
        <v>40.758493000000001</v>
      </c>
      <c r="O2622">
        <v>-111.90534</v>
      </c>
      <c r="P2622">
        <v>4173.4277279999997</v>
      </c>
      <c r="Q2622">
        <v>362</v>
      </c>
      <c r="R2622">
        <v>0</v>
      </c>
    </row>
    <row r="2623" spans="1:18" x14ac:dyDescent="0.25">
      <c r="A2623">
        <v>2622</v>
      </c>
      <c r="B2623">
        <v>94</v>
      </c>
      <c r="C2623">
        <v>31466189</v>
      </c>
      <c r="D2623" t="s">
        <v>264</v>
      </c>
      <c r="E2623">
        <v>1.8049999999999999</v>
      </c>
      <c r="F2623" t="s">
        <v>21</v>
      </c>
      <c r="G2623" t="s">
        <v>26</v>
      </c>
      <c r="H2623" t="s">
        <v>21</v>
      </c>
      <c r="I2623" t="s">
        <v>20</v>
      </c>
      <c r="J2623" t="s">
        <v>20</v>
      </c>
      <c r="K2623" t="s">
        <v>22</v>
      </c>
      <c r="L2623" t="s">
        <v>35</v>
      </c>
      <c r="M2623" t="s">
        <v>36</v>
      </c>
      <c r="N2623">
        <v>40.526359999999997</v>
      </c>
      <c r="O2623">
        <v>-111.487516</v>
      </c>
      <c r="P2623">
        <v>5707.3939129999999</v>
      </c>
      <c r="Q2623">
        <v>420</v>
      </c>
      <c r="R2623">
        <v>0</v>
      </c>
    </row>
    <row r="2624" spans="1:18" x14ac:dyDescent="0.25">
      <c r="A2624">
        <v>2623</v>
      </c>
      <c r="B2624">
        <v>94</v>
      </c>
      <c r="C2624">
        <v>31595161</v>
      </c>
      <c r="D2624" t="s">
        <v>187</v>
      </c>
      <c r="E2624">
        <v>1.8069999999999999</v>
      </c>
      <c r="F2624" t="s">
        <v>21</v>
      </c>
      <c r="G2624" t="s">
        <v>361</v>
      </c>
      <c r="H2624" t="s">
        <v>21</v>
      </c>
      <c r="I2624" t="s">
        <v>20</v>
      </c>
      <c r="J2624" t="s">
        <v>20</v>
      </c>
      <c r="K2624" t="s">
        <v>31</v>
      </c>
      <c r="L2624" t="s">
        <v>188</v>
      </c>
      <c r="M2624" t="s">
        <v>90</v>
      </c>
      <c r="N2624">
        <v>40.767814000000001</v>
      </c>
      <c r="O2624">
        <v>-111.836281</v>
      </c>
      <c r="P2624">
        <v>4832.0770689999999</v>
      </c>
      <c r="Q2624">
        <v>435</v>
      </c>
      <c r="R2624">
        <v>0</v>
      </c>
    </row>
    <row r="2625" spans="1:18" x14ac:dyDescent="0.25">
      <c r="A2625">
        <v>2624</v>
      </c>
      <c r="B2625">
        <v>94</v>
      </c>
      <c r="C2625">
        <v>1735306</v>
      </c>
      <c r="D2625" t="s">
        <v>260</v>
      </c>
      <c r="E2625">
        <v>1.8069999999999999</v>
      </c>
      <c r="F2625" t="s">
        <v>19</v>
      </c>
      <c r="G2625" t="s">
        <v>20</v>
      </c>
      <c r="H2625" t="s">
        <v>21</v>
      </c>
      <c r="I2625" t="s">
        <v>20</v>
      </c>
      <c r="J2625" t="s">
        <v>20</v>
      </c>
      <c r="K2625" t="s">
        <v>41</v>
      </c>
      <c r="L2625" t="s">
        <v>81</v>
      </c>
      <c r="M2625" t="s">
        <v>46</v>
      </c>
      <c r="N2625">
        <v>41.222793000000003</v>
      </c>
      <c r="O2625">
        <v>-111.973271</v>
      </c>
      <c r="P2625">
        <v>4246.7692790000001</v>
      </c>
      <c r="Q2625">
        <v>1358</v>
      </c>
      <c r="R2625">
        <v>0</v>
      </c>
    </row>
    <row r="2626" spans="1:18" x14ac:dyDescent="0.25">
      <c r="A2626">
        <v>2625</v>
      </c>
      <c r="B2626">
        <v>94</v>
      </c>
      <c r="C2626">
        <v>621010</v>
      </c>
      <c r="D2626" t="s">
        <v>47</v>
      </c>
      <c r="E2626">
        <v>1.8069999999999999</v>
      </c>
      <c r="F2626" t="s">
        <v>21</v>
      </c>
      <c r="G2626" t="s">
        <v>26</v>
      </c>
      <c r="H2626" t="s">
        <v>21</v>
      </c>
      <c r="I2626" t="s">
        <v>20</v>
      </c>
      <c r="J2626" t="s">
        <v>20</v>
      </c>
      <c r="K2626" t="s">
        <v>31</v>
      </c>
      <c r="L2626" t="s">
        <v>48</v>
      </c>
      <c r="M2626" t="s">
        <v>49</v>
      </c>
      <c r="N2626">
        <v>40.544128000000001</v>
      </c>
      <c r="O2626">
        <v>-111.94949</v>
      </c>
      <c r="P2626">
        <v>4428.0721540000004</v>
      </c>
      <c r="Q2626">
        <v>6715</v>
      </c>
      <c r="R2626">
        <v>0</v>
      </c>
    </row>
    <row r="2627" spans="1:18" x14ac:dyDescent="0.25">
      <c r="A2627">
        <v>2626</v>
      </c>
      <c r="B2627">
        <v>94</v>
      </c>
      <c r="C2627" t="e">
        <f>-IorVPJdIyTVLwWlLCJcKV</f>
        <v>#NAME?</v>
      </c>
      <c r="D2627" t="s">
        <v>176</v>
      </c>
      <c r="E2627">
        <v>1.8089999999999999</v>
      </c>
      <c r="F2627" t="s">
        <v>19</v>
      </c>
      <c r="G2627" t="s">
        <v>20</v>
      </c>
      <c r="H2627" t="s">
        <v>21</v>
      </c>
      <c r="I2627" t="s">
        <v>20</v>
      </c>
      <c r="J2627" t="s">
        <v>20</v>
      </c>
      <c r="K2627" t="s">
        <v>41</v>
      </c>
      <c r="L2627" t="s">
        <v>177</v>
      </c>
      <c r="M2627" t="s">
        <v>178</v>
      </c>
      <c r="N2627">
        <v>41.512847999999998</v>
      </c>
      <c r="O2627">
        <v>-112.015704</v>
      </c>
      <c r="P2627">
        <v>4363.071465</v>
      </c>
      <c r="Q2627">
        <v>1329</v>
      </c>
      <c r="R2627">
        <v>0</v>
      </c>
    </row>
    <row r="2628" spans="1:18" x14ac:dyDescent="0.25">
      <c r="A2628">
        <v>2627</v>
      </c>
      <c r="B2628">
        <v>94</v>
      </c>
      <c r="C2628">
        <v>31405885</v>
      </c>
      <c r="D2628" t="s">
        <v>30</v>
      </c>
      <c r="E2628">
        <v>1.8109999999999999</v>
      </c>
      <c r="F2628" t="s">
        <v>21</v>
      </c>
      <c r="G2628" t="s">
        <v>26</v>
      </c>
      <c r="H2628" t="s">
        <v>21</v>
      </c>
      <c r="I2628" t="s">
        <v>20</v>
      </c>
      <c r="J2628" t="s">
        <v>20</v>
      </c>
      <c r="K2628" t="s">
        <v>31</v>
      </c>
      <c r="L2628" t="s">
        <v>32</v>
      </c>
      <c r="M2628" t="s">
        <v>33</v>
      </c>
      <c r="N2628">
        <v>40.594807000000003</v>
      </c>
      <c r="O2628">
        <v>-111.79645600000001</v>
      </c>
      <c r="P2628">
        <v>4993.3494909999999</v>
      </c>
      <c r="Q2628">
        <v>415</v>
      </c>
      <c r="R2628">
        <v>0</v>
      </c>
    </row>
    <row r="2629" spans="1:18" x14ac:dyDescent="0.25">
      <c r="A2629">
        <v>2628</v>
      </c>
      <c r="B2629">
        <v>94</v>
      </c>
      <c r="C2629">
        <v>31399378</v>
      </c>
      <c r="D2629" t="s">
        <v>250</v>
      </c>
      <c r="E2629">
        <v>1.877</v>
      </c>
      <c r="F2629" t="s">
        <v>21</v>
      </c>
      <c r="G2629" t="s">
        <v>26</v>
      </c>
      <c r="H2629" t="s">
        <v>21</v>
      </c>
      <c r="I2629" t="s">
        <v>20</v>
      </c>
      <c r="J2629" t="s">
        <v>20</v>
      </c>
      <c r="K2629" t="s">
        <v>27</v>
      </c>
      <c r="L2629" t="s">
        <v>75</v>
      </c>
      <c r="M2629" t="s">
        <v>76</v>
      </c>
      <c r="N2629">
        <v>38.773651999999998</v>
      </c>
      <c r="O2629">
        <v>-112.03407</v>
      </c>
      <c r="P2629">
        <v>5188.5264530000004</v>
      </c>
      <c r="Q2629">
        <v>1404</v>
      </c>
      <c r="R2629">
        <v>0</v>
      </c>
    </row>
    <row r="2630" spans="1:18" x14ac:dyDescent="0.25">
      <c r="A2630">
        <v>2629</v>
      </c>
      <c r="B2630">
        <v>94</v>
      </c>
      <c r="C2630">
        <v>1735907</v>
      </c>
      <c r="D2630" t="s">
        <v>260</v>
      </c>
      <c r="E2630">
        <v>1.879</v>
      </c>
      <c r="F2630" t="s">
        <v>21</v>
      </c>
      <c r="G2630" t="s">
        <v>26</v>
      </c>
      <c r="H2630" t="s">
        <v>21</v>
      </c>
      <c r="I2630" t="s">
        <v>20</v>
      </c>
      <c r="J2630" t="s">
        <v>20</v>
      </c>
      <c r="K2630" t="s">
        <v>41</v>
      </c>
      <c r="L2630" t="s">
        <v>81</v>
      </c>
      <c r="M2630" t="s">
        <v>46</v>
      </c>
      <c r="N2630">
        <v>41.222776000000003</v>
      </c>
      <c r="O2630">
        <v>-111.971903</v>
      </c>
      <c r="P2630">
        <v>4248.5521220000001</v>
      </c>
      <c r="Q2630">
        <v>1358</v>
      </c>
      <c r="R2630">
        <v>0</v>
      </c>
    </row>
    <row r="2631" spans="1:18" x14ac:dyDescent="0.25">
      <c r="A2631">
        <v>2630</v>
      </c>
      <c r="B2631">
        <v>94</v>
      </c>
      <c r="C2631">
        <v>31514609</v>
      </c>
      <c r="D2631" t="s">
        <v>231</v>
      </c>
      <c r="E2631">
        <v>1.881</v>
      </c>
      <c r="F2631" t="s">
        <v>19</v>
      </c>
      <c r="G2631" t="s">
        <v>20</v>
      </c>
      <c r="H2631" t="s">
        <v>21</v>
      </c>
      <c r="I2631" t="s">
        <v>20</v>
      </c>
      <c r="J2631" t="s">
        <v>20</v>
      </c>
      <c r="K2631" t="s">
        <v>41</v>
      </c>
      <c r="L2631" t="s">
        <v>57</v>
      </c>
      <c r="M2631" t="s">
        <v>93</v>
      </c>
      <c r="N2631">
        <v>41.074657999999999</v>
      </c>
      <c r="O2631">
        <v>-111.980885</v>
      </c>
      <c r="P2631">
        <v>4349.3106209999996</v>
      </c>
      <c r="Q2631">
        <v>1409</v>
      </c>
      <c r="R2631">
        <v>0</v>
      </c>
    </row>
    <row r="2632" spans="1:18" x14ac:dyDescent="0.25">
      <c r="A2632">
        <v>2631</v>
      </c>
      <c r="B2632">
        <v>94</v>
      </c>
      <c r="C2632">
        <v>1257551</v>
      </c>
      <c r="D2632" t="s">
        <v>128</v>
      </c>
      <c r="E2632">
        <v>1.883</v>
      </c>
      <c r="F2632" t="s">
        <v>21</v>
      </c>
      <c r="G2632" t="s">
        <v>26</v>
      </c>
      <c r="H2632" t="s">
        <v>21</v>
      </c>
      <c r="I2632" t="s">
        <v>20</v>
      </c>
      <c r="J2632" t="s">
        <v>20</v>
      </c>
      <c r="K2632" t="s">
        <v>41</v>
      </c>
      <c r="L2632" t="s">
        <v>42</v>
      </c>
      <c r="M2632" t="s">
        <v>73</v>
      </c>
      <c r="N2632">
        <v>41.724848000000001</v>
      </c>
      <c r="O2632">
        <v>-111.859993</v>
      </c>
      <c r="P2632">
        <v>4412.8334379999997</v>
      </c>
      <c r="Q2632">
        <v>5943</v>
      </c>
      <c r="R2632">
        <v>0</v>
      </c>
    </row>
    <row r="2633" spans="1:18" x14ac:dyDescent="0.25">
      <c r="A2633">
        <v>2632</v>
      </c>
      <c r="B2633">
        <v>94</v>
      </c>
      <c r="C2633">
        <v>1133821</v>
      </c>
      <c r="D2633" t="s">
        <v>56</v>
      </c>
      <c r="E2633">
        <v>1.8839999999999999</v>
      </c>
      <c r="F2633" t="s">
        <v>21</v>
      </c>
      <c r="G2633" t="s">
        <v>26</v>
      </c>
      <c r="H2633" t="s">
        <v>21</v>
      </c>
      <c r="I2633" t="s">
        <v>20</v>
      </c>
      <c r="J2633" t="s">
        <v>20</v>
      </c>
      <c r="K2633" t="s">
        <v>41</v>
      </c>
      <c r="L2633" t="s">
        <v>57</v>
      </c>
      <c r="M2633" t="s">
        <v>58</v>
      </c>
      <c r="N2633">
        <v>41.163792999999998</v>
      </c>
      <c r="O2633">
        <v>-112.086657</v>
      </c>
      <c r="P2633">
        <v>4189.0437750000001</v>
      </c>
      <c r="Q2633">
        <v>1459</v>
      </c>
      <c r="R2633">
        <v>0</v>
      </c>
    </row>
    <row r="2634" spans="1:18" x14ac:dyDescent="0.25">
      <c r="A2634">
        <v>2633</v>
      </c>
      <c r="B2634">
        <v>94</v>
      </c>
      <c r="C2634">
        <v>31486957</v>
      </c>
      <c r="D2634" t="s">
        <v>164</v>
      </c>
      <c r="E2634">
        <v>1.885</v>
      </c>
      <c r="F2634" t="s">
        <v>21</v>
      </c>
      <c r="G2634" t="s">
        <v>26</v>
      </c>
      <c r="H2634" t="s">
        <v>21</v>
      </c>
      <c r="I2634" t="s">
        <v>20</v>
      </c>
      <c r="J2634" t="s">
        <v>20</v>
      </c>
      <c r="K2634" t="s">
        <v>27</v>
      </c>
      <c r="L2634" t="s">
        <v>165</v>
      </c>
      <c r="M2634" t="s">
        <v>166</v>
      </c>
      <c r="N2634">
        <v>38.960188000000002</v>
      </c>
      <c r="O2634">
        <v>-112.32361</v>
      </c>
      <c r="P2634">
        <v>5098.2378490000001</v>
      </c>
      <c r="Q2634">
        <v>1390</v>
      </c>
      <c r="R2634">
        <v>0</v>
      </c>
    </row>
    <row r="2635" spans="1:18" x14ac:dyDescent="0.25">
      <c r="A2635">
        <v>2634</v>
      </c>
      <c r="B2635">
        <v>94</v>
      </c>
      <c r="C2635">
        <v>31439688</v>
      </c>
      <c r="D2635" t="s">
        <v>254</v>
      </c>
      <c r="E2635">
        <v>1.889</v>
      </c>
      <c r="F2635" t="s">
        <v>21</v>
      </c>
      <c r="G2635" t="s">
        <v>20</v>
      </c>
      <c r="H2635" t="s">
        <v>21</v>
      </c>
      <c r="I2635" t="s">
        <v>20</v>
      </c>
      <c r="J2635" t="s">
        <v>20</v>
      </c>
      <c r="K2635" t="s">
        <v>41</v>
      </c>
      <c r="L2635" t="s">
        <v>255</v>
      </c>
      <c r="M2635" t="s">
        <v>204</v>
      </c>
      <c r="N2635">
        <v>41.272105000000003</v>
      </c>
      <c r="O2635">
        <v>-111.820588</v>
      </c>
      <c r="P2635">
        <v>4884.5361149999999</v>
      </c>
      <c r="Q2635">
        <v>1429</v>
      </c>
      <c r="R2635">
        <v>0</v>
      </c>
    </row>
    <row r="2636" spans="1:18" x14ac:dyDescent="0.25">
      <c r="A2636">
        <v>2635</v>
      </c>
      <c r="B2636">
        <v>94</v>
      </c>
      <c r="C2636">
        <v>27646346</v>
      </c>
      <c r="D2636" t="s">
        <v>196</v>
      </c>
      <c r="E2636">
        <v>1.893</v>
      </c>
      <c r="F2636" t="s">
        <v>19</v>
      </c>
      <c r="G2636" t="s">
        <v>20</v>
      </c>
      <c r="H2636" t="s">
        <v>21</v>
      </c>
      <c r="I2636" t="s">
        <v>20</v>
      </c>
      <c r="J2636" t="s">
        <v>20</v>
      </c>
      <c r="K2636" t="s">
        <v>27</v>
      </c>
      <c r="L2636" t="s">
        <v>72</v>
      </c>
      <c r="M2636" t="s">
        <v>73</v>
      </c>
      <c r="N2636">
        <v>37.109817</v>
      </c>
      <c r="O2636">
        <v>-113.559297</v>
      </c>
      <c r="P2636">
        <v>2748.8054080000002</v>
      </c>
      <c r="Q2636">
        <v>308</v>
      </c>
      <c r="R2636">
        <v>0</v>
      </c>
    </row>
    <row r="2637" spans="1:18" x14ac:dyDescent="0.25">
      <c r="A2637">
        <v>2636</v>
      </c>
      <c r="B2637">
        <v>94</v>
      </c>
      <c r="C2637">
        <v>31762102</v>
      </c>
      <c r="D2637" t="s">
        <v>86</v>
      </c>
      <c r="E2637">
        <v>1.895</v>
      </c>
      <c r="F2637" t="s">
        <v>21</v>
      </c>
      <c r="G2637" t="s">
        <v>26</v>
      </c>
      <c r="H2637" t="s">
        <v>21</v>
      </c>
      <c r="I2637" t="s">
        <v>20</v>
      </c>
      <c r="J2637" t="s">
        <v>20</v>
      </c>
      <c r="K2637" t="s">
        <v>41</v>
      </c>
      <c r="L2637" t="s">
        <v>87</v>
      </c>
      <c r="M2637" t="s">
        <v>58</v>
      </c>
      <c r="N2637">
        <v>41.031010000000002</v>
      </c>
      <c r="O2637">
        <v>-111.93584</v>
      </c>
      <c r="P2637">
        <v>4301.3251749999999</v>
      </c>
      <c r="Q2637">
        <v>258</v>
      </c>
      <c r="R2637">
        <v>0</v>
      </c>
    </row>
    <row r="2638" spans="1:18" x14ac:dyDescent="0.25">
      <c r="A2638">
        <v>2637</v>
      </c>
      <c r="B2638">
        <v>94</v>
      </c>
      <c r="C2638">
        <v>1005705</v>
      </c>
      <c r="D2638" t="s">
        <v>171</v>
      </c>
      <c r="E2638">
        <v>1.895</v>
      </c>
      <c r="F2638" t="s">
        <v>21</v>
      </c>
      <c r="G2638" t="s">
        <v>26</v>
      </c>
      <c r="H2638" t="s">
        <v>21</v>
      </c>
      <c r="I2638" t="s">
        <v>20</v>
      </c>
      <c r="J2638" t="s">
        <v>20</v>
      </c>
      <c r="K2638" t="s">
        <v>31</v>
      </c>
      <c r="L2638" t="s">
        <v>78</v>
      </c>
      <c r="M2638" t="s">
        <v>79</v>
      </c>
      <c r="N2638">
        <v>40.696516000000003</v>
      </c>
      <c r="O2638">
        <v>-112.055621</v>
      </c>
      <c r="P2638">
        <v>4257.3069150000001</v>
      </c>
      <c r="Q2638">
        <v>346</v>
      </c>
      <c r="R2638">
        <v>0</v>
      </c>
    </row>
    <row r="2639" spans="1:18" x14ac:dyDescent="0.25">
      <c r="A2639">
        <v>2638</v>
      </c>
      <c r="B2639">
        <v>94</v>
      </c>
      <c r="C2639">
        <v>27300215</v>
      </c>
      <c r="D2639" t="s">
        <v>150</v>
      </c>
      <c r="E2639">
        <v>1.903</v>
      </c>
      <c r="F2639" t="s">
        <v>21</v>
      </c>
      <c r="G2639" t="s">
        <v>26</v>
      </c>
      <c r="H2639" t="s">
        <v>21</v>
      </c>
      <c r="I2639" t="s">
        <v>20</v>
      </c>
      <c r="J2639" t="s">
        <v>20</v>
      </c>
      <c r="K2639" t="s">
        <v>27</v>
      </c>
      <c r="L2639" t="s">
        <v>151</v>
      </c>
      <c r="M2639" t="s">
        <v>152</v>
      </c>
      <c r="N2639">
        <v>38.995522000000001</v>
      </c>
      <c r="O2639">
        <v>-110.156514</v>
      </c>
      <c r="P2639">
        <v>3994.464422</v>
      </c>
      <c r="Q2639">
        <v>1336</v>
      </c>
      <c r="R2639">
        <v>0</v>
      </c>
    </row>
    <row r="2640" spans="1:18" x14ac:dyDescent="0.25">
      <c r="A2640">
        <v>2639</v>
      </c>
      <c r="B2640">
        <v>94</v>
      </c>
      <c r="C2640" t="e">
        <f>-JPmKBxLIGXHgykX5Il81F</f>
        <v>#NAME?</v>
      </c>
      <c r="D2640" t="s">
        <v>171</v>
      </c>
      <c r="E2640">
        <v>12.641999999999999</v>
      </c>
      <c r="F2640" t="s">
        <v>21</v>
      </c>
      <c r="G2640" t="s">
        <v>26</v>
      </c>
      <c r="H2640" t="s">
        <v>21</v>
      </c>
      <c r="I2640" t="s">
        <v>20</v>
      </c>
      <c r="J2640" t="s">
        <v>20</v>
      </c>
      <c r="K2640" t="s">
        <v>31</v>
      </c>
      <c r="L2640" t="s">
        <v>188</v>
      </c>
      <c r="M2640" t="s">
        <v>79</v>
      </c>
      <c r="N2640">
        <v>40.699916999999999</v>
      </c>
      <c r="O2640">
        <v>-111.851939</v>
      </c>
      <c r="P2640">
        <v>4354.3954009999998</v>
      </c>
      <c r="Q2640">
        <v>346</v>
      </c>
      <c r="R2640">
        <v>0</v>
      </c>
    </row>
    <row r="2641" spans="1:18" x14ac:dyDescent="0.25">
      <c r="A2641">
        <v>2640</v>
      </c>
      <c r="B2641">
        <v>94</v>
      </c>
      <c r="C2641">
        <v>31281014</v>
      </c>
      <c r="D2641" t="s">
        <v>303</v>
      </c>
      <c r="E2641">
        <v>12.648</v>
      </c>
      <c r="F2641" t="s">
        <v>21</v>
      </c>
      <c r="G2641" t="s">
        <v>26</v>
      </c>
      <c r="H2641" t="s">
        <v>21</v>
      </c>
      <c r="I2641" t="s">
        <v>20</v>
      </c>
      <c r="J2641" t="s">
        <v>20</v>
      </c>
      <c r="K2641" t="s">
        <v>27</v>
      </c>
      <c r="L2641" t="s">
        <v>72</v>
      </c>
      <c r="M2641" t="s">
        <v>73</v>
      </c>
      <c r="N2641">
        <v>37.210894000000003</v>
      </c>
      <c r="O2641">
        <v>-113.26876900000001</v>
      </c>
      <c r="P2641">
        <v>3170.3136020000002</v>
      </c>
      <c r="Q2641">
        <v>1326</v>
      </c>
      <c r="R2641">
        <v>0</v>
      </c>
    </row>
    <row r="2642" spans="1:18" x14ac:dyDescent="0.25">
      <c r="A2642">
        <v>2641</v>
      </c>
      <c r="B2642">
        <v>94</v>
      </c>
      <c r="C2642">
        <v>28358105</v>
      </c>
      <c r="D2642" t="s">
        <v>323</v>
      </c>
      <c r="E2642">
        <v>12.657</v>
      </c>
      <c r="F2642" t="s">
        <v>19</v>
      </c>
      <c r="G2642" t="s">
        <v>20</v>
      </c>
      <c r="H2642" t="s">
        <v>19</v>
      </c>
      <c r="I2642">
        <v>150</v>
      </c>
      <c r="J2642" t="s">
        <v>20</v>
      </c>
      <c r="K2642" t="s">
        <v>31</v>
      </c>
      <c r="L2642" t="s">
        <v>130</v>
      </c>
      <c r="M2642" t="s">
        <v>131</v>
      </c>
      <c r="N2642">
        <v>40.643158999999997</v>
      </c>
      <c r="O2642">
        <v>-111.280777</v>
      </c>
      <c r="P2642">
        <v>6432.7313020000001</v>
      </c>
      <c r="Q2642">
        <v>1345</v>
      </c>
      <c r="R2642">
        <v>0</v>
      </c>
    </row>
    <row r="2643" spans="1:18" x14ac:dyDescent="0.25">
      <c r="A2643">
        <v>2642</v>
      </c>
      <c r="B2643">
        <v>94</v>
      </c>
      <c r="C2643">
        <v>31738600</v>
      </c>
      <c r="D2643" t="s">
        <v>336</v>
      </c>
      <c r="E2643">
        <v>12.891999999999999</v>
      </c>
      <c r="F2643" t="s">
        <v>21</v>
      </c>
      <c r="G2643" t="s">
        <v>20</v>
      </c>
      <c r="H2643" t="s">
        <v>21</v>
      </c>
      <c r="I2643" t="s">
        <v>20</v>
      </c>
      <c r="J2643" t="s">
        <v>20</v>
      </c>
      <c r="K2643" t="s">
        <v>31</v>
      </c>
      <c r="L2643" t="s">
        <v>32</v>
      </c>
      <c r="M2643" t="s">
        <v>33</v>
      </c>
      <c r="N2643">
        <v>40.635129999999997</v>
      </c>
      <c r="O2643">
        <v>-111.615199</v>
      </c>
      <c r="P2643">
        <v>7628.8033079999996</v>
      </c>
      <c r="Q2643">
        <v>404</v>
      </c>
      <c r="R2643">
        <v>0</v>
      </c>
    </row>
    <row r="2644" spans="1:18" x14ac:dyDescent="0.25">
      <c r="A2644">
        <v>2643</v>
      </c>
      <c r="B2644">
        <v>94</v>
      </c>
      <c r="C2644">
        <v>28002037</v>
      </c>
      <c r="D2644" t="s">
        <v>346</v>
      </c>
      <c r="E2644">
        <v>12.894</v>
      </c>
      <c r="F2644" t="s">
        <v>21</v>
      </c>
      <c r="G2644" t="s">
        <v>20</v>
      </c>
      <c r="H2644" t="s">
        <v>21</v>
      </c>
      <c r="I2644" t="s">
        <v>20</v>
      </c>
      <c r="J2644" t="s">
        <v>20</v>
      </c>
      <c r="K2644" t="s">
        <v>27</v>
      </c>
      <c r="L2644" t="s">
        <v>307</v>
      </c>
      <c r="M2644" t="s">
        <v>159</v>
      </c>
      <c r="N2644">
        <v>39.802287999999997</v>
      </c>
      <c r="O2644">
        <v>-111.134614</v>
      </c>
      <c r="P2644">
        <v>7611.7314079999996</v>
      </c>
      <c r="Q2644">
        <v>1389</v>
      </c>
      <c r="R2644">
        <v>0</v>
      </c>
    </row>
    <row r="2645" spans="1:18" x14ac:dyDescent="0.25">
      <c r="A2645">
        <v>2644</v>
      </c>
      <c r="B2645">
        <v>94</v>
      </c>
      <c r="C2645">
        <v>1529093</v>
      </c>
      <c r="D2645" t="s">
        <v>88</v>
      </c>
      <c r="E2645">
        <v>12.897</v>
      </c>
      <c r="F2645" t="s">
        <v>21</v>
      </c>
      <c r="G2645" t="s">
        <v>26</v>
      </c>
      <c r="H2645" t="s">
        <v>21</v>
      </c>
      <c r="I2645" t="s">
        <v>20</v>
      </c>
      <c r="J2645" t="s">
        <v>20</v>
      </c>
      <c r="K2645" t="s">
        <v>31</v>
      </c>
      <c r="L2645" t="s">
        <v>32</v>
      </c>
      <c r="M2645" t="s">
        <v>90</v>
      </c>
      <c r="N2645">
        <v>40.625143999999999</v>
      </c>
      <c r="O2645">
        <v>-111.865976</v>
      </c>
      <c r="P2645">
        <v>4378.5295340000002</v>
      </c>
      <c r="Q2645">
        <v>318</v>
      </c>
      <c r="R2645">
        <v>0</v>
      </c>
    </row>
    <row r="2646" spans="1:18" x14ac:dyDescent="0.25">
      <c r="A2646">
        <v>2645</v>
      </c>
      <c r="B2646">
        <v>94</v>
      </c>
      <c r="C2646">
        <v>31502342</v>
      </c>
      <c r="D2646" t="s">
        <v>224</v>
      </c>
      <c r="E2646">
        <v>12.898</v>
      </c>
      <c r="F2646" t="s">
        <v>21</v>
      </c>
      <c r="G2646" t="s">
        <v>26</v>
      </c>
      <c r="H2646" t="s">
        <v>21</v>
      </c>
      <c r="I2646" t="s">
        <v>20</v>
      </c>
      <c r="J2646" t="s">
        <v>20</v>
      </c>
      <c r="K2646" t="s">
        <v>22</v>
      </c>
      <c r="L2646" t="s">
        <v>140</v>
      </c>
      <c r="M2646" t="s">
        <v>194</v>
      </c>
      <c r="N2646">
        <v>40.105809000000001</v>
      </c>
      <c r="O2646">
        <v>-111.644265</v>
      </c>
      <c r="P2646">
        <v>4608.4859070000002</v>
      </c>
      <c r="Q2646">
        <v>408</v>
      </c>
      <c r="R2646">
        <v>0</v>
      </c>
    </row>
    <row r="2647" spans="1:18" x14ac:dyDescent="0.25">
      <c r="A2647">
        <v>2646</v>
      </c>
      <c r="B2647">
        <v>94</v>
      </c>
      <c r="C2647">
        <v>31470879</v>
      </c>
      <c r="D2647" t="s">
        <v>348</v>
      </c>
      <c r="E2647">
        <v>12.912000000000001</v>
      </c>
      <c r="F2647" t="s">
        <v>21</v>
      </c>
      <c r="G2647" t="s">
        <v>26</v>
      </c>
      <c r="H2647" t="s">
        <v>21</v>
      </c>
      <c r="I2647" t="s">
        <v>20</v>
      </c>
      <c r="J2647" t="s">
        <v>20</v>
      </c>
      <c r="K2647" t="s">
        <v>27</v>
      </c>
      <c r="L2647" t="s">
        <v>122</v>
      </c>
      <c r="M2647" t="s">
        <v>123</v>
      </c>
      <c r="N2647">
        <v>38.197420999999999</v>
      </c>
      <c r="O2647">
        <v>-110.631967</v>
      </c>
      <c r="P2647">
        <v>4735.9597649999996</v>
      </c>
      <c r="Q2647">
        <v>1388</v>
      </c>
      <c r="R2647">
        <v>0</v>
      </c>
    </row>
    <row r="2648" spans="1:18" x14ac:dyDescent="0.25">
      <c r="A2648">
        <v>2647</v>
      </c>
      <c r="B2648">
        <v>94</v>
      </c>
      <c r="C2648">
        <v>31194609</v>
      </c>
      <c r="D2648" t="s">
        <v>309</v>
      </c>
      <c r="E2648">
        <v>12.023999999999999</v>
      </c>
      <c r="F2648" t="s">
        <v>21</v>
      </c>
      <c r="G2648" t="s">
        <v>26</v>
      </c>
      <c r="H2648" t="s">
        <v>21</v>
      </c>
      <c r="I2648" t="s">
        <v>20</v>
      </c>
      <c r="J2648" t="s">
        <v>20</v>
      </c>
      <c r="K2648" t="s">
        <v>22</v>
      </c>
      <c r="L2648" t="s">
        <v>140</v>
      </c>
      <c r="M2648" t="s">
        <v>125</v>
      </c>
      <c r="N2648">
        <v>40.115029</v>
      </c>
      <c r="O2648">
        <v>-111.65655099999999</v>
      </c>
      <c r="P2648">
        <v>4513.9467000000004</v>
      </c>
      <c r="Q2648">
        <v>339</v>
      </c>
      <c r="R2648">
        <v>0</v>
      </c>
    </row>
    <row r="2649" spans="1:18" x14ac:dyDescent="0.25">
      <c r="A2649">
        <v>2648</v>
      </c>
      <c r="B2649">
        <v>94</v>
      </c>
      <c r="C2649">
        <v>31531098</v>
      </c>
      <c r="D2649" t="s">
        <v>231</v>
      </c>
      <c r="E2649">
        <v>12.039</v>
      </c>
      <c r="F2649" t="s">
        <v>21</v>
      </c>
      <c r="G2649" t="s">
        <v>26</v>
      </c>
      <c r="H2649" t="s">
        <v>21</v>
      </c>
      <c r="I2649" t="s">
        <v>20</v>
      </c>
      <c r="J2649" t="s">
        <v>20</v>
      </c>
      <c r="K2649" t="s">
        <v>41</v>
      </c>
      <c r="L2649" t="s">
        <v>57</v>
      </c>
      <c r="M2649" t="s">
        <v>93</v>
      </c>
      <c r="N2649">
        <v>41.209702</v>
      </c>
      <c r="O2649">
        <v>-112.025792</v>
      </c>
      <c r="P2649">
        <v>4250.9577710000003</v>
      </c>
      <c r="Q2649">
        <v>1409</v>
      </c>
      <c r="R2649">
        <v>0</v>
      </c>
    </row>
    <row r="2650" spans="1:18" x14ac:dyDescent="0.25">
      <c r="A2650">
        <v>2649</v>
      </c>
      <c r="B2650">
        <v>94</v>
      </c>
      <c r="C2650">
        <v>1524329</v>
      </c>
      <c r="D2650" t="s">
        <v>88</v>
      </c>
      <c r="E2650">
        <v>12.044</v>
      </c>
      <c r="F2650" t="s">
        <v>21</v>
      </c>
      <c r="G2650" t="s">
        <v>26</v>
      </c>
      <c r="H2650" t="s">
        <v>21</v>
      </c>
      <c r="I2650" t="s">
        <v>20</v>
      </c>
      <c r="J2650" t="s">
        <v>20</v>
      </c>
      <c r="K2650" t="s">
        <v>31</v>
      </c>
      <c r="L2650" t="s">
        <v>32</v>
      </c>
      <c r="M2650" t="s">
        <v>90</v>
      </c>
      <c r="N2650">
        <v>40.61383</v>
      </c>
      <c r="O2650">
        <v>-111.870025</v>
      </c>
      <c r="P2650">
        <v>4410.7390509999996</v>
      </c>
      <c r="Q2650">
        <v>318</v>
      </c>
      <c r="R2650">
        <v>0</v>
      </c>
    </row>
    <row r="2651" spans="1:18" x14ac:dyDescent="0.25">
      <c r="A2651">
        <v>2650</v>
      </c>
      <c r="B2651">
        <v>94</v>
      </c>
      <c r="C2651">
        <v>31346172</v>
      </c>
      <c r="D2651" t="s">
        <v>220</v>
      </c>
      <c r="E2651">
        <v>12.052</v>
      </c>
      <c r="F2651" t="s">
        <v>21</v>
      </c>
      <c r="G2651" t="s">
        <v>20</v>
      </c>
      <c r="H2651" t="s">
        <v>21</v>
      </c>
      <c r="I2651" t="s">
        <v>20</v>
      </c>
      <c r="J2651" t="s">
        <v>20</v>
      </c>
      <c r="K2651" t="s">
        <v>27</v>
      </c>
      <c r="L2651" t="s">
        <v>28</v>
      </c>
      <c r="M2651" t="s">
        <v>29</v>
      </c>
      <c r="N2651">
        <v>37.697220000000002</v>
      </c>
      <c r="O2651">
        <v>-112.179802</v>
      </c>
      <c r="P2651">
        <v>7552.1562270000004</v>
      </c>
      <c r="Q2651">
        <v>1328</v>
      </c>
      <c r="R2651">
        <v>0</v>
      </c>
    </row>
    <row r="2652" spans="1:18" x14ac:dyDescent="0.25">
      <c r="A2652">
        <v>2651</v>
      </c>
      <c r="B2652">
        <v>94</v>
      </c>
      <c r="C2652" t="e">
        <f>-JNLC4CSH71x3vEQ8VwzSV</f>
        <v>#NAME?</v>
      </c>
      <c r="D2652" t="s">
        <v>124</v>
      </c>
      <c r="E2652">
        <v>12.054</v>
      </c>
      <c r="F2652" t="s">
        <v>21</v>
      </c>
      <c r="G2652" t="s">
        <v>26</v>
      </c>
      <c r="H2652" t="s">
        <v>21</v>
      </c>
      <c r="I2652" t="s">
        <v>20</v>
      </c>
      <c r="J2652" t="s">
        <v>20</v>
      </c>
      <c r="K2652" t="s">
        <v>22</v>
      </c>
      <c r="L2652" t="s">
        <v>193</v>
      </c>
      <c r="M2652" t="s">
        <v>194</v>
      </c>
      <c r="N2652">
        <v>40.126562999999997</v>
      </c>
      <c r="O2652">
        <v>-111.95746200000001</v>
      </c>
      <c r="P2652">
        <v>4495.597127</v>
      </c>
      <c r="Q2652">
        <v>1368</v>
      </c>
      <c r="R2652">
        <v>0</v>
      </c>
    </row>
    <row r="2653" spans="1:18" x14ac:dyDescent="0.25">
      <c r="A2653">
        <v>2652</v>
      </c>
      <c r="B2653">
        <v>94</v>
      </c>
      <c r="C2653">
        <v>28356879</v>
      </c>
      <c r="D2653" t="s">
        <v>323</v>
      </c>
      <c r="E2653">
        <v>12.055</v>
      </c>
      <c r="F2653" t="s">
        <v>21</v>
      </c>
      <c r="G2653" t="s">
        <v>26</v>
      </c>
      <c r="H2653" t="s">
        <v>21</v>
      </c>
      <c r="I2653" t="s">
        <v>20</v>
      </c>
      <c r="J2653" t="s">
        <v>20</v>
      </c>
      <c r="K2653" t="s">
        <v>31</v>
      </c>
      <c r="L2653" t="s">
        <v>130</v>
      </c>
      <c r="M2653" t="s">
        <v>131</v>
      </c>
      <c r="N2653">
        <v>40.634461999999999</v>
      </c>
      <c r="O2653">
        <v>-111.280748</v>
      </c>
      <c r="P2653">
        <v>6438.4977929999995</v>
      </c>
      <c r="Q2653">
        <v>1345</v>
      </c>
      <c r="R2653">
        <v>0</v>
      </c>
    </row>
    <row r="2654" spans="1:18" x14ac:dyDescent="0.25">
      <c r="A2654">
        <v>2653</v>
      </c>
      <c r="B2654">
        <v>94</v>
      </c>
      <c r="C2654">
        <v>31279006</v>
      </c>
      <c r="D2654" t="s">
        <v>303</v>
      </c>
      <c r="E2654">
        <v>12.066000000000001</v>
      </c>
      <c r="F2654" t="s">
        <v>21</v>
      </c>
      <c r="G2654" t="s">
        <v>26</v>
      </c>
      <c r="H2654" t="s">
        <v>21</v>
      </c>
      <c r="I2654" t="s">
        <v>20</v>
      </c>
      <c r="J2654" t="s">
        <v>20</v>
      </c>
      <c r="K2654" t="s">
        <v>27</v>
      </c>
      <c r="L2654" t="s">
        <v>72</v>
      </c>
      <c r="M2654" t="s">
        <v>73</v>
      </c>
      <c r="N2654">
        <v>37.205174</v>
      </c>
      <c r="O2654">
        <v>-113.27215</v>
      </c>
      <c r="P2654">
        <v>3119.8506299999999</v>
      </c>
      <c r="Q2654">
        <v>1326</v>
      </c>
      <c r="R2654">
        <v>0</v>
      </c>
    </row>
    <row r="2655" spans="1:18" x14ac:dyDescent="0.25">
      <c r="A2655">
        <v>2654</v>
      </c>
      <c r="B2655">
        <v>94</v>
      </c>
      <c r="C2655">
        <v>1076624</v>
      </c>
      <c r="D2655" t="s">
        <v>171</v>
      </c>
      <c r="E2655">
        <v>12.077</v>
      </c>
      <c r="F2655" t="s">
        <v>21</v>
      </c>
      <c r="G2655" t="s">
        <v>26</v>
      </c>
      <c r="H2655" t="s">
        <v>21</v>
      </c>
      <c r="I2655" t="s">
        <v>20</v>
      </c>
      <c r="J2655" t="s">
        <v>20</v>
      </c>
      <c r="K2655" t="s">
        <v>31</v>
      </c>
      <c r="L2655" t="s">
        <v>188</v>
      </c>
      <c r="M2655" t="s">
        <v>79</v>
      </c>
      <c r="N2655">
        <v>40.699886999999997</v>
      </c>
      <c r="O2655">
        <v>-111.862674</v>
      </c>
      <c r="P2655">
        <v>4263.8460150000001</v>
      </c>
      <c r="Q2655">
        <v>346</v>
      </c>
      <c r="R2655">
        <v>0</v>
      </c>
    </row>
    <row r="2656" spans="1:18" x14ac:dyDescent="0.25">
      <c r="A2656">
        <v>2655</v>
      </c>
      <c r="B2656">
        <v>94</v>
      </c>
      <c r="C2656">
        <v>31285313</v>
      </c>
      <c r="D2656" t="s">
        <v>126</v>
      </c>
      <c r="E2656">
        <v>12.081</v>
      </c>
      <c r="F2656" t="s">
        <v>21</v>
      </c>
      <c r="G2656" t="s">
        <v>26</v>
      </c>
      <c r="H2656" t="s">
        <v>21</v>
      </c>
      <c r="I2656" t="s">
        <v>20</v>
      </c>
      <c r="J2656" t="s">
        <v>20</v>
      </c>
      <c r="K2656" t="s">
        <v>41</v>
      </c>
      <c r="L2656" t="s">
        <v>57</v>
      </c>
      <c r="M2656" t="s">
        <v>93</v>
      </c>
      <c r="N2656">
        <v>41.306857999999998</v>
      </c>
      <c r="O2656">
        <v>-112.011594</v>
      </c>
      <c r="P2656">
        <v>4236.3548849999997</v>
      </c>
      <c r="Q2656">
        <v>1412</v>
      </c>
      <c r="R2656">
        <v>0</v>
      </c>
    </row>
    <row r="2657" spans="1:18" x14ac:dyDescent="0.25">
      <c r="A2657">
        <v>2656</v>
      </c>
      <c r="B2657">
        <v>94</v>
      </c>
      <c r="C2657">
        <v>31499718</v>
      </c>
      <c r="D2657" t="s">
        <v>224</v>
      </c>
      <c r="E2657">
        <v>12.103</v>
      </c>
      <c r="F2657" t="s">
        <v>21</v>
      </c>
      <c r="G2657" t="s">
        <v>26</v>
      </c>
      <c r="H2657" t="s">
        <v>21</v>
      </c>
      <c r="I2657" t="s">
        <v>20</v>
      </c>
      <c r="J2657" t="s">
        <v>20</v>
      </c>
      <c r="K2657" t="s">
        <v>22</v>
      </c>
      <c r="L2657" t="s">
        <v>140</v>
      </c>
      <c r="M2657" t="s">
        <v>194</v>
      </c>
      <c r="N2657">
        <v>40.102395999999999</v>
      </c>
      <c r="O2657">
        <v>-111.655231</v>
      </c>
      <c r="P2657">
        <v>4528.6033500000003</v>
      </c>
      <c r="Q2657">
        <v>408</v>
      </c>
      <c r="R2657">
        <v>0</v>
      </c>
    </row>
    <row r="2658" spans="1:18" x14ac:dyDescent="0.25">
      <c r="A2658">
        <v>2657</v>
      </c>
      <c r="B2658">
        <v>94</v>
      </c>
      <c r="C2658">
        <v>31391471</v>
      </c>
      <c r="D2658" t="s">
        <v>124</v>
      </c>
      <c r="E2658">
        <v>12.108000000000001</v>
      </c>
      <c r="F2658" t="s">
        <v>21</v>
      </c>
      <c r="G2658" t="s">
        <v>20</v>
      </c>
      <c r="H2658" t="s">
        <v>21</v>
      </c>
      <c r="I2658" t="s">
        <v>20</v>
      </c>
      <c r="J2658" t="s">
        <v>20</v>
      </c>
      <c r="K2658" t="s">
        <v>22</v>
      </c>
      <c r="L2658" t="s">
        <v>193</v>
      </c>
      <c r="M2658" t="s">
        <v>194</v>
      </c>
      <c r="N2658">
        <v>40.127142999999997</v>
      </c>
      <c r="O2658">
        <v>-111.9568</v>
      </c>
      <c r="P2658">
        <v>4495.2136190000001</v>
      </c>
      <c r="Q2658">
        <v>1368</v>
      </c>
      <c r="R2658">
        <v>0</v>
      </c>
    </row>
    <row r="2659" spans="1:18" x14ac:dyDescent="0.25">
      <c r="A2659">
        <v>2658</v>
      </c>
      <c r="B2659">
        <v>94</v>
      </c>
      <c r="C2659">
        <v>31194620</v>
      </c>
      <c r="D2659" t="s">
        <v>309</v>
      </c>
      <c r="E2659">
        <v>12.116</v>
      </c>
      <c r="F2659" t="s">
        <v>19</v>
      </c>
      <c r="G2659" t="s">
        <v>20</v>
      </c>
      <c r="H2659" t="s">
        <v>19</v>
      </c>
      <c r="I2659">
        <v>156</v>
      </c>
      <c r="J2659" t="s">
        <v>20</v>
      </c>
      <c r="K2659" t="s">
        <v>22</v>
      </c>
      <c r="L2659" t="s">
        <v>140</v>
      </c>
      <c r="M2659" t="s">
        <v>125</v>
      </c>
      <c r="N2659">
        <v>40.115011000000003</v>
      </c>
      <c r="O2659">
        <v>-111.654803</v>
      </c>
      <c r="P2659">
        <v>4518.1284070000002</v>
      </c>
      <c r="Q2659">
        <v>339</v>
      </c>
      <c r="R2659">
        <v>0</v>
      </c>
    </row>
    <row r="2660" spans="1:18" x14ac:dyDescent="0.25">
      <c r="A2660">
        <v>2659</v>
      </c>
      <c r="B2660">
        <v>94</v>
      </c>
      <c r="C2660">
        <v>1525345</v>
      </c>
      <c r="D2660" t="s">
        <v>88</v>
      </c>
      <c r="E2660">
        <v>12.153</v>
      </c>
      <c r="F2660" t="s">
        <v>19</v>
      </c>
      <c r="G2660" t="s">
        <v>20</v>
      </c>
      <c r="H2660" t="s">
        <v>21</v>
      </c>
      <c r="I2660" t="s">
        <v>20</v>
      </c>
      <c r="J2660" t="s">
        <v>20</v>
      </c>
      <c r="K2660" t="s">
        <v>31</v>
      </c>
      <c r="L2660" t="s">
        <v>32</v>
      </c>
      <c r="M2660" t="s">
        <v>90</v>
      </c>
      <c r="N2660">
        <v>40.614978000000001</v>
      </c>
      <c r="O2660">
        <v>-111.868605</v>
      </c>
      <c r="P2660">
        <v>4421.3058629999996</v>
      </c>
      <c r="Q2660">
        <v>318</v>
      </c>
      <c r="R2660">
        <v>0</v>
      </c>
    </row>
    <row r="2661" spans="1:18" x14ac:dyDescent="0.25">
      <c r="A2661">
        <v>2660</v>
      </c>
      <c r="B2661">
        <v>94</v>
      </c>
      <c r="C2661">
        <v>31346183</v>
      </c>
      <c r="D2661" t="s">
        <v>220</v>
      </c>
      <c r="E2661">
        <v>12.154</v>
      </c>
      <c r="F2661" t="s">
        <v>21</v>
      </c>
      <c r="G2661" t="s">
        <v>20</v>
      </c>
      <c r="H2661" t="s">
        <v>21</v>
      </c>
      <c r="I2661" t="s">
        <v>20</v>
      </c>
      <c r="J2661" t="s">
        <v>20</v>
      </c>
      <c r="K2661" t="s">
        <v>27</v>
      </c>
      <c r="L2661" t="s">
        <v>28</v>
      </c>
      <c r="M2661" t="s">
        <v>29</v>
      </c>
      <c r="N2661">
        <v>37.696927000000002</v>
      </c>
      <c r="O2661">
        <v>-112.17798000000001</v>
      </c>
      <c r="P2661">
        <v>7555.118434</v>
      </c>
      <c r="Q2661">
        <v>1328</v>
      </c>
      <c r="R2661">
        <v>0</v>
      </c>
    </row>
    <row r="2662" spans="1:18" x14ac:dyDescent="0.25">
      <c r="A2662">
        <v>2661</v>
      </c>
      <c r="B2662">
        <v>94</v>
      </c>
      <c r="C2662">
        <v>31729711</v>
      </c>
      <c r="D2662" t="s">
        <v>244</v>
      </c>
      <c r="E2662">
        <v>104.346</v>
      </c>
      <c r="F2662" t="s">
        <v>21</v>
      </c>
      <c r="G2662" t="s">
        <v>20</v>
      </c>
      <c r="H2662" t="s">
        <v>21</v>
      </c>
      <c r="I2662" t="s">
        <v>20</v>
      </c>
      <c r="J2662" t="s">
        <v>20</v>
      </c>
      <c r="K2662" t="s">
        <v>27</v>
      </c>
      <c r="L2662" t="s">
        <v>122</v>
      </c>
      <c r="M2662" t="s">
        <v>270</v>
      </c>
      <c r="N2662">
        <v>38.365442999999999</v>
      </c>
      <c r="O2662">
        <v>-110.91198</v>
      </c>
      <c r="P2662">
        <v>4435.7084969999996</v>
      </c>
      <c r="Q2662">
        <v>1340</v>
      </c>
      <c r="R2662">
        <v>0</v>
      </c>
    </row>
    <row r="2663" spans="1:18" x14ac:dyDescent="0.25">
      <c r="A2663">
        <v>2662</v>
      </c>
      <c r="B2663">
        <v>94</v>
      </c>
      <c r="C2663">
        <v>31482613</v>
      </c>
      <c r="D2663" t="s">
        <v>320</v>
      </c>
      <c r="E2663">
        <v>104.373</v>
      </c>
      <c r="F2663" t="s">
        <v>21</v>
      </c>
      <c r="G2663" t="s">
        <v>20</v>
      </c>
      <c r="H2663" t="s">
        <v>21</v>
      </c>
      <c r="I2663" t="s">
        <v>20</v>
      </c>
      <c r="J2663" t="s">
        <v>20</v>
      </c>
      <c r="K2663" t="s">
        <v>27</v>
      </c>
      <c r="L2663" t="s">
        <v>173</v>
      </c>
      <c r="M2663" t="s">
        <v>166</v>
      </c>
      <c r="N2663">
        <v>39.202979999999997</v>
      </c>
      <c r="O2663">
        <v>-112.40991099999999</v>
      </c>
      <c r="P2663">
        <v>4667.1626740000002</v>
      </c>
      <c r="Q2663">
        <v>1356</v>
      </c>
      <c r="R2663">
        <v>0</v>
      </c>
    </row>
    <row r="2664" spans="1:18" x14ac:dyDescent="0.25">
      <c r="A2664">
        <v>2663</v>
      </c>
      <c r="B2664">
        <v>94</v>
      </c>
      <c r="C2664">
        <v>31376512</v>
      </c>
      <c r="D2664" t="s">
        <v>142</v>
      </c>
      <c r="E2664">
        <v>104.38800000000001</v>
      </c>
      <c r="F2664" t="s">
        <v>21</v>
      </c>
      <c r="G2664" t="s">
        <v>20</v>
      </c>
      <c r="H2664" t="s">
        <v>21</v>
      </c>
      <c r="I2664" t="s">
        <v>20</v>
      </c>
      <c r="J2664" t="s">
        <v>20</v>
      </c>
      <c r="K2664" t="s">
        <v>27</v>
      </c>
      <c r="L2664" t="s">
        <v>103</v>
      </c>
      <c r="M2664" t="s">
        <v>106</v>
      </c>
      <c r="N2664">
        <v>38.273935999999999</v>
      </c>
      <c r="O2664">
        <v>-112.70001600000001</v>
      </c>
      <c r="P2664">
        <v>5692.476181</v>
      </c>
      <c r="Q2664">
        <v>305</v>
      </c>
      <c r="R2664">
        <v>0</v>
      </c>
    </row>
    <row r="2665" spans="1:18" x14ac:dyDescent="0.25">
      <c r="A2665">
        <v>2664</v>
      </c>
      <c r="B2665">
        <v>94</v>
      </c>
      <c r="C2665">
        <v>31562833</v>
      </c>
      <c r="D2665" t="s">
        <v>213</v>
      </c>
      <c r="E2665">
        <v>104.407</v>
      </c>
      <c r="F2665" t="s">
        <v>21</v>
      </c>
      <c r="G2665" t="s">
        <v>26</v>
      </c>
      <c r="H2665" t="s">
        <v>21</v>
      </c>
      <c r="I2665" t="s">
        <v>20</v>
      </c>
      <c r="J2665" t="s">
        <v>20</v>
      </c>
      <c r="K2665" t="s">
        <v>27</v>
      </c>
      <c r="L2665" t="s">
        <v>173</v>
      </c>
      <c r="M2665" t="s">
        <v>214</v>
      </c>
      <c r="N2665">
        <v>39.512818000000003</v>
      </c>
      <c r="O2665">
        <v>-112.375524</v>
      </c>
      <c r="P2665">
        <v>4726.5335519999999</v>
      </c>
      <c r="Q2665">
        <v>1332</v>
      </c>
      <c r="R2665">
        <v>0</v>
      </c>
    </row>
    <row r="2666" spans="1:18" x14ac:dyDescent="0.25">
      <c r="A2666">
        <v>2665</v>
      </c>
      <c r="B2666">
        <v>94</v>
      </c>
      <c r="C2666">
        <v>31482624</v>
      </c>
      <c r="D2666" t="s">
        <v>320</v>
      </c>
      <c r="E2666">
        <v>104.63</v>
      </c>
      <c r="F2666" t="s">
        <v>21</v>
      </c>
      <c r="G2666" t="s">
        <v>26</v>
      </c>
      <c r="H2666" t="s">
        <v>21</v>
      </c>
      <c r="I2666" t="s">
        <v>20</v>
      </c>
      <c r="J2666" t="s">
        <v>20</v>
      </c>
      <c r="K2666" t="s">
        <v>27</v>
      </c>
      <c r="L2666" t="s">
        <v>173</v>
      </c>
      <c r="M2666" t="s">
        <v>166</v>
      </c>
      <c r="N2666">
        <v>39.199255000000001</v>
      </c>
      <c r="O2666">
        <v>-112.40994499999999</v>
      </c>
      <c r="P2666">
        <v>4665.4533730000003</v>
      </c>
      <c r="Q2666">
        <v>1356</v>
      </c>
      <c r="R2666">
        <v>0</v>
      </c>
    </row>
    <row r="2667" spans="1:18" x14ac:dyDescent="0.25">
      <c r="A2667">
        <v>2666</v>
      </c>
      <c r="B2667">
        <v>94</v>
      </c>
      <c r="C2667">
        <v>31376523</v>
      </c>
      <c r="D2667" t="s">
        <v>142</v>
      </c>
      <c r="E2667">
        <v>104.65600000000001</v>
      </c>
      <c r="F2667" t="s">
        <v>21</v>
      </c>
      <c r="G2667" t="s">
        <v>26</v>
      </c>
      <c r="H2667" t="s">
        <v>21</v>
      </c>
      <c r="I2667" t="s">
        <v>20</v>
      </c>
      <c r="J2667" t="s">
        <v>20</v>
      </c>
      <c r="K2667" t="s">
        <v>27</v>
      </c>
      <c r="L2667" t="s">
        <v>103</v>
      </c>
      <c r="M2667" t="s">
        <v>106</v>
      </c>
      <c r="N2667">
        <v>38.273944999999998</v>
      </c>
      <c r="O2667">
        <v>-112.695083</v>
      </c>
      <c r="P2667">
        <v>5701.1819740000001</v>
      </c>
      <c r="Q2667">
        <v>305</v>
      </c>
      <c r="R2667">
        <v>0</v>
      </c>
    </row>
    <row r="2668" spans="1:18" x14ac:dyDescent="0.25">
      <c r="A2668">
        <v>2667</v>
      </c>
      <c r="B2668">
        <v>94</v>
      </c>
      <c r="C2668">
        <v>31790548</v>
      </c>
      <c r="D2668" t="s">
        <v>118</v>
      </c>
      <c r="E2668">
        <v>104.702</v>
      </c>
      <c r="F2668" t="s">
        <v>21</v>
      </c>
      <c r="G2668" t="s">
        <v>26</v>
      </c>
      <c r="H2668" t="s">
        <v>21</v>
      </c>
      <c r="I2668" t="s">
        <v>20</v>
      </c>
      <c r="J2668" t="s">
        <v>20</v>
      </c>
      <c r="K2668" t="s">
        <v>22</v>
      </c>
      <c r="L2668" t="s">
        <v>133</v>
      </c>
      <c r="M2668" t="s">
        <v>169</v>
      </c>
      <c r="N2668">
        <v>40.193292</v>
      </c>
      <c r="O2668">
        <v>-110.07523500000001</v>
      </c>
      <c r="P2668">
        <v>5047.3482629999999</v>
      </c>
      <c r="Q2668">
        <v>310</v>
      </c>
      <c r="R2668">
        <v>0</v>
      </c>
    </row>
    <row r="2669" spans="1:18" x14ac:dyDescent="0.25">
      <c r="A2669">
        <v>2668</v>
      </c>
      <c r="B2669">
        <v>94</v>
      </c>
      <c r="C2669">
        <v>31562844</v>
      </c>
      <c r="D2669" t="s">
        <v>213</v>
      </c>
      <c r="E2669">
        <v>104.721</v>
      </c>
      <c r="F2669" t="s">
        <v>21</v>
      </c>
      <c r="G2669" t="s">
        <v>26</v>
      </c>
      <c r="H2669" t="s">
        <v>21</v>
      </c>
      <c r="I2669" t="s">
        <v>20</v>
      </c>
      <c r="J2669" t="s">
        <v>20</v>
      </c>
      <c r="K2669" t="s">
        <v>27</v>
      </c>
      <c r="L2669" t="s">
        <v>173</v>
      </c>
      <c r="M2669" t="s">
        <v>214</v>
      </c>
      <c r="N2669">
        <v>39.516393999999998</v>
      </c>
      <c r="O2669">
        <v>-112.37220499999999</v>
      </c>
      <c r="P2669">
        <v>4727.2146730000004</v>
      </c>
      <c r="Q2669">
        <v>1332</v>
      </c>
      <c r="R2669">
        <v>0</v>
      </c>
    </row>
    <row r="2670" spans="1:18" x14ac:dyDescent="0.25">
      <c r="A2670">
        <v>2669</v>
      </c>
      <c r="B2670">
        <v>94</v>
      </c>
      <c r="C2670" t="e">
        <f>-Ip4T18_Fi9rscprr967JV</f>
        <v>#NAME?</v>
      </c>
      <c r="D2670" t="s">
        <v>213</v>
      </c>
      <c r="E2670">
        <v>104.77800000000001</v>
      </c>
      <c r="F2670" t="s">
        <v>21</v>
      </c>
      <c r="G2670" t="s">
        <v>26</v>
      </c>
      <c r="H2670" t="s">
        <v>21</v>
      </c>
      <c r="I2670" t="s">
        <v>20</v>
      </c>
      <c r="J2670" t="s">
        <v>20</v>
      </c>
      <c r="K2670" t="s">
        <v>27</v>
      </c>
      <c r="L2670" t="s">
        <v>173</v>
      </c>
      <c r="M2670" t="s">
        <v>214</v>
      </c>
      <c r="N2670">
        <v>39.517190999999997</v>
      </c>
      <c r="O2670">
        <v>-112.372061</v>
      </c>
      <c r="P2670">
        <v>4727.2614039999999</v>
      </c>
      <c r="Q2670">
        <v>1332</v>
      </c>
      <c r="R2670">
        <v>0</v>
      </c>
    </row>
    <row r="2671" spans="1:18" x14ac:dyDescent="0.25">
      <c r="A2671">
        <v>2670</v>
      </c>
      <c r="B2671">
        <v>94</v>
      </c>
      <c r="C2671">
        <v>31376534</v>
      </c>
      <c r="D2671" t="s">
        <v>142</v>
      </c>
      <c r="E2671">
        <v>104.82599999999999</v>
      </c>
      <c r="F2671" t="s">
        <v>21</v>
      </c>
      <c r="G2671" t="s">
        <v>20</v>
      </c>
      <c r="H2671" t="s">
        <v>21</v>
      </c>
      <c r="I2671" t="s">
        <v>20</v>
      </c>
      <c r="J2671" t="s">
        <v>20</v>
      </c>
      <c r="K2671" t="s">
        <v>27</v>
      </c>
      <c r="L2671" t="s">
        <v>103</v>
      </c>
      <c r="M2671" t="s">
        <v>106</v>
      </c>
      <c r="N2671">
        <v>38.273947999999997</v>
      </c>
      <c r="O2671">
        <v>-112.691964</v>
      </c>
      <c r="P2671">
        <v>5710.6416490000001</v>
      </c>
      <c r="Q2671">
        <v>305</v>
      </c>
      <c r="R2671">
        <v>0</v>
      </c>
    </row>
    <row r="2672" spans="1:18" x14ac:dyDescent="0.25">
      <c r="A2672">
        <v>2671</v>
      </c>
      <c r="B2672">
        <v>94</v>
      </c>
      <c r="C2672">
        <v>31475467</v>
      </c>
      <c r="D2672" t="s">
        <v>220</v>
      </c>
      <c r="E2672">
        <v>104.84</v>
      </c>
      <c r="F2672" t="s">
        <v>21</v>
      </c>
      <c r="G2672" t="s">
        <v>26</v>
      </c>
      <c r="H2672" t="s">
        <v>21</v>
      </c>
      <c r="I2672" t="s">
        <v>20</v>
      </c>
      <c r="J2672" t="s">
        <v>20</v>
      </c>
      <c r="K2672" t="s">
        <v>27</v>
      </c>
      <c r="L2672" t="s">
        <v>28</v>
      </c>
      <c r="M2672" t="s">
        <v>366</v>
      </c>
      <c r="N2672">
        <v>38.089241000000001</v>
      </c>
      <c r="O2672">
        <v>-111.343225</v>
      </c>
      <c r="P2672">
        <v>8828.3451420000001</v>
      </c>
      <c r="Q2672">
        <v>1328</v>
      </c>
      <c r="R2672">
        <v>0</v>
      </c>
    </row>
    <row r="2673" spans="1:18" x14ac:dyDescent="0.25">
      <c r="A2673">
        <v>2672</v>
      </c>
      <c r="B2673">
        <v>94</v>
      </c>
      <c r="C2673">
        <v>31563816</v>
      </c>
      <c r="D2673" t="s">
        <v>213</v>
      </c>
      <c r="E2673">
        <v>104.848</v>
      </c>
      <c r="F2673" t="s">
        <v>21</v>
      </c>
      <c r="G2673" t="s">
        <v>26</v>
      </c>
      <c r="H2673" t="s">
        <v>21</v>
      </c>
      <c r="I2673" t="s">
        <v>20</v>
      </c>
      <c r="J2673" t="s">
        <v>20</v>
      </c>
      <c r="K2673" t="s">
        <v>27</v>
      </c>
      <c r="L2673" t="s">
        <v>173</v>
      </c>
      <c r="M2673" t="s">
        <v>214</v>
      </c>
      <c r="N2673">
        <v>39.518214999999998</v>
      </c>
      <c r="O2673">
        <v>-112.37204300000001</v>
      </c>
      <c r="P2673">
        <v>4726.8776440000001</v>
      </c>
      <c r="Q2673">
        <v>1332</v>
      </c>
      <c r="R2673">
        <v>0</v>
      </c>
    </row>
    <row r="2674" spans="1:18" x14ac:dyDescent="0.25">
      <c r="A2674">
        <v>2673</v>
      </c>
      <c r="B2674">
        <v>94</v>
      </c>
      <c r="C2674">
        <v>31787576</v>
      </c>
      <c r="D2674" t="s">
        <v>290</v>
      </c>
      <c r="E2674">
        <v>104.881</v>
      </c>
      <c r="F2674" t="s">
        <v>21</v>
      </c>
      <c r="G2674" t="s">
        <v>20</v>
      </c>
      <c r="H2674" t="s">
        <v>21</v>
      </c>
      <c r="I2674" t="s">
        <v>20</v>
      </c>
      <c r="J2674" t="s">
        <v>20</v>
      </c>
      <c r="K2674" t="s">
        <v>41</v>
      </c>
      <c r="L2674" t="s">
        <v>95</v>
      </c>
      <c r="M2674" t="s">
        <v>152</v>
      </c>
      <c r="N2674">
        <v>41.745773999999997</v>
      </c>
      <c r="O2674">
        <v>-111.931197</v>
      </c>
      <c r="P2674">
        <v>4413.548299</v>
      </c>
      <c r="Q2674">
        <v>1343</v>
      </c>
      <c r="R2674">
        <v>0</v>
      </c>
    </row>
    <row r="2675" spans="1:18" x14ac:dyDescent="0.25">
      <c r="A2675">
        <v>2674</v>
      </c>
      <c r="B2675">
        <v>94</v>
      </c>
      <c r="C2675">
        <v>31792009</v>
      </c>
      <c r="D2675" t="s">
        <v>118</v>
      </c>
      <c r="E2675">
        <v>104.91200000000001</v>
      </c>
      <c r="F2675" t="s">
        <v>21</v>
      </c>
      <c r="G2675" t="s">
        <v>26</v>
      </c>
      <c r="H2675" t="s">
        <v>21</v>
      </c>
      <c r="I2675" t="s">
        <v>20</v>
      </c>
      <c r="J2675" t="s">
        <v>20</v>
      </c>
      <c r="K2675" t="s">
        <v>22</v>
      </c>
      <c r="L2675" t="s">
        <v>133</v>
      </c>
      <c r="M2675" t="s">
        <v>169</v>
      </c>
      <c r="N2675">
        <v>40.194853000000002</v>
      </c>
      <c r="O2675">
        <v>-110.071827</v>
      </c>
      <c r="P2675">
        <v>5040.5798940000004</v>
      </c>
      <c r="Q2675">
        <v>310</v>
      </c>
      <c r="R2675">
        <v>0</v>
      </c>
    </row>
    <row r="2676" spans="1:18" x14ac:dyDescent="0.25">
      <c r="A2676">
        <v>2675</v>
      </c>
      <c r="B2676">
        <v>94</v>
      </c>
      <c r="C2676">
        <v>31563827</v>
      </c>
      <c r="D2676" t="s">
        <v>213</v>
      </c>
      <c r="E2676">
        <v>104.92</v>
      </c>
      <c r="F2676" t="s">
        <v>21</v>
      </c>
      <c r="G2676" t="s">
        <v>26</v>
      </c>
      <c r="H2676" t="s">
        <v>21</v>
      </c>
      <c r="I2676" t="s">
        <v>20</v>
      </c>
      <c r="J2676" t="s">
        <v>20</v>
      </c>
      <c r="K2676" t="s">
        <v>27</v>
      </c>
      <c r="L2676" t="s">
        <v>173</v>
      </c>
      <c r="M2676" t="s">
        <v>214</v>
      </c>
      <c r="N2676">
        <v>39.519247</v>
      </c>
      <c r="O2676">
        <v>-112.372039</v>
      </c>
      <c r="P2676">
        <v>4726.869995</v>
      </c>
      <c r="Q2676">
        <v>1332</v>
      </c>
      <c r="R2676">
        <v>0</v>
      </c>
    </row>
    <row r="2677" spans="1:18" x14ac:dyDescent="0.25">
      <c r="A2677">
        <v>2676</v>
      </c>
      <c r="B2677">
        <v>94</v>
      </c>
      <c r="C2677" t="e">
        <f>-IpUnsIfG_X3Zs73c4SlGF</f>
        <v>#NAME?</v>
      </c>
      <c r="D2677" t="s">
        <v>288</v>
      </c>
      <c r="E2677">
        <v>104.943</v>
      </c>
      <c r="F2677" t="s">
        <v>21</v>
      </c>
      <c r="G2677" t="s">
        <v>20</v>
      </c>
      <c r="H2677" t="s">
        <v>21</v>
      </c>
      <c r="I2677" t="s">
        <v>20</v>
      </c>
      <c r="J2677" t="s">
        <v>20</v>
      </c>
      <c r="K2677" t="s">
        <v>27</v>
      </c>
      <c r="L2677" t="s">
        <v>38</v>
      </c>
      <c r="M2677" t="s">
        <v>152</v>
      </c>
      <c r="N2677">
        <v>38.322653000000003</v>
      </c>
      <c r="O2677">
        <v>-109.42474199999999</v>
      </c>
      <c r="P2677">
        <v>5849.645912</v>
      </c>
      <c r="Q2677">
        <v>350</v>
      </c>
      <c r="R2677">
        <v>0</v>
      </c>
    </row>
    <row r="2678" spans="1:18" x14ac:dyDescent="0.25">
      <c r="A2678">
        <v>2677</v>
      </c>
      <c r="B2678">
        <v>94</v>
      </c>
      <c r="C2678">
        <v>31792020</v>
      </c>
      <c r="D2678" t="s">
        <v>118</v>
      </c>
      <c r="E2678">
        <v>104.994</v>
      </c>
      <c r="F2678" t="s">
        <v>21</v>
      </c>
      <c r="G2678" t="s">
        <v>26</v>
      </c>
      <c r="H2678" t="s">
        <v>21</v>
      </c>
      <c r="I2678" t="s">
        <v>20</v>
      </c>
      <c r="J2678" t="s">
        <v>20</v>
      </c>
      <c r="K2678" t="s">
        <v>22</v>
      </c>
      <c r="L2678" t="s">
        <v>133</v>
      </c>
      <c r="M2678" t="s">
        <v>169</v>
      </c>
      <c r="N2678">
        <v>40.19567</v>
      </c>
      <c r="O2678">
        <v>-110.070712</v>
      </c>
      <c r="P2678">
        <v>5039.0589719999998</v>
      </c>
      <c r="Q2678">
        <v>310</v>
      </c>
      <c r="R2678">
        <v>0</v>
      </c>
    </row>
    <row r="2679" spans="1:18" x14ac:dyDescent="0.25">
      <c r="A2679">
        <v>2678</v>
      </c>
      <c r="B2679">
        <v>94</v>
      </c>
      <c r="C2679">
        <v>31563838</v>
      </c>
      <c r="D2679" t="s">
        <v>213</v>
      </c>
      <c r="E2679">
        <v>104.994</v>
      </c>
      <c r="F2679" t="s">
        <v>21</v>
      </c>
      <c r="G2679" t="s">
        <v>26</v>
      </c>
      <c r="H2679" t="s">
        <v>21</v>
      </c>
      <c r="I2679" t="s">
        <v>20</v>
      </c>
      <c r="J2679" t="s">
        <v>20</v>
      </c>
      <c r="K2679" t="s">
        <v>27</v>
      </c>
      <c r="L2679" t="s">
        <v>173</v>
      </c>
      <c r="M2679" t="s">
        <v>214</v>
      </c>
      <c r="N2679">
        <v>39.520325</v>
      </c>
      <c r="O2679">
        <v>-112.37203</v>
      </c>
      <c r="P2679">
        <v>4726.624143</v>
      </c>
      <c r="Q2679">
        <v>1332</v>
      </c>
      <c r="R2679">
        <v>0</v>
      </c>
    </row>
    <row r="2680" spans="1:18" x14ac:dyDescent="0.25">
      <c r="A2680">
        <v>2679</v>
      </c>
      <c r="B2680">
        <v>94</v>
      </c>
      <c r="C2680">
        <v>31792031</v>
      </c>
      <c r="D2680" t="s">
        <v>118</v>
      </c>
      <c r="E2680">
        <v>105.015</v>
      </c>
      <c r="F2680" t="s">
        <v>21</v>
      </c>
      <c r="G2680" t="s">
        <v>26</v>
      </c>
      <c r="H2680" t="s">
        <v>21</v>
      </c>
      <c r="I2680" t="s">
        <v>20</v>
      </c>
      <c r="J2680" t="s">
        <v>20</v>
      </c>
      <c r="K2680" t="s">
        <v>22</v>
      </c>
      <c r="L2680" t="s">
        <v>133</v>
      </c>
      <c r="M2680" t="s">
        <v>169</v>
      </c>
      <c r="N2680">
        <v>40.195901999999997</v>
      </c>
      <c r="O2680">
        <v>-110.070453</v>
      </c>
      <c r="P2680">
        <v>5038.4036310000001</v>
      </c>
      <c r="Q2680">
        <v>310</v>
      </c>
      <c r="R2680">
        <v>0</v>
      </c>
    </row>
    <row r="2681" spans="1:18" x14ac:dyDescent="0.25">
      <c r="A2681">
        <v>2680</v>
      </c>
      <c r="B2681">
        <v>94</v>
      </c>
      <c r="C2681">
        <v>31792042</v>
      </c>
      <c r="D2681" t="s">
        <v>118</v>
      </c>
      <c r="E2681">
        <v>105.04</v>
      </c>
      <c r="F2681" t="s">
        <v>21</v>
      </c>
      <c r="G2681" t="s">
        <v>26</v>
      </c>
      <c r="H2681" t="s">
        <v>21</v>
      </c>
      <c r="I2681" t="s">
        <v>20</v>
      </c>
      <c r="J2681" t="s">
        <v>20</v>
      </c>
      <c r="K2681" t="s">
        <v>22</v>
      </c>
      <c r="L2681" t="s">
        <v>133</v>
      </c>
      <c r="M2681" t="s">
        <v>169</v>
      </c>
      <c r="N2681">
        <v>40.196178000000003</v>
      </c>
      <c r="O2681">
        <v>-110.070144</v>
      </c>
      <c r="P2681">
        <v>5037.8741609999997</v>
      </c>
      <c r="Q2681">
        <v>310</v>
      </c>
      <c r="R2681">
        <v>0</v>
      </c>
    </row>
    <row r="2682" spans="1:18" x14ac:dyDescent="0.25">
      <c r="A2682">
        <v>2681</v>
      </c>
      <c r="B2682">
        <v>94</v>
      </c>
      <c r="C2682">
        <v>31436389</v>
      </c>
      <c r="D2682" t="s">
        <v>288</v>
      </c>
      <c r="E2682">
        <v>105.066</v>
      </c>
      <c r="F2682" t="s">
        <v>21</v>
      </c>
      <c r="G2682" t="s">
        <v>26</v>
      </c>
      <c r="H2682" t="s">
        <v>21</v>
      </c>
      <c r="I2682" t="s">
        <v>20</v>
      </c>
      <c r="J2682" t="s">
        <v>20</v>
      </c>
      <c r="K2682" t="s">
        <v>27</v>
      </c>
      <c r="L2682" t="s">
        <v>38</v>
      </c>
      <c r="M2682" t="s">
        <v>152</v>
      </c>
      <c r="N2682">
        <v>38.323981000000003</v>
      </c>
      <c r="O2682">
        <v>-109.426265</v>
      </c>
      <c r="P2682">
        <v>5841.6173120000003</v>
      </c>
      <c r="Q2682">
        <v>350</v>
      </c>
      <c r="R2682">
        <v>0</v>
      </c>
    </row>
    <row r="2683" spans="1:18" x14ac:dyDescent="0.25">
      <c r="A2683">
        <v>2682</v>
      </c>
      <c r="B2683">
        <v>94</v>
      </c>
      <c r="C2683">
        <v>31792503</v>
      </c>
      <c r="D2683" t="s">
        <v>118</v>
      </c>
      <c r="E2683">
        <v>105.096</v>
      </c>
      <c r="F2683" t="s">
        <v>21</v>
      </c>
      <c r="G2683" t="s">
        <v>26</v>
      </c>
      <c r="H2683" t="s">
        <v>21</v>
      </c>
      <c r="I2683" t="s">
        <v>20</v>
      </c>
      <c r="J2683" t="s">
        <v>20</v>
      </c>
      <c r="K2683" t="s">
        <v>22</v>
      </c>
      <c r="L2683" t="s">
        <v>133</v>
      </c>
      <c r="M2683" t="s">
        <v>169</v>
      </c>
      <c r="N2683">
        <v>40.196834000000003</v>
      </c>
      <c r="O2683">
        <v>-110.069515</v>
      </c>
      <c r="P2683">
        <v>5035.9001340000004</v>
      </c>
      <c r="Q2683">
        <v>310</v>
      </c>
      <c r="R2683">
        <v>0</v>
      </c>
    </row>
    <row r="2684" spans="1:18" x14ac:dyDescent="0.25">
      <c r="A2684">
        <v>2683</v>
      </c>
      <c r="B2684">
        <v>94</v>
      </c>
      <c r="C2684">
        <v>31376545</v>
      </c>
      <c r="D2684" t="s">
        <v>142</v>
      </c>
      <c r="E2684">
        <v>105.164</v>
      </c>
      <c r="F2684" t="s">
        <v>21</v>
      </c>
      <c r="G2684" t="s">
        <v>26</v>
      </c>
      <c r="H2684" t="s">
        <v>21</v>
      </c>
      <c r="I2684" t="s">
        <v>20</v>
      </c>
      <c r="J2684" t="s">
        <v>20</v>
      </c>
      <c r="K2684" t="s">
        <v>27</v>
      </c>
      <c r="L2684" t="s">
        <v>103</v>
      </c>
      <c r="M2684" t="s">
        <v>106</v>
      </c>
      <c r="N2684">
        <v>38.273822000000003</v>
      </c>
      <c r="O2684">
        <v>-112.685749</v>
      </c>
      <c r="P2684">
        <v>5723.7562550000002</v>
      </c>
      <c r="Q2684">
        <v>305</v>
      </c>
      <c r="R2684">
        <v>0</v>
      </c>
    </row>
    <row r="2685" spans="1:18" x14ac:dyDescent="0.25">
      <c r="A2685">
        <v>2684</v>
      </c>
      <c r="B2685">
        <v>94</v>
      </c>
      <c r="C2685">
        <v>31792514</v>
      </c>
      <c r="D2685" t="s">
        <v>118</v>
      </c>
      <c r="E2685">
        <v>105.19799999999999</v>
      </c>
      <c r="F2685" t="s">
        <v>21</v>
      </c>
      <c r="G2685" t="s">
        <v>26</v>
      </c>
      <c r="H2685" t="s">
        <v>21</v>
      </c>
      <c r="I2685" t="s">
        <v>20</v>
      </c>
      <c r="J2685" t="s">
        <v>20</v>
      </c>
      <c r="K2685" t="s">
        <v>22</v>
      </c>
      <c r="L2685" t="s">
        <v>133</v>
      </c>
      <c r="M2685" t="s">
        <v>169</v>
      </c>
      <c r="N2685">
        <v>40.198090000000001</v>
      </c>
      <c r="O2685">
        <v>-110.068511</v>
      </c>
      <c r="P2685">
        <v>5032.7123689999999</v>
      </c>
      <c r="Q2685">
        <v>310</v>
      </c>
      <c r="R2685">
        <v>0</v>
      </c>
    </row>
    <row r="2686" spans="1:18" x14ac:dyDescent="0.25">
      <c r="A2686">
        <v>2685</v>
      </c>
      <c r="B2686">
        <v>94</v>
      </c>
      <c r="C2686">
        <v>31376706</v>
      </c>
      <c r="D2686" t="s">
        <v>142</v>
      </c>
      <c r="E2686">
        <v>105.267</v>
      </c>
      <c r="F2686" t="s">
        <v>21</v>
      </c>
      <c r="G2686" t="s">
        <v>26</v>
      </c>
      <c r="H2686" t="s">
        <v>21</v>
      </c>
      <c r="I2686" t="s">
        <v>20</v>
      </c>
      <c r="J2686" t="s">
        <v>20</v>
      </c>
      <c r="K2686" t="s">
        <v>27</v>
      </c>
      <c r="L2686" t="s">
        <v>103</v>
      </c>
      <c r="M2686" t="s">
        <v>106</v>
      </c>
      <c r="N2686">
        <v>38.273791000000003</v>
      </c>
      <c r="O2686">
        <v>-112.683843</v>
      </c>
      <c r="P2686">
        <v>5727.4487300000001</v>
      </c>
      <c r="Q2686">
        <v>305</v>
      </c>
      <c r="R2686">
        <v>0</v>
      </c>
    </row>
    <row r="2687" spans="1:18" x14ac:dyDescent="0.25">
      <c r="A2687">
        <v>2686</v>
      </c>
      <c r="B2687">
        <v>94</v>
      </c>
      <c r="C2687">
        <v>31563849</v>
      </c>
      <c r="D2687" t="s">
        <v>213</v>
      </c>
      <c r="E2687">
        <v>105.28</v>
      </c>
      <c r="F2687" t="s">
        <v>21</v>
      </c>
      <c r="G2687" t="s">
        <v>26</v>
      </c>
      <c r="H2687" t="s">
        <v>19</v>
      </c>
      <c r="I2687">
        <v>132</v>
      </c>
      <c r="J2687" t="s">
        <v>20</v>
      </c>
      <c r="K2687" t="s">
        <v>27</v>
      </c>
      <c r="L2687" t="s">
        <v>173</v>
      </c>
      <c r="M2687" t="s">
        <v>214</v>
      </c>
      <c r="N2687">
        <v>39.524529999999999</v>
      </c>
      <c r="O2687">
        <v>-112.372011</v>
      </c>
      <c r="P2687">
        <v>4726.3615239999999</v>
      </c>
      <c r="Q2687">
        <v>1332</v>
      </c>
      <c r="R2687">
        <v>0</v>
      </c>
    </row>
    <row r="2688" spans="1:18" x14ac:dyDescent="0.25">
      <c r="A2688">
        <v>2687</v>
      </c>
      <c r="B2688">
        <v>94</v>
      </c>
      <c r="C2688">
        <v>31729722</v>
      </c>
      <c r="D2688" t="s">
        <v>244</v>
      </c>
      <c r="E2688">
        <v>105.443</v>
      </c>
      <c r="F2688" t="s">
        <v>21</v>
      </c>
      <c r="G2688" t="s">
        <v>26</v>
      </c>
      <c r="H2688" t="s">
        <v>21</v>
      </c>
      <c r="I2688" t="s">
        <v>20</v>
      </c>
      <c r="J2688" t="s">
        <v>20</v>
      </c>
      <c r="K2688" t="s">
        <v>27</v>
      </c>
      <c r="L2688" t="s">
        <v>122</v>
      </c>
      <c r="M2688" t="s">
        <v>270</v>
      </c>
      <c r="N2688">
        <v>38.366998000000002</v>
      </c>
      <c r="O2688">
        <v>-110.89236099999999</v>
      </c>
      <c r="P2688">
        <v>4557.4446809999999</v>
      </c>
      <c r="Q2688">
        <v>1340</v>
      </c>
      <c r="R2688">
        <v>0</v>
      </c>
    </row>
    <row r="2689" spans="1:18" x14ac:dyDescent="0.25">
      <c r="A2689">
        <v>2688</v>
      </c>
      <c r="B2689">
        <v>94</v>
      </c>
      <c r="C2689">
        <v>31663369</v>
      </c>
      <c r="D2689" t="s">
        <v>306</v>
      </c>
      <c r="E2689">
        <v>10.754</v>
      </c>
      <c r="F2689" t="s">
        <v>21</v>
      </c>
      <c r="G2689" t="s">
        <v>20</v>
      </c>
      <c r="H2689" t="s">
        <v>21</v>
      </c>
      <c r="I2689" t="s">
        <v>20</v>
      </c>
      <c r="J2689" t="s">
        <v>20</v>
      </c>
      <c r="K2689" t="s">
        <v>27</v>
      </c>
      <c r="L2689" t="s">
        <v>307</v>
      </c>
      <c r="M2689" t="s">
        <v>82</v>
      </c>
      <c r="N2689">
        <v>39.679833000000002</v>
      </c>
      <c r="O2689">
        <v>-111.22234400000001</v>
      </c>
      <c r="P2689">
        <v>9357.2842870000004</v>
      </c>
      <c r="Q2689">
        <v>430</v>
      </c>
      <c r="R2689">
        <v>0</v>
      </c>
    </row>
    <row r="2690" spans="1:18" x14ac:dyDescent="0.25">
      <c r="A2690">
        <v>2689</v>
      </c>
      <c r="B2690">
        <v>94</v>
      </c>
      <c r="C2690">
        <v>31408140</v>
      </c>
      <c r="D2690" t="s">
        <v>30</v>
      </c>
      <c r="E2690">
        <v>10.766</v>
      </c>
      <c r="F2690" t="s">
        <v>21</v>
      </c>
      <c r="G2690" t="s">
        <v>26</v>
      </c>
      <c r="H2690" t="s">
        <v>21</v>
      </c>
      <c r="I2690" t="s">
        <v>20</v>
      </c>
      <c r="J2690" t="s">
        <v>20</v>
      </c>
      <c r="K2690" t="s">
        <v>31</v>
      </c>
      <c r="L2690" t="s">
        <v>32</v>
      </c>
      <c r="M2690" t="s">
        <v>33</v>
      </c>
      <c r="N2690">
        <v>40.583294000000002</v>
      </c>
      <c r="O2690">
        <v>-111.656913</v>
      </c>
      <c r="P2690">
        <v>8201.6624499999998</v>
      </c>
      <c r="Q2690">
        <v>415</v>
      </c>
      <c r="R2690">
        <v>0</v>
      </c>
    </row>
    <row r="2691" spans="1:18" x14ac:dyDescent="0.25">
      <c r="A2691">
        <v>2690</v>
      </c>
      <c r="B2691">
        <v>94</v>
      </c>
      <c r="C2691" t="e">
        <f>-IpA4HunHV9pDcULak4fDk</f>
        <v>#NAME?</v>
      </c>
      <c r="D2691" t="s">
        <v>215</v>
      </c>
      <c r="E2691">
        <v>10.766</v>
      </c>
      <c r="F2691" t="s">
        <v>21</v>
      </c>
      <c r="G2691" t="s">
        <v>20</v>
      </c>
      <c r="H2691" t="s">
        <v>21</v>
      </c>
      <c r="I2691" t="s">
        <v>20</v>
      </c>
      <c r="J2691" t="s">
        <v>20</v>
      </c>
      <c r="K2691" t="s">
        <v>22</v>
      </c>
      <c r="L2691" t="s">
        <v>23</v>
      </c>
      <c r="M2691" t="s">
        <v>85</v>
      </c>
      <c r="N2691">
        <v>40.357737</v>
      </c>
      <c r="O2691">
        <v>-111.74069799999999</v>
      </c>
      <c r="P2691">
        <v>4509.6348459999999</v>
      </c>
      <c r="Q2691">
        <v>330</v>
      </c>
      <c r="R2691">
        <v>0</v>
      </c>
    </row>
    <row r="2692" spans="1:18" x14ac:dyDescent="0.25">
      <c r="A2692">
        <v>2691</v>
      </c>
      <c r="B2692">
        <v>94</v>
      </c>
      <c r="C2692">
        <v>31343939</v>
      </c>
      <c r="D2692" t="s">
        <v>220</v>
      </c>
      <c r="E2692">
        <v>10.769</v>
      </c>
      <c r="F2692" t="s">
        <v>21</v>
      </c>
      <c r="G2692" t="s">
        <v>20</v>
      </c>
      <c r="H2692" t="s">
        <v>21</v>
      </c>
      <c r="I2692" t="s">
        <v>20</v>
      </c>
      <c r="J2692" t="s">
        <v>20</v>
      </c>
      <c r="K2692" t="s">
        <v>27</v>
      </c>
      <c r="L2692" t="s">
        <v>28</v>
      </c>
      <c r="M2692" t="s">
        <v>29</v>
      </c>
      <c r="N2692">
        <v>37.704318999999998</v>
      </c>
      <c r="O2692">
        <v>-112.20097</v>
      </c>
      <c r="P2692">
        <v>7603.7596670000003</v>
      </c>
      <c r="Q2692">
        <v>1328</v>
      </c>
      <c r="R2692">
        <v>0</v>
      </c>
    </row>
    <row r="2693" spans="1:18" x14ac:dyDescent="0.25">
      <c r="A2693">
        <v>2692</v>
      </c>
      <c r="B2693">
        <v>94</v>
      </c>
      <c r="C2693" t="e">
        <f>-JLzs9TTIbi91w53I8Ds3F</f>
        <v>#NAME?</v>
      </c>
      <c r="D2693" t="s">
        <v>322</v>
      </c>
      <c r="E2693">
        <v>10.775</v>
      </c>
      <c r="F2693" t="s">
        <v>21</v>
      </c>
      <c r="G2693" t="s">
        <v>26</v>
      </c>
      <c r="H2693" t="s">
        <v>21</v>
      </c>
      <c r="I2693" t="s">
        <v>20</v>
      </c>
      <c r="J2693" t="s">
        <v>20</v>
      </c>
      <c r="K2693" t="s">
        <v>31</v>
      </c>
      <c r="L2693" t="s">
        <v>84</v>
      </c>
      <c r="M2693" t="s">
        <v>24</v>
      </c>
      <c r="N2693">
        <v>40.545223999999997</v>
      </c>
      <c r="O2693">
        <v>-112.02270900000001</v>
      </c>
      <c r="P2693">
        <v>4817.2986609999998</v>
      </c>
      <c r="Q2693">
        <v>6660</v>
      </c>
      <c r="R2693">
        <v>0</v>
      </c>
    </row>
    <row r="2694" spans="1:18" x14ac:dyDescent="0.25">
      <c r="A2694">
        <v>2693</v>
      </c>
      <c r="B2694">
        <v>94</v>
      </c>
      <c r="C2694">
        <v>31192962</v>
      </c>
      <c r="D2694" t="s">
        <v>310</v>
      </c>
      <c r="E2694">
        <v>10.781000000000001</v>
      </c>
      <c r="F2694" t="s">
        <v>21</v>
      </c>
      <c r="G2694" t="s">
        <v>26</v>
      </c>
      <c r="H2694" t="s">
        <v>21</v>
      </c>
      <c r="I2694" t="s">
        <v>20</v>
      </c>
      <c r="J2694" t="s">
        <v>20</v>
      </c>
      <c r="K2694" t="s">
        <v>31</v>
      </c>
      <c r="L2694" t="s">
        <v>285</v>
      </c>
      <c r="M2694" t="s">
        <v>206</v>
      </c>
      <c r="N2694">
        <v>40.599800999999999</v>
      </c>
      <c r="O2694">
        <v>-112.45308199999999</v>
      </c>
      <c r="P2694">
        <v>4238.1834639999997</v>
      </c>
      <c r="Q2694">
        <v>1414</v>
      </c>
      <c r="R2694">
        <v>0</v>
      </c>
    </row>
    <row r="2695" spans="1:18" x14ac:dyDescent="0.25">
      <c r="A2695">
        <v>2694</v>
      </c>
      <c r="B2695">
        <v>94</v>
      </c>
      <c r="C2695">
        <v>31194210</v>
      </c>
      <c r="D2695" t="s">
        <v>309</v>
      </c>
      <c r="E2695">
        <v>10.788</v>
      </c>
      <c r="F2695" t="s">
        <v>21</v>
      </c>
      <c r="G2695" t="s">
        <v>26</v>
      </c>
      <c r="H2695" t="s">
        <v>21</v>
      </c>
      <c r="I2695" t="s">
        <v>20</v>
      </c>
      <c r="J2695" t="s">
        <v>20</v>
      </c>
      <c r="K2695" t="s">
        <v>22</v>
      </c>
      <c r="L2695" t="s">
        <v>140</v>
      </c>
      <c r="M2695" t="s">
        <v>125</v>
      </c>
      <c r="N2695">
        <v>40.115485</v>
      </c>
      <c r="O2695">
        <v>-111.679652</v>
      </c>
      <c r="P2695">
        <v>4499.8124070000003</v>
      </c>
      <c r="Q2695">
        <v>339</v>
      </c>
      <c r="R2695">
        <v>0</v>
      </c>
    </row>
    <row r="2696" spans="1:18" x14ac:dyDescent="0.25">
      <c r="A2696">
        <v>2695</v>
      </c>
      <c r="B2696">
        <v>94</v>
      </c>
      <c r="C2696">
        <v>1515063</v>
      </c>
      <c r="D2696" t="s">
        <v>88</v>
      </c>
      <c r="E2696">
        <v>10.798999999999999</v>
      </c>
      <c r="F2696" t="s">
        <v>21</v>
      </c>
      <c r="G2696" t="s">
        <v>26</v>
      </c>
      <c r="H2696" t="s">
        <v>21</v>
      </c>
      <c r="I2696" t="s">
        <v>20</v>
      </c>
      <c r="J2696" t="s">
        <v>20</v>
      </c>
      <c r="K2696" t="s">
        <v>31</v>
      </c>
      <c r="L2696" t="s">
        <v>32</v>
      </c>
      <c r="M2696" t="s">
        <v>90</v>
      </c>
      <c r="N2696">
        <v>40.596308000000001</v>
      </c>
      <c r="O2696">
        <v>-111.872196</v>
      </c>
      <c r="P2696">
        <v>4446.5334620000003</v>
      </c>
      <c r="Q2696">
        <v>318</v>
      </c>
      <c r="R2696">
        <v>0</v>
      </c>
    </row>
    <row r="2697" spans="1:18" x14ac:dyDescent="0.25">
      <c r="A2697">
        <v>2696</v>
      </c>
      <c r="B2697">
        <v>94</v>
      </c>
      <c r="C2697">
        <v>31488519</v>
      </c>
      <c r="D2697" t="s">
        <v>244</v>
      </c>
      <c r="E2697">
        <v>10.8</v>
      </c>
      <c r="F2697" t="s">
        <v>21</v>
      </c>
      <c r="G2697" t="s">
        <v>26</v>
      </c>
      <c r="H2697" t="s">
        <v>21</v>
      </c>
      <c r="I2697" t="s">
        <v>20</v>
      </c>
      <c r="J2697" t="s">
        <v>20</v>
      </c>
      <c r="K2697" t="s">
        <v>27</v>
      </c>
      <c r="L2697" t="s">
        <v>75</v>
      </c>
      <c r="M2697" t="s">
        <v>58</v>
      </c>
      <c r="N2697">
        <v>38.827734</v>
      </c>
      <c r="O2697">
        <v>-111.962476</v>
      </c>
      <c r="P2697">
        <v>5226.3785760000001</v>
      </c>
      <c r="Q2697">
        <v>1340</v>
      </c>
      <c r="R2697">
        <v>0</v>
      </c>
    </row>
    <row r="2698" spans="1:18" x14ac:dyDescent="0.25">
      <c r="A2698">
        <v>2697</v>
      </c>
      <c r="B2698">
        <v>94</v>
      </c>
      <c r="C2698">
        <v>1442124</v>
      </c>
      <c r="D2698" t="s">
        <v>304</v>
      </c>
      <c r="E2698">
        <v>10.804</v>
      </c>
      <c r="F2698" t="s">
        <v>21</v>
      </c>
      <c r="G2698" t="s">
        <v>20</v>
      </c>
      <c r="H2698" t="s">
        <v>21</v>
      </c>
      <c r="I2698" t="s">
        <v>20</v>
      </c>
      <c r="J2698" t="s">
        <v>20</v>
      </c>
      <c r="K2698" t="s">
        <v>41</v>
      </c>
      <c r="L2698" t="s">
        <v>223</v>
      </c>
      <c r="M2698" t="s">
        <v>43</v>
      </c>
      <c r="N2698">
        <v>41.669362999999997</v>
      </c>
      <c r="O2698">
        <v>-112.08937400000001</v>
      </c>
      <c r="P2698">
        <v>4252.6960079999999</v>
      </c>
      <c r="Q2698">
        <v>1348</v>
      </c>
      <c r="R2698">
        <v>0</v>
      </c>
    </row>
    <row r="2699" spans="1:18" x14ac:dyDescent="0.25">
      <c r="A2699">
        <v>2698</v>
      </c>
      <c r="B2699">
        <v>94</v>
      </c>
      <c r="C2699">
        <v>31193944</v>
      </c>
      <c r="D2699" t="s">
        <v>339</v>
      </c>
      <c r="E2699">
        <v>10.805</v>
      </c>
      <c r="F2699" t="s">
        <v>21</v>
      </c>
      <c r="G2699" t="s">
        <v>26</v>
      </c>
      <c r="H2699" t="s">
        <v>21</v>
      </c>
      <c r="I2699" t="s">
        <v>20</v>
      </c>
      <c r="J2699" t="s">
        <v>20</v>
      </c>
      <c r="K2699" t="s">
        <v>41</v>
      </c>
      <c r="L2699" t="s">
        <v>95</v>
      </c>
      <c r="M2699" t="s">
        <v>73</v>
      </c>
      <c r="N2699">
        <v>41.916547000000001</v>
      </c>
      <c r="O2699">
        <v>-111.933351</v>
      </c>
      <c r="P2699">
        <v>4411.1142550000004</v>
      </c>
      <c r="Q2699">
        <v>1417</v>
      </c>
      <c r="R2699">
        <v>0</v>
      </c>
    </row>
    <row r="2700" spans="1:18" x14ac:dyDescent="0.25">
      <c r="A2700">
        <v>2699</v>
      </c>
      <c r="B2700">
        <v>94</v>
      </c>
      <c r="C2700" t="e">
        <f>-JMF-iaEIID4ceYzN8GCjV</f>
        <v>#NAME?</v>
      </c>
      <c r="D2700" t="s">
        <v>417</v>
      </c>
      <c r="E2700">
        <v>10.805</v>
      </c>
      <c r="F2700" t="s">
        <v>21</v>
      </c>
      <c r="G2700" t="s">
        <v>20</v>
      </c>
      <c r="H2700" t="s">
        <v>21</v>
      </c>
      <c r="I2700" t="s">
        <v>20</v>
      </c>
      <c r="J2700" t="s">
        <v>20</v>
      </c>
      <c r="K2700" t="s">
        <v>31</v>
      </c>
      <c r="L2700" t="s">
        <v>84</v>
      </c>
      <c r="M2700" t="s">
        <v>24</v>
      </c>
      <c r="N2700">
        <v>40.544648000000002</v>
      </c>
      <c r="O2700">
        <v>-112.02367599999999</v>
      </c>
      <c r="P2700">
        <v>4818.2802270000002</v>
      </c>
      <c r="Q2700">
        <v>6765</v>
      </c>
      <c r="R2700">
        <v>0</v>
      </c>
    </row>
    <row r="2701" spans="1:18" x14ac:dyDescent="0.25">
      <c r="A2701">
        <v>2700</v>
      </c>
      <c r="B2701">
        <v>94</v>
      </c>
      <c r="C2701">
        <v>1060344</v>
      </c>
      <c r="D2701" t="s">
        <v>171</v>
      </c>
      <c r="E2701">
        <v>10.807</v>
      </c>
      <c r="F2701" t="s">
        <v>21</v>
      </c>
      <c r="G2701" t="s">
        <v>26</v>
      </c>
      <c r="H2701" t="s">
        <v>21</v>
      </c>
      <c r="I2701" t="s">
        <v>20</v>
      </c>
      <c r="J2701" t="s">
        <v>20</v>
      </c>
      <c r="K2701" t="s">
        <v>31</v>
      </c>
      <c r="L2701" t="s">
        <v>69</v>
      </c>
      <c r="M2701" t="s">
        <v>79</v>
      </c>
      <c r="N2701">
        <v>40.699865000000003</v>
      </c>
      <c r="O2701">
        <v>-111.886807</v>
      </c>
      <c r="P2701">
        <v>4201.0525189999998</v>
      </c>
      <c r="Q2701">
        <v>346</v>
      </c>
      <c r="R2701">
        <v>0</v>
      </c>
    </row>
    <row r="2702" spans="1:18" x14ac:dyDescent="0.25">
      <c r="A2702">
        <v>2701</v>
      </c>
      <c r="B2702">
        <v>94</v>
      </c>
      <c r="C2702">
        <v>28356504</v>
      </c>
      <c r="D2702" t="s">
        <v>323</v>
      </c>
      <c r="E2702">
        <v>10.808999999999999</v>
      </c>
      <c r="F2702" t="s">
        <v>21</v>
      </c>
      <c r="G2702" t="s">
        <v>26</v>
      </c>
      <c r="H2702" t="s">
        <v>21</v>
      </c>
      <c r="I2702" t="s">
        <v>20</v>
      </c>
      <c r="J2702" t="s">
        <v>20</v>
      </c>
      <c r="K2702" t="s">
        <v>31</v>
      </c>
      <c r="L2702" t="s">
        <v>130</v>
      </c>
      <c r="M2702" t="s">
        <v>131</v>
      </c>
      <c r="N2702">
        <v>40.616365000000002</v>
      </c>
      <c r="O2702">
        <v>-111.28067299999999</v>
      </c>
      <c r="P2702">
        <v>6500.6628369999999</v>
      </c>
      <c r="Q2702">
        <v>1345</v>
      </c>
      <c r="R2702">
        <v>0</v>
      </c>
    </row>
    <row r="2703" spans="1:18" x14ac:dyDescent="0.25">
      <c r="A2703">
        <v>2702</v>
      </c>
      <c r="B2703">
        <v>94</v>
      </c>
      <c r="C2703" t="e">
        <f>-JXALokEGdaA1nJ_wHDO5V</f>
        <v>#NAME?</v>
      </c>
      <c r="D2703" t="s">
        <v>63</v>
      </c>
      <c r="E2703">
        <v>10.815</v>
      </c>
      <c r="F2703" t="s">
        <v>21</v>
      </c>
      <c r="G2703" t="s">
        <v>20</v>
      </c>
      <c r="H2703" t="s">
        <v>21</v>
      </c>
      <c r="I2703" t="s">
        <v>20</v>
      </c>
      <c r="J2703" t="s">
        <v>20</v>
      </c>
      <c r="K2703" t="s">
        <v>27</v>
      </c>
      <c r="L2703" t="s">
        <v>64</v>
      </c>
      <c r="M2703" t="s">
        <v>29</v>
      </c>
      <c r="N2703">
        <v>38.168396999999999</v>
      </c>
      <c r="O2703">
        <v>-112.053286</v>
      </c>
      <c r="P2703">
        <v>6300.8551020000004</v>
      </c>
      <c r="Q2703">
        <v>1365</v>
      </c>
      <c r="R2703">
        <v>0</v>
      </c>
    </row>
    <row r="2704" spans="1:18" x14ac:dyDescent="0.25">
      <c r="A2704">
        <v>2703</v>
      </c>
      <c r="B2704">
        <v>94</v>
      </c>
      <c r="C2704">
        <v>31274551</v>
      </c>
      <c r="D2704" t="s">
        <v>303</v>
      </c>
      <c r="E2704">
        <v>10.817</v>
      </c>
      <c r="F2704" t="s">
        <v>21</v>
      </c>
      <c r="G2704" t="s">
        <v>26</v>
      </c>
      <c r="H2704" t="s">
        <v>21</v>
      </c>
      <c r="I2704" t="s">
        <v>20</v>
      </c>
      <c r="J2704" t="s">
        <v>20</v>
      </c>
      <c r="K2704" t="s">
        <v>27</v>
      </c>
      <c r="L2704" t="s">
        <v>72</v>
      </c>
      <c r="M2704" t="s">
        <v>73</v>
      </c>
      <c r="N2704">
        <v>37.188091</v>
      </c>
      <c r="O2704">
        <v>-113.27895700000001</v>
      </c>
      <c r="P2704">
        <v>3139.5169179999998</v>
      </c>
      <c r="Q2704">
        <v>1326</v>
      </c>
      <c r="R2704">
        <v>0</v>
      </c>
    </row>
    <row r="2705" spans="1:18" x14ac:dyDescent="0.25">
      <c r="A2705">
        <v>2704</v>
      </c>
      <c r="B2705">
        <v>94</v>
      </c>
      <c r="C2705">
        <v>1696230</v>
      </c>
      <c r="D2705" t="s">
        <v>100</v>
      </c>
      <c r="E2705">
        <v>10.821</v>
      </c>
      <c r="F2705" t="s">
        <v>21</v>
      </c>
      <c r="G2705" t="s">
        <v>26</v>
      </c>
      <c r="H2705" t="s">
        <v>21</v>
      </c>
      <c r="I2705" t="s">
        <v>20</v>
      </c>
      <c r="J2705" t="s">
        <v>20</v>
      </c>
      <c r="K2705" t="s">
        <v>41</v>
      </c>
      <c r="L2705" t="s">
        <v>57</v>
      </c>
      <c r="M2705" t="s">
        <v>46</v>
      </c>
      <c r="N2705">
        <v>41.184956999999997</v>
      </c>
      <c r="O2705">
        <v>-112.054823</v>
      </c>
      <c r="P2705">
        <v>4248.8337810000003</v>
      </c>
      <c r="Q2705">
        <v>1396</v>
      </c>
      <c r="R2705">
        <v>0</v>
      </c>
    </row>
    <row r="2706" spans="1:18" x14ac:dyDescent="0.25">
      <c r="A2706">
        <v>2705</v>
      </c>
      <c r="B2706">
        <v>94</v>
      </c>
      <c r="C2706" t="e">
        <f>-JXXkWb9FWeAigwzBDNy0V</f>
        <v>#NAME?</v>
      </c>
      <c r="D2706" t="s">
        <v>336</v>
      </c>
      <c r="E2706">
        <v>10.831</v>
      </c>
      <c r="F2706" t="s">
        <v>21</v>
      </c>
      <c r="G2706" t="s">
        <v>20</v>
      </c>
      <c r="H2706" t="s">
        <v>21</v>
      </c>
      <c r="I2706" t="s">
        <v>20</v>
      </c>
      <c r="J2706" t="s">
        <v>20</v>
      </c>
      <c r="K2706" t="s">
        <v>31</v>
      </c>
      <c r="L2706" t="s">
        <v>32</v>
      </c>
      <c r="M2706" t="s">
        <v>33</v>
      </c>
      <c r="N2706">
        <v>40.649701</v>
      </c>
      <c r="O2706">
        <v>-111.648685</v>
      </c>
      <c r="P2706">
        <v>7244.102363</v>
      </c>
      <c r="Q2706">
        <v>404</v>
      </c>
      <c r="R2706">
        <v>0</v>
      </c>
    </row>
    <row r="2707" spans="1:18" x14ac:dyDescent="0.25">
      <c r="A2707">
        <v>2706</v>
      </c>
      <c r="B2707">
        <v>94</v>
      </c>
      <c r="C2707" t="e">
        <f>-Iov2R6nFQyFoS0PyaX3xV</f>
        <v>#NAME?</v>
      </c>
      <c r="D2707" t="s">
        <v>176</v>
      </c>
      <c r="E2707">
        <v>10.834</v>
      </c>
      <c r="F2707" t="s">
        <v>21</v>
      </c>
      <c r="G2707" t="s">
        <v>26</v>
      </c>
      <c r="H2707" t="s">
        <v>21</v>
      </c>
      <c r="I2707" t="s">
        <v>20</v>
      </c>
      <c r="J2707" t="s">
        <v>20</v>
      </c>
      <c r="K2707" t="s">
        <v>41</v>
      </c>
      <c r="L2707" t="s">
        <v>181</v>
      </c>
      <c r="M2707" t="s">
        <v>178</v>
      </c>
      <c r="N2707">
        <v>41.579520000000002</v>
      </c>
      <c r="O2707">
        <v>-112.129711</v>
      </c>
      <c r="P2707">
        <v>4188.4739229999996</v>
      </c>
      <c r="Q2707">
        <v>1329</v>
      </c>
      <c r="R2707">
        <v>0</v>
      </c>
    </row>
    <row r="2708" spans="1:18" x14ac:dyDescent="0.25">
      <c r="A2708">
        <v>2707</v>
      </c>
      <c r="B2708">
        <v>94</v>
      </c>
      <c r="C2708">
        <v>31529865</v>
      </c>
      <c r="D2708" t="s">
        <v>231</v>
      </c>
      <c r="E2708">
        <v>10.853999999999999</v>
      </c>
      <c r="F2708" t="s">
        <v>21</v>
      </c>
      <c r="G2708" t="s">
        <v>26</v>
      </c>
      <c r="H2708" t="s">
        <v>21</v>
      </c>
      <c r="I2708" t="s">
        <v>20</v>
      </c>
      <c r="J2708" t="s">
        <v>20</v>
      </c>
      <c r="K2708" t="s">
        <v>41</v>
      </c>
      <c r="L2708" t="s">
        <v>57</v>
      </c>
      <c r="M2708" t="s">
        <v>93</v>
      </c>
      <c r="N2708">
        <v>41.192470999999998</v>
      </c>
      <c r="O2708">
        <v>-112.025829</v>
      </c>
      <c r="P2708">
        <v>4417.6562759999997</v>
      </c>
      <c r="Q2708">
        <v>1409</v>
      </c>
      <c r="R2708">
        <v>0</v>
      </c>
    </row>
    <row r="2709" spans="1:18" x14ac:dyDescent="0.25">
      <c r="A2709">
        <v>2708</v>
      </c>
      <c r="B2709">
        <v>94</v>
      </c>
      <c r="C2709">
        <v>27416456</v>
      </c>
      <c r="D2709" t="s">
        <v>185</v>
      </c>
      <c r="E2709">
        <v>10.865</v>
      </c>
      <c r="F2709" t="s">
        <v>21</v>
      </c>
      <c r="G2709" t="s">
        <v>26</v>
      </c>
      <c r="H2709" t="s">
        <v>21</v>
      </c>
      <c r="I2709" t="s">
        <v>20</v>
      </c>
      <c r="J2709" t="s">
        <v>20</v>
      </c>
      <c r="K2709" t="s">
        <v>41</v>
      </c>
      <c r="L2709" t="s">
        <v>57</v>
      </c>
      <c r="M2709" t="s">
        <v>58</v>
      </c>
      <c r="N2709">
        <v>41.190773</v>
      </c>
      <c r="O2709">
        <v>-112.076863</v>
      </c>
      <c r="P2709">
        <v>4200.7502290000002</v>
      </c>
      <c r="Q2709">
        <v>309</v>
      </c>
      <c r="R2709">
        <v>0</v>
      </c>
    </row>
    <row r="2710" spans="1:18" x14ac:dyDescent="0.25">
      <c r="A2710">
        <v>2709</v>
      </c>
      <c r="B2710">
        <v>94</v>
      </c>
      <c r="C2710">
        <v>1515413</v>
      </c>
      <c r="D2710" t="s">
        <v>88</v>
      </c>
      <c r="E2710">
        <v>10.867000000000001</v>
      </c>
      <c r="F2710" t="s">
        <v>21</v>
      </c>
      <c r="G2710" t="s">
        <v>26</v>
      </c>
      <c r="H2710" t="s">
        <v>21</v>
      </c>
      <c r="I2710" t="s">
        <v>20</v>
      </c>
      <c r="J2710" t="s">
        <v>20</v>
      </c>
      <c r="K2710" t="s">
        <v>31</v>
      </c>
      <c r="L2710" t="s">
        <v>32</v>
      </c>
      <c r="M2710" t="s">
        <v>90</v>
      </c>
      <c r="N2710">
        <v>40.597290999999998</v>
      </c>
      <c r="O2710">
        <v>-111.87219399999999</v>
      </c>
      <c r="P2710">
        <v>4445.4079940000001</v>
      </c>
      <c r="Q2710">
        <v>318</v>
      </c>
      <c r="R2710">
        <v>0</v>
      </c>
    </row>
    <row r="2711" spans="1:18" x14ac:dyDescent="0.25">
      <c r="A2711">
        <v>2710</v>
      </c>
      <c r="B2711">
        <v>94</v>
      </c>
      <c r="C2711">
        <v>31517690</v>
      </c>
      <c r="D2711" t="s">
        <v>396</v>
      </c>
      <c r="E2711">
        <v>1.6020000000000001</v>
      </c>
      <c r="F2711" t="s">
        <v>21</v>
      </c>
      <c r="G2711" t="s">
        <v>26</v>
      </c>
      <c r="H2711" t="s">
        <v>21</v>
      </c>
      <c r="I2711" t="s">
        <v>20</v>
      </c>
      <c r="J2711" t="s">
        <v>20</v>
      </c>
      <c r="K2711" t="s">
        <v>41</v>
      </c>
      <c r="L2711" t="s">
        <v>255</v>
      </c>
      <c r="M2711" t="s">
        <v>138</v>
      </c>
      <c r="N2711">
        <v>41.142757000000003</v>
      </c>
      <c r="O2711">
        <v>-111.80014799999999</v>
      </c>
      <c r="P2711">
        <v>4793.957915</v>
      </c>
      <c r="Q2711">
        <v>1434</v>
      </c>
      <c r="R2711">
        <v>0</v>
      </c>
    </row>
    <row r="2712" spans="1:18" x14ac:dyDescent="0.25">
      <c r="A2712">
        <v>2711</v>
      </c>
      <c r="B2712">
        <v>94</v>
      </c>
      <c r="C2712">
        <v>31383830</v>
      </c>
      <c r="D2712" t="s">
        <v>184</v>
      </c>
      <c r="E2712">
        <v>1.6080000000000001</v>
      </c>
      <c r="F2712" t="s">
        <v>21</v>
      </c>
      <c r="G2712" t="s">
        <v>26</v>
      </c>
      <c r="H2712" t="s">
        <v>21</v>
      </c>
      <c r="I2712" t="s">
        <v>20</v>
      </c>
      <c r="J2712" t="s">
        <v>20</v>
      </c>
      <c r="K2712" t="s">
        <v>27</v>
      </c>
      <c r="L2712" t="s">
        <v>54</v>
      </c>
      <c r="M2712" t="s">
        <v>55</v>
      </c>
      <c r="N2712">
        <v>37.668210999999999</v>
      </c>
      <c r="O2712">
        <v>-113.06210299999999</v>
      </c>
      <c r="P2712">
        <v>5878.6429820000003</v>
      </c>
      <c r="Q2712">
        <v>1410</v>
      </c>
      <c r="R2712">
        <v>0</v>
      </c>
    </row>
    <row r="2713" spans="1:18" x14ac:dyDescent="0.25">
      <c r="A2713">
        <v>2712</v>
      </c>
      <c r="B2713">
        <v>94</v>
      </c>
      <c r="C2713">
        <v>31514122</v>
      </c>
      <c r="D2713" t="s">
        <v>231</v>
      </c>
      <c r="E2713">
        <v>1.6180000000000001</v>
      </c>
      <c r="F2713" t="s">
        <v>21</v>
      </c>
      <c r="G2713" t="s">
        <v>26</v>
      </c>
      <c r="H2713" t="s">
        <v>21</v>
      </c>
      <c r="I2713" t="s">
        <v>20</v>
      </c>
      <c r="J2713" t="s">
        <v>20</v>
      </c>
      <c r="K2713" t="s">
        <v>41</v>
      </c>
      <c r="L2713" t="s">
        <v>57</v>
      </c>
      <c r="M2713" t="s">
        <v>93</v>
      </c>
      <c r="N2713">
        <v>41.071747000000002</v>
      </c>
      <c r="O2713">
        <v>-111.977721</v>
      </c>
      <c r="P2713">
        <v>4337.3747469999998</v>
      </c>
      <c r="Q2713">
        <v>1409</v>
      </c>
      <c r="R2713">
        <v>0</v>
      </c>
    </row>
    <row r="2714" spans="1:18" x14ac:dyDescent="0.25">
      <c r="A2714">
        <v>2713</v>
      </c>
      <c r="B2714">
        <v>94</v>
      </c>
      <c r="C2714">
        <v>1131304</v>
      </c>
      <c r="D2714" t="s">
        <v>56</v>
      </c>
      <c r="E2714">
        <v>1.6180000000000001</v>
      </c>
      <c r="F2714" t="s">
        <v>21</v>
      </c>
      <c r="G2714" t="s">
        <v>26</v>
      </c>
      <c r="H2714" t="s">
        <v>21</v>
      </c>
      <c r="I2714" t="s">
        <v>20</v>
      </c>
      <c r="J2714" t="s">
        <v>20</v>
      </c>
      <c r="K2714" t="s">
        <v>41</v>
      </c>
      <c r="L2714" t="s">
        <v>57</v>
      </c>
      <c r="M2714" t="s">
        <v>58</v>
      </c>
      <c r="N2714">
        <v>41.163818999999997</v>
      </c>
      <c r="O2714">
        <v>-112.091758</v>
      </c>
      <c r="P2714">
        <v>4188.0053969999999</v>
      </c>
      <c r="Q2714">
        <v>1459</v>
      </c>
      <c r="R2714">
        <v>0</v>
      </c>
    </row>
    <row r="2715" spans="1:18" x14ac:dyDescent="0.25">
      <c r="A2715">
        <v>2714</v>
      </c>
      <c r="B2715">
        <v>94</v>
      </c>
      <c r="C2715" t="s">
        <v>517</v>
      </c>
      <c r="D2715" t="s">
        <v>92</v>
      </c>
      <c r="E2715">
        <v>1.6180000000000001</v>
      </c>
      <c r="F2715" t="s">
        <v>21</v>
      </c>
      <c r="G2715" t="s">
        <v>26</v>
      </c>
      <c r="H2715" t="s">
        <v>21</v>
      </c>
      <c r="I2715" t="s">
        <v>20</v>
      </c>
      <c r="J2715" t="s">
        <v>20</v>
      </c>
      <c r="K2715" t="s">
        <v>41</v>
      </c>
      <c r="L2715" t="s">
        <v>87</v>
      </c>
      <c r="M2715" t="s">
        <v>93</v>
      </c>
      <c r="N2715">
        <v>41.094099</v>
      </c>
      <c r="O2715">
        <v>-111.973444</v>
      </c>
      <c r="P2715">
        <v>4521.451008</v>
      </c>
      <c r="Q2715">
        <v>252</v>
      </c>
      <c r="R2715">
        <v>0</v>
      </c>
    </row>
    <row r="2716" spans="1:18" x14ac:dyDescent="0.25">
      <c r="A2716">
        <v>2715</v>
      </c>
      <c r="B2716">
        <v>94</v>
      </c>
      <c r="C2716">
        <v>27527377</v>
      </c>
      <c r="D2716" t="s">
        <v>157</v>
      </c>
      <c r="E2716">
        <v>1.6180000000000001</v>
      </c>
      <c r="F2716" t="s">
        <v>21</v>
      </c>
      <c r="G2716" t="s">
        <v>26</v>
      </c>
      <c r="H2716" t="s">
        <v>21</v>
      </c>
      <c r="I2716" t="s">
        <v>20</v>
      </c>
      <c r="J2716" t="s">
        <v>20</v>
      </c>
      <c r="K2716" t="s">
        <v>27</v>
      </c>
      <c r="L2716" t="s">
        <v>158</v>
      </c>
      <c r="M2716" t="s">
        <v>159</v>
      </c>
      <c r="N2716">
        <v>39.599572999999999</v>
      </c>
      <c r="O2716">
        <v>-110.79980999999999</v>
      </c>
      <c r="P2716">
        <v>5543.1151250000003</v>
      </c>
      <c r="Q2716">
        <v>1360</v>
      </c>
      <c r="R2716">
        <v>0</v>
      </c>
    </row>
    <row r="2717" spans="1:18" x14ac:dyDescent="0.25">
      <c r="A2717">
        <v>2716</v>
      </c>
      <c r="B2717">
        <v>94</v>
      </c>
      <c r="C2717" t="s">
        <v>518</v>
      </c>
      <c r="D2717" t="s">
        <v>37</v>
      </c>
      <c r="E2717">
        <v>1.621</v>
      </c>
      <c r="F2717" t="s">
        <v>21</v>
      </c>
      <c r="G2717" t="s">
        <v>26</v>
      </c>
      <c r="H2717" t="s">
        <v>21</v>
      </c>
      <c r="I2717" t="s">
        <v>20</v>
      </c>
      <c r="J2717" t="s">
        <v>20</v>
      </c>
      <c r="K2717" t="s">
        <v>27</v>
      </c>
      <c r="L2717" t="s">
        <v>38</v>
      </c>
      <c r="M2717" t="s">
        <v>39</v>
      </c>
      <c r="N2717">
        <v>38.611919999999998</v>
      </c>
      <c r="O2717">
        <v>-109.557126</v>
      </c>
      <c r="P2717">
        <v>3904.343292</v>
      </c>
      <c r="Q2717">
        <v>1319</v>
      </c>
      <c r="R2717">
        <v>0</v>
      </c>
    </row>
    <row r="2718" spans="1:18" x14ac:dyDescent="0.25">
      <c r="A2718">
        <v>2717</v>
      </c>
      <c r="B2718">
        <v>94</v>
      </c>
      <c r="C2718">
        <v>31192522</v>
      </c>
      <c r="D2718" t="s">
        <v>153</v>
      </c>
      <c r="E2718">
        <v>1.621</v>
      </c>
      <c r="F2718" t="s">
        <v>21</v>
      </c>
      <c r="G2718" t="s">
        <v>26</v>
      </c>
      <c r="H2718" t="s">
        <v>21</v>
      </c>
      <c r="I2718" t="s">
        <v>20</v>
      </c>
      <c r="J2718" t="s">
        <v>20</v>
      </c>
      <c r="K2718" t="s">
        <v>22</v>
      </c>
      <c r="L2718" t="s">
        <v>84</v>
      </c>
      <c r="M2718" t="s">
        <v>85</v>
      </c>
      <c r="N2718">
        <v>40.381298000000001</v>
      </c>
      <c r="O2718">
        <v>-111.73980899999999</v>
      </c>
      <c r="P2718">
        <v>4608.2451520000004</v>
      </c>
      <c r="R2718">
        <v>0</v>
      </c>
    </row>
    <row r="2719" spans="1:18" x14ac:dyDescent="0.25">
      <c r="A2719">
        <v>2718</v>
      </c>
      <c r="B2719">
        <v>94</v>
      </c>
      <c r="C2719">
        <v>517912</v>
      </c>
      <c r="D2719" t="s">
        <v>44</v>
      </c>
      <c r="E2719">
        <v>1.623</v>
      </c>
      <c r="F2719" t="s">
        <v>21</v>
      </c>
      <c r="G2719" t="s">
        <v>26</v>
      </c>
      <c r="H2719" t="s">
        <v>21</v>
      </c>
      <c r="I2719" t="s">
        <v>20</v>
      </c>
      <c r="J2719" t="s">
        <v>20</v>
      </c>
      <c r="K2719" t="s">
        <v>41</v>
      </c>
      <c r="L2719" t="s">
        <v>45</v>
      </c>
      <c r="M2719" t="s">
        <v>46</v>
      </c>
      <c r="N2719">
        <v>40.900939000000001</v>
      </c>
      <c r="O2719">
        <v>-111.878996</v>
      </c>
      <c r="P2719">
        <v>4273.8939780000001</v>
      </c>
      <c r="Q2719">
        <v>1395</v>
      </c>
      <c r="R2719">
        <v>0</v>
      </c>
    </row>
    <row r="2720" spans="1:18" x14ac:dyDescent="0.25">
      <c r="A2720">
        <v>2719</v>
      </c>
      <c r="B2720">
        <v>94</v>
      </c>
      <c r="C2720">
        <v>27645555</v>
      </c>
      <c r="D2720" t="s">
        <v>196</v>
      </c>
      <c r="E2720">
        <v>1.6240000000000001</v>
      </c>
      <c r="F2720" t="s">
        <v>21</v>
      </c>
      <c r="G2720" t="s">
        <v>26</v>
      </c>
      <c r="H2720" t="s">
        <v>21</v>
      </c>
      <c r="I2720" t="s">
        <v>20</v>
      </c>
      <c r="J2720" t="s">
        <v>20</v>
      </c>
      <c r="K2720" t="s">
        <v>27</v>
      </c>
      <c r="L2720" t="s">
        <v>72</v>
      </c>
      <c r="M2720" t="s">
        <v>73</v>
      </c>
      <c r="N2720">
        <v>37.109824000000003</v>
      </c>
      <c r="O2720">
        <v>-113.564195</v>
      </c>
      <c r="P2720">
        <v>2730.445162</v>
      </c>
      <c r="Q2720">
        <v>308</v>
      </c>
      <c r="R2720">
        <v>0</v>
      </c>
    </row>
    <row r="2721" spans="1:18" x14ac:dyDescent="0.25">
      <c r="A2721">
        <v>2720</v>
      </c>
      <c r="B2721">
        <v>94</v>
      </c>
      <c r="C2721">
        <v>947238</v>
      </c>
      <c r="D2721" t="s">
        <v>65</v>
      </c>
      <c r="E2721">
        <v>1.627</v>
      </c>
      <c r="F2721" t="s">
        <v>21</v>
      </c>
      <c r="G2721" t="s">
        <v>26</v>
      </c>
      <c r="H2721" t="s">
        <v>21</v>
      </c>
      <c r="I2721" t="s">
        <v>20</v>
      </c>
      <c r="J2721" t="s">
        <v>20</v>
      </c>
      <c r="K2721" t="s">
        <v>31</v>
      </c>
      <c r="L2721" t="s">
        <v>66</v>
      </c>
      <c r="M2721" t="s">
        <v>67</v>
      </c>
      <c r="N2721">
        <v>40.775872</v>
      </c>
      <c r="O2721">
        <v>-111.888214</v>
      </c>
      <c r="P2721">
        <v>4447.1794010000003</v>
      </c>
      <c r="Q2721">
        <v>402</v>
      </c>
      <c r="R2721">
        <v>0</v>
      </c>
    </row>
    <row r="2722" spans="1:18" x14ac:dyDescent="0.25">
      <c r="A2722">
        <v>2721</v>
      </c>
      <c r="B2722">
        <v>94</v>
      </c>
      <c r="C2722">
        <v>31658688</v>
      </c>
      <c r="D2722" t="s">
        <v>156</v>
      </c>
      <c r="E2722">
        <v>1.6279999999999999</v>
      </c>
      <c r="F2722" t="s">
        <v>21</v>
      </c>
      <c r="G2722" t="s">
        <v>26</v>
      </c>
      <c r="H2722" t="s">
        <v>21</v>
      </c>
      <c r="I2722" t="s">
        <v>20</v>
      </c>
      <c r="J2722" t="s">
        <v>20</v>
      </c>
      <c r="K2722" t="s">
        <v>41</v>
      </c>
      <c r="L2722" t="s">
        <v>81</v>
      </c>
      <c r="M2722" t="s">
        <v>93</v>
      </c>
      <c r="N2722">
        <v>41.282961999999998</v>
      </c>
      <c r="O2722">
        <v>-111.969185</v>
      </c>
      <c r="P2722">
        <v>4272.5787639999999</v>
      </c>
      <c r="Q2722">
        <v>424</v>
      </c>
      <c r="R2722">
        <v>0</v>
      </c>
    </row>
    <row r="2723" spans="1:18" x14ac:dyDescent="0.25">
      <c r="A2723">
        <v>2722</v>
      </c>
      <c r="B2723">
        <v>94</v>
      </c>
      <c r="C2723">
        <v>945735</v>
      </c>
      <c r="D2723" t="s">
        <v>65</v>
      </c>
      <c r="E2723">
        <v>1.4730000000000001</v>
      </c>
      <c r="F2723" t="s">
        <v>19</v>
      </c>
      <c r="G2723" t="s">
        <v>20</v>
      </c>
      <c r="H2723" t="s">
        <v>21</v>
      </c>
      <c r="I2723" t="s">
        <v>20</v>
      </c>
      <c r="J2723" t="s">
        <v>20</v>
      </c>
      <c r="K2723" t="s">
        <v>31</v>
      </c>
      <c r="L2723" t="s">
        <v>66</v>
      </c>
      <c r="M2723" t="s">
        <v>67</v>
      </c>
      <c r="N2723">
        <v>40.775967999999999</v>
      </c>
      <c r="O2723">
        <v>-111.89103900000001</v>
      </c>
      <c r="P2723">
        <v>4404.7314729999998</v>
      </c>
      <c r="Q2723">
        <v>402</v>
      </c>
      <c r="R2723">
        <v>0</v>
      </c>
    </row>
    <row r="2724" spans="1:18" x14ac:dyDescent="0.25">
      <c r="A2724">
        <v>2723</v>
      </c>
      <c r="B2724">
        <v>94</v>
      </c>
      <c r="C2724">
        <v>1372928</v>
      </c>
      <c r="D2724" t="s">
        <v>437</v>
      </c>
      <c r="E2724">
        <v>1.4730000000000001</v>
      </c>
      <c r="F2724" t="s">
        <v>21</v>
      </c>
      <c r="G2724" t="s">
        <v>20</v>
      </c>
      <c r="H2724" t="s">
        <v>21</v>
      </c>
      <c r="I2724" t="s">
        <v>20</v>
      </c>
      <c r="J2724" t="s">
        <v>20</v>
      </c>
      <c r="K2724" t="s">
        <v>41</v>
      </c>
      <c r="L2724" t="s">
        <v>223</v>
      </c>
      <c r="M2724" t="s">
        <v>43</v>
      </c>
      <c r="N2724">
        <v>41.799951</v>
      </c>
      <c r="O2724">
        <v>-112.11577699999999</v>
      </c>
      <c r="P2724">
        <v>4320.8666190000004</v>
      </c>
      <c r="Q2724">
        <v>1378</v>
      </c>
      <c r="R2724">
        <v>0</v>
      </c>
    </row>
    <row r="2725" spans="1:18" x14ac:dyDescent="0.25">
      <c r="A2725">
        <v>2724</v>
      </c>
      <c r="B2725">
        <v>94</v>
      </c>
      <c r="C2725" t="e">
        <f>-IpVIxdnGhe7l_oDwz_8QV</f>
        <v>#NAME?</v>
      </c>
      <c r="D2725" t="s">
        <v>436</v>
      </c>
      <c r="E2725">
        <v>1.4750000000000001</v>
      </c>
      <c r="F2725" t="s">
        <v>21</v>
      </c>
      <c r="G2725" t="s">
        <v>20</v>
      </c>
      <c r="H2725" t="s">
        <v>21</v>
      </c>
      <c r="I2725" t="s">
        <v>20</v>
      </c>
      <c r="J2725" t="s">
        <v>20</v>
      </c>
      <c r="K2725" t="s">
        <v>22</v>
      </c>
      <c r="L2725" t="s">
        <v>234</v>
      </c>
      <c r="M2725" t="s">
        <v>98</v>
      </c>
      <c r="N2725">
        <v>40.532926000000003</v>
      </c>
      <c r="O2725">
        <v>-109.532509</v>
      </c>
      <c r="P2725">
        <v>5493.0191480000003</v>
      </c>
      <c r="Q2725">
        <v>441</v>
      </c>
      <c r="R2725">
        <v>0</v>
      </c>
    </row>
    <row r="2726" spans="1:18" x14ac:dyDescent="0.25">
      <c r="A2726">
        <v>2725</v>
      </c>
      <c r="B2726">
        <v>94</v>
      </c>
      <c r="C2726">
        <v>507869</v>
      </c>
      <c r="D2726" t="s">
        <v>434</v>
      </c>
      <c r="E2726">
        <v>1.4770000000000001</v>
      </c>
      <c r="F2726" t="s">
        <v>19</v>
      </c>
      <c r="G2726" t="s">
        <v>20</v>
      </c>
      <c r="H2726" t="s">
        <v>21</v>
      </c>
      <c r="I2726" t="s">
        <v>20</v>
      </c>
      <c r="J2726" t="s">
        <v>20</v>
      </c>
      <c r="K2726" t="s">
        <v>31</v>
      </c>
      <c r="L2726" t="s">
        <v>32</v>
      </c>
      <c r="M2726" t="s">
        <v>70</v>
      </c>
      <c r="N2726">
        <v>40.649375999999997</v>
      </c>
      <c r="O2726">
        <v>-111.84857100000001</v>
      </c>
      <c r="P2726">
        <v>4310.3467520000004</v>
      </c>
      <c r="Q2726">
        <v>1424</v>
      </c>
      <c r="R2726">
        <v>0</v>
      </c>
    </row>
    <row r="2727" spans="1:18" x14ac:dyDescent="0.25">
      <c r="A2727">
        <v>2726</v>
      </c>
      <c r="B2727">
        <v>94</v>
      </c>
      <c r="C2727">
        <v>31486463</v>
      </c>
      <c r="D2727" t="s">
        <v>164</v>
      </c>
      <c r="E2727">
        <v>1.4770000000000001</v>
      </c>
      <c r="F2727" t="s">
        <v>21</v>
      </c>
      <c r="G2727" t="s">
        <v>26</v>
      </c>
      <c r="H2727" t="s">
        <v>21</v>
      </c>
      <c r="I2727" t="s">
        <v>20</v>
      </c>
      <c r="J2727" t="s">
        <v>20</v>
      </c>
      <c r="K2727" t="s">
        <v>27</v>
      </c>
      <c r="L2727" t="s">
        <v>165</v>
      </c>
      <c r="M2727" t="s">
        <v>166</v>
      </c>
      <c r="N2727">
        <v>38.957979000000002</v>
      </c>
      <c r="O2727">
        <v>-112.329238</v>
      </c>
      <c r="P2727">
        <v>5064.41129</v>
      </c>
      <c r="Q2727">
        <v>1390</v>
      </c>
      <c r="R2727">
        <v>0</v>
      </c>
    </row>
    <row r="2728" spans="1:18" x14ac:dyDescent="0.25">
      <c r="A2728">
        <v>2727</v>
      </c>
      <c r="B2728">
        <v>94</v>
      </c>
      <c r="C2728" t="e">
        <f>-Ip5HeWnHQX7ePLUOUHO6F</f>
        <v>#NAME?</v>
      </c>
      <c r="D2728" t="s">
        <v>208</v>
      </c>
      <c r="E2728">
        <v>1.4770000000000001</v>
      </c>
      <c r="F2728" t="s">
        <v>21</v>
      </c>
      <c r="G2728" t="s">
        <v>26</v>
      </c>
      <c r="H2728" t="s">
        <v>21</v>
      </c>
      <c r="I2728" t="s">
        <v>20</v>
      </c>
      <c r="J2728" t="s">
        <v>20</v>
      </c>
      <c r="K2728" t="s">
        <v>31</v>
      </c>
      <c r="L2728" t="s">
        <v>209</v>
      </c>
      <c r="M2728" t="s">
        <v>131</v>
      </c>
      <c r="N2728">
        <v>40.620139000000002</v>
      </c>
      <c r="O2728">
        <v>-111.507212</v>
      </c>
      <c r="P2728">
        <v>8133.0328239999999</v>
      </c>
      <c r="Q2728">
        <v>357</v>
      </c>
      <c r="R2728">
        <v>0</v>
      </c>
    </row>
    <row r="2729" spans="1:18" x14ac:dyDescent="0.25">
      <c r="A2729">
        <v>2728</v>
      </c>
      <c r="B2729">
        <v>94</v>
      </c>
      <c r="C2729">
        <v>31535033</v>
      </c>
      <c r="D2729" t="s">
        <v>53</v>
      </c>
      <c r="E2729">
        <v>1.4790000000000001</v>
      </c>
      <c r="F2729" t="s">
        <v>21</v>
      </c>
      <c r="G2729" t="s">
        <v>26</v>
      </c>
      <c r="H2729" t="s">
        <v>21</v>
      </c>
      <c r="I2729" t="s">
        <v>20</v>
      </c>
      <c r="J2729" t="s">
        <v>20</v>
      </c>
      <c r="K2729" t="s">
        <v>27</v>
      </c>
      <c r="L2729" t="s">
        <v>54</v>
      </c>
      <c r="M2729" t="s">
        <v>55</v>
      </c>
      <c r="N2729">
        <v>37.674188999999998</v>
      </c>
      <c r="O2729">
        <v>-113.070341</v>
      </c>
      <c r="P2729">
        <v>5757.948445</v>
      </c>
      <c r="Q2729">
        <v>1285</v>
      </c>
      <c r="R2729">
        <v>0</v>
      </c>
    </row>
    <row r="2730" spans="1:18" x14ac:dyDescent="0.25">
      <c r="A2730">
        <v>2729</v>
      </c>
      <c r="B2730">
        <v>94</v>
      </c>
      <c r="C2730">
        <v>31405852</v>
      </c>
      <c r="D2730" t="s">
        <v>30</v>
      </c>
      <c r="E2730">
        <v>1.4790000000000001</v>
      </c>
      <c r="F2730" t="s">
        <v>21</v>
      </c>
      <c r="G2730" t="s">
        <v>26</v>
      </c>
      <c r="H2730" t="s">
        <v>21</v>
      </c>
      <c r="I2730" t="s">
        <v>20</v>
      </c>
      <c r="J2730" t="s">
        <v>20</v>
      </c>
      <c r="K2730" t="s">
        <v>31</v>
      </c>
      <c r="L2730" t="s">
        <v>32</v>
      </c>
      <c r="M2730" t="s">
        <v>33</v>
      </c>
      <c r="N2730">
        <v>40.599370999999998</v>
      </c>
      <c r="O2730">
        <v>-111.797589</v>
      </c>
      <c r="P2730">
        <v>5001.2195689999999</v>
      </c>
      <c r="Q2730">
        <v>415</v>
      </c>
      <c r="R2730">
        <v>0</v>
      </c>
    </row>
    <row r="2731" spans="1:18" x14ac:dyDescent="0.25">
      <c r="A2731">
        <v>2730</v>
      </c>
      <c r="B2731">
        <v>94</v>
      </c>
      <c r="C2731">
        <v>1300636</v>
      </c>
      <c r="D2731" t="s">
        <v>191</v>
      </c>
      <c r="E2731">
        <v>1.482</v>
      </c>
      <c r="F2731" t="s">
        <v>21</v>
      </c>
      <c r="G2731" t="s">
        <v>26</v>
      </c>
      <c r="H2731" t="s">
        <v>21</v>
      </c>
      <c r="I2731" t="s">
        <v>20</v>
      </c>
      <c r="J2731" t="s">
        <v>20</v>
      </c>
      <c r="K2731" t="s">
        <v>41</v>
      </c>
      <c r="L2731" t="s">
        <v>57</v>
      </c>
      <c r="M2731" t="s">
        <v>190</v>
      </c>
      <c r="N2731">
        <v>41.110703999999998</v>
      </c>
      <c r="O2731">
        <v>-112.112504</v>
      </c>
      <c r="P2731">
        <v>4175.9848860000002</v>
      </c>
      <c r="Q2731">
        <v>329</v>
      </c>
      <c r="R2731">
        <v>0</v>
      </c>
    </row>
    <row r="2732" spans="1:18" x14ac:dyDescent="0.25">
      <c r="A2732">
        <v>2731</v>
      </c>
      <c r="B2732">
        <v>94</v>
      </c>
      <c r="C2732">
        <v>2661187</v>
      </c>
      <c r="D2732" t="s">
        <v>176</v>
      </c>
      <c r="E2732">
        <v>1.4830000000000001</v>
      </c>
      <c r="F2732" t="s">
        <v>19</v>
      </c>
      <c r="G2732" t="s">
        <v>20</v>
      </c>
      <c r="H2732" t="s">
        <v>21</v>
      </c>
      <c r="I2732" t="s">
        <v>20</v>
      </c>
      <c r="J2732" t="s">
        <v>20</v>
      </c>
      <c r="K2732" t="s">
        <v>41</v>
      </c>
      <c r="L2732" t="s">
        <v>177</v>
      </c>
      <c r="M2732" t="s">
        <v>178</v>
      </c>
      <c r="N2732">
        <v>41.508124000000002</v>
      </c>
      <c r="O2732">
        <v>-112.015816</v>
      </c>
      <c r="P2732">
        <v>4392.4294120000004</v>
      </c>
      <c r="Q2732">
        <v>1329</v>
      </c>
      <c r="R2732">
        <v>0</v>
      </c>
    </row>
    <row r="2733" spans="1:18" x14ac:dyDescent="0.25">
      <c r="A2733">
        <v>2732</v>
      </c>
      <c r="B2733">
        <v>94</v>
      </c>
      <c r="C2733">
        <v>920865</v>
      </c>
      <c r="D2733" t="s">
        <v>205</v>
      </c>
      <c r="E2733">
        <v>1.903</v>
      </c>
      <c r="F2733" t="s">
        <v>21</v>
      </c>
      <c r="G2733" t="s">
        <v>26</v>
      </c>
      <c r="H2733" t="s">
        <v>21</v>
      </c>
      <c r="I2733" t="s">
        <v>20</v>
      </c>
      <c r="J2733" t="s">
        <v>20</v>
      </c>
      <c r="K2733" t="s">
        <v>31</v>
      </c>
      <c r="L2733" t="s">
        <v>78</v>
      </c>
      <c r="M2733" t="s">
        <v>206</v>
      </c>
      <c r="N2733">
        <v>40.747050999999999</v>
      </c>
      <c r="O2733">
        <v>-112.185731</v>
      </c>
      <c r="P2733">
        <v>4157.983819</v>
      </c>
      <c r="Q2733">
        <v>353</v>
      </c>
      <c r="R2733">
        <v>0</v>
      </c>
    </row>
    <row r="2734" spans="1:18" x14ac:dyDescent="0.25">
      <c r="A2734">
        <v>2733</v>
      </c>
      <c r="B2734">
        <v>94</v>
      </c>
      <c r="C2734">
        <v>31462146</v>
      </c>
      <c r="D2734" t="s">
        <v>218</v>
      </c>
      <c r="E2734">
        <v>1.907</v>
      </c>
      <c r="F2734" t="s">
        <v>21</v>
      </c>
      <c r="G2734" t="s">
        <v>26</v>
      </c>
      <c r="H2734" t="s">
        <v>21</v>
      </c>
      <c r="I2734" t="s">
        <v>20</v>
      </c>
      <c r="J2734" t="s">
        <v>20</v>
      </c>
      <c r="K2734" t="s">
        <v>27</v>
      </c>
      <c r="L2734" t="s">
        <v>183</v>
      </c>
      <c r="M2734" t="s">
        <v>76</v>
      </c>
      <c r="N2734">
        <v>39.000903999999998</v>
      </c>
      <c r="O2734">
        <v>-111.861518</v>
      </c>
      <c r="P2734">
        <v>5042.9364240000004</v>
      </c>
      <c r="Q2734">
        <v>360</v>
      </c>
      <c r="R2734">
        <v>0</v>
      </c>
    </row>
    <row r="2735" spans="1:18" x14ac:dyDescent="0.25">
      <c r="A2735">
        <v>2734</v>
      </c>
      <c r="B2735">
        <v>94</v>
      </c>
      <c r="C2735">
        <v>27505947</v>
      </c>
      <c r="D2735" t="s">
        <v>96</v>
      </c>
      <c r="E2735">
        <v>1.91</v>
      </c>
      <c r="F2735" t="s">
        <v>21</v>
      </c>
      <c r="G2735" t="s">
        <v>26</v>
      </c>
      <c r="H2735" t="s">
        <v>21</v>
      </c>
      <c r="I2735" t="s">
        <v>20</v>
      </c>
      <c r="J2735" t="s">
        <v>20</v>
      </c>
      <c r="K2735" t="s">
        <v>22</v>
      </c>
      <c r="L2735" t="s">
        <v>97</v>
      </c>
      <c r="M2735" t="s">
        <v>98</v>
      </c>
      <c r="N2735">
        <v>40.976492</v>
      </c>
      <c r="O2735">
        <v>-109.83006</v>
      </c>
      <c r="P2735">
        <v>7156.048256</v>
      </c>
      <c r="Q2735">
        <v>311</v>
      </c>
      <c r="R2735">
        <v>0</v>
      </c>
    </row>
    <row r="2736" spans="1:18" x14ac:dyDescent="0.25">
      <c r="A2736">
        <v>2735</v>
      </c>
      <c r="B2736">
        <v>94</v>
      </c>
      <c r="C2736">
        <v>31787917</v>
      </c>
      <c r="D2736" t="s">
        <v>61</v>
      </c>
      <c r="E2736">
        <v>1.9119999999999999</v>
      </c>
      <c r="F2736" t="s">
        <v>19</v>
      </c>
      <c r="G2736" t="s">
        <v>20</v>
      </c>
      <c r="H2736" t="s">
        <v>21</v>
      </c>
      <c r="I2736" t="s">
        <v>20</v>
      </c>
      <c r="J2736" t="s">
        <v>20</v>
      </c>
      <c r="K2736" t="s">
        <v>22</v>
      </c>
      <c r="L2736" t="s">
        <v>23</v>
      </c>
      <c r="M2736" t="s">
        <v>62</v>
      </c>
      <c r="N2736">
        <v>40.233721000000003</v>
      </c>
      <c r="O2736">
        <v>-111.65869499999999</v>
      </c>
      <c r="P2736">
        <v>4493.1375630000002</v>
      </c>
      <c r="Q2736">
        <v>403</v>
      </c>
      <c r="R2736">
        <v>0</v>
      </c>
    </row>
    <row r="2737" spans="1:18" x14ac:dyDescent="0.25">
      <c r="A2737">
        <v>2736</v>
      </c>
      <c r="B2737">
        <v>94</v>
      </c>
      <c r="C2737">
        <v>1547179</v>
      </c>
      <c r="D2737" t="s">
        <v>92</v>
      </c>
      <c r="E2737">
        <v>1.9119999999999999</v>
      </c>
      <c r="F2737" t="s">
        <v>21</v>
      </c>
      <c r="G2737" t="s">
        <v>26</v>
      </c>
      <c r="H2737" t="s">
        <v>21</v>
      </c>
      <c r="I2737" t="s">
        <v>20</v>
      </c>
      <c r="J2737" t="s">
        <v>20</v>
      </c>
      <c r="K2737" t="s">
        <v>41</v>
      </c>
      <c r="L2737" t="s">
        <v>87</v>
      </c>
      <c r="M2737" t="s">
        <v>93</v>
      </c>
      <c r="N2737">
        <v>41.098354999999998</v>
      </c>
      <c r="O2737">
        <v>-111.97342500000001</v>
      </c>
      <c r="P2737">
        <v>4588.8634320000001</v>
      </c>
      <c r="Q2737">
        <v>252</v>
      </c>
      <c r="R2737">
        <v>0</v>
      </c>
    </row>
    <row r="2738" spans="1:18" x14ac:dyDescent="0.25">
      <c r="A2738">
        <v>2737</v>
      </c>
      <c r="B2738">
        <v>94</v>
      </c>
      <c r="C2738">
        <v>31548339</v>
      </c>
      <c r="D2738" t="s">
        <v>102</v>
      </c>
      <c r="E2738">
        <v>1.9119999999999999</v>
      </c>
      <c r="F2738" t="s">
        <v>21</v>
      </c>
      <c r="G2738" t="s">
        <v>26</v>
      </c>
      <c r="H2738" t="s">
        <v>21</v>
      </c>
      <c r="I2738" t="s">
        <v>20</v>
      </c>
      <c r="J2738" t="s">
        <v>20</v>
      </c>
      <c r="K2738" t="s">
        <v>27</v>
      </c>
      <c r="L2738" t="s">
        <v>103</v>
      </c>
      <c r="M2738" t="s">
        <v>104</v>
      </c>
      <c r="N2738">
        <v>38.272820000000003</v>
      </c>
      <c r="O2738">
        <v>-112.641212</v>
      </c>
      <c r="P2738">
        <v>5816.2003070000001</v>
      </c>
      <c r="Q2738">
        <v>1430</v>
      </c>
      <c r="R2738">
        <v>0</v>
      </c>
    </row>
    <row r="2739" spans="1:18" x14ac:dyDescent="0.25">
      <c r="A2739">
        <v>2738</v>
      </c>
      <c r="B2739">
        <v>94</v>
      </c>
      <c r="C2739" t="e">
        <f>-JWMqYLJGqLQwD_r6PrNwV</f>
        <v>#NAME?</v>
      </c>
      <c r="D2739" t="s">
        <v>408</v>
      </c>
      <c r="E2739">
        <v>1.913</v>
      </c>
      <c r="F2739" t="s">
        <v>21</v>
      </c>
      <c r="G2739" t="s">
        <v>26</v>
      </c>
      <c r="H2739" t="s">
        <v>21</v>
      </c>
      <c r="I2739" t="s">
        <v>20</v>
      </c>
      <c r="J2739" t="s">
        <v>20</v>
      </c>
      <c r="K2739" t="s">
        <v>27</v>
      </c>
      <c r="L2739" t="s">
        <v>75</v>
      </c>
      <c r="M2739" t="s">
        <v>366</v>
      </c>
      <c r="N2739">
        <v>38.687615999999998</v>
      </c>
      <c r="O2739">
        <v>-112.123363</v>
      </c>
      <c r="P2739">
        <v>5281.704984</v>
      </c>
      <c r="Q2739">
        <v>428</v>
      </c>
      <c r="R2739">
        <v>0</v>
      </c>
    </row>
    <row r="2740" spans="1:18" x14ac:dyDescent="0.25">
      <c r="A2740">
        <v>2739</v>
      </c>
      <c r="B2740">
        <v>94</v>
      </c>
      <c r="C2740" t="e">
        <f>-JMJ8af3Gk94u19QNRQn0F</f>
        <v>#NAME?</v>
      </c>
      <c r="D2740" t="s">
        <v>196</v>
      </c>
      <c r="E2740">
        <v>1.915</v>
      </c>
      <c r="F2740" t="s">
        <v>19</v>
      </c>
      <c r="G2740" t="s">
        <v>20</v>
      </c>
      <c r="H2740" t="s">
        <v>21</v>
      </c>
      <c r="I2740" t="s">
        <v>20</v>
      </c>
      <c r="J2740" t="s">
        <v>20</v>
      </c>
      <c r="K2740" t="s">
        <v>27</v>
      </c>
      <c r="L2740" t="s">
        <v>72</v>
      </c>
      <c r="M2740" t="s">
        <v>73</v>
      </c>
      <c r="N2740">
        <v>37.10989</v>
      </c>
      <c r="O2740">
        <v>-113.55888400000001</v>
      </c>
      <c r="P2740">
        <v>2747.9878010000002</v>
      </c>
      <c r="Q2740">
        <v>308</v>
      </c>
      <c r="R2740">
        <v>0</v>
      </c>
    </row>
    <row r="2741" spans="1:18" x14ac:dyDescent="0.25">
      <c r="A2741">
        <v>2740</v>
      </c>
      <c r="B2741">
        <v>94</v>
      </c>
      <c r="C2741">
        <v>31466200</v>
      </c>
      <c r="D2741" t="s">
        <v>264</v>
      </c>
      <c r="E2741">
        <v>1.9159999999999999</v>
      </c>
      <c r="F2741" t="s">
        <v>21</v>
      </c>
      <c r="G2741" t="s">
        <v>26</v>
      </c>
      <c r="H2741" t="s">
        <v>21</v>
      </c>
      <c r="I2741" t="s">
        <v>20</v>
      </c>
      <c r="J2741" t="s">
        <v>20</v>
      </c>
      <c r="K2741" t="s">
        <v>22</v>
      </c>
      <c r="L2741" t="s">
        <v>35</v>
      </c>
      <c r="M2741" t="s">
        <v>36</v>
      </c>
      <c r="N2741">
        <v>40.527963</v>
      </c>
      <c r="O2741">
        <v>-111.48752500000001</v>
      </c>
      <c r="P2741">
        <v>5694.2033289999999</v>
      </c>
      <c r="Q2741">
        <v>420</v>
      </c>
      <c r="R2741">
        <v>0</v>
      </c>
    </row>
    <row r="2742" spans="1:18" x14ac:dyDescent="0.25">
      <c r="A2742">
        <v>2741</v>
      </c>
      <c r="B2742">
        <v>94</v>
      </c>
      <c r="C2742">
        <v>31643039</v>
      </c>
      <c r="D2742" t="s">
        <v>519</v>
      </c>
      <c r="E2742">
        <v>1.4039999999999999</v>
      </c>
      <c r="F2742" t="s">
        <v>21</v>
      </c>
      <c r="G2742" t="s">
        <v>26</v>
      </c>
      <c r="H2742" t="s">
        <v>19</v>
      </c>
      <c r="I2742">
        <v>157</v>
      </c>
      <c r="J2742" t="s">
        <v>20</v>
      </c>
      <c r="K2742" t="s">
        <v>27</v>
      </c>
      <c r="L2742" t="s">
        <v>158</v>
      </c>
      <c r="M2742" t="s">
        <v>159</v>
      </c>
      <c r="N2742">
        <v>39.66583</v>
      </c>
      <c r="O2742">
        <v>-110.856065</v>
      </c>
      <c r="P2742">
        <v>5695.7691779999996</v>
      </c>
      <c r="Q2742">
        <v>1415</v>
      </c>
      <c r="R2742">
        <v>0</v>
      </c>
    </row>
    <row r="2743" spans="1:18" x14ac:dyDescent="0.25">
      <c r="A2743">
        <v>2742</v>
      </c>
      <c r="B2743">
        <v>94</v>
      </c>
      <c r="C2743">
        <v>27578246</v>
      </c>
      <c r="D2743" t="s">
        <v>201</v>
      </c>
      <c r="E2743">
        <v>1.4039999999999999</v>
      </c>
      <c r="F2743" t="s">
        <v>21</v>
      </c>
      <c r="G2743" t="s">
        <v>26</v>
      </c>
      <c r="H2743" t="s">
        <v>21</v>
      </c>
      <c r="I2743" t="s">
        <v>20</v>
      </c>
      <c r="J2743" t="s">
        <v>20</v>
      </c>
      <c r="K2743" t="s">
        <v>27</v>
      </c>
      <c r="L2743" t="s">
        <v>202</v>
      </c>
      <c r="M2743" t="s">
        <v>104</v>
      </c>
      <c r="N2743">
        <v>39.099348999999997</v>
      </c>
      <c r="O2743">
        <v>-112.270923</v>
      </c>
      <c r="P2743">
        <v>5041.1377599999996</v>
      </c>
      <c r="Q2743">
        <v>1366</v>
      </c>
      <c r="R2743">
        <v>0</v>
      </c>
    </row>
    <row r="2744" spans="1:18" x14ac:dyDescent="0.25">
      <c r="A2744">
        <v>2743</v>
      </c>
      <c r="B2744">
        <v>94</v>
      </c>
      <c r="C2744">
        <v>27342824</v>
      </c>
      <c r="D2744" t="s">
        <v>185</v>
      </c>
      <c r="E2744">
        <v>1.405</v>
      </c>
      <c r="F2744" t="s">
        <v>21</v>
      </c>
      <c r="G2744" t="s">
        <v>26</v>
      </c>
      <c r="H2744" t="s">
        <v>21</v>
      </c>
      <c r="I2744" t="s">
        <v>20</v>
      </c>
      <c r="J2744" t="s">
        <v>20</v>
      </c>
      <c r="K2744" t="s">
        <v>41</v>
      </c>
      <c r="L2744" t="s">
        <v>57</v>
      </c>
      <c r="M2744" t="s">
        <v>58</v>
      </c>
      <c r="N2744">
        <v>41.139884000000002</v>
      </c>
      <c r="O2744">
        <v>-112.053089</v>
      </c>
      <c r="P2744">
        <v>4329.5181780000003</v>
      </c>
      <c r="Q2744">
        <v>309</v>
      </c>
      <c r="R2744">
        <v>0</v>
      </c>
    </row>
    <row r="2745" spans="1:18" x14ac:dyDescent="0.25">
      <c r="A2745">
        <v>2744</v>
      </c>
      <c r="B2745">
        <v>94</v>
      </c>
      <c r="C2745">
        <v>31309546</v>
      </c>
      <c r="D2745" t="s">
        <v>215</v>
      </c>
      <c r="E2745">
        <v>1.41</v>
      </c>
      <c r="F2745" t="s">
        <v>21</v>
      </c>
      <c r="G2745" t="s">
        <v>26</v>
      </c>
      <c r="H2745" t="s">
        <v>21</v>
      </c>
      <c r="I2745" t="s">
        <v>20</v>
      </c>
      <c r="J2745" t="s">
        <v>20</v>
      </c>
      <c r="K2745" t="s">
        <v>22</v>
      </c>
      <c r="L2745" t="s">
        <v>23</v>
      </c>
      <c r="M2745" t="s">
        <v>85</v>
      </c>
      <c r="N2745">
        <v>40.233893000000002</v>
      </c>
      <c r="O2745">
        <v>-111.69171299999999</v>
      </c>
      <c r="P2745">
        <v>4463.5474979999999</v>
      </c>
      <c r="Q2745">
        <v>330</v>
      </c>
      <c r="R2745">
        <v>0</v>
      </c>
    </row>
    <row r="2746" spans="1:18" x14ac:dyDescent="0.25">
      <c r="A2746">
        <v>2745</v>
      </c>
      <c r="B2746">
        <v>94</v>
      </c>
      <c r="C2746">
        <v>31590119</v>
      </c>
      <c r="D2746" t="s">
        <v>187</v>
      </c>
      <c r="E2746">
        <v>1.41</v>
      </c>
      <c r="F2746" t="s">
        <v>19</v>
      </c>
      <c r="G2746" t="s">
        <v>20</v>
      </c>
      <c r="H2746" t="s">
        <v>19</v>
      </c>
      <c r="I2746">
        <v>282</v>
      </c>
      <c r="J2746" t="s">
        <v>20</v>
      </c>
      <c r="K2746" t="s">
        <v>31</v>
      </c>
      <c r="L2746" t="s">
        <v>188</v>
      </c>
      <c r="M2746" t="s">
        <v>90</v>
      </c>
      <c r="N2746">
        <v>40.762287000000001</v>
      </c>
      <c r="O2746">
        <v>-111.835705</v>
      </c>
      <c r="P2746">
        <v>4781.2102370000002</v>
      </c>
      <c r="Q2746">
        <v>435</v>
      </c>
      <c r="R2746">
        <v>0</v>
      </c>
    </row>
    <row r="2747" spans="1:18" x14ac:dyDescent="0.25">
      <c r="A2747">
        <v>2746</v>
      </c>
      <c r="B2747">
        <v>94</v>
      </c>
      <c r="C2747">
        <v>31601311</v>
      </c>
      <c r="D2747" t="s">
        <v>232</v>
      </c>
      <c r="E2747">
        <v>1.41</v>
      </c>
      <c r="F2747" t="s">
        <v>21</v>
      </c>
      <c r="G2747" t="s">
        <v>26</v>
      </c>
      <c r="H2747" t="s">
        <v>21</v>
      </c>
      <c r="I2747" t="s">
        <v>20</v>
      </c>
      <c r="J2747" t="s">
        <v>20</v>
      </c>
      <c r="K2747" t="s">
        <v>31</v>
      </c>
      <c r="L2747" t="s">
        <v>209</v>
      </c>
      <c r="M2747" t="s">
        <v>131</v>
      </c>
      <c r="N2747">
        <v>40.668388</v>
      </c>
      <c r="O2747">
        <v>-111.48582500000001</v>
      </c>
      <c r="P2747">
        <v>6666.7835160000004</v>
      </c>
      <c r="Q2747">
        <v>1279</v>
      </c>
      <c r="R2747">
        <v>0</v>
      </c>
    </row>
    <row r="2748" spans="1:18" x14ac:dyDescent="0.25">
      <c r="A2748">
        <v>2747</v>
      </c>
      <c r="B2748">
        <v>94</v>
      </c>
      <c r="C2748">
        <v>535835</v>
      </c>
      <c r="D2748" t="s">
        <v>77</v>
      </c>
      <c r="E2748">
        <v>1.411</v>
      </c>
      <c r="F2748" t="s">
        <v>21</v>
      </c>
      <c r="G2748" t="s">
        <v>26</v>
      </c>
      <c r="H2748" t="s">
        <v>21</v>
      </c>
      <c r="I2748" t="s">
        <v>20</v>
      </c>
      <c r="J2748" t="s">
        <v>20</v>
      </c>
      <c r="K2748" t="s">
        <v>31</v>
      </c>
      <c r="L2748" t="s">
        <v>78</v>
      </c>
      <c r="M2748" t="s">
        <v>79</v>
      </c>
      <c r="N2748">
        <v>40.659112999999998</v>
      </c>
      <c r="O2748">
        <v>-112.024664</v>
      </c>
      <c r="P2748">
        <v>4671.042727</v>
      </c>
      <c r="Q2748">
        <v>1436</v>
      </c>
      <c r="R2748">
        <v>0</v>
      </c>
    </row>
    <row r="2749" spans="1:18" x14ac:dyDescent="0.25">
      <c r="A2749">
        <v>2748</v>
      </c>
      <c r="B2749">
        <v>94</v>
      </c>
      <c r="C2749">
        <v>31651614</v>
      </c>
      <c r="D2749" t="s">
        <v>109</v>
      </c>
      <c r="E2749">
        <v>1.415</v>
      </c>
      <c r="F2749" t="s">
        <v>21</v>
      </c>
      <c r="G2749" t="s">
        <v>26</v>
      </c>
      <c r="H2749" t="s">
        <v>21</v>
      </c>
      <c r="I2749" t="s">
        <v>20</v>
      </c>
      <c r="J2749" t="s">
        <v>20</v>
      </c>
      <c r="K2749" t="s">
        <v>41</v>
      </c>
      <c r="L2749" t="s">
        <v>42</v>
      </c>
      <c r="M2749" t="s">
        <v>73</v>
      </c>
      <c r="N2749">
        <v>41.582965999999999</v>
      </c>
      <c r="O2749">
        <v>-111.83852899999999</v>
      </c>
      <c r="P2749">
        <v>4792.0773740000004</v>
      </c>
      <c r="Q2749">
        <v>345</v>
      </c>
      <c r="R2749">
        <v>0</v>
      </c>
    </row>
    <row r="2750" spans="1:18" x14ac:dyDescent="0.25">
      <c r="A2750">
        <v>2749</v>
      </c>
      <c r="B2750">
        <v>94</v>
      </c>
      <c r="C2750">
        <v>31860497</v>
      </c>
      <c r="D2750" t="s">
        <v>135</v>
      </c>
      <c r="E2750">
        <v>1.415</v>
      </c>
      <c r="F2750" t="s">
        <v>21</v>
      </c>
      <c r="G2750" t="s">
        <v>26</v>
      </c>
      <c r="H2750" t="s">
        <v>21</v>
      </c>
      <c r="I2750" t="s">
        <v>20</v>
      </c>
      <c r="J2750" t="s">
        <v>20</v>
      </c>
      <c r="K2750" t="s">
        <v>31</v>
      </c>
      <c r="L2750" t="s">
        <v>48</v>
      </c>
      <c r="M2750" t="s">
        <v>144</v>
      </c>
      <c r="N2750">
        <v>40.562216999999997</v>
      </c>
      <c r="O2750">
        <v>-111.950013</v>
      </c>
      <c r="P2750">
        <v>4454.3452950000001</v>
      </c>
      <c r="Q2750">
        <v>1423</v>
      </c>
      <c r="R2750">
        <v>0</v>
      </c>
    </row>
    <row r="2751" spans="1:18" x14ac:dyDescent="0.25">
      <c r="A2751">
        <v>2750</v>
      </c>
      <c r="B2751">
        <v>94</v>
      </c>
      <c r="C2751">
        <v>27527255</v>
      </c>
      <c r="D2751" t="s">
        <v>157</v>
      </c>
      <c r="E2751">
        <v>1.417</v>
      </c>
      <c r="F2751" t="s">
        <v>21</v>
      </c>
      <c r="G2751" t="s">
        <v>26</v>
      </c>
      <c r="H2751" t="s">
        <v>21</v>
      </c>
      <c r="I2751" t="s">
        <v>20</v>
      </c>
      <c r="J2751" t="s">
        <v>20</v>
      </c>
      <c r="K2751" t="s">
        <v>27</v>
      </c>
      <c r="L2751" t="s">
        <v>158</v>
      </c>
      <c r="M2751" t="s">
        <v>159</v>
      </c>
      <c r="N2751">
        <v>39.599553</v>
      </c>
      <c r="O2751">
        <v>-110.803578</v>
      </c>
      <c r="P2751">
        <v>5520.0257069999998</v>
      </c>
      <c r="Q2751">
        <v>1360</v>
      </c>
      <c r="R2751">
        <v>0</v>
      </c>
    </row>
    <row r="2752" spans="1:18" x14ac:dyDescent="0.25">
      <c r="A2752">
        <v>2751</v>
      </c>
      <c r="B2752">
        <v>94</v>
      </c>
      <c r="C2752">
        <v>31658677</v>
      </c>
      <c r="D2752" t="s">
        <v>156</v>
      </c>
      <c r="E2752">
        <v>1.417</v>
      </c>
      <c r="F2752" t="s">
        <v>21</v>
      </c>
      <c r="G2752" t="s">
        <v>26</v>
      </c>
      <c r="H2752" t="s">
        <v>21</v>
      </c>
      <c r="I2752" t="s">
        <v>20</v>
      </c>
      <c r="J2752" t="s">
        <v>20</v>
      </c>
      <c r="K2752" t="s">
        <v>41</v>
      </c>
      <c r="L2752" t="s">
        <v>81</v>
      </c>
      <c r="M2752" t="s">
        <v>93</v>
      </c>
      <c r="N2752">
        <v>41.279890000000002</v>
      </c>
      <c r="O2752">
        <v>-111.969222</v>
      </c>
      <c r="P2752">
        <v>4270.6151110000001</v>
      </c>
      <c r="Q2752">
        <v>424</v>
      </c>
      <c r="R2752">
        <v>0</v>
      </c>
    </row>
    <row r="2753" spans="1:18" x14ac:dyDescent="0.25">
      <c r="A2753">
        <v>2752</v>
      </c>
      <c r="B2753">
        <v>94</v>
      </c>
      <c r="C2753">
        <v>1368466</v>
      </c>
      <c r="D2753" t="s">
        <v>100</v>
      </c>
      <c r="E2753">
        <v>1.4179999999999999</v>
      </c>
      <c r="F2753" t="s">
        <v>21</v>
      </c>
      <c r="G2753" t="s">
        <v>26</v>
      </c>
      <c r="H2753" t="s">
        <v>21</v>
      </c>
      <c r="I2753" t="s">
        <v>20</v>
      </c>
      <c r="J2753" t="s">
        <v>20</v>
      </c>
      <c r="K2753" t="s">
        <v>41</v>
      </c>
      <c r="L2753" t="s">
        <v>57</v>
      </c>
      <c r="M2753" t="s">
        <v>46</v>
      </c>
      <c r="N2753">
        <v>41.089072000000002</v>
      </c>
      <c r="O2753">
        <v>-112.015022</v>
      </c>
      <c r="P2753">
        <v>4373.3988230000004</v>
      </c>
      <c r="Q2753">
        <v>1396</v>
      </c>
      <c r="R2753">
        <v>0</v>
      </c>
    </row>
    <row r="2754" spans="1:18" x14ac:dyDescent="0.25">
      <c r="A2754">
        <v>2753</v>
      </c>
      <c r="B2754">
        <v>94</v>
      </c>
      <c r="C2754">
        <v>27965082</v>
      </c>
      <c r="D2754" t="s">
        <v>59</v>
      </c>
      <c r="E2754">
        <v>1.288</v>
      </c>
      <c r="F2754" t="s">
        <v>21</v>
      </c>
      <c r="G2754" t="s">
        <v>26</v>
      </c>
      <c r="H2754" t="s">
        <v>21</v>
      </c>
      <c r="I2754" t="s">
        <v>20</v>
      </c>
      <c r="J2754" t="s">
        <v>20</v>
      </c>
      <c r="K2754" t="s">
        <v>22</v>
      </c>
      <c r="L2754" t="s">
        <v>60</v>
      </c>
      <c r="M2754" t="s">
        <v>24</v>
      </c>
      <c r="N2754">
        <v>40.312119000000003</v>
      </c>
      <c r="O2754">
        <v>-111.71027100000001</v>
      </c>
      <c r="P2754">
        <v>4690.4507059999996</v>
      </c>
      <c r="Q2754">
        <v>313</v>
      </c>
      <c r="R2754">
        <v>0</v>
      </c>
    </row>
    <row r="2755" spans="1:18" x14ac:dyDescent="0.25">
      <c r="A2755">
        <v>2754</v>
      </c>
      <c r="B2755">
        <v>94</v>
      </c>
      <c r="C2755">
        <v>1628606</v>
      </c>
      <c r="D2755" t="s">
        <v>180</v>
      </c>
      <c r="E2755">
        <v>1.2889999999999999</v>
      </c>
      <c r="F2755" t="s">
        <v>21</v>
      </c>
      <c r="G2755" t="s">
        <v>26</v>
      </c>
      <c r="H2755" t="s">
        <v>21</v>
      </c>
      <c r="I2755" t="s">
        <v>20</v>
      </c>
      <c r="J2755" t="s">
        <v>20</v>
      </c>
      <c r="K2755" t="s">
        <v>41</v>
      </c>
      <c r="L2755" t="s">
        <v>181</v>
      </c>
      <c r="M2755" t="s">
        <v>117</v>
      </c>
      <c r="N2755">
        <v>41.730744000000001</v>
      </c>
      <c r="O2755">
        <v>-112.16233800000001</v>
      </c>
      <c r="P2755">
        <v>4282.4174789999997</v>
      </c>
      <c r="Q2755">
        <v>1379</v>
      </c>
      <c r="R2755">
        <v>0</v>
      </c>
    </row>
    <row r="2756" spans="1:18" x14ac:dyDescent="0.25">
      <c r="A2756">
        <v>2755</v>
      </c>
      <c r="B2756">
        <v>94</v>
      </c>
      <c r="C2756">
        <v>27578235</v>
      </c>
      <c r="D2756" t="s">
        <v>201</v>
      </c>
      <c r="E2756">
        <v>1.2909999999999999</v>
      </c>
      <c r="F2756" t="s">
        <v>21</v>
      </c>
      <c r="G2756" t="s">
        <v>26</v>
      </c>
      <c r="H2756" t="s">
        <v>21</v>
      </c>
      <c r="I2756" t="s">
        <v>20</v>
      </c>
      <c r="J2756" t="s">
        <v>20</v>
      </c>
      <c r="K2756" t="s">
        <v>27</v>
      </c>
      <c r="L2756" t="s">
        <v>202</v>
      </c>
      <c r="M2756" t="s">
        <v>104</v>
      </c>
      <c r="N2756">
        <v>39.097707</v>
      </c>
      <c r="O2756">
        <v>-112.27091799999999</v>
      </c>
      <c r="P2756">
        <v>5035.0173269999996</v>
      </c>
      <c r="Q2756">
        <v>1366</v>
      </c>
      <c r="R2756">
        <v>0</v>
      </c>
    </row>
    <row r="2757" spans="1:18" x14ac:dyDescent="0.25">
      <c r="A2757">
        <v>2756</v>
      </c>
      <c r="B2757">
        <v>94</v>
      </c>
      <c r="C2757">
        <v>31643028</v>
      </c>
      <c r="D2757" t="s">
        <v>519</v>
      </c>
      <c r="E2757">
        <v>1.2909999999999999</v>
      </c>
      <c r="F2757" t="s">
        <v>21</v>
      </c>
      <c r="G2757" t="s">
        <v>20</v>
      </c>
      <c r="H2757" t="s">
        <v>21</v>
      </c>
      <c r="I2757" t="s">
        <v>20</v>
      </c>
      <c r="J2757" t="s">
        <v>20</v>
      </c>
      <c r="K2757" t="s">
        <v>27</v>
      </c>
      <c r="L2757" t="s">
        <v>158</v>
      </c>
      <c r="M2757" t="s">
        <v>159</v>
      </c>
      <c r="N2757">
        <v>39.664188000000003</v>
      </c>
      <c r="O2757">
        <v>-110.855611</v>
      </c>
      <c r="P2757">
        <v>5698.3341600000003</v>
      </c>
      <c r="Q2757">
        <v>1415</v>
      </c>
      <c r="R2757">
        <v>0</v>
      </c>
    </row>
    <row r="2758" spans="1:18" x14ac:dyDescent="0.25">
      <c r="A2758">
        <v>2757</v>
      </c>
      <c r="B2758">
        <v>94</v>
      </c>
      <c r="C2758">
        <v>483895</v>
      </c>
      <c r="D2758" t="s">
        <v>83</v>
      </c>
      <c r="E2758">
        <v>1.2909999999999999</v>
      </c>
      <c r="F2758" t="s">
        <v>21</v>
      </c>
      <c r="G2758" t="s">
        <v>26</v>
      </c>
      <c r="H2758" t="s">
        <v>21</v>
      </c>
      <c r="I2758" t="s">
        <v>20</v>
      </c>
      <c r="J2758" t="s">
        <v>20</v>
      </c>
      <c r="K2758" t="s">
        <v>22</v>
      </c>
      <c r="L2758" t="s">
        <v>84</v>
      </c>
      <c r="M2758" t="s">
        <v>85</v>
      </c>
      <c r="N2758">
        <v>40.395530999999998</v>
      </c>
      <c r="O2758">
        <v>-111.795878</v>
      </c>
      <c r="P2758">
        <v>4678.3406349999996</v>
      </c>
      <c r="Q2758">
        <v>319</v>
      </c>
      <c r="R2758">
        <v>0</v>
      </c>
    </row>
    <row r="2759" spans="1:18" x14ac:dyDescent="0.25">
      <c r="A2759">
        <v>2758</v>
      </c>
      <c r="B2759">
        <v>94</v>
      </c>
      <c r="C2759">
        <v>27682565</v>
      </c>
      <c r="D2759" t="s">
        <v>217</v>
      </c>
      <c r="E2759">
        <v>1.294</v>
      </c>
      <c r="F2759" t="s">
        <v>21</v>
      </c>
      <c r="G2759" t="s">
        <v>26</v>
      </c>
      <c r="H2759" t="s">
        <v>21</v>
      </c>
      <c r="I2759" t="s">
        <v>20</v>
      </c>
      <c r="J2759" t="s">
        <v>20</v>
      </c>
      <c r="K2759" t="s">
        <v>27</v>
      </c>
      <c r="L2759" t="s">
        <v>72</v>
      </c>
      <c r="M2759" t="s">
        <v>163</v>
      </c>
      <c r="N2759">
        <v>37.099527000000002</v>
      </c>
      <c r="O2759">
        <v>-113.588296</v>
      </c>
      <c r="P2759">
        <v>2591.6808959999998</v>
      </c>
      <c r="Q2759">
        <v>304</v>
      </c>
      <c r="R2759">
        <v>0</v>
      </c>
    </row>
    <row r="2760" spans="1:18" x14ac:dyDescent="0.25">
      <c r="A2760">
        <v>2759</v>
      </c>
      <c r="B2760">
        <v>94</v>
      </c>
      <c r="C2760" t="s">
        <v>520</v>
      </c>
      <c r="D2760" t="s">
        <v>403</v>
      </c>
      <c r="E2760">
        <v>1.2949999999999999</v>
      </c>
      <c r="F2760" t="s">
        <v>19</v>
      </c>
      <c r="G2760" t="s">
        <v>20</v>
      </c>
      <c r="H2760" t="s">
        <v>19</v>
      </c>
      <c r="I2760">
        <v>18</v>
      </c>
      <c r="J2760" t="s">
        <v>20</v>
      </c>
      <c r="K2760" t="s">
        <v>27</v>
      </c>
      <c r="L2760" t="s">
        <v>72</v>
      </c>
      <c r="M2760" t="s">
        <v>73</v>
      </c>
      <c r="N2760">
        <v>37.124619000000003</v>
      </c>
      <c r="O2760">
        <v>-113.600343</v>
      </c>
      <c r="P2760">
        <v>2823.0509649999999</v>
      </c>
      <c r="Q2760">
        <v>303</v>
      </c>
      <c r="R2760">
        <v>0</v>
      </c>
    </row>
    <row r="2761" spans="1:18" x14ac:dyDescent="0.25">
      <c r="A2761">
        <v>2760</v>
      </c>
      <c r="B2761">
        <v>94</v>
      </c>
      <c r="C2761">
        <v>31621812</v>
      </c>
      <c r="D2761" t="s">
        <v>185</v>
      </c>
      <c r="E2761">
        <v>1.2949999999999999</v>
      </c>
      <c r="F2761" t="s">
        <v>21</v>
      </c>
      <c r="G2761" t="s">
        <v>26</v>
      </c>
      <c r="H2761" t="s">
        <v>21</v>
      </c>
      <c r="I2761" t="s">
        <v>20</v>
      </c>
      <c r="J2761" t="s">
        <v>20</v>
      </c>
      <c r="K2761" t="s">
        <v>41</v>
      </c>
      <c r="L2761" t="s">
        <v>57</v>
      </c>
      <c r="M2761" t="s">
        <v>58</v>
      </c>
      <c r="N2761">
        <v>41.139884000000002</v>
      </c>
      <c r="O2761">
        <v>-112.050968</v>
      </c>
      <c r="P2761">
        <v>4336.8337579999998</v>
      </c>
      <c r="Q2761">
        <v>309</v>
      </c>
      <c r="R2761">
        <v>0</v>
      </c>
    </row>
    <row r="2762" spans="1:18" x14ac:dyDescent="0.25">
      <c r="A2762">
        <v>2761</v>
      </c>
      <c r="B2762">
        <v>94</v>
      </c>
      <c r="C2762">
        <v>31655765</v>
      </c>
      <c r="D2762" t="s">
        <v>71</v>
      </c>
      <c r="E2762">
        <v>1.4830000000000001</v>
      </c>
      <c r="F2762" t="s">
        <v>21</v>
      </c>
      <c r="G2762" t="s">
        <v>26</v>
      </c>
      <c r="H2762" t="s">
        <v>21</v>
      </c>
      <c r="I2762" t="s">
        <v>20</v>
      </c>
      <c r="J2762" t="s">
        <v>20</v>
      </c>
      <c r="K2762" t="s">
        <v>27</v>
      </c>
      <c r="L2762" t="s">
        <v>72</v>
      </c>
      <c r="M2762" t="s">
        <v>73</v>
      </c>
      <c r="N2762">
        <v>37.242811000000003</v>
      </c>
      <c r="O2762">
        <v>-113.353218</v>
      </c>
      <c r="P2762">
        <v>3482.149414</v>
      </c>
      <c r="Q2762">
        <v>423</v>
      </c>
      <c r="R2762">
        <v>0</v>
      </c>
    </row>
    <row r="2763" spans="1:18" x14ac:dyDescent="0.25">
      <c r="A2763">
        <v>2762</v>
      </c>
      <c r="B2763">
        <v>94</v>
      </c>
      <c r="C2763" t="e">
        <f>-JMSTRJXIaiWyMYxBq5ZkF</f>
        <v>#NAME?</v>
      </c>
      <c r="D2763" t="s">
        <v>187</v>
      </c>
      <c r="E2763">
        <v>1.4850000000000001</v>
      </c>
      <c r="F2763" t="s">
        <v>19</v>
      </c>
      <c r="G2763" t="s">
        <v>20</v>
      </c>
      <c r="H2763" t="s">
        <v>21</v>
      </c>
      <c r="I2763" t="s">
        <v>20</v>
      </c>
      <c r="J2763" t="s">
        <v>20</v>
      </c>
      <c r="K2763" t="s">
        <v>31</v>
      </c>
      <c r="L2763" t="s">
        <v>188</v>
      </c>
      <c r="M2763" t="s">
        <v>90</v>
      </c>
      <c r="N2763">
        <v>40.763356000000002</v>
      </c>
      <c r="O2763">
        <v>-111.83591699999999</v>
      </c>
      <c r="P2763">
        <v>4779.802882</v>
      </c>
      <c r="Q2763">
        <v>435</v>
      </c>
      <c r="R2763">
        <v>0</v>
      </c>
    </row>
    <row r="2764" spans="1:18" x14ac:dyDescent="0.25">
      <c r="A2764">
        <v>2763</v>
      </c>
      <c r="B2764">
        <v>94</v>
      </c>
      <c r="C2764">
        <v>1139921</v>
      </c>
      <c r="D2764" t="s">
        <v>108</v>
      </c>
      <c r="E2764">
        <v>1.4870000000000001</v>
      </c>
      <c r="F2764" t="s">
        <v>19</v>
      </c>
      <c r="G2764" t="s">
        <v>20</v>
      </c>
      <c r="H2764" t="s">
        <v>21</v>
      </c>
      <c r="I2764" t="s">
        <v>20</v>
      </c>
      <c r="J2764" t="s">
        <v>20</v>
      </c>
      <c r="K2764" t="s">
        <v>41</v>
      </c>
      <c r="L2764" t="s">
        <v>81</v>
      </c>
      <c r="M2764" t="s">
        <v>93</v>
      </c>
      <c r="N2764">
        <v>41.178007000000001</v>
      </c>
      <c r="O2764">
        <v>-112.001166</v>
      </c>
      <c r="P2764">
        <v>4311.4764720000003</v>
      </c>
      <c r="Q2764">
        <v>1341</v>
      </c>
      <c r="R2764">
        <v>0</v>
      </c>
    </row>
    <row r="2765" spans="1:18" x14ac:dyDescent="0.25">
      <c r="A2765">
        <v>2764</v>
      </c>
      <c r="B2765">
        <v>94</v>
      </c>
      <c r="C2765">
        <v>1105328</v>
      </c>
      <c r="D2765" t="s">
        <v>195</v>
      </c>
      <c r="E2765">
        <v>1.718</v>
      </c>
      <c r="F2765" t="s">
        <v>21</v>
      </c>
      <c r="G2765" t="s">
        <v>26</v>
      </c>
      <c r="H2765" t="s">
        <v>21</v>
      </c>
      <c r="I2765" t="s">
        <v>20</v>
      </c>
      <c r="J2765" t="s">
        <v>20</v>
      </c>
      <c r="K2765" t="s">
        <v>41</v>
      </c>
      <c r="L2765" t="s">
        <v>57</v>
      </c>
      <c r="M2765" t="s">
        <v>190</v>
      </c>
      <c r="N2765">
        <v>41.089221000000002</v>
      </c>
      <c r="O2765">
        <v>-112.079746</v>
      </c>
      <c r="P2765">
        <v>4197.0901199999998</v>
      </c>
      <c r="Q2765">
        <v>334</v>
      </c>
      <c r="R2765">
        <v>0</v>
      </c>
    </row>
    <row r="2766" spans="1:18" x14ac:dyDescent="0.25">
      <c r="A2766">
        <v>2765</v>
      </c>
      <c r="B2766">
        <v>94</v>
      </c>
      <c r="C2766">
        <v>27527468</v>
      </c>
      <c r="D2766" t="s">
        <v>157</v>
      </c>
      <c r="E2766">
        <v>1.7190000000000001</v>
      </c>
      <c r="F2766" t="s">
        <v>19</v>
      </c>
      <c r="G2766" t="s">
        <v>20</v>
      </c>
      <c r="H2766" t="s">
        <v>21</v>
      </c>
      <c r="I2766" t="s">
        <v>20</v>
      </c>
      <c r="J2766" t="s">
        <v>20</v>
      </c>
      <c r="K2766" t="s">
        <v>27</v>
      </c>
      <c r="L2766" t="s">
        <v>158</v>
      </c>
      <c r="M2766" t="s">
        <v>159</v>
      </c>
      <c r="N2766">
        <v>39.599569000000002</v>
      </c>
      <c r="O2766">
        <v>-110.797911</v>
      </c>
      <c r="P2766">
        <v>5524.69524</v>
      </c>
      <c r="Q2766">
        <v>1360</v>
      </c>
      <c r="R2766">
        <v>0</v>
      </c>
    </row>
    <row r="2767" spans="1:18" x14ac:dyDescent="0.25">
      <c r="A2767">
        <v>2766</v>
      </c>
      <c r="B2767">
        <v>94</v>
      </c>
      <c r="C2767">
        <v>1403725</v>
      </c>
      <c r="D2767" t="s">
        <v>88</v>
      </c>
      <c r="E2767">
        <v>1.7210000000000001</v>
      </c>
      <c r="F2767" t="s">
        <v>21</v>
      </c>
      <c r="G2767" t="s">
        <v>26</v>
      </c>
      <c r="H2767" t="s">
        <v>21</v>
      </c>
      <c r="I2767" t="s">
        <v>20</v>
      </c>
      <c r="J2767" t="s">
        <v>20</v>
      </c>
      <c r="K2767" t="s">
        <v>31</v>
      </c>
      <c r="L2767" t="s">
        <v>89</v>
      </c>
      <c r="M2767" t="s">
        <v>90</v>
      </c>
      <c r="N2767">
        <v>40.522323999999998</v>
      </c>
      <c r="O2767">
        <v>-111.95122600000001</v>
      </c>
      <c r="P2767">
        <v>4431.6812149999996</v>
      </c>
      <c r="Q2767">
        <v>318</v>
      </c>
      <c r="R2767">
        <v>0</v>
      </c>
    </row>
    <row r="2768" spans="1:18" x14ac:dyDescent="0.25">
      <c r="A2768">
        <v>2767</v>
      </c>
      <c r="B2768">
        <v>94</v>
      </c>
      <c r="C2768">
        <v>27299172</v>
      </c>
      <c r="D2768" t="s">
        <v>150</v>
      </c>
      <c r="E2768">
        <v>1.7230000000000001</v>
      </c>
      <c r="F2768" t="s">
        <v>21</v>
      </c>
      <c r="G2768" t="s">
        <v>26</v>
      </c>
      <c r="H2768" t="s">
        <v>21</v>
      </c>
      <c r="I2768" t="s">
        <v>20</v>
      </c>
      <c r="J2768" t="s">
        <v>20</v>
      </c>
      <c r="K2768" t="s">
        <v>27</v>
      </c>
      <c r="L2768" t="s">
        <v>151</v>
      </c>
      <c r="M2768" t="s">
        <v>152</v>
      </c>
      <c r="N2768">
        <v>38.995503999999997</v>
      </c>
      <c r="O2768">
        <v>-110.15987</v>
      </c>
      <c r="P2768">
        <v>4000.0531449999999</v>
      </c>
      <c r="Q2768">
        <v>1336</v>
      </c>
      <c r="R2768">
        <v>0</v>
      </c>
    </row>
    <row r="2769" spans="1:18" x14ac:dyDescent="0.25">
      <c r="A2769">
        <v>2768</v>
      </c>
      <c r="B2769">
        <v>94</v>
      </c>
      <c r="C2769">
        <v>31548317</v>
      </c>
      <c r="D2769" t="s">
        <v>102</v>
      </c>
      <c r="E2769">
        <v>1.7250000000000001</v>
      </c>
      <c r="F2769" t="s">
        <v>21</v>
      </c>
      <c r="G2769" t="s">
        <v>26</v>
      </c>
      <c r="H2769" t="s">
        <v>21</v>
      </c>
      <c r="I2769" t="s">
        <v>20</v>
      </c>
      <c r="J2769" t="s">
        <v>20</v>
      </c>
      <c r="K2769" t="s">
        <v>27</v>
      </c>
      <c r="L2769" t="s">
        <v>103</v>
      </c>
      <c r="M2769" t="s">
        <v>104</v>
      </c>
      <c r="N2769">
        <v>38.270116999999999</v>
      </c>
      <c r="O2769">
        <v>-112.641318</v>
      </c>
      <c r="P2769">
        <v>5804.0559030000004</v>
      </c>
      <c r="Q2769">
        <v>1430</v>
      </c>
      <c r="R2769">
        <v>0</v>
      </c>
    </row>
    <row r="2770" spans="1:18" x14ac:dyDescent="0.25">
      <c r="A2770">
        <v>2769</v>
      </c>
      <c r="B2770">
        <v>94</v>
      </c>
      <c r="C2770">
        <v>31194258</v>
      </c>
      <c r="D2770" t="s">
        <v>395</v>
      </c>
      <c r="E2770">
        <v>1.7250000000000001</v>
      </c>
      <c r="F2770" t="s">
        <v>21</v>
      </c>
      <c r="G2770" t="s">
        <v>26</v>
      </c>
      <c r="H2770" t="s">
        <v>21</v>
      </c>
      <c r="I2770" t="s">
        <v>20</v>
      </c>
      <c r="J2770" t="s">
        <v>20</v>
      </c>
      <c r="K2770" t="s">
        <v>27</v>
      </c>
      <c r="L2770" t="s">
        <v>165</v>
      </c>
      <c r="M2770" t="s">
        <v>166</v>
      </c>
      <c r="N2770">
        <v>38.818556999999998</v>
      </c>
      <c r="O2770">
        <v>-112.43444</v>
      </c>
      <c r="P2770">
        <v>4872.2616520000001</v>
      </c>
      <c r="Q2770">
        <v>335</v>
      </c>
      <c r="R2770">
        <v>0</v>
      </c>
    </row>
    <row r="2771" spans="1:18" x14ac:dyDescent="0.25">
      <c r="A2771">
        <v>2770</v>
      </c>
      <c r="B2771">
        <v>94</v>
      </c>
      <c r="C2771">
        <v>31533718</v>
      </c>
      <c r="D2771" t="s">
        <v>53</v>
      </c>
      <c r="E2771">
        <v>1.917</v>
      </c>
      <c r="F2771" t="s">
        <v>19</v>
      </c>
      <c r="G2771" t="s">
        <v>20</v>
      </c>
      <c r="H2771" t="s">
        <v>21</v>
      </c>
      <c r="I2771" t="s">
        <v>20</v>
      </c>
      <c r="J2771" t="s">
        <v>20</v>
      </c>
      <c r="K2771" t="s">
        <v>27</v>
      </c>
      <c r="L2771" t="s">
        <v>54</v>
      </c>
      <c r="M2771" t="s">
        <v>55</v>
      </c>
      <c r="N2771">
        <v>37.677366999999997</v>
      </c>
      <c r="O2771">
        <v>-113.0669</v>
      </c>
      <c r="P2771">
        <v>5751.4341000000004</v>
      </c>
      <c r="Q2771">
        <v>1285</v>
      </c>
      <c r="R2771">
        <v>0</v>
      </c>
    </row>
    <row r="2772" spans="1:18" x14ac:dyDescent="0.25">
      <c r="A2772">
        <v>2771</v>
      </c>
      <c r="B2772">
        <v>94</v>
      </c>
      <c r="C2772">
        <v>31192655</v>
      </c>
      <c r="D2772" t="s">
        <v>153</v>
      </c>
      <c r="E2772">
        <v>1.919</v>
      </c>
      <c r="F2772" t="s">
        <v>21</v>
      </c>
      <c r="G2772" t="s">
        <v>26</v>
      </c>
      <c r="H2772" t="s">
        <v>21</v>
      </c>
      <c r="I2772" t="s">
        <v>20</v>
      </c>
      <c r="J2772" t="s">
        <v>20</v>
      </c>
      <c r="K2772" t="s">
        <v>22</v>
      </c>
      <c r="L2772" t="s">
        <v>84</v>
      </c>
      <c r="M2772" t="s">
        <v>85</v>
      </c>
      <c r="N2772">
        <v>40.385609000000002</v>
      </c>
      <c r="O2772">
        <v>-111.739816</v>
      </c>
      <c r="P2772">
        <v>4634.4756369999996</v>
      </c>
      <c r="R2772">
        <v>0</v>
      </c>
    </row>
    <row r="2773" spans="1:18" x14ac:dyDescent="0.25">
      <c r="A2773">
        <v>2772</v>
      </c>
      <c r="B2773">
        <v>94</v>
      </c>
      <c r="C2773">
        <v>31388126</v>
      </c>
      <c r="D2773" t="s">
        <v>364</v>
      </c>
      <c r="E2773">
        <v>1.919</v>
      </c>
      <c r="F2773" t="s">
        <v>21</v>
      </c>
      <c r="G2773" t="s">
        <v>26</v>
      </c>
      <c r="H2773" t="s">
        <v>21</v>
      </c>
      <c r="I2773" t="s">
        <v>20</v>
      </c>
      <c r="J2773" t="s">
        <v>20</v>
      </c>
      <c r="K2773" t="s">
        <v>22</v>
      </c>
      <c r="L2773" t="s">
        <v>198</v>
      </c>
      <c r="M2773" t="s">
        <v>85</v>
      </c>
      <c r="N2773">
        <v>40.072493000000001</v>
      </c>
      <c r="O2773">
        <v>-111.732158</v>
      </c>
      <c r="P2773">
        <v>4480.9671259999996</v>
      </c>
      <c r="Q2773">
        <v>1401</v>
      </c>
      <c r="R2773">
        <v>0</v>
      </c>
    </row>
    <row r="2774" spans="1:18" x14ac:dyDescent="0.25">
      <c r="A2774">
        <v>2773</v>
      </c>
      <c r="B2774">
        <v>94</v>
      </c>
      <c r="C2774">
        <v>954165</v>
      </c>
      <c r="D2774" t="s">
        <v>65</v>
      </c>
      <c r="E2774">
        <v>1.92</v>
      </c>
      <c r="F2774" t="s">
        <v>19</v>
      </c>
      <c r="G2774" t="s">
        <v>20</v>
      </c>
      <c r="H2774" t="s">
        <v>21</v>
      </c>
      <c r="I2774" t="s">
        <v>20</v>
      </c>
      <c r="J2774" t="s">
        <v>20</v>
      </c>
      <c r="K2774" t="s">
        <v>31</v>
      </c>
      <c r="L2774" t="s">
        <v>66</v>
      </c>
      <c r="M2774" t="s">
        <v>67</v>
      </c>
      <c r="N2774">
        <v>40.771532999999998</v>
      </c>
      <c r="O2774">
        <v>-111.888273</v>
      </c>
      <c r="P2774">
        <v>4304.8463840000004</v>
      </c>
      <c r="Q2774">
        <v>402</v>
      </c>
      <c r="R2774">
        <v>0</v>
      </c>
    </row>
    <row r="2775" spans="1:18" x14ac:dyDescent="0.25">
      <c r="A2775">
        <v>2774</v>
      </c>
      <c r="B2775">
        <v>94</v>
      </c>
      <c r="C2775">
        <v>31370544</v>
      </c>
      <c r="D2775" t="s">
        <v>199</v>
      </c>
      <c r="E2775">
        <v>1.9239999999999999</v>
      </c>
      <c r="F2775" t="s">
        <v>21</v>
      </c>
      <c r="G2775" t="s">
        <v>20</v>
      </c>
      <c r="H2775" t="s">
        <v>21</v>
      </c>
      <c r="I2775" t="s">
        <v>20</v>
      </c>
      <c r="J2775" t="s">
        <v>20</v>
      </c>
      <c r="K2775" t="s">
        <v>27</v>
      </c>
      <c r="L2775" t="s">
        <v>103</v>
      </c>
      <c r="M2775" t="s">
        <v>200</v>
      </c>
      <c r="N2775">
        <v>38.276797999999999</v>
      </c>
      <c r="O2775">
        <v>-112.606081</v>
      </c>
      <c r="P2775">
        <v>5956.4049230000001</v>
      </c>
      <c r="Q2775">
        <v>341</v>
      </c>
      <c r="R2775">
        <v>0</v>
      </c>
    </row>
    <row r="2776" spans="1:18" x14ac:dyDescent="0.25">
      <c r="A2776">
        <v>2775</v>
      </c>
      <c r="B2776">
        <v>94</v>
      </c>
      <c r="C2776">
        <v>1679882</v>
      </c>
      <c r="D2776" t="s">
        <v>180</v>
      </c>
      <c r="E2776">
        <v>1.925</v>
      </c>
      <c r="F2776" t="s">
        <v>21</v>
      </c>
      <c r="G2776" t="s">
        <v>26</v>
      </c>
      <c r="H2776" t="s">
        <v>21</v>
      </c>
      <c r="I2776" t="s">
        <v>20</v>
      </c>
      <c r="J2776" t="s">
        <v>20</v>
      </c>
      <c r="K2776" t="s">
        <v>41</v>
      </c>
      <c r="L2776" t="s">
        <v>181</v>
      </c>
      <c r="M2776" t="s">
        <v>117</v>
      </c>
      <c r="N2776">
        <v>41.740060999999997</v>
      </c>
      <c r="O2776">
        <v>-112.162612</v>
      </c>
      <c r="P2776">
        <v>4287.8307949999999</v>
      </c>
      <c r="Q2776">
        <v>1379</v>
      </c>
      <c r="R2776">
        <v>0</v>
      </c>
    </row>
    <row r="2777" spans="1:18" x14ac:dyDescent="0.25">
      <c r="A2777">
        <v>2776</v>
      </c>
      <c r="B2777">
        <v>94</v>
      </c>
      <c r="C2777">
        <v>31406538</v>
      </c>
      <c r="D2777" t="s">
        <v>74</v>
      </c>
      <c r="E2777">
        <v>1.927</v>
      </c>
      <c r="F2777" t="s">
        <v>21</v>
      </c>
      <c r="G2777" t="s">
        <v>26</v>
      </c>
      <c r="H2777" t="s">
        <v>21</v>
      </c>
      <c r="I2777" t="s">
        <v>20</v>
      </c>
      <c r="J2777" t="s">
        <v>20</v>
      </c>
      <c r="K2777" t="s">
        <v>27</v>
      </c>
      <c r="L2777" t="s">
        <v>75</v>
      </c>
      <c r="M2777" t="s">
        <v>76</v>
      </c>
      <c r="N2777">
        <v>38.762524999999997</v>
      </c>
      <c r="O2777">
        <v>-112.084772</v>
      </c>
      <c r="P2777">
        <v>5246.3979980000004</v>
      </c>
      <c r="Q2777">
        <v>332</v>
      </c>
      <c r="R2777">
        <v>0</v>
      </c>
    </row>
    <row r="2778" spans="1:18" x14ac:dyDescent="0.25">
      <c r="A2778">
        <v>2777</v>
      </c>
      <c r="B2778">
        <v>94</v>
      </c>
      <c r="C2778" t="e">
        <f>-IoIEDPzF2PdDADMbQ0psF</f>
        <v>#NAME?</v>
      </c>
      <c r="D2778" t="s">
        <v>408</v>
      </c>
      <c r="E2778">
        <v>1.927</v>
      </c>
      <c r="F2778" t="s">
        <v>21</v>
      </c>
      <c r="G2778" t="s">
        <v>26</v>
      </c>
      <c r="H2778" t="s">
        <v>21</v>
      </c>
      <c r="I2778" t="s">
        <v>20</v>
      </c>
      <c r="J2778" t="s">
        <v>20</v>
      </c>
      <c r="K2778" t="s">
        <v>27</v>
      </c>
      <c r="L2778" t="s">
        <v>75</v>
      </c>
      <c r="M2778" t="s">
        <v>366</v>
      </c>
      <c r="N2778">
        <v>38.687719000000001</v>
      </c>
      <c r="O2778">
        <v>-112.12315099999999</v>
      </c>
      <c r="P2778">
        <v>5281.9330330000003</v>
      </c>
      <c r="Q2778">
        <v>428</v>
      </c>
      <c r="R2778">
        <v>0</v>
      </c>
    </row>
    <row r="2779" spans="1:18" x14ac:dyDescent="0.25">
      <c r="A2779">
        <v>2778</v>
      </c>
      <c r="B2779">
        <v>94</v>
      </c>
      <c r="C2779">
        <v>31762113</v>
      </c>
      <c r="D2779" t="s">
        <v>86</v>
      </c>
      <c r="E2779">
        <v>1.927</v>
      </c>
      <c r="F2779" t="s">
        <v>21</v>
      </c>
      <c r="G2779" t="s">
        <v>26</v>
      </c>
      <c r="H2779" t="s">
        <v>21</v>
      </c>
      <c r="I2779" t="s">
        <v>20</v>
      </c>
      <c r="J2779" t="s">
        <v>20</v>
      </c>
      <c r="K2779" t="s">
        <v>41</v>
      </c>
      <c r="L2779" t="s">
        <v>87</v>
      </c>
      <c r="M2779" t="s">
        <v>58</v>
      </c>
      <c r="N2779">
        <v>41.031367000000003</v>
      </c>
      <c r="O2779">
        <v>-111.93625</v>
      </c>
      <c r="P2779">
        <v>4299.6923020000004</v>
      </c>
      <c r="Q2779">
        <v>258</v>
      </c>
      <c r="R2779">
        <v>0</v>
      </c>
    </row>
    <row r="2780" spans="1:18" x14ac:dyDescent="0.25">
      <c r="A2780">
        <v>2779</v>
      </c>
      <c r="B2780">
        <v>94</v>
      </c>
      <c r="C2780">
        <v>27997513</v>
      </c>
      <c r="D2780" t="s">
        <v>59</v>
      </c>
      <c r="E2780">
        <v>1.929</v>
      </c>
      <c r="F2780" t="s">
        <v>21</v>
      </c>
      <c r="G2780" t="s">
        <v>26</v>
      </c>
      <c r="H2780" t="s">
        <v>21</v>
      </c>
      <c r="I2780" t="s">
        <v>20</v>
      </c>
      <c r="J2780" t="s">
        <v>20</v>
      </c>
      <c r="K2780" t="s">
        <v>22</v>
      </c>
      <c r="L2780" t="s">
        <v>60</v>
      </c>
      <c r="M2780" t="s">
        <v>24</v>
      </c>
      <c r="N2780">
        <v>40.311957999999997</v>
      </c>
      <c r="O2780">
        <v>-111.698239</v>
      </c>
      <c r="P2780">
        <v>4722.8292419999998</v>
      </c>
      <c r="Q2780">
        <v>313</v>
      </c>
      <c r="R2780">
        <v>0</v>
      </c>
    </row>
    <row r="2781" spans="1:18" x14ac:dyDescent="0.25">
      <c r="A2781">
        <v>2780</v>
      </c>
      <c r="B2781">
        <v>94</v>
      </c>
      <c r="C2781">
        <v>31404114</v>
      </c>
      <c r="D2781" t="s">
        <v>63</v>
      </c>
      <c r="E2781">
        <v>1.9370000000000001</v>
      </c>
      <c r="F2781" t="s">
        <v>21</v>
      </c>
      <c r="G2781" t="s">
        <v>26</v>
      </c>
      <c r="H2781" t="s">
        <v>21</v>
      </c>
      <c r="I2781" t="s">
        <v>20</v>
      </c>
      <c r="J2781" t="s">
        <v>20</v>
      </c>
      <c r="K2781" t="s">
        <v>27</v>
      </c>
      <c r="L2781" t="s">
        <v>64</v>
      </c>
      <c r="M2781" t="s">
        <v>29</v>
      </c>
      <c r="N2781">
        <v>38.208312999999997</v>
      </c>
      <c r="O2781">
        <v>-112.18925299999999</v>
      </c>
      <c r="P2781">
        <v>5953.8403159999998</v>
      </c>
      <c r="Q2781">
        <v>1365</v>
      </c>
      <c r="R2781">
        <v>0</v>
      </c>
    </row>
    <row r="2782" spans="1:18" x14ac:dyDescent="0.25">
      <c r="A2782">
        <v>2781</v>
      </c>
      <c r="B2782">
        <v>94</v>
      </c>
      <c r="C2782">
        <v>31422295</v>
      </c>
      <c r="D2782" t="s">
        <v>107</v>
      </c>
      <c r="E2782">
        <v>1.9390000000000001</v>
      </c>
      <c r="F2782" t="s">
        <v>19</v>
      </c>
      <c r="G2782" t="s">
        <v>20</v>
      </c>
      <c r="H2782" t="s">
        <v>21</v>
      </c>
      <c r="I2782" t="s">
        <v>20</v>
      </c>
      <c r="J2782" t="s">
        <v>20</v>
      </c>
      <c r="K2782" t="s">
        <v>41</v>
      </c>
      <c r="L2782" t="s">
        <v>81</v>
      </c>
      <c r="M2782" t="s">
        <v>93</v>
      </c>
      <c r="N2782">
        <v>41.220768999999997</v>
      </c>
      <c r="O2782">
        <v>-111.978875</v>
      </c>
      <c r="P2782">
        <v>4243.2463090000001</v>
      </c>
      <c r="Q2782">
        <v>413</v>
      </c>
      <c r="R2782">
        <v>0</v>
      </c>
    </row>
    <row r="2783" spans="1:18" x14ac:dyDescent="0.25">
      <c r="A2783">
        <v>2782</v>
      </c>
      <c r="B2783">
        <v>94</v>
      </c>
      <c r="C2783">
        <v>1738474</v>
      </c>
      <c r="D2783" t="s">
        <v>260</v>
      </c>
      <c r="E2783">
        <v>1.94</v>
      </c>
      <c r="F2783" t="s">
        <v>19</v>
      </c>
      <c r="G2783" t="s">
        <v>20</v>
      </c>
      <c r="H2783" t="s">
        <v>19</v>
      </c>
      <c r="I2783">
        <v>89</v>
      </c>
      <c r="J2783" t="s">
        <v>20</v>
      </c>
      <c r="K2783" t="s">
        <v>41</v>
      </c>
      <c r="L2783" t="s">
        <v>81</v>
      </c>
      <c r="M2783" t="s">
        <v>46</v>
      </c>
      <c r="N2783">
        <v>41.222760000000001</v>
      </c>
      <c r="O2783">
        <v>-111.97044699999999</v>
      </c>
      <c r="P2783">
        <v>4251.7097100000001</v>
      </c>
      <c r="Q2783">
        <v>1358</v>
      </c>
      <c r="R2783">
        <v>0</v>
      </c>
    </row>
    <row r="2784" spans="1:18" x14ac:dyDescent="0.25">
      <c r="A2784">
        <v>2783</v>
      </c>
      <c r="B2784">
        <v>94</v>
      </c>
      <c r="C2784">
        <v>31658960</v>
      </c>
      <c r="D2784" t="s">
        <v>156</v>
      </c>
      <c r="E2784">
        <v>1.94</v>
      </c>
      <c r="F2784" t="s">
        <v>21</v>
      </c>
      <c r="G2784" t="s">
        <v>26</v>
      </c>
      <c r="H2784" t="s">
        <v>21</v>
      </c>
      <c r="I2784" t="s">
        <v>20</v>
      </c>
      <c r="J2784" t="s">
        <v>20</v>
      </c>
      <c r="K2784" t="s">
        <v>41</v>
      </c>
      <c r="L2784" t="s">
        <v>81</v>
      </c>
      <c r="M2784" t="s">
        <v>93</v>
      </c>
      <c r="N2784">
        <v>41.287497999999999</v>
      </c>
      <c r="O2784">
        <v>-111.969094</v>
      </c>
      <c r="P2784">
        <v>4287.8412740000003</v>
      </c>
      <c r="Q2784">
        <v>424</v>
      </c>
      <c r="R2784">
        <v>0</v>
      </c>
    </row>
    <row r="2785" spans="1:18" x14ac:dyDescent="0.25">
      <c r="A2785">
        <v>2784</v>
      </c>
      <c r="B2785">
        <v>94</v>
      </c>
      <c r="C2785">
        <v>31601322</v>
      </c>
      <c r="D2785" t="s">
        <v>232</v>
      </c>
      <c r="E2785">
        <v>1.9419999999999999</v>
      </c>
      <c r="F2785" t="s">
        <v>21</v>
      </c>
      <c r="G2785" t="s">
        <v>20</v>
      </c>
      <c r="H2785" t="s">
        <v>21</v>
      </c>
      <c r="I2785" t="s">
        <v>20</v>
      </c>
      <c r="J2785" t="s">
        <v>20</v>
      </c>
      <c r="K2785" t="s">
        <v>31</v>
      </c>
      <c r="L2785" t="s">
        <v>209</v>
      </c>
      <c r="M2785" t="s">
        <v>131</v>
      </c>
      <c r="N2785">
        <v>40.670876</v>
      </c>
      <c r="O2785">
        <v>-111.476358</v>
      </c>
      <c r="P2785">
        <v>6657.2146359999997</v>
      </c>
      <c r="Q2785">
        <v>1279</v>
      </c>
      <c r="R2785">
        <v>0</v>
      </c>
    </row>
    <row r="2786" spans="1:18" x14ac:dyDescent="0.25">
      <c r="A2786">
        <v>2785</v>
      </c>
      <c r="B2786">
        <v>94</v>
      </c>
      <c r="C2786">
        <v>2540441</v>
      </c>
      <c r="D2786" t="s">
        <v>176</v>
      </c>
      <c r="E2786">
        <v>1.9470000000000001</v>
      </c>
      <c r="F2786" t="s">
        <v>21</v>
      </c>
      <c r="G2786" t="s">
        <v>26</v>
      </c>
      <c r="H2786" t="s">
        <v>21</v>
      </c>
      <c r="I2786" t="s">
        <v>20</v>
      </c>
      <c r="J2786" t="s">
        <v>20</v>
      </c>
      <c r="K2786" t="s">
        <v>41</v>
      </c>
      <c r="L2786" t="s">
        <v>177</v>
      </c>
      <c r="M2786" t="s">
        <v>178</v>
      </c>
      <c r="N2786">
        <v>41.514856999999999</v>
      </c>
      <c r="O2786">
        <v>-112.015676</v>
      </c>
      <c r="P2786">
        <v>4346.4136710000002</v>
      </c>
      <c r="Q2786">
        <v>1329</v>
      </c>
      <c r="R2786">
        <v>0</v>
      </c>
    </row>
    <row r="2787" spans="1:18" x14ac:dyDescent="0.25">
      <c r="A2787">
        <v>2786</v>
      </c>
      <c r="B2787">
        <v>94</v>
      </c>
      <c r="C2787">
        <v>31310037</v>
      </c>
      <c r="D2787" t="s">
        <v>215</v>
      </c>
      <c r="E2787">
        <v>1.9510000000000001</v>
      </c>
      <c r="F2787" t="s">
        <v>21</v>
      </c>
      <c r="G2787" t="s">
        <v>26</v>
      </c>
      <c r="H2787" t="s">
        <v>21</v>
      </c>
      <c r="I2787" t="s">
        <v>20</v>
      </c>
      <c r="J2787" t="s">
        <v>20</v>
      </c>
      <c r="K2787" t="s">
        <v>22</v>
      </c>
      <c r="L2787" t="s">
        <v>23</v>
      </c>
      <c r="M2787" t="s">
        <v>85</v>
      </c>
      <c r="N2787">
        <v>40.239516999999999</v>
      </c>
      <c r="O2787">
        <v>-111.694874</v>
      </c>
      <c r="P2787">
        <v>4465.5814099999998</v>
      </c>
      <c r="Q2787">
        <v>330</v>
      </c>
      <c r="R2787">
        <v>0</v>
      </c>
    </row>
    <row r="2788" spans="1:18" x14ac:dyDescent="0.25">
      <c r="A2788">
        <v>2787</v>
      </c>
      <c r="B2788">
        <v>94</v>
      </c>
      <c r="C2788" t="s">
        <v>521</v>
      </c>
      <c r="D2788" t="s">
        <v>208</v>
      </c>
      <c r="E2788">
        <v>1.9530000000000001</v>
      </c>
      <c r="F2788" t="s">
        <v>21</v>
      </c>
      <c r="G2788" t="s">
        <v>26</v>
      </c>
      <c r="H2788" t="s">
        <v>21</v>
      </c>
      <c r="I2788" t="s">
        <v>20</v>
      </c>
      <c r="J2788" t="s">
        <v>20</v>
      </c>
      <c r="K2788" t="s">
        <v>31</v>
      </c>
      <c r="L2788" t="s">
        <v>209</v>
      </c>
      <c r="M2788" t="s">
        <v>131</v>
      </c>
      <c r="N2788">
        <v>40.62397</v>
      </c>
      <c r="O2788">
        <v>-111.501609</v>
      </c>
      <c r="P2788">
        <v>7998.4864610000004</v>
      </c>
      <c r="Q2788">
        <v>357</v>
      </c>
      <c r="R2788">
        <v>0</v>
      </c>
    </row>
    <row r="2789" spans="1:18" x14ac:dyDescent="0.25">
      <c r="A2789">
        <v>2788</v>
      </c>
      <c r="B2789">
        <v>94</v>
      </c>
      <c r="C2789">
        <v>31341845</v>
      </c>
      <c r="D2789" t="s">
        <v>220</v>
      </c>
      <c r="E2789">
        <v>1.954</v>
      </c>
      <c r="F2789" t="s">
        <v>21</v>
      </c>
      <c r="G2789" t="s">
        <v>26</v>
      </c>
      <c r="H2789" t="s">
        <v>21</v>
      </c>
      <c r="I2789" t="s">
        <v>20</v>
      </c>
      <c r="J2789" t="s">
        <v>20</v>
      </c>
      <c r="K2789" t="s">
        <v>27</v>
      </c>
      <c r="L2789" t="s">
        <v>247</v>
      </c>
      <c r="M2789" t="s">
        <v>29</v>
      </c>
      <c r="N2789">
        <v>37.745019999999997</v>
      </c>
      <c r="O2789">
        <v>-112.341657</v>
      </c>
      <c r="P2789">
        <v>6915.5651760000001</v>
      </c>
      <c r="Q2789">
        <v>1328</v>
      </c>
      <c r="R2789">
        <v>0</v>
      </c>
    </row>
    <row r="2790" spans="1:18" x14ac:dyDescent="0.25">
      <c r="A2790">
        <v>2789</v>
      </c>
      <c r="B2790">
        <v>94</v>
      </c>
      <c r="C2790">
        <v>1414134</v>
      </c>
      <c r="D2790" t="s">
        <v>109</v>
      </c>
      <c r="E2790">
        <v>1.954</v>
      </c>
      <c r="F2790" t="s">
        <v>21</v>
      </c>
      <c r="G2790" t="s">
        <v>26</v>
      </c>
      <c r="H2790" t="s">
        <v>21</v>
      </c>
      <c r="I2790" t="s">
        <v>20</v>
      </c>
      <c r="J2790" t="s">
        <v>20</v>
      </c>
      <c r="K2790" t="s">
        <v>41</v>
      </c>
      <c r="L2790" t="s">
        <v>42</v>
      </c>
      <c r="M2790" t="s">
        <v>73</v>
      </c>
      <c r="N2790">
        <v>41.590772999999999</v>
      </c>
      <c r="O2790">
        <v>-111.83722400000001</v>
      </c>
      <c r="P2790">
        <v>4786.2398810000004</v>
      </c>
      <c r="Q2790">
        <v>345</v>
      </c>
      <c r="R2790">
        <v>0</v>
      </c>
    </row>
    <row r="2791" spans="1:18" x14ac:dyDescent="0.25">
      <c r="A2791">
        <v>2790</v>
      </c>
      <c r="B2791">
        <v>94</v>
      </c>
      <c r="C2791">
        <v>1104004</v>
      </c>
      <c r="D2791" t="s">
        <v>101</v>
      </c>
      <c r="E2791">
        <v>1.956</v>
      </c>
      <c r="F2791" t="s">
        <v>21</v>
      </c>
      <c r="G2791" t="s">
        <v>26</v>
      </c>
      <c r="H2791" t="s">
        <v>21</v>
      </c>
      <c r="I2791" t="s">
        <v>20</v>
      </c>
      <c r="J2791" t="s">
        <v>20</v>
      </c>
      <c r="K2791" t="s">
        <v>41</v>
      </c>
      <c r="L2791" t="s">
        <v>57</v>
      </c>
      <c r="M2791" t="s">
        <v>58</v>
      </c>
      <c r="N2791">
        <v>41.118102</v>
      </c>
      <c r="O2791">
        <v>-112.075107</v>
      </c>
      <c r="P2791">
        <v>4274.9994930000003</v>
      </c>
      <c r="Q2791">
        <v>328</v>
      </c>
      <c r="R2791">
        <v>0</v>
      </c>
    </row>
    <row r="2792" spans="1:18" x14ac:dyDescent="0.25">
      <c r="A2792">
        <v>2791</v>
      </c>
      <c r="B2792">
        <v>94</v>
      </c>
      <c r="C2792">
        <v>31406803</v>
      </c>
      <c r="D2792" t="s">
        <v>257</v>
      </c>
      <c r="E2792">
        <v>1.9590000000000001</v>
      </c>
      <c r="F2792" t="s">
        <v>21</v>
      </c>
      <c r="G2792" t="s">
        <v>26</v>
      </c>
      <c r="H2792" t="s">
        <v>21</v>
      </c>
      <c r="I2792" t="s">
        <v>20</v>
      </c>
      <c r="J2792" t="s">
        <v>20</v>
      </c>
      <c r="K2792" t="s">
        <v>22</v>
      </c>
      <c r="L2792" t="s">
        <v>140</v>
      </c>
      <c r="M2792" t="s">
        <v>76</v>
      </c>
      <c r="N2792">
        <v>40.087426999999998</v>
      </c>
      <c r="O2792">
        <v>-111.66722900000001</v>
      </c>
      <c r="P2792">
        <v>4524.4209220000002</v>
      </c>
      <c r="Q2792">
        <v>1433</v>
      </c>
      <c r="R2792">
        <v>0</v>
      </c>
    </row>
    <row r="2793" spans="1:18" x14ac:dyDescent="0.25">
      <c r="A2793">
        <v>2792</v>
      </c>
      <c r="B2793">
        <v>94</v>
      </c>
      <c r="C2793">
        <v>31565223</v>
      </c>
      <c r="D2793" t="s">
        <v>237</v>
      </c>
      <c r="E2793">
        <v>1.7250000000000001</v>
      </c>
      <c r="F2793" t="s">
        <v>21</v>
      </c>
      <c r="G2793" t="s">
        <v>20</v>
      </c>
      <c r="H2793" t="s">
        <v>21</v>
      </c>
      <c r="I2793" t="s">
        <v>20</v>
      </c>
      <c r="J2793" t="s">
        <v>20</v>
      </c>
      <c r="K2793" t="s">
        <v>27</v>
      </c>
      <c r="L2793" t="s">
        <v>38</v>
      </c>
      <c r="M2793" t="s">
        <v>238</v>
      </c>
      <c r="N2793">
        <v>38.546472000000001</v>
      </c>
      <c r="O2793">
        <v>-109.64795100000001</v>
      </c>
      <c r="P2793">
        <v>3894.495946</v>
      </c>
      <c r="Q2793">
        <v>434</v>
      </c>
      <c r="R2793">
        <v>0</v>
      </c>
    </row>
    <row r="2794" spans="1:18" x14ac:dyDescent="0.25">
      <c r="A2794">
        <v>2793</v>
      </c>
      <c r="B2794">
        <v>94</v>
      </c>
      <c r="C2794">
        <v>31786966</v>
      </c>
      <c r="D2794" t="s">
        <v>61</v>
      </c>
      <c r="E2794">
        <v>1.7250000000000001</v>
      </c>
      <c r="F2794" t="s">
        <v>21</v>
      </c>
      <c r="G2794" t="s">
        <v>26</v>
      </c>
      <c r="H2794" t="s">
        <v>21</v>
      </c>
      <c r="I2794" t="s">
        <v>20</v>
      </c>
      <c r="J2794" t="s">
        <v>20</v>
      </c>
      <c r="K2794" t="s">
        <v>22</v>
      </c>
      <c r="L2794" t="s">
        <v>23</v>
      </c>
      <c r="M2794" t="s">
        <v>62</v>
      </c>
      <c r="N2794">
        <v>40.231025000000002</v>
      </c>
      <c r="O2794">
        <v>-111.65871199999999</v>
      </c>
      <c r="P2794">
        <v>4485.2110439999997</v>
      </c>
      <c r="Q2794">
        <v>403</v>
      </c>
      <c r="R2794">
        <v>0</v>
      </c>
    </row>
    <row r="2795" spans="1:18" x14ac:dyDescent="0.25">
      <c r="A2795">
        <v>2794</v>
      </c>
      <c r="B2795">
        <v>94</v>
      </c>
      <c r="C2795">
        <v>31288830</v>
      </c>
      <c r="D2795" t="s">
        <v>315</v>
      </c>
      <c r="E2795">
        <v>1.7270000000000001</v>
      </c>
      <c r="F2795" t="s">
        <v>21</v>
      </c>
      <c r="G2795" t="s">
        <v>26</v>
      </c>
      <c r="H2795" t="s">
        <v>21</v>
      </c>
      <c r="I2795" t="s">
        <v>20</v>
      </c>
      <c r="J2795" t="s">
        <v>20</v>
      </c>
      <c r="K2795" t="s">
        <v>27</v>
      </c>
      <c r="L2795" t="s">
        <v>111</v>
      </c>
      <c r="M2795" t="s">
        <v>243</v>
      </c>
      <c r="N2795">
        <v>39.31794</v>
      </c>
      <c r="O2795">
        <v>-111.282781</v>
      </c>
      <c r="P2795">
        <v>6967.142323</v>
      </c>
      <c r="Q2795">
        <v>307</v>
      </c>
      <c r="R2795">
        <v>0</v>
      </c>
    </row>
    <row r="2796" spans="1:18" x14ac:dyDescent="0.25">
      <c r="A2796">
        <v>2795</v>
      </c>
      <c r="B2796">
        <v>94</v>
      </c>
      <c r="C2796">
        <v>31370533</v>
      </c>
      <c r="D2796" t="s">
        <v>199</v>
      </c>
      <c r="E2796">
        <v>1.732</v>
      </c>
      <c r="F2796" t="s">
        <v>21</v>
      </c>
      <c r="G2796" t="s">
        <v>20</v>
      </c>
      <c r="H2796" t="s">
        <v>21</v>
      </c>
      <c r="I2796" t="s">
        <v>20</v>
      </c>
      <c r="J2796" t="s">
        <v>20</v>
      </c>
      <c r="K2796" t="s">
        <v>27</v>
      </c>
      <c r="L2796" t="s">
        <v>103</v>
      </c>
      <c r="M2796" t="s">
        <v>200</v>
      </c>
      <c r="N2796">
        <v>38.276730999999998</v>
      </c>
      <c r="O2796">
        <v>-112.60958100000001</v>
      </c>
      <c r="P2796">
        <v>5942.0606630000002</v>
      </c>
      <c r="Q2796">
        <v>341</v>
      </c>
      <c r="R2796">
        <v>0</v>
      </c>
    </row>
    <row r="2797" spans="1:18" x14ac:dyDescent="0.25">
      <c r="A2797">
        <v>2796</v>
      </c>
      <c r="B2797">
        <v>94</v>
      </c>
      <c r="C2797">
        <v>31424050</v>
      </c>
      <c r="D2797" t="s">
        <v>107</v>
      </c>
      <c r="E2797">
        <v>1.7330000000000001</v>
      </c>
      <c r="F2797" t="s">
        <v>21</v>
      </c>
      <c r="G2797" t="s">
        <v>26</v>
      </c>
      <c r="H2797" t="s">
        <v>21</v>
      </c>
      <c r="I2797" t="s">
        <v>20</v>
      </c>
      <c r="J2797" t="s">
        <v>20</v>
      </c>
      <c r="K2797" t="s">
        <v>41</v>
      </c>
      <c r="L2797" t="s">
        <v>81</v>
      </c>
      <c r="M2797" t="s">
        <v>93</v>
      </c>
      <c r="N2797">
        <v>41.217787000000001</v>
      </c>
      <c r="O2797">
        <v>-111.97895</v>
      </c>
      <c r="P2797">
        <v>4245.4298939999999</v>
      </c>
      <c r="Q2797">
        <v>413</v>
      </c>
      <c r="R2797">
        <v>0</v>
      </c>
    </row>
    <row r="2798" spans="1:18" x14ac:dyDescent="0.25">
      <c r="A2798">
        <v>2797</v>
      </c>
      <c r="B2798">
        <v>94</v>
      </c>
      <c r="C2798">
        <v>31406516</v>
      </c>
      <c r="D2798" t="s">
        <v>74</v>
      </c>
      <c r="E2798">
        <v>1.736</v>
      </c>
      <c r="F2798" t="s">
        <v>21</v>
      </c>
      <c r="G2798" t="s">
        <v>26</v>
      </c>
      <c r="H2798" t="s">
        <v>21</v>
      </c>
      <c r="I2798" t="s">
        <v>20</v>
      </c>
      <c r="J2798" t="s">
        <v>20</v>
      </c>
      <c r="K2798" t="s">
        <v>27</v>
      </c>
      <c r="L2798" t="s">
        <v>75</v>
      </c>
      <c r="M2798" t="s">
        <v>76</v>
      </c>
      <c r="N2798">
        <v>38.759759000000003</v>
      </c>
      <c r="O2798">
        <v>-112.084788</v>
      </c>
      <c r="P2798">
        <v>5237.3712949999999</v>
      </c>
      <c r="Q2798">
        <v>332</v>
      </c>
      <c r="R2798">
        <v>0</v>
      </c>
    </row>
    <row r="2799" spans="1:18" x14ac:dyDescent="0.25">
      <c r="A2799">
        <v>2798</v>
      </c>
      <c r="B2799">
        <v>94</v>
      </c>
      <c r="C2799">
        <v>31192533</v>
      </c>
      <c r="D2799" t="s">
        <v>153</v>
      </c>
      <c r="E2799">
        <v>1.74</v>
      </c>
      <c r="F2799" t="s">
        <v>21</v>
      </c>
      <c r="G2799" t="s">
        <v>26</v>
      </c>
      <c r="H2799" t="s">
        <v>21</v>
      </c>
      <c r="I2799" t="s">
        <v>20</v>
      </c>
      <c r="J2799" t="s">
        <v>20</v>
      </c>
      <c r="K2799" t="s">
        <v>22</v>
      </c>
      <c r="L2799" t="s">
        <v>84</v>
      </c>
      <c r="M2799" t="s">
        <v>85</v>
      </c>
      <c r="N2799">
        <v>40.383015</v>
      </c>
      <c r="O2799">
        <v>-111.739805</v>
      </c>
      <c r="P2799">
        <v>4614.9027400000004</v>
      </c>
      <c r="R2799">
        <v>0</v>
      </c>
    </row>
    <row r="2800" spans="1:18" x14ac:dyDescent="0.25">
      <c r="A2800">
        <v>2799</v>
      </c>
      <c r="B2800">
        <v>94</v>
      </c>
      <c r="C2800">
        <v>31528046</v>
      </c>
      <c r="D2800" t="s">
        <v>182</v>
      </c>
      <c r="E2800">
        <v>1.74</v>
      </c>
      <c r="F2800" t="s">
        <v>21</v>
      </c>
      <c r="G2800" t="s">
        <v>26</v>
      </c>
      <c r="H2800" t="s">
        <v>21</v>
      </c>
      <c r="I2800" t="s">
        <v>20</v>
      </c>
      <c r="J2800" t="s">
        <v>20</v>
      </c>
      <c r="K2800" t="s">
        <v>27</v>
      </c>
      <c r="L2800" t="s">
        <v>183</v>
      </c>
      <c r="M2800" t="s">
        <v>76</v>
      </c>
      <c r="N2800">
        <v>38.925913000000001</v>
      </c>
      <c r="O2800">
        <v>-111.93409800000001</v>
      </c>
      <c r="P2800">
        <v>5152.7049440000001</v>
      </c>
      <c r="Q2800">
        <v>429</v>
      </c>
      <c r="R2800">
        <v>0</v>
      </c>
    </row>
    <row r="2801" spans="1:18" x14ac:dyDescent="0.25">
      <c r="A2801">
        <v>2800</v>
      </c>
      <c r="B2801">
        <v>94</v>
      </c>
      <c r="C2801">
        <v>31405874</v>
      </c>
      <c r="D2801" t="s">
        <v>30</v>
      </c>
      <c r="E2801">
        <v>1.74</v>
      </c>
      <c r="F2801" t="s">
        <v>21</v>
      </c>
      <c r="G2801" t="s">
        <v>26</v>
      </c>
      <c r="H2801" t="s">
        <v>21</v>
      </c>
      <c r="I2801" t="s">
        <v>20</v>
      </c>
      <c r="J2801" t="s">
        <v>20</v>
      </c>
      <c r="K2801" t="s">
        <v>31</v>
      </c>
      <c r="L2801" t="s">
        <v>32</v>
      </c>
      <c r="M2801" t="s">
        <v>33</v>
      </c>
      <c r="N2801">
        <v>40.595756000000002</v>
      </c>
      <c r="O2801">
        <v>-111.79695599999999</v>
      </c>
      <c r="P2801">
        <v>4991.2914979999996</v>
      </c>
      <c r="Q2801">
        <v>415</v>
      </c>
      <c r="R2801">
        <v>0</v>
      </c>
    </row>
    <row r="2802" spans="1:18" x14ac:dyDescent="0.25">
      <c r="A2802">
        <v>2801</v>
      </c>
      <c r="B2802">
        <v>94</v>
      </c>
      <c r="C2802">
        <v>27645596</v>
      </c>
      <c r="D2802" t="s">
        <v>196</v>
      </c>
      <c r="E2802">
        <v>1.7410000000000001</v>
      </c>
      <c r="F2802" t="s">
        <v>19</v>
      </c>
      <c r="G2802" t="s">
        <v>20</v>
      </c>
      <c r="H2802" t="s">
        <v>21</v>
      </c>
      <c r="I2802" t="s">
        <v>20</v>
      </c>
      <c r="J2802" t="s">
        <v>20</v>
      </c>
      <c r="K2802" t="s">
        <v>27</v>
      </c>
      <c r="L2802" t="s">
        <v>72</v>
      </c>
      <c r="M2802" t="s">
        <v>73</v>
      </c>
      <c r="N2802">
        <v>37.109813000000003</v>
      </c>
      <c r="O2802">
        <v>-113.56207499999999</v>
      </c>
      <c r="P2802">
        <v>2743.2197169999999</v>
      </c>
      <c r="Q2802">
        <v>308</v>
      </c>
      <c r="R2802">
        <v>0</v>
      </c>
    </row>
    <row r="2803" spans="1:18" x14ac:dyDescent="0.25">
      <c r="A2803">
        <v>2802</v>
      </c>
      <c r="B2803">
        <v>94</v>
      </c>
      <c r="C2803">
        <v>27683490</v>
      </c>
      <c r="D2803" t="s">
        <v>217</v>
      </c>
      <c r="E2803">
        <v>1.7410000000000001</v>
      </c>
      <c r="F2803" t="s">
        <v>21</v>
      </c>
      <c r="G2803" t="s">
        <v>26</v>
      </c>
      <c r="H2803" t="s">
        <v>21</v>
      </c>
      <c r="I2803" t="s">
        <v>20</v>
      </c>
      <c r="J2803" t="s">
        <v>20</v>
      </c>
      <c r="K2803" t="s">
        <v>27</v>
      </c>
      <c r="L2803" t="s">
        <v>72</v>
      </c>
      <c r="M2803" t="s">
        <v>163</v>
      </c>
      <c r="N2803">
        <v>37.104773000000002</v>
      </c>
      <c r="O2803">
        <v>-113.59288100000001</v>
      </c>
      <c r="P2803">
        <v>2656.0499049999999</v>
      </c>
      <c r="Q2803">
        <v>304</v>
      </c>
      <c r="R2803">
        <v>0</v>
      </c>
    </row>
    <row r="2804" spans="1:18" x14ac:dyDescent="0.25">
      <c r="A2804">
        <v>2803</v>
      </c>
      <c r="B2804">
        <v>94</v>
      </c>
      <c r="C2804">
        <v>27343187</v>
      </c>
      <c r="D2804" t="s">
        <v>185</v>
      </c>
      <c r="E2804">
        <v>1.7410000000000001</v>
      </c>
      <c r="F2804" t="s">
        <v>21</v>
      </c>
      <c r="G2804" t="s">
        <v>26</v>
      </c>
      <c r="H2804" t="s">
        <v>21</v>
      </c>
      <c r="I2804" t="s">
        <v>20</v>
      </c>
      <c r="J2804" t="s">
        <v>20</v>
      </c>
      <c r="K2804" t="s">
        <v>41</v>
      </c>
      <c r="L2804" t="s">
        <v>57</v>
      </c>
      <c r="M2804" t="s">
        <v>58</v>
      </c>
      <c r="N2804">
        <v>41.139879999999998</v>
      </c>
      <c r="O2804">
        <v>-112.05957100000001</v>
      </c>
      <c r="P2804">
        <v>4308.3216199999997</v>
      </c>
      <c r="Q2804">
        <v>309</v>
      </c>
      <c r="R2804">
        <v>0</v>
      </c>
    </row>
    <row r="2805" spans="1:18" x14ac:dyDescent="0.25">
      <c r="A2805">
        <v>2804</v>
      </c>
      <c r="B2805">
        <v>94</v>
      </c>
      <c r="C2805">
        <v>31597468</v>
      </c>
      <c r="D2805" t="s">
        <v>50</v>
      </c>
      <c r="E2805">
        <v>1.7430000000000001</v>
      </c>
      <c r="F2805" t="s">
        <v>21</v>
      </c>
      <c r="G2805" t="s">
        <v>26</v>
      </c>
      <c r="H2805" t="s">
        <v>21</v>
      </c>
      <c r="I2805" t="s">
        <v>20</v>
      </c>
      <c r="J2805" t="s">
        <v>20</v>
      </c>
      <c r="K2805" t="s">
        <v>27</v>
      </c>
      <c r="L2805" t="s">
        <v>51</v>
      </c>
      <c r="M2805" t="s">
        <v>52</v>
      </c>
      <c r="N2805">
        <v>37.838742000000003</v>
      </c>
      <c r="O2805">
        <v>-112.839816</v>
      </c>
      <c r="P2805">
        <v>5887.2204730000003</v>
      </c>
      <c r="Q2805">
        <v>1418</v>
      </c>
      <c r="R2805">
        <v>0</v>
      </c>
    </row>
    <row r="2806" spans="1:18" x14ac:dyDescent="0.25">
      <c r="A2806">
        <v>2805</v>
      </c>
      <c r="B2806">
        <v>94</v>
      </c>
      <c r="C2806" t="e">
        <f>-JMmSMTEIxunZ9b0LX1A9k</f>
        <v>#NAME?</v>
      </c>
      <c r="D2806" t="s">
        <v>115</v>
      </c>
      <c r="E2806">
        <v>1.744</v>
      </c>
      <c r="F2806" t="s">
        <v>19</v>
      </c>
      <c r="G2806" t="s">
        <v>20</v>
      </c>
      <c r="H2806" t="s">
        <v>19</v>
      </c>
      <c r="I2806">
        <v>85</v>
      </c>
      <c r="J2806" t="s">
        <v>20</v>
      </c>
      <c r="K2806" t="s">
        <v>31</v>
      </c>
      <c r="L2806" t="s">
        <v>48</v>
      </c>
      <c r="M2806" t="s">
        <v>70</v>
      </c>
      <c r="N2806">
        <v>40.653194999999997</v>
      </c>
      <c r="O2806">
        <v>-112.043717</v>
      </c>
      <c r="P2806">
        <v>4896.9598059999998</v>
      </c>
      <c r="Q2806">
        <v>1437</v>
      </c>
      <c r="R2806">
        <v>0</v>
      </c>
    </row>
    <row r="2807" spans="1:18" x14ac:dyDescent="0.25">
      <c r="A2807">
        <v>2806</v>
      </c>
      <c r="B2807">
        <v>94</v>
      </c>
      <c r="C2807">
        <v>27579100</v>
      </c>
      <c r="D2807" t="s">
        <v>201</v>
      </c>
      <c r="E2807">
        <v>1.744</v>
      </c>
      <c r="F2807" t="s">
        <v>21</v>
      </c>
      <c r="G2807" t="s">
        <v>26</v>
      </c>
      <c r="H2807" t="s">
        <v>21</v>
      </c>
      <c r="I2807" t="s">
        <v>20</v>
      </c>
      <c r="J2807" t="s">
        <v>20</v>
      </c>
      <c r="K2807" t="s">
        <v>27</v>
      </c>
      <c r="L2807" t="s">
        <v>202</v>
      </c>
      <c r="M2807" t="s">
        <v>104</v>
      </c>
      <c r="N2807">
        <v>39.104278999999998</v>
      </c>
      <c r="O2807">
        <v>-112.270944</v>
      </c>
      <c r="P2807">
        <v>5052.5127320000001</v>
      </c>
      <c r="Q2807">
        <v>1366</v>
      </c>
      <c r="R2807">
        <v>0</v>
      </c>
    </row>
    <row r="2808" spans="1:18" x14ac:dyDescent="0.25">
      <c r="A2808">
        <v>2807</v>
      </c>
      <c r="B2808">
        <v>94</v>
      </c>
      <c r="C2808">
        <v>31310004</v>
      </c>
      <c r="D2808" t="s">
        <v>215</v>
      </c>
      <c r="E2808">
        <v>1.7450000000000001</v>
      </c>
      <c r="F2808" t="s">
        <v>21</v>
      </c>
      <c r="G2808" t="s">
        <v>26</v>
      </c>
      <c r="H2808" t="s">
        <v>21</v>
      </c>
      <c r="I2808" t="s">
        <v>20</v>
      </c>
      <c r="J2808" t="s">
        <v>20</v>
      </c>
      <c r="K2808" t="s">
        <v>22</v>
      </c>
      <c r="L2808" t="s">
        <v>23</v>
      </c>
      <c r="M2808" t="s">
        <v>85</v>
      </c>
      <c r="N2808">
        <v>40.236486999999997</v>
      </c>
      <c r="O2808">
        <v>-111.694773</v>
      </c>
      <c r="P2808">
        <v>4463.9250410000004</v>
      </c>
      <c r="Q2808">
        <v>330</v>
      </c>
      <c r="R2808">
        <v>0</v>
      </c>
    </row>
    <row r="2809" spans="1:18" x14ac:dyDescent="0.25">
      <c r="A2809">
        <v>2808</v>
      </c>
      <c r="B2809">
        <v>94</v>
      </c>
      <c r="C2809">
        <v>1078164</v>
      </c>
      <c r="D2809" t="s">
        <v>367</v>
      </c>
      <c r="E2809">
        <v>1.7470000000000001</v>
      </c>
      <c r="F2809" t="s">
        <v>21</v>
      </c>
      <c r="G2809" t="s">
        <v>26</v>
      </c>
      <c r="H2809" t="s">
        <v>21</v>
      </c>
      <c r="I2809" t="s">
        <v>20</v>
      </c>
      <c r="J2809" t="s">
        <v>20</v>
      </c>
      <c r="K2809" t="s">
        <v>41</v>
      </c>
      <c r="L2809" t="s">
        <v>177</v>
      </c>
      <c r="M2809" t="s">
        <v>368</v>
      </c>
      <c r="N2809">
        <v>41.422387999999998</v>
      </c>
      <c r="O2809">
        <v>-112.03583399999999</v>
      </c>
      <c r="P2809">
        <v>4265.1127630000001</v>
      </c>
      <c r="Q2809">
        <v>266</v>
      </c>
      <c r="R2809">
        <v>0</v>
      </c>
    </row>
    <row r="2810" spans="1:18" x14ac:dyDescent="0.25">
      <c r="A2810">
        <v>2809</v>
      </c>
      <c r="B2810">
        <v>94</v>
      </c>
      <c r="C2810">
        <v>621003</v>
      </c>
      <c r="D2810" t="s">
        <v>47</v>
      </c>
      <c r="E2810">
        <v>1.7509999999999999</v>
      </c>
      <c r="F2810" t="s">
        <v>21</v>
      </c>
      <c r="G2810" t="s">
        <v>26</v>
      </c>
      <c r="H2810" t="s">
        <v>21</v>
      </c>
      <c r="I2810" t="s">
        <v>20</v>
      </c>
      <c r="J2810" t="s">
        <v>20</v>
      </c>
      <c r="K2810" t="s">
        <v>31</v>
      </c>
      <c r="L2810" t="s">
        <v>48</v>
      </c>
      <c r="M2810" t="s">
        <v>49</v>
      </c>
      <c r="N2810">
        <v>40.544119999999999</v>
      </c>
      <c r="O2810">
        <v>-111.950564</v>
      </c>
      <c r="P2810">
        <v>4429.8767090000001</v>
      </c>
      <c r="Q2810">
        <v>6715</v>
      </c>
      <c r="R2810">
        <v>0</v>
      </c>
    </row>
    <row r="2811" spans="1:18" x14ac:dyDescent="0.25">
      <c r="A2811">
        <v>2810</v>
      </c>
      <c r="B2811">
        <v>94</v>
      </c>
      <c r="C2811" t="e">
        <f>-IrB6yzMFLaWhxtAtdXTFF</f>
        <v>#NAME?</v>
      </c>
      <c r="D2811" t="s">
        <v>92</v>
      </c>
      <c r="E2811">
        <v>1.754</v>
      </c>
      <c r="F2811" t="s">
        <v>19</v>
      </c>
      <c r="G2811" t="s">
        <v>20</v>
      </c>
      <c r="H2811" t="s">
        <v>21</v>
      </c>
      <c r="I2811" t="s">
        <v>20</v>
      </c>
      <c r="J2811" t="s">
        <v>20</v>
      </c>
      <c r="K2811" t="s">
        <v>41</v>
      </c>
      <c r="L2811" t="s">
        <v>87</v>
      </c>
      <c r="M2811" t="s">
        <v>93</v>
      </c>
      <c r="N2811">
        <v>41.096063999999998</v>
      </c>
      <c r="O2811">
        <v>-111.973444</v>
      </c>
      <c r="P2811">
        <v>4548.0794079999996</v>
      </c>
      <c r="Q2811">
        <v>252</v>
      </c>
      <c r="R2811">
        <v>0</v>
      </c>
    </row>
    <row r="2812" spans="1:18" x14ac:dyDescent="0.25">
      <c r="A2812">
        <v>2811</v>
      </c>
      <c r="B2812">
        <v>94</v>
      </c>
      <c r="C2812">
        <v>1133398</v>
      </c>
      <c r="D2812" t="s">
        <v>56</v>
      </c>
      <c r="E2812">
        <v>1.758</v>
      </c>
      <c r="F2812" t="s">
        <v>21</v>
      </c>
      <c r="G2812" t="s">
        <v>26</v>
      </c>
      <c r="H2812" t="s">
        <v>21</v>
      </c>
      <c r="I2812" t="s">
        <v>20</v>
      </c>
      <c r="J2812" t="s">
        <v>20</v>
      </c>
      <c r="K2812" t="s">
        <v>41</v>
      </c>
      <c r="L2812" t="s">
        <v>57</v>
      </c>
      <c r="M2812" t="s">
        <v>58</v>
      </c>
      <c r="N2812">
        <v>41.163803000000001</v>
      </c>
      <c r="O2812">
        <v>-112.089077</v>
      </c>
      <c r="P2812">
        <v>4190.0298419999999</v>
      </c>
      <c r="Q2812">
        <v>1459</v>
      </c>
      <c r="R2812">
        <v>0</v>
      </c>
    </row>
    <row r="2813" spans="1:18" x14ac:dyDescent="0.25">
      <c r="A2813">
        <v>2812</v>
      </c>
      <c r="B2813">
        <v>94</v>
      </c>
      <c r="C2813">
        <v>27997502</v>
      </c>
      <c r="D2813" t="s">
        <v>59</v>
      </c>
      <c r="E2813">
        <v>1.7609999999999999</v>
      </c>
      <c r="F2813" t="s">
        <v>19</v>
      </c>
      <c r="G2813" t="s">
        <v>20</v>
      </c>
      <c r="H2813" t="s">
        <v>19</v>
      </c>
      <c r="I2813">
        <v>89</v>
      </c>
      <c r="J2813" t="s">
        <v>20</v>
      </c>
      <c r="K2813" t="s">
        <v>22</v>
      </c>
      <c r="L2813" t="s">
        <v>60</v>
      </c>
      <c r="M2813" t="s">
        <v>24</v>
      </c>
      <c r="N2813">
        <v>40.311914999999999</v>
      </c>
      <c r="O2813">
        <v>-111.70142199999999</v>
      </c>
      <c r="P2813">
        <v>4717.2607870000002</v>
      </c>
      <c r="Q2813">
        <v>313</v>
      </c>
      <c r="R2813">
        <v>0</v>
      </c>
    </row>
    <row r="2814" spans="1:18" x14ac:dyDescent="0.25">
      <c r="A2814">
        <v>2813</v>
      </c>
      <c r="B2814">
        <v>94</v>
      </c>
      <c r="C2814">
        <v>31856812</v>
      </c>
      <c r="D2814" t="s">
        <v>184</v>
      </c>
      <c r="E2814">
        <v>1.766</v>
      </c>
      <c r="F2814" t="s">
        <v>21</v>
      </c>
      <c r="G2814" t="s">
        <v>26</v>
      </c>
      <c r="H2814" t="s">
        <v>21</v>
      </c>
      <c r="I2814" t="s">
        <v>20</v>
      </c>
      <c r="J2814" t="s">
        <v>20</v>
      </c>
      <c r="K2814" t="s">
        <v>27</v>
      </c>
      <c r="L2814" t="s">
        <v>54</v>
      </c>
      <c r="M2814" t="s">
        <v>55</v>
      </c>
      <c r="N2814">
        <v>37.670402000000003</v>
      </c>
      <c r="O2814">
        <v>-113.061638</v>
      </c>
      <c r="P2814">
        <v>5860.5461599999999</v>
      </c>
      <c r="Q2814">
        <v>1410</v>
      </c>
      <c r="R2814">
        <v>0</v>
      </c>
    </row>
    <row r="2815" spans="1:18" x14ac:dyDescent="0.25">
      <c r="A2815">
        <v>2814</v>
      </c>
      <c r="B2815">
        <v>94</v>
      </c>
      <c r="C2815">
        <v>31528207</v>
      </c>
      <c r="D2815" t="s">
        <v>182</v>
      </c>
      <c r="E2815">
        <v>1.7669999999999999</v>
      </c>
      <c r="F2815" t="s">
        <v>21</v>
      </c>
      <c r="G2815" t="s">
        <v>26</v>
      </c>
      <c r="H2815" t="s">
        <v>21</v>
      </c>
      <c r="I2815" t="s">
        <v>20</v>
      </c>
      <c r="J2815" t="s">
        <v>20</v>
      </c>
      <c r="K2815" t="s">
        <v>27</v>
      </c>
      <c r="L2815" t="s">
        <v>183</v>
      </c>
      <c r="M2815" t="s">
        <v>76</v>
      </c>
      <c r="N2815">
        <v>38.926307999999999</v>
      </c>
      <c r="O2815">
        <v>-111.934105</v>
      </c>
      <c r="P2815">
        <v>5153.4541120000004</v>
      </c>
      <c r="Q2815">
        <v>429</v>
      </c>
      <c r="R2815">
        <v>0</v>
      </c>
    </row>
    <row r="2816" spans="1:18" x14ac:dyDescent="0.25">
      <c r="A2816">
        <v>2815</v>
      </c>
      <c r="B2816">
        <v>94</v>
      </c>
      <c r="C2816">
        <v>500956</v>
      </c>
      <c r="D2816" t="s">
        <v>249</v>
      </c>
      <c r="E2816">
        <v>1.7669999999999999</v>
      </c>
      <c r="F2816" t="s">
        <v>21</v>
      </c>
      <c r="G2816" t="s">
        <v>26</v>
      </c>
      <c r="H2816" t="s">
        <v>21</v>
      </c>
      <c r="I2816" t="s">
        <v>20</v>
      </c>
      <c r="J2816" t="s">
        <v>20</v>
      </c>
      <c r="K2816" t="s">
        <v>31</v>
      </c>
      <c r="L2816" t="s">
        <v>89</v>
      </c>
      <c r="M2816" t="s">
        <v>24</v>
      </c>
      <c r="N2816">
        <v>40.486159000000001</v>
      </c>
      <c r="O2816">
        <v>-111.911862</v>
      </c>
      <c r="P2816">
        <v>4409.0188429999998</v>
      </c>
      <c r="Q2816">
        <v>337</v>
      </c>
      <c r="R2816">
        <v>0</v>
      </c>
    </row>
    <row r="2817" spans="1:18" x14ac:dyDescent="0.25">
      <c r="A2817">
        <v>2816</v>
      </c>
      <c r="B2817">
        <v>94</v>
      </c>
      <c r="C2817" t="s">
        <v>522</v>
      </c>
      <c r="D2817" t="s">
        <v>92</v>
      </c>
      <c r="E2817">
        <v>1.9650000000000001</v>
      </c>
      <c r="F2817" t="s">
        <v>21</v>
      </c>
      <c r="G2817" t="s">
        <v>26</v>
      </c>
      <c r="H2817" t="s">
        <v>21</v>
      </c>
      <c r="I2817" t="s">
        <v>20</v>
      </c>
      <c r="J2817" t="s">
        <v>20</v>
      </c>
      <c r="K2817" t="s">
        <v>41</v>
      </c>
      <c r="L2817" t="s">
        <v>87</v>
      </c>
      <c r="M2817" t="s">
        <v>93</v>
      </c>
      <c r="N2817">
        <v>41.099116000000002</v>
      </c>
      <c r="O2817">
        <v>-111.97338999999999</v>
      </c>
      <c r="P2817">
        <v>4606.0266490000004</v>
      </c>
      <c r="Q2817">
        <v>252</v>
      </c>
      <c r="R2817">
        <v>0</v>
      </c>
    </row>
    <row r="2818" spans="1:18" x14ac:dyDescent="0.25">
      <c r="A2818">
        <v>2817</v>
      </c>
      <c r="B2818">
        <v>94</v>
      </c>
      <c r="C2818">
        <v>28866136</v>
      </c>
      <c r="D2818" t="s">
        <v>18</v>
      </c>
      <c r="E2818">
        <v>1.9690000000000001</v>
      </c>
      <c r="F2818" t="s">
        <v>19</v>
      </c>
      <c r="G2818" t="s">
        <v>20</v>
      </c>
      <c r="H2818" t="s">
        <v>21</v>
      </c>
      <c r="I2818" t="s">
        <v>20</v>
      </c>
      <c r="J2818" t="s">
        <v>20</v>
      </c>
      <c r="K2818" t="s">
        <v>22</v>
      </c>
      <c r="L2818" t="s">
        <v>23</v>
      </c>
      <c r="M2818" t="s">
        <v>24</v>
      </c>
      <c r="N2818">
        <v>40.273473000000003</v>
      </c>
      <c r="O2818">
        <v>-111.690388</v>
      </c>
      <c r="P2818">
        <v>4689.2489050000004</v>
      </c>
      <c r="Q2818">
        <v>1281</v>
      </c>
      <c r="R2818">
        <v>0</v>
      </c>
    </row>
    <row r="2819" spans="1:18" x14ac:dyDescent="0.25">
      <c r="A2819">
        <v>2818</v>
      </c>
      <c r="B2819">
        <v>94</v>
      </c>
      <c r="C2819">
        <v>1373934</v>
      </c>
      <c r="D2819" t="s">
        <v>437</v>
      </c>
      <c r="E2819">
        <v>1.9770000000000001</v>
      </c>
      <c r="F2819" t="s">
        <v>21</v>
      </c>
      <c r="G2819" t="s">
        <v>26</v>
      </c>
      <c r="H2819" t="s">
        <v>21</v>
      </c>
      <c r="I2819" t="s">
        <v>20</v>
      </c>
      <c r="J2819" t="s">
        <v>20</v>
      </c>
      <c r="K2819" t="s">
        <v>41</v>
      </c>
      <c r="L2819" t="s">
        <v>223</v>
      </c>
      <c r="M2819" t="s">
        <v>43</v>
      </c>
      <c r="N2819">
        <v>41.807274</v>
      </c>
      <c r="O2819">
        <v>-112.11596900000001</v>
      </c>
      <c r="P2819">
        <v>4325.1171320000003</v>
      </c>
      <c r="Q2819">
        <v>1378</v>
      </c>
      <c r="R2819">
        <v>0</v>
      </c>
    </row>
    <row r="2820" spans="1:18" x14ac:dyDescent="0.25">
      <c r="A2820">
        <v>2819</v>
      </c>
      <c r="B2820">
        <v>94</v>
      </c>
      <c r="C2820">
        <v>31654043</v>
      </c>
      <c r="D2820" t="s">
        <v>363</v>
      </c>
      <c r="E2820">
        <v>1.9770000000000001</v>
      </c>
      <c r="F2820" t="s">
        <v>21</v>
      </c>
      <c r="G2820" t="s">
        <v>26</v>
      </c>
      <c r="H2820" t="s">
        <v>21</v>
      </c>
      <c r="I2820" t="s">
        <v>20</v>
      </c>
      <c r="J2820" t="s">
        <v>20</v>
      </c>
      <c r="K2820" t="s">
        <v>41</v>
      </c>
      <c r="L2820" t="s">
        <v>95</v>
      </c>
      <c r="M2820" t="s">
        <v>73</v>
      </c>
      <c r="N2820">
        <v>41.844853999999998</v>
      </c>
      <c r="O2820">
        <v>-111.951486</v>
      </c>
      <c r="P2820">
        <v>4382.0003290000004</v>
      </c>
      <c r="Q2820">
        <v>356</v>
      </c>
      <c r="R2820">
        <v>0</v>
      </c>
    </row>
    <row r="2821" spans="1:18" x14ac:dyDescent="0.25">
      <c r="A2821">
        <v>2820</v>
      </c>
      <c r="B2821">
        <v>94</v>
      </c>
      <c r="C2821">
        <v>27683889</v>
      </c>
      <c r="D2821" t="s">
        <v>217</v>
      </c>
      <c r="E2821">
        <v>1.98</v>
      </c>
      <c r="F2821" t="s">
        <v>21</v>
      </c>
      <c r="G2821" t="s">
        <v>26</v>
      </c>
      <c r="H2821" t="s">
        <v>21</v>
      </c>
      <c r="I2821" t="s">
        <v>20</v>
      </c>
      <c r="J2821" t="s">
        <v>20</v>
      </c>
      <c r="K2821" t="s">
        <v>27</v>
      </c>
      <c r="L2821" t="s">
        <v>72</v>
      </c>
      <c r="M2821" t="s">
        <v>163</v>
      </c>
      <c r="N2821">
        <v>37.108218000000001</v>
      </c>
      <c r="O2821">
        <v>-113.593182</v>
      </c>
      <c r="P2821">
        <v>2677.3304680000001</v>
      </c>
      <c r="Q2821">
        <v>304</v>
      </c>
      <c r="R2821">
        <v>0</v>
      </c>
    </row>
    <row r="2822" spans="1:18" x14ac:dyDescent="0.25">
      <c r="A2822">
        <v>2821</v>
      </c>
      <c r="B2822">
        <v>94</v>
      </c>
      <c r="C2822">
        <v>31519024</v>
      </c>
      <c r="D2822" t="s">
        <v>191</v>
      </c>
      <c r="E2822">
        <v>1.984</v>
      </c>
      <c r="F2822" t="s">
        <v>21</v>
      </c>
      <c r="G2822" t="s">
        <v>26</v>
      </c>
      <c r="H2822" t="s">
        <v>21</v>
      </c>
      <c r="I2822" t="s">
        <v>20</v>
      </c>
      <c r="J2822" t="s">
        <v>20</v>
      </c>
      <c r="K2822" t="s">
        <v>41</v>
      </c>
      <c r="L2822" t="s">
        <v>57</v>
      </c>
      <c r="M2822" t="s">
        <v>190</v>
      </c>
      <c r="N2822">
        <v>41.117956999999997</v>
      </c>
      <c r="O2822">
        <v>-112.112576</v>
      </c>
      <c r="P2822">
        <v>4178.1818329999996</v>
      </c>
      <c r="Q2822">
        <v>329</v>
      </c>
      <c r="R2822">
        <v>0</v>
      </c>
    </row>
    <row r="2823" spans="1:18" x14ac:dyDescent="0.25">
      <c r="A2823">
        <v>2822</v>
      </c>
      <c r="B2823">
        <v>94</v>
      </c>
      <c r="C2823">
        <v>1045423</v>
      </c>
      <c r="D2823" t="s">
        <v>65</v>
      </c>
      <c r="E2823">
        <v>1.9850000000000001</v>
      </c>
      <c r="F2823" t="s">
        <v>21</v>
      </c>
      <c r="G2823" t="s">
        <v>26</v>
      </c>
      <c r="H2823" t="s">
        <v>21</v>
      </c>
      <c r="I2823" t="s">
        <v>20</v>
      </c>
      <c r="J2823" t="s">
        <v>20</v>
      </c>
      <c r="K2823" t="s">
        <v>31</v>
      </c>
      <c r="L2823" t="s">
        <v>66</v>
      </c>
      <c r="M2823" t="s">
        <v>67</v>
      </c>
      <c r="N2823">
        <v>40.770572999999999</v>
      </c>
      <c r="O2823">
        <v>-111.888214</v>
      </c>
      <c r="P2823">
        <v>4299.3112160000001</v>
      </c>
      <c r="Q2823">
        <v>402</v>
      </c>
      <c r="R2823">
        <v>0</v>
      </c>
    </row>
    <row r="2824" spans="1:18" x14ac:dyDescent="0.25">
      <c r="A2824">
        <v>2823</v>
      </c>
      <c r="B2824">
        <v>94</v>
      </c>
      <c r="C2824">
        <v>27506008</v>
      </c>
      <c r="D2824" t="s">
        <v>96</v>
      </c>
      <c r="E2824">
        <v>1.9850000000000001</v>
      </c>
      <c r="F2824" t="s">
        <v>21</v>
      </c>
      <c r="G2824" t="s">
        <v>26</v>
      </c>
      <c r="H2824" t="s">
        <v>21</v>
      </c>
      <c r="I2824" t="s">
        <v>20</v>
      </c>
      <c r="J2824" t="s">
        <v>20</v>
      </c>
      <c r="K2824" t="s">
        <v>22</v>
      </c>
      <c r="L2824" t="s">
        <v>97</v>
      </c>
      <c r="M2824" t="s">
        <v>98</v>
      </c>
      <c r="N2824">
        <v>40.976174</v>
      </c>
      <c r="O2824">
        <v>-109.828709</v>
      </c>
      <c r="P2824">
        <v>7157.463103</v>
      </c>
      <c r="Q2824">
        <v>311</v>
      </c>
      <c r="R2824">
        <v>0</v>
      </c>
    </row>
    <row r="2825" spans="1:18" x14ac:dyDescent="0.25">
      <c r="A2825">
        <v>2824</v>
      </c>
      <c r="B2825">
        <v>94</v>
      </c>
      <c r="C2825">
        <v>483889</v>
      </c>
      <c r="D2825" t="s">
        <v>83</v>
      </c>
      <c r="E2825">
        <v>1.9850000000000001</v>
      </c>
      <c r="F2825" t="s">
        <v>21</v>
      </c>
      <c r="G2825" t="s">
        <v>26</v>
      </c>
      <c r="H2825" t="s">
        <v>21</v>
      </c>
      <c r="I2825" t="s">
        <v>20</v>
      </c>
      <c r="J2825" t="s">
        <v>20</v>
      </c>
      <c r="K2825" t="s">
        <v>22</v>
      </c>
      <c r="L2825" t="s">
        <v>84</v>
      </c>
      <c r="M2825" t="s">
        <v>85</v>
      </c>
      <c r="N2825">
        <v>40.404857</v>
      </c>
      <c r="O2825">
        <v>-111.791376</v>
      </c>
      <c r="P2825">
        <v>4738.7680790000004</v>
      </c>
      <c r="Q2825">
        <v>319</v>
      </c>
      <c r="R2825">
        <v>0</v>
      </c>
    </row>
    <row r="2826" spans="1:18" x14ac:dyDescent="0.25">
      <c r="A2826">
        <v>2825</v>
      </c>
      <c r="B2826">
        <v>94</v>
      </c>
      <c r="C2826">
        <v>31310048</v>
      </c>
      <c r="D2826" t="s">
        <v>215</v>
      </c>
      <c r="E2826">
        <v>1.9870000000000001</v>
      </c>
      <c r="F2826" t="s">
        <v>21</v>
      </c>
      <c r="G2826" t="s">
        <v>26</v>
      </c>
      <c r="H2826" t="s">
        <v>21</v>
      </c>
      <c r="I2826" t="s">
        <v>20</v>
      </c>
      <c r="J2826" t="s">
        <v>20</v>
      </c>
      <c r="K2826" t="s">
        <v>22</v>
      </c>
      <c r="L2826" t="s">
        <v>23</v>
      </c>
      <c r="M2826" t="s">
        <v>85</v>
      </c>
      <c r="N2826">
        <v>40.240056000000003</v>
      </c>
      <c r="O2826">
        <v>-111.69494400000001</v>
      </c>
      <c r="P2826">
        <v>4464.913853</v>
      </c>
      <c r="Q2826">
        <v>330</v>
      </c>
      <c r="R2826">
        <v>0</v>
      </c>
    </row>
    <row r="2827" spans="1:18" x14ac:dyDescent="0.25">
      <c r="A2827">
        <v>2826</v>
      </c>
      <c r="B2827">
        <v>94</v>
      </c>
      <c r="C2827">
        <v>31796384</v>
      </c>
      <c r="D2827" t="s">
        <v>180</v>
      </c>
      <c r="E2827">
        <v>1.99</v>
      </c>
      <c r="F2827" t="s">
        <v>21</v>
      </c>
      <c r="G2827" t="s">
        <v>26</v>
      </c>
      <c r="H2827" t="s">
        <v>21</v>
      </c>
      <c r="I2827" t="s">
        <v>20</v>
      </c>
      <c r="J2827" t="s">
        <v>20</v>
      </c>
      <c r="K2827" t="s">
        <v>41</v>
      </c>
      <c r="L2827" t="s">
        <v>181</v>
      </c>
      <c r="M2827" t="s">
        <v>117</v>
      </c>
      <c r="N2827">
        <v>41.741045999999997</v>
      </c>
      <c r="O2827">
        <v>-112.16263600000001</v>
      </c>
      <c r="P2827">
        <v>4288.9973</v>
      </c>
      <c r="Q2827">
        <v>1379</v>
      </c>
      <c r="R2827">
        <v>0</v>
      </c>
    </row>
    <row r="2828" spans="1:18" x14ac:dyDescent="0.25">
      <c r="A2828">
        <v>2827</v>
      </c>
      <c r="B2828">
        <v>94</v>
      </c>
      <c r="C2828">
        <v>31519013</v>
      </c>
      <c r="D2828" t="s">
        <v>191</v>
      </c>
      <c r="E2828">
        <v>1.992</v>
      </c>
      <c r="F2828" t="s">
        <v>21</v>
      </c>
      <c r="G2828" t="s">
        <v>26</v>
      </c>
      <c r="H2828" t="s">
        <v>19</v>
      </c>
      <c r="I2828">
        <v>107</v>
      </c>
      <c r="J2828" t="s">
        <v>20</v>
      </c>
      <c r="K2828" t="s">
        <v>41</v>
      </c>
      <c r="L2828" t="s">
        <v>57</v>
      </c>
      <c r="M2828" t="s">
        <v>190</v>
      </c>
      <c r="N2828">
        <v>41.118084000000003</v>
      </c>
      <c r="O2828">
        <v>-112.112571</v>
      </c>
      <c r="P2828">
        <v>4178.4782910000004</v>
      </c>
      <c r="Q2828">
        <v>329</v>
      </c>
      <c r="R2828">
        <v>0</v>
      </c>
    </row>
    <row r="2829" spans="1:18" x14ac:dyDescent="0.25">
      <c r="A2829">
        <v>2828</v>
      </c>
      <c r="B2829">
        <v>94</v>
      </c>
      <c r="C2829">
        <v>31464607</v>
      </c>
      <c r="D2829" t="s">
        <v>218</v>
      </c>
      <c r="E2829">
        <v>1.992</v>
      </c>
      <c r="F2829" t="s">
        <v>21</v>
      </c>
      <c r="G2829" t="s">
        <v>26</v>
      </c>
      <c r="H2829" t="s">
        <v>21</v>
      </c>
      <c r="I2829" t="s">
        <v>20</v>
      </c>
      <c r="J2829" t="s">
        <v>20</v>
      </c>
      <c r="K2829" t="s">
        <v>27</v>
      </c>
      <c r="L2829" t="s">
        <v>183</v>
      </c>
      <c r="M2829" t="s">
        <v>76</v>
      </c>
      <c r="N2829">
        <v>39.002141999999999</v>
      </c>
      <c r="O2829">
        <v>-111.86157900000001</v>
      </c>
      <c r="P2829">
        <v>5042.9343259999996</v>
      </c>
      <c r="Q2829">
        <v>360</v>
      </c>
      <c r="R2829">
        <v>0</v>
      </c>
    </row>
    <row r="2830" spans="1:18" x14ac:dyDescent="0.25">
      <c r="A2830">
        <v>2829</v>
      </c>
      <c r="B2830">
        <v>94</v>
      </c>
      <c r="C2830">
        <v>27343711</v>
      </c>
      <c r="D2830" t="s">
        <v>185</v>
      </c>
      <c r="E2830">
        <v>1.9950000000000001</v>
      </c>
      <c r="F2830" t="s">
        <v>19</v>
      </c>
      <c r="G2830" t="s">
        <v>20</v>
      </c>
      <c r="H2830" t="s">
        <v>19</v>
      </c>
      <c r="I2830">
        <v>108</v>
      </c>
      <c r="J2830" t="s">
        <v>20</v>
      </c>
      <c r="K2830" t="s">
        <v>41</v>
      </c>
      <c r="L2830" t="s">
        <v>57</v>
      </c>
      <c r="M2830" t="s">
        <v>58</v>
      </c>
      <c r="N2830">
        <v>41.139884000000002</v>
      </c>
      <c r="O2830">
        <v>-112.064447</v>
      </c>
      <c r="P2830">
        <v>4280.6660380000003</v>
      </c>
      <c r="Q2830">
        <v>309</v>
      </c>
      <c r="R2830">
        <v>0</v>
      </c>
    </row>
    <row r="2831" spans="1:18" x14ac:dyDescent="0.25">
      <c r="A2831">
        <v>2830</v>
      </c>
      <c r="B2831">
        <v>94</v>
      </c>
      <c r="C2831">
        <v>31194899</v>
      </c>
      <c r="D2831" t="s">
        <v>309</v>
      </c>
      <c r="E2831">
        <v>12.214</v>
      </c>
      <c r="F2831" t="s">
        <v>21</v>
      </c>
      <c r="G2831" t="s">
        <v>26</v>
      </c>
      <c r="H2831" t="s">
        <v>21</v>
      </c>
      <c r="I2831" t="s">
        <v>20</v>
      </c>
      <c r="J2831" t="s">
        <v>20</v>
      </c>
      <c r="K2831" t="s">
        <v>22</v>
      </c>
      <c r="L2831" t="s">
        <v>140</v>
      </c>
      <c r="M2831" t="s">
        <v>125</v>
      </c>
      <c r="N2831">
        <v>40.115011000000003</v>
      </c>
      <c r="O2831">
        <v>-111.652969</v>
      </c>
      <c r="P2831">
        <v>4521.3028489999997</v>
      </c>
      <c r="Q2831">
        <v>339</v>
      </c>
      <c r="R2831">
        <v>0</v>
      </c>
    </row>
    <row r="2832" spans="1:18" x14ac:dyDescent="0.25">
      <c r="A2832">
        <v>2831</v>
      </c>
      <c r="B2832">
        <v>94</v>
      </c>
      <c r="C2832">
        <v>1525338</v>
      </c>
      <c r="D2832" t="s">
        <v>88</v>
      </c>
      <c r="E2832">
        <v>12.217000000000001</v>
      </c>
      <c r="F2832" t="s">
        <v>21</v>
      </c>
      <c r="G2832" t="s">
        <v>20</v>
      </c>
      <c r="H2832" t="s">
        <v>21</v>
      </c>
      <c r="I2832" t="s">
        <v>20</v>
      </c>
      <c r="J2832" t="s">
        <v>20</v>
      </c>
      <c r="K2832" t="s">
        <v>31</v>
      </c>
      <c r="L2832" t="s">
        <v>32</v>
      </c>
      <c r="M2832" t="s">
        <v>90</v>
      </c>
      <c r="N2832">
        <v>40.615631999999998</v>
      </c>
      <c r="O2832">
        <v>-111.86776</v>
      </c>
      <c r="P2832">
        <v>4429.7869719999999</v>
      </c>
      <c r="Q2832">
        <v>318</v>
      </c>
      <c r="R2832">
        <v>0</v>
      </c>
    </row>
    <row r="2833" spans="1:18" x14ac:dyDescent="0.25">
      <c r="A2833">
        <v>2832</v>
      </c>
      <c r="B2833">
        <v>94</v>
      </c>
      <c r="C2833" t="e">
        <f>-JXkL3EDHyqbJu57Qs7Ibk</f>
        <v>#NAME?</v>
      </c>
      <c r="D2833" t="s">
        <v>203</v>
      </c>
      <c r="E2833">
        <v>12.22</v>
      </c>
      <c r="F2833" t="s">
        <v>21</v>
      </c>
      <c r="G2833" t="s">
        <v>20</v>
      </c>
      <c r="H2833" t="s">
        <v>21</v>
      </c>
      <c r="I2833" t="s">
        <v>20</v>
      </c>
      <c r="J2833" t="s">
        <v>20</v>
      </c>
      <c r="K2833" t="s">
        <v>41</v>
      </c>
      <c r="L2833" t="s">
        <v>255</v>
      </c>
      <c r="M2833" t="s">
        <v>204</v>
      </c>
      <c r="N2833">
        <v>41.254387000000001</v>
      </c>
      <c r="O2833">
        <v>-111.870469</v>
      </c>
      <c r="P2833">
        <v>4697.0523860000003</v>
      </c>
      <c r="Q2833">
        <v>1349</v>
      </c>
      <c r="R2833">
        <v>0</v>
      </c>
    </row>
    <row r="2834" spans="1:18" x14ac:dyDescent="0.25">
      <c r="A2834">
        <v>2833</v>
      </c>
      <c r="B2834">
        <v>94</v>
      </c>
      <c r="C2834">
        <v>27877685</v>
      </c>
      <c r="D2834" t="s">
        <v>136</v>
      </c>
      <c r="E2834">
        <v>12.228999999999999</v>
      </c>
      <c r="F2834" t="s">
        <v>21</v>
      </c>
      <c r="G2834" t="s">
        <v>26</v>
      </c>
      <c r="H2834" t="s">
        <v>21</v>
      </c>
      <c r="I2834" t="s">
        <v>20</v>
      </c>
      <c r="J2834" t="s">
        <v>20</v>
      </c>
      <c r="K2834" t="s">
        <v>41</v>
      </c>
      <c r="L2834" t="s">
        <v>137</v>
      </c>
      <c r="M2834" t="s">
        <v>138</v>
      </c>
      <c r="N2834">
        <v>41.029102000000002</v>
      </c>
      <c r="O2834">
        <v>-111.67461</v>
      </c>
      <c r="P2834">
        <v>5056.3714060000002</v>
      </c>
      <c r="Q2834">
        <v>317</v>
      </c>
      <c r="R2834">
        <v>0</v>
      </c>
    </row>
    <row r="2835" spans="1:18" x14ac:dyDescent="0.25">
      <c r="A2835">
        <v>2834</v>
      </c>
      <c r="B2835">
        <v>94</v>
      </c>
      <c r="C2835">
        <v>31531659</v>
      </c>
      <c r="D2835" t="s">
        <v>231</v>
      </c>
      <c r="E2835">
        <v>12.228999999999999</v>
      </c>
      <c r="F2835" t="s">
        <v>21</v>
      </c>
      <c r="G2835" t="s">
        <v>26</v>
      </c>
      <c r="H2835" t="s">
        <v>21</v>
      </c>
      <c r="I2835" t="s">
        <v>20</v>
      </c>
      <c r="J2835" t="s">
        <v>20</v>
      </c>
      <c r="K2835" t="s">
        <v>41</v>
      </c>
      <c r="L2835" t="s">
        <v>57</v>
      </c>
      <c r="M2835" t="s">
        <v>93</v>
      </c>
      <c r="N2835">
        <v>41.212463999999997</v>
      </c>
      <c r="O2835">
        <v>-112.02577599999999</v>
      </c>
      <c r="P2835">
        <v>4242.8480989999998</v>
      </c>
      <c r="Q2835">
        <v>1409</v>
      </c>
      <c r="R2835">
        <v>0</v>
      </c>
    </row>
    <row r="2836" spans="1:18" x14ac:dyDescent="0.25">
      <c r="A2836">
        <v>2835</v>
      </c>
      <c r="B2836">
        <v>94</v>
      </c>
      <c r="C2836">
        <v>1108521</v>
      </c>
      <c r="D2836" t="s">
        <v>171</v>
      </c>
      <c r="E2836">
        <v>12.231</v>
      </c>
      <c r="F2836" t="s">
        <v>19</v>
      </c>
      <c r="G2836" t="s">
        <v>20</v>
      </c>
      <c r="H2836" t="s">
        <v>21</v>
      </c>
      <c r="I2836" t="s">
        <v>20</v>
      </c>
      <c r="J2836" t="s">
        <v>20</v>
      </c>
      <c r="K2836" t="s">
        <v>31</v>
      </c>
      <c r="L2836" t="s">
        <v>188</v>
      </c>
      <c r="M2836" t="s">
        <v>79</v>
      </c>
      <c r="N2836">
        <v>40.699891999999998</v>
      </c>
      <c r="O2836">
        <v>-111.859742</v>
      </c>
      <c r="P2836">
        <v>4271.811369</v>
      </c>
      <c r="Q2836">
        <v>346</v>
      </c>
      <c r="R2836">
        <v>0</v>
      </c>
    </row>
    <row r="2837" spans="1:18" x14ac:dyDescent="0.25">
      <c r="A2837">
        <v>2836</v>
      </c>
      <c r="B2837">
        <v>94</v>
      </c>
      <c r="C2837">
        <v>31652665</v>
      </c>
      <c r="D2837" t="s">
        <v>240</v>
      </c>
      <c r="E2837">
        <v>12.237</v>
      </c>
      <c r="F2837" t="s">
        <v>21</v>
      </c>
      <c r="G2837" t="s">
        <v>26</v>
      </c>
      <c r="H2837" t="s">
        <v>21</v>
      </c>
      <c r="I2837" t="s">
        <v>20</v>
      </c>
      <c r="J2837" t="s">
        <v>20</v>
      </c>
      <c r="K2837" t="s">
        <v>27</v>
      </c>
      <c r="L2837" t="s">
        <v>146</v>
      </c>
      <c r="M2837" t="s">
        <v>147</v>
      </c>
      <c r="N2837">
        <v>38.338174000000002</v>
      </c>
      <c r="O2837">
        <v>-109.210764</v>
      </c>
      <c r="P2837">
        <v>7600.9809230000001</v>
      </c>
      <c r="Q2837">
        <v>1355</v>
      </c>
      <c r="R2837">
        <v>0</v>
      </c>
    </row>
    <row r="2838" spans="1:18" x14ac:dyDescent="0.25">
      <c r="A2838">
        <v>2837</v>
      </c>
      <c r="B2838">
        <v>94</v>
      </c>
      <c r="C2838">
        <v>1525331</v>
      </c>
      <c r="D2838" t="s">
        <v>88</v>
      </c>
      <c r="E2838">
        <v>12.255000000000001</v>
      </c>
      <c r="F2838" t="s">
        <v>21</v>
      </c>
      <c r="G2838" t="s">
        <v>26</v>
      </c>
      <c r="H2838" t="s">
        <v>21</v>
      </c>
      <c r="I2838" t="s">
        <v>20</v>
      </c>
      <c r="J2838" t="s">
        <v>20</v>
      </c>
      <c r="K2838" t="s">
        <v>31</v>
      </c>
      <c r="L2838" t="s">
        <v>32</v>
      </c>
      <c r="M2838" t="s">
        <v>90</v>
      </c>
      <c r="N2838">
        <v>40.616042</v>
      </c>
      <c r="O2838">
        <v>-111.867262</v>
      </c>
      <c r="P2838">
        <v>4431.8193449999999</v>
      </c>
      <c r="Q2838">
        <v>318</v>
      </c>
      <c r="R2838">
        <v>0</v>
      </c>
    </row>
    <row r="2839" spans="1:18" x14ac:dyDescent="0.25">
      <c r="A2839">
        <v>2838</v>
      </c>
      <c r="B2839">
        <v>94</v>
      </c>
      <c r="C2839">
        <v>31499729</v>
      </c>
      <c r="D2839" t="s">
        <v>224</v>
      </c>
      <c r="E2839">
        <v>12.26</v>
      </c>
      <c r="F2839" t="s">
        <v>21</v>
      </c>
      <c r="G2839" t="s">
        <v>26</v>
      </c>
      <c r="H2839" t="s">
        <v>21</v>
      </c>
      <c r="I2839" t="s">
        <v>20</v>
      </c>
      <c r="J2839" t="s">
        <v>20</v>
      </c>
      <c r="K2839" t="s">
        <v>22</v>
      </c>
      <c r="L2839" t="s">
        <v>140</v>
      </c>
      <c r="M2839" t="s">
        <v>194</v>
      </c>
      <c r="N2839">
        <v>40.104672999999998</v>
      </c>
      <c r="O2839">
        <v>-111.654956</v>
      </c>
      <c r="P2839">
        <v>4530.6428409999999</v>
      </c>
      <c r="Q2839">
        <v>408</v>
      </c>
      <c r="R2839">
        <v>0</v>
      </c>
    </row>
    <row r="2840" spans="1:18" x14ac:dyDescent="0.25">
      <c r="A2840">
        <v>2839</v>
      </c>
      <c r="B2840">
        <v>94</v>
      </c>
      <c r="C2840">
        <v>28002026</v>
      </c>
      <c r="D2840" t="s">
        <v>346</v>
      </c>
      <c r="E2840">
        <v>12.272</v>
      </c>
      <c r="F2840" t="s">
        <v>21</v>
      </c>
      <c r="G2840" t="s">
        <v>20</v>
      </c>
      <c r="H2840" t="s">
        <v>21</v>
      </c>
      <c r="I2840" t="s">
        <v>20</v>
      </c>
      <c r="J2840" t="s">
        <v>20</v>
      </c>
      <c r="K2840" t="s">
        <v>27</v>
      </c>
      <c r="L2840" t="s">
        <v>307</v>
      </c>
      <c r="M2840" t="s">
        <v>159</v>
      </c>
      <c r="N2840">
        <v>39.793596000000001</v>
      </c>
      <c r="O2840">
        <v>-111.132479</v>
      </c>
      <c r="P2840">
        <v>7597.96108</v>
      </c>
      <c r="Q2840">
        <v>1389</v>
      </c>
      <c r="R2840">
        <v>0</v>
      </c>
    </row>
    <row r="2841" spans="1:18" x14ac:dyDescent="0.25">
      <c r="A2841">
        <v>2840</v>
      </c>
      <c r="B2841">
        <v>94</v>
      </c>
      <c r="C2841">
        <v>31507610</v>
      </c>
      <c r="D2841" t="s">
        <v>292</v>
      </c>
      <c r="E2841">
        <v>12.295999999999999</v>
      </c>
      <c r="F2841" t="s">
        <v>21</v>
      </c>
      <c r="G2841" t="s">
        <v>20</v>
      </c>
      <c r="H2841" t="s">
        <v>21</v>
      </c>
      <c r="I2841" t="s">
        <v>20</v>
      </c>
      <c r="J2841" t="s">
        <v>20</v>
      </c>
      <c r="K2841" t="s">
        <v>22</v>
      </c>
      <c r="L2841" t="s">
        <v>253</v>
      </c>
      <c r="M2841" t="s">
        <v>134</v>
      </c>
      <c r="N2841">
        <v>40.325449999999996</v>
      </c>
      <c r="O2841">
        <v>-110.405978</v>
      </c>
      <c r="P2841">
        <v>6681.4417860000003</v>
      </c>
      <c r="Q2841">
        <v>323</v>
      </c>
      <c r="R2841">
        <v>0</v>
      </c>
    </row>
    <row r="2842" spans="1:18" x14ac:dyDescent="0.25">
      <c r="A2842">
        <v>2841</v>
      </c>
      <c r="B2842">
        <v>94</v>
      </c>
      <c r="C2842">
        <v>27955029</v>
      </c>
      <c r="D2842" t="s">
        <v>281</v>
      </c>
      <c r="E2842">
        <v>12.298</v>
      </c>
      <c r="F2842" t="s">
        <v>21</v>
      </c>
      <c r="G2842" t="s">
        <v>26</v>
      </c>
      <c r="H2842" t="s">
        <v>21</v>
      </c>
      <c r="I2842" t="s">
        <v>20</v>
      </c>
      <c r="J2842" t="s">
        <v>20</v>
      </c>
      <c r="K2842" t="s">
        <v>31</v>
      </c>
      <c r="L2842" t="s">
        <v>282</v>
      </c>
      <c r="M2842" t="s">
        <v>174</v>
      </c>
      <c r="N2842">
        <v>40.037987000000001</v>
      </c>
      <c r="O2842">
        <v>-112.288349</v>
      </c>
      <c r="P2842">
        <v>5575.5185179999999</v>
      </c>
      <c r="Q2842">
        <v>1347</v>
      </c>
      <c r="R2842">
        <v>0</v>
      </c>
    </row>
    <row r="2843" spans="1:18" x14ac:dyDescent="0.25">
      <c r="A2843">
        <v>2842</v>
      </c>
      <c r="B2843">
        <v>94</v>
      </c>
      <c r="C2843">
        <v>31473021</v>
      </c>
      <c r="D2843" t="s">
        <v>213</v>
      </c>
      <c r="E2843">
        <v>21.545999999999999</v>
      </c>
      <c r="F2843" t="s">
        <v>21</v>
      </c>
      <c r="G2843" t="s">
        <v>20</v>
      </c>
      <c r="H2843" t="s">
        <v>21</v>
      </c>
      <c r="I2843" t="s">
        <v>20</v>
      </c>
      <c r="J2843" t="s">
        <v>20</v>
      </c>
      <c r="K2843" t="s">
        <v>27</v>
      </c>
      <c r="L2843" t="s">
        <v>173</v>
      </c>
      <c r="M2843" t="s">
        <v>214</v>
      </c>
      <c r="N2843">
        <v>39.072245000000002</v>
      </c>
      <c r="O2843">
        <v>-113.661402</v>
      </c>
      <c r="P2843">
        <v>6024.8987980000002</v>
      </c>
      <c r="Q2843">
        <v>1332</v>
      </c>
      <c r="R2843">
        <v>0</v>
      </c>
    </row>
    <row r="2844" spans="1:18" x14ac:dyDescent="0.25">
      <c r="A2844">
        <v>2843</v>
      </c>
      <c r="B2844">
        <v>94</v>
      </c>
      <c r="C2844">
        <v>28567372</v>
      </c>
      <c r="D2844" t="s">
        <v>323</v>
      </c>
      <c r="E2844">
        <v>24.852</v>
      </c>
      <c r="F2844" t="s">
        <v>21</v>
      </c>
      <c r="G2844" t="s">
        <v>26</v>
      </c>
      <c r="H2844" t="s">
        <v>21</v>
      </c>
      <c r="I2844" t="s">
        <v>20</v>
      </c>
      <c r="J2844" t="s">
        <v>20</v>
      </c>
      <c r="K2844" t="s">
        <v>31</v>
      </c>
      <c r="L2844" t="s">
        <v>149</v>
      </c>
      <c r="M2844" t="s">
        <v>131</v>
      </c>
      <c r="N2844">
        <v>40.761482999999998</v>
      </c>
      <c r="O2844">
        <v>-111.394203</v>
      </c>
      <c r="P2844">
        <v>6009.7908690000004</v>
      </c>
      <c r="Q2844">
        <v>1345</v>
      </c>
      <c r="R2844">
        <v>0</v>
      </c>
    </row>
    <row r="2845" spans="1:18" x14ac:dyDescent="0.25">
      <c r="A2845">
        <v>2844</v>
      </c>
      <c r="B2845">
        <v>94</v>
      </c>
      <c r="C2845" t="s">
        <v>523</v>
      </c>
      <c r="D2845" t="s">
        <v>50</v>
      </c>
      <c r="E2845">
        <v>24.861999999999998</v>
      </c>
      <c r="F2845" t="s">
        <v>21</v>
      </c>
      <c r="G2845" t="s">
        <v>20</v>
      </c>
      <c r="H2845" t="s">
        <v>21</v>
      </c>
      <c r="I2845" t="s">
        <v>20</v>
      </c>
      <c r="J2845" t="s">
        <v>20</v>
      </c>
      <c r="K2845" t="s">
        <v>27</v>
      </c>
      <c r="L2845" t="s">
        <v>51</v>
      </c>
      <c r="M2845" t="s">
        <v>52</v>
      </c>
      <c r="N2845">
        <v>37.662312</v>
      </c>
      <c r="O2845">
        <v>-112.730396</v>
      </c>
      <c r="P2845">
        <v>9407.8141479999995</v>
      </c>
      <c r="Q2845">
        <v>1418</v>
      </c>
      <c r="R2845">
        <v>0</v>
      </c>
    </row>
    <row r="2846" spans="1:18" x14ac:dyDescent="0.25">
      <c r="A2846">
        <v>2845</v>
      </c>
      <c r="B2846">
        <v>94</v>
      </c>
      <c r="C2846" t="s">
        <v>524</v>
      </c>
      <c r="D2846" t="s">
        <v>50</v>
      </c>
      <c r="E2846">
        <v>24.879000000000001</v>
      </c>
      <c r="F2846" t="s">
        <v>21</v>
      </c>
      <c r="G2846" t="s">
        <v>20</v>
      </c>
      <c r="H2846" t="s">
        <v>21</v>
      </c>
      <c r="I2846" t="s">
        <v>20</v>
      </c>
      <c r="J2846" t="s">
        <v>20</v>
      </c>
      <c r="K2846" t="s">
        <v>27</v>
      </c>
      <c r="L2846" t="s">
        <v>51</v>
      </c>
      <c r="M2846" t="s">
        <v>52</v>
      </c>
      <c r="N2846">
        <v>37.662413000000001</v>
      </c>
      <c r="O2846">
        <v>-112.730107</v>
      </c>
      <c r="P2846">
        <v>9404.7249699999993</v>
      </c>
      <c r="Q2846">
        <v>1418</v>
      </c>
      <c r="R2846">
        <v>0</v>
      </c>
    </row>
    <row r="2847" spans="1:18" x14ac:dyDescent="0.25">
      <c r="A2847">
        <v>2846</v>
      </c>
      <c r="B2847">
        <v>94</v>
      </c>
      <c r="C2847">
        <v>31878587</v>
      </c>
      <c r="D2847" t="s">
        <v>61</v>
      </c>
      <c r="E2847">
        <v>24.885999999999999</v>
      </c>
      <c r="F2847" t="s">
        <v>21</v>
      </c>
      <c r="G2847" t="s">
        <v>26</v>
      </c>
      <c r="H2847" t="s">
        <v>19</v>
      </c>
      <c r="I2847">
        <v>113</v>
      </c>
      <c r="J2847" t="s">
        <v>20</v>
      </c>
      <c r="K2847" t="s">
        <v>22</v>
      </c>
      <c r="L2847" t="s">
        <v>60</v>
      </c>
      <c r="M2847" t="s">
        <v>328</v>
      </c>
      <c r="N2847">
        <v>40.455646999999999</v>
      </c>
      <c r="O2847">
        <v>-111.471248</v>
      </c>
      <c r="P2847">
        <v>5377.7009690000004</v>
      </c>
      <c r="Q2847">
        <v>403</v>
      </c>
      <c r="R2847">
        <v>0</v>
      </c>
    </row>
    <row r="2848" spans="1:18" x14ac:dyDescent="0.25">
      <c r="A2848">
        <v>2847</v>
      </c>
      <c r="B2848">
        <v>94</v>
      </c>
      <c r="C2848">
        <v>31279859</v>
      </c>
      <c r="D2848" t="s">
        <v>241</v>
      </c>
      <c r="E2848">
        <v>24.905999999999999</v>
      </c>
      <c r="F2848" t="s">
        <v>21</v>
      </c>
      <c r="G2848" t="s">
        <v>26</v>
      </c>
      <c r="H2848" t="s">
        <v>21</v>
      </c>
      <c r="I2848" t="s">
        <v>20</v>
      </c>
      <c r="J2848" t="s">
        <v>20</v>
      </c>
      <c r="K2848" t="s">
        <v>27</v>
      </c>
      <c r="L2848" t="s">
        <v>242</v>
      </c>
      <c r="M2848" t="s">
        <v>243</v>
      </c>
      <c r="N2848">
        <v>39.06194</v>
      </c>
      <c r="O2848">
        <v>-111.130432</v>
      </c>
      <c r="P2848">
        <v>5886.6039410000003</v>
      </c>
      <c r="Q2848">
        <v>1327</v>
      </c>
      <c r="R2848">
        <v>0</v>
      </c>
    </row>
    <row r="2849" spans="1:18" x14ac:dyDescent="0.25">
      <c r="A2849">
        <v>2848</v>
      </c>
      <c r="B2849">
        <v>94</v>
      </c>
      <c r="C2849">
        <v>31518504</v>
      </c>
      <c r="D2849" t="s">
        <v>132</v>
      </c>
      <c r="E2849">
        <v>24.988</v>
      </c>
      <c r="F2849" t="s">
        <v>21</v>
      </c>
      <c r="G2849" t="s">
        <v>26</v>
      </c>
      <c r="H2849" t="s">
        <v>21</v>
      </c>
      <c r="I2849" t="s">
        <v>20</v>
      </c>
      <c r="J2849" t="s">
        <v>20</v>
      </c>
      <c r="K2849" t="s">
        <v>22</v>
      </c>
      <c r="L2849" t="s">
        <v>133</v>
      </c>
      <c r="M2849" t="s">
        <v>134</v>
      </c>
      <c r="N2849">
        <v>40.403365999999998</v>
      </c>
      <c r="O2849">
        <v>-109.774411</v>
      </c>
      <c r="P2849">
        <v>5628.3467700000001</v>
      </c>
      <c r="Q2849">
        <v>1405</v>
      </c>
      <c r="R2849">
        <v>0</v>
      </c>
    </row>
    <row r="2850" spans="1:18" x14ac:dyDescent="0.25">
      <c r="A2850">
        <v>2849</v>
      </c>
      <c r="B2850">
        <v>94</v>
      </c>
      <c r="C2850" t="e">
        <f>-IoMGB64FIL97NU9abuZZF</f>
        <v>#NAME?</v>
      </c>
      <c r="D2850" t="s">
        <v>272</v>
      </c>
      <c r="E2850">
        <v>240.19200000000001</v>
      </c>
      <c r="F2850" t="s">
        <v>21</v>
      </c>
      <c r="G2850" t="s">
        <v>26</v>
      </c>
      <c r="H2850" t="s">
        <v>21</v>
      </c>
      <c r="I2850" t="s">
        <v>20</v>
      </c>
      <c r="J2850" t="s">
        <v>20</v>
      </c>
      <c r="K2850" t="s">
        <v>27</v>
      </c>
      <c r="L2850" t="s">
        <v>350</v>
      </c>
      <c r="M2850" t="s">
        <v>174</v>
      </c>
      <c r="N2850">
        <v>39.141888999999999</v>
      </c>
      <c r="O2850">
        <v>-111.818883</v>
      </c>
      <c r="P2850">
        <v>5039.3846910000002</v>
      </c>
      <c r="Q2850">
        <v>1384</v>
      </c>
      <c r="R2850">
        <v>0</v>
      </c>
    </row>
    <row r="2851" spans="1:18" x14ac:dyDescent="0.25">
      <c r="A2851">
        <v>2850</v>
      </c>
      <c r="B2851">
        <v>94</v>
      </c>
      <c r="C2851" t="s">
        <v>525</v>
      </c>
      <c r="D2851" t="s">
        <v>272</v>
      </c>
      <c r="E2851">
        <v>240.45500000000001</v>
      </c>
      <c r="F2851" t="s">
        <v>21</v>
      </c>
      <c r="G2851" t="s">
        <v>26</v>
      </c>
      <c r="H2851" t="s">
        <v>21</v>
      </c>
      <c r="I2851" t="s">
        <v>20</v>
      </c>
      <c r="J2851" t="s">
        <v>20</v>
      </c>
      <c r="K2851" t="s">
        <v>27</v>
      </c>
      <c r="L2851" t="s">
        <v>350</v>
      </c>
      <c r="M2851" t="s">
        <v>174</v>
      </c>
      <c r="N2851">
        <v>39.145719</v>
      </c>
      <c r="O2851">
        <v>-111.818811</v>
      </c>
      <c r="P2851">
        <v>5044.7662190000001</v>
      </c>
      <c r="Q2851">
        <v>1384</v>
      </c>
      <c r="R2851">
        <v>0</v>
      </c>
    </row>
    <row r="2852" spans="1:18" x14ac:dyDescent="0.25">
      <c r="A2852">
        <v>2851</v>
      </c>
      <c r="B2852">
        <v>94</v>
      </c>
      <c r="C2852" t="e">
        <f>-IoMIfaUFA1c2FMBxHgBbk</f>
        <v>#NAME?</v>
      </c>
      <c r="D2852" t="s">
        <v>272</v>
      </c>
      <c r="E2852">
        <v>240.80500000000001</v>
      </c>
      <c r="F2852" t="s">
        <v>21</v>
      </c>
      <c r="G2852" t="s">
        <v>26</v>
      </c>
      <c r="H2852" t="s">
        <v>21</v>
      </c>
      <c r="I2852" t="s">
        <v>20</v>
      </c>
      <c r="J2852" t="s">
        <v>20</v>
      </c>
      <c r="K2852" t="s">
        <v>27</v>
      </c>
      <c r="L2852" t="s">
        <v>350</v>
      </c>
      <c r="M2852" t="s">
        <v>174</v>
      </c>
      <c r="N2852">
        <v>39.150793999999998</v>
      </c>
      <c r="O2852">
        <v>-111.818383</v>
      </c>
      <c r="P2852">
        <v>5040.2925150000001</v>
      </c>
      <c r="Q2852">
        <v>1384</v>
      </c>
      <c r="R2852">
        <v>0</v>
      </c>
    </row>
    <row r="2853" spans="1:18" x14ac:dyDescent="0.25">
      <c r="A2853">
        <v>2852</v>
      </c>
      <c r="B2853">
        <v>94</v>
      </c>
      <c r="C2853" t="e">
        <f>-IoMIpkVIpDu_u-JYtcYpk</f>
        <v>#NAME?</v>
      </c>
      <c r="D2853" t="s">
        <v>272</v>
      </c>
      <c r="E2853">
        <v>240.898</v>
      </c>
      <c r="F2853" t="s">
        <v>21</v>
      </c>
      <c r="G2853" t="s">
        <v>26</v>
      </c>
      <c r="H2853" t="s">
        <v>21</v>
      </c>
      <c r="I2853" t="s">
        <v>20</v>
      </c>
      <c r="J2853" t="s">
        <v>20</v>
      </c>
      <c r="K2853" t="s">
        <v>27</v>
      </c>
      <c r="L2853" t="s">
        <v>350</v>
      </c>
      <c r="M2853" t="s">
        <v>174</v>
      </c>
      <c r="N2853">
        <v>39.152158999999997</v>
      </c>
      <c r="O2853">
        <v>-111.818335</v>
      </c>
      <c r="P2853">
        <v>5055.8066239999998</v>
      </c>
      <c r="Q2853">
        <v>1384</v>
      </c>
      <c r="R2853">
        <v>0</v>
      </c>
    </row>
    <row r="2854" spans="1:18" x14ac:dyDescent="0.25">
      <c r="A2854">
        <v>2853</v>
      </c>
      <c r="B2854">
        <v>94</v>
      </c>
      <c r="C2854">
        <v>772500</v>
      </c>
      <c r="D2854" t="s">
        <v>68</v>
      </c>
      <c r="E2854">
        <v>3.3780000000000001</v>
      </c>
      <c r="F2854" t="s">
        <v>19</v>
      </c>
      <c r="G2854" t="s">
        <v>20</v>
      </c>
      <c r="H2854" t="s">
        <v>21</v>
      </c>
      <c r="I2854" t="s">
        <v>20</v>
      </c>
      <c r="J2854" t="s">
        <v>20</v>
      </c>
      <c r="K2854" t="s">
        <v>31</v>
      </c>
      <c r="L2854" t="s">
        <v>69</v>
      </c>
      <c r="M2854" t="s">
        <v>70</v>
      </c>
      <c r="N2854">
        <v>40.674405999999998</v>
      </c>
      <c r="O2854">
        <v>-111.891272</v>
      </c>
      <c r="P2854">
        <v>4226.6952069999998</v>
      </c>
      <c r="Q2854">
        <v>431</v>
      </c>
      <c r="R2854">
        <v>0</v>
      </c>
    </row>
    <row r="2855" spans="1:18" x14ac:dyDescent="0.25">
      <c r="A2855">
        <v>2854</v>
      </c>
      <c r="B2855">
        <v>94</v>
      </c>
      <c r="C2855">
        <v>31311190</v>
      </c>
      <c r="D2855" t="s">
        <v>215</v>
      </c>
      <c r="E2855">
        <v>3.379</v>
      </c>
      <c r="F2855" t="s">
        <v>21</v>
      </c>
      <c r="G2855" t="s">
        <v>26</v>
      </c>
      <c r="H2855" t="s">
        <v>21</v>
      </c>
      <c r="I2855" t="s">
        <v>20</v>
      </c>
      <c r="J2855" t="s">
        <v>20</v>
      </c>
      <c r="K2855" t="s">
        <v>22</v>
      </c>
      <c r="L2855" t="s">
        <v>23</v>
      </c>
      <c r="M2855" t="s">
        <v>85</v>
      </c>
      <c r="N2855">
        <v>40.256245</v>
      </c>
      <c r="O2855">
        <v>-111.710352</v>
      </c>
      <c r="P2855">
        <v>4476.3255840000002</v>
      </c>
      <c r="Q2855">
        <v>330</v>
      </c>
      <c r="R2855">
        <v>0</v>
      </c>
    </row>
    <row r="2856" spans="1:18" x14ac:dyDescent="0.25">
      <c r="A2856">
        <v>2855</v>
      </c>
      <c r="B2856">
        <v>94</v>
      </c>
      <c r="C2856">
        <v>31400103</v>
      </c>
      <c r="D2856" t="s">
        <v>224</v>
      </c>
      <c r="E2856">
        <v>3.383</v>
      </c>
      <c r="F2856" t="s">
        <v>21</v>
      </c>
      <c r="G2856" t="s">
        <v>26</v>
      </c>
      <c r="H2856" t="s">
        <v>21</v>
      </c>
      <c r="I2856" t="s">
        <v>20</v>
      </c>
      <c r="J2856" t="s">
        <v>20</v>
      </c>
      <c r="K2856" t="s">
        <v>22</v>
      </c>
      <c r="L2856" t="s">
        <v>198</v>
      </c>
      <c r="M2856" t="s">
        <v>194</v>
      </c>
      <c r="N2856">
        <v>40.018343000000002</v>
      </c>
      <c r="O2856">
        <v>-111.743431</v>
      </c>
      <c r="P2856">
        <v>4686.3509389999999</v>
      </c>
      <c r="Q2856">
        <v>408</v>
      </c>
      <c r="R2856">
        <v>0</v>
      </c>
    </row>
    <row r="2857" spans="1:18" x14ac:dyDescent="0.25">
      <c r="A2857">
        <v>2856</v>
      </c>
      <c r="B2857">
        <v>94</v>
      </c>
      <c r="C2857">
        <v>541474</v>
      </c>
      <c r="D2857" t="s">
        <v>77</v>
      </c>
      <c r="E2857">
        <v>3.3889999999999998</v>
      </c>
      <c r="F2857" t="s">
        <v>21</v>
      </c>
      <c r="G2857" t="s">
        <v>26</v>
      </c>
      <c r="H2857" t="s">
        <v>21</v>
      </c>
      <c r="I2857" t="s">
        <v>20</v>
      </c>
      <c r="J2857" t="s">
        <v>20</v>
      </c>
      <c r="K2857" t="s">
        <v>31</v>
      </c>
      <c r="L2857" t="s">
        <v>78</v>
      </c>
      <c r="M2857" t="s">
        <v>79</v>
      </c>
      <c r="N2857">
        <v>40.687787</v>
      </c>
      <c r="O2857">
        <v>-112.024806</v>
      </c>
      <c r="P2857">
        <v>4346.1175219999996</v>
      </c>
      <c r="Q2857">
        <v>1436</v>
      </c>
      <c r="R2857">
        <v>0</v>
      </c>
    </row>
    <row r="2858" spans="1:18" x14ac:dyDescent="0.25">
      <c r="A2858">
        <v>2857</v>
      </c>
      <c r="B2858">
        <v>94</v>
      </c>
      <c r="C2858">
        <v>31489189</v>
      </c>
      <c r="D2858" t="s">
        <v>164</v>
      </c>
      <c r="E2858">
        <v>3.3929999999999998</v>
      </c>
      <c r="F2858" t="s">
        <v>21</v>
      </c>
      <c r="G2858" t="s">
        <v>26</v>
      </c>
      <c r="H2858" t="s">
        <v>21</v>
      </c>
      <c r="I2858" t="s">
        <v>20</v>
      </c>
      <c r="J2858" t="s">
        <v>20</v>
      </c>
      <c r="K2858" t="s">
        <v>27</v>
      </c>
      <c r="L2858" t="s">
        <v>165</v>
      </c>
      <c r="M2858" t="s">
        <v>166</v>
      </c>
      <c r="N2858">
        <v>38.981965000000002</v>
      </c>
      <c r="O2858">
        <v>-112.323733</v>
      </c>
      <c r="P2858">
        <v>4997.4451220000001</v>
      </c>
      <c r="Q2858">
        <v>1390</v>
      </c>
      <c r="R2858">
        <v>0</v>
      </c>
    </row>
    <row r="2859" spans="1:18" x14ac:dyDescent="0.25">
      <c r="A2859">
        <v>2858</v>
      </c>
      <c r="B2859">
        <v>94</v>
      </c>
      <c r="C2859">
        <v>31349872</v>
      </c>
      <c r="D2859" t="s">
        <v>34</v>
      </c>
      <c r="E2859">
        <v>3.395</v>
      </c>
      <c r="F2859" t="s">
        <v>21</v>
      </c>
      <c r="G2859" t="s">
        <v>26</v>
      </c>
      <c r="H2859" t="s">
        <v>21</v>
      </c>
      <c r="I2859" t="s">
        <v>20</v>
      </c>
      <c r="J2859" t="s">
        <v>20</v>
      </c>
      <c r="K2859" t="s">
        <v>22</v>
      </c>
      <c r="L2859" t="s">
        <v>35</v>
      </c>
      <c r="M2859" t="s">
        <v>36</v>
      </c>
      <c r="N2859">
        <v>40.504747999999999</v>
      </c>
      <c r="O2859">
        <v>-111.472444</v>
      </c>
      <c r="P2859">
        <v>5473.149676</v>
      </c>
      <c r="Q2859">
        <v>1400</v>
      </c>
      <c r="R2859">
        <v>0</v>
      </c>
    </row>
    <row r="2860" spans="1:18" x14ac:dyDescent="0.25">
      <c r="A2860">
        <v>2859</v>
      </c>
      <c r="B2860">
        <v>94</v>
      </c>
      <c r="C2860" t="e">
        <f>-IoMy8tpH_q4yAc41CQfFk</f>
        <v>#NAME?</v>
      </c>
      <c r="D2860" t="s">
        <v>272</v>
      </c>
      <c r="E2860">
        <v>282.63099999999997</v>
      </c>
      <c r="F2860" t="s">
        <v>21</v>
      </c>
      <c r="G2860" t="s">
        <v>26</v>
      </c>
      <c r="H2860" t="s">
        <v>21</v>
      </c>
      <c r="I2860" t="s">
        <v>20</v>
      </c>
      <c r="J2860" t="s">
        <v>20</v>
      </c>
      <c r="K2860" t="s">
        <v>27</v>
      </c>
      <c r="L2860" t="s">
        <v>230</v>
      </c>
      <c r="M2860" t="s">
        <v>174</v>
      </c>
      <c r="N2860">
        <v>39.614077000000002</v>
      </c>
      <c r="O2860">
        <v>-111.444272</v>
      </c>
      <c r="P2860">
        <v>5814.6299049999998</v>
      </c>
      <c r="Q2860">
        <v>1384</v>
      </c>
      <c r="R2860">
        <v>0</v>
      </c>
    </row>
    <row r="2861" spans="1:18" x14ac:dyDescent="0.25">
      <c r="A2861">
        <v>2860</v>
      </c>
      <c r="B2861">
        <v>94</v>
      </c>
      <c r="C2861">
        <v>31722189</v>
      </c>
      <c r="D2861" t="s">
        <v>213</v>
      </c>
      <c r="E2861">
        <v>283.20100000000002</v>
      </c>
      <c r="F2861" t="s">
        <v>21</v>
      </c>
      <c r="G2861" t="s">
        <v>26</v>
      </c>
      <c r="H2861" t="s">
        <v>21</v>
      </c>
      <c r="I2861" t="s">
        <v>20</v>
      </c>
      <c r="J2861" t="s">
        <v>20</v>
      </c>
      <c r="K2861" t="s">
        <v>27</v>
      </c>
      <c r="L2861" t="s">
        <v>158</v>
      </c>
      <c r="M2861" t="s">
        <v>422</v>
      </c>
      <c r="N2861">
        <v>39.195413000000002</v>
      </c>
      <c r="O2861">
        <v>-110.33850099999999</v>
      </c>
      <c r="P2861">
        <v>4768.271315</v>
      </c>
      <c r="Q2861">
        <v>1332</v>
      </c>
      <c r="R2861">
        <v>0</v>
      </c>
    </row>
    <row r="2862" spans="1:18" x14ac:dyDescent="0.25">
      <c r="A2862">
        <v>2861</v>
      </c>
      <c r="B2862">
        <v>94</v>
      </c>
      <c r="C2862" t="e">
        <f>-IoMynHUF31NnZ9vrJ2tVV</f>
        <v>#NAME?</v>
      </c>
      <c r="D2862" t="s">
        <v>272</v>
      </c>
      <c r="E2862">
        <v>283.33100000000002</v>
      </c>
      <c r="F2862" t="s">
        <v>21</v>
      </c>
      <c r="G2862" t="s">
        <v>26</v>
      </c>
      <c r="H2862" t="s">
        <v>21</v>
      </c>
      <c r="I2862" t="s">
        <v>20</v>
      </c>
      <c r="J2862" t="s">
        <v>20</v>
      </c>
      <c r="K2862" t="s">
        <v>27</v>
      </c>
      <c r="L2862" t="s">
        <v>230</v>
      </c>
      <c r="M2862" t="s">
        <v>174</v>
      </c>
      <c r="N2862">
        <v>39.623322999999999</v>
      </c>
      <c r="O2862">
        <v>-111.439249</v>
      </c>
      <c r="P2862">
        <v>5875.741884</v>
      </c>
      <c r="Q2862">
        <v>1384</v>
      </c>
      <c r="R2862">
        <v>0</v>
      </c>
    </row>
    <row r="2863" spans="1:18" x14ac:dyDescent="0.25">
      <c r="A2863">
        <v>2862</v>
      </c>
      <c r="B2863">
        <v>94</v>
      </c>
      <c r="C2863" t="e">
        <f>-IoMzWh4FqeTF8ZMGZrXyF</f>
        <v>#NAME?</v>
      </c>
      <c r="D2863" t="s">
        <v>272</v>
      </c>
      <c r="E2863">
        <v>283.44</v>
      </c>
      <c r="F2863" t="s">
        <v>21</v>
      </c>
      <c r="G2863" t="s">
        <v>26</v>
      </c>
      <c r="H2863" t="s">
        <v>21</v>
      </c>
      <c r="I2863" t="s">
        <v>20</v>
      </c>
      <c r="J2863" t="s">
        <v>20</v>
      </c>
      <c r="K2863" t="s">
        <v>27</v>
      </c>
      <c r="L2863" t="s">
        <v>230</v>
      </c>
      <c r="M2863" t="s">
        <v>174</v>
      </c>
      <c r="N2863">
        <v>39.624906000000003</v>
      </c>
      <c r="O2863">
        <v>-111.439258</v>
      </c>
      <c r="P2863">
        <v>5883.579299</v>
      </c>
      <c r="Q2863">
        <v>1384</v>
      </c>
      <c r="R2863">
        <v>0</v>
      </c>
    </row>
    <row r="2864" spans="1:18" x14ac:dyDescent="0.25">
      <c r="A2864">
        <v>2863</v>
      </c>
      <c r="B2864">
        <v>94</v>
      </c>
      <c r="C2864" t="s">
        <v>526</v>
      </c>
      <c r="D2864" t="s">
        <v>272</v>
      </c>
      <c r="E2864">
        <v>283.55</v>
      </c>
      <c r="F2864" t="s">
        <v>21</v>
      </c>
      <c r="G2864" t="s">
        <v>26</v>
      </c>
      <c r="H2864" t="s">
        <v>21</v>
      </c>
      <c r="I2864" t="s">
        <v>20</v>
      </c>
      <c r="J2864" t="s">
        <v>20</v>
      </c>
      <c r="K2864" t="s">
        <v>27</v>
      </c>
      <c r="L2864" t="s">
        <v>230</v>
      </c>
      <c r="M2864" t="s">
        <v>174</v>
      </c>
      <c r="N2864">
        <v>39.626506999999997</v>
      </c>
      <c r="O2864">
        <v>-111.439268</v>
      </c>
      <c r="P2864">
        <v>5896.4012789999997</v>
      </c>
      <c r="Q2864">
        <v>1384</v>
      </c>
      <c r="R2864">
        <v>0</v>
      </c>
    </row>
    <row r="2865" spans="1:18" x14ac:dyDescent="0.25">
      <c r="A2865">
        <v>2864</v>
      </c>
      <c r="B2865">
        <v>94</v>
      </c>
      <c r="C2865" t="s">
        <v>527</v>
      </c>
      <c r="D2865" t="s">
        <v>272</v>
      </c>
      <c r="E2865">
        <v>283.65699999999998</v>
      </c>
      <c r="F2865" t="s">
        <v>21</v>
      </c>
      <c r="G2865" t="s">
        <v>26</v>
      </c>
      <c r="H2865" t="s">
        <v>21</v>
      </c>
      <c r="I2865" t="s">
        <v>20</v>
      </c>
      <c r="J2865" t="s">
        <v>20</v>
      </c>
      <c r="K2865" t="s">
        <v>27</v>
      </c>
      <c r="L2865" t="s">
        <v>230</v>
      </c>
      <c r="M2865" t="s">
        <v>174</v>
      </c>
      <c r="N2865">
        <v>39.628062</v>
      </c>
      <c r="O2865">
        <v>-111.439273</v>
      </c>
      <c r="P2865">
        <v>5902.7057189999996</v>
      </c>
      <c r="Q2865">
        <v>1384</v>
      </c>
      <c r="R2865">
        <v>0</v>
      </c>
    </row>
    <row r="2866" spans="1:18" x14ac:dyDescent="0.25">
      <c r="A2866">
        <v>2865</v>
      </c>
      <c r="B2866">
        <v>94</v>
      </c>
      <c r="C2866" t="e">
        <f>-IoN0PbXG91enlBdAJSlnV</f>
        <v>#NAME?</v>
      </c>
      <c r="D2866" t="s">
        <v>272</v>
      </c>
      <c r="E2866">
        <v>283.767</v>
      </c>
      <c r="F2866" t="s">
        <v>21</v>
      </c>
      <c r="G2866" t="s">
        <v>26</v>
      </c>
      <c r="H2866" t="s">
        <v>21</v>
      </c>
      <c r="I2866" t="s">
        <v>20</v>
      </c>
      <c r="J2866" t="s">
        <v>20</v>
      </c>
      <c r="K2866" t="s">
        <v>27</v>
      </c>
      <c r="L2866" t="s">
        <v>230</v>
      </c>
      <c r="M2866" t="s">
        <v>174</v>
      </c>
      <c r="N2866">
        <v>39.629662000000003</v>
      </c>
      <c r="O2866">
        <v>-111.43927499999999</v>
      </c>
      <c r="P2866">
        <v>5909.8833350000004</v>
      </c>
      <c r="Q2866">
        <v>1384</v>
      </c>
      <c r="R2866">
        <v>0</v>
      </c>
    </row>
    <row r="2867" spans="1:18" x14ac:dyDescent="0.25">
      <c r="A2867">
        <v>2866</v>
      </c>
      <c r="B2867">
        <v>94</v>
      </c>
      <c r="C2867" t="s">
        <v>528</v>
      </c>
      <c r="D2867" t="s">
        <v>272</v>
      </c>
      <c r="E2867">
        <v>283.87400000000002</v>
      </c>
      <c r="F2867" t="s">
        <v>21</v>
      </c>
      <c r="G2867" t="s">
        <v>26</v>
      </c>
      <c r="H2867" t="s">
        <v>21</v>
      </c>
      <c r="I2867" t="s">
        <v>20</v>
      </c>
      <c r="J2867" t="s">
        <v>20</v>
      </c>
      <c r="K2867" t="s">
        <v>27</v>
      </c>
      <c r="L2867" t="s">
        <v>230</v>
      </c>
      <c r="M2867" t="s">
        <v>174</v>
      </c>
      <c r="N2867">
        <v>39.631219999999999</v>
      </c>
      <c r="O2867">
        <v>-111.43927100000001</v>
      </c>
      <c r="P2867">
        <v>5922.2121630000001</v>
      </c>
      <c r="Q2867">
        <v>1384</v>
      </c>
      <c r="R2867">
        <v>0</v>
      </c>
    </row>
    <row r="2868" spans="1:18" x14ac:dyDescent="0.25">
      <c r="A2868">
        <v>2867</v>
      </c>
      <c r="B2868">
        <v>94</v>
      </c>
      <c r="C2868" t="s">
        <v>529</v>
      </c>
      <c r="D2868" t="s">
        <v>272</v>
      </c>
      <c r="E2868">
        <v>283.98200000000003</v>
      </c>
      <c r="F2868" t="s">
        <v>21</v>
      </c>
      <c r="G2868" t="s">
        <v>26</v>
      </c>
      <c r="H2868" t="s">
        <v>21</v>
      </c>
      <c r="I2868" t="s">
        <v>20</v>
      </c>
      <c r="J2868" t="s">
        <v>20</v>
      </c>
      <c r="K2868" t="s">
        <v>27</v>
      </c>
      <c r="L2868" t="s">
        <v>230</v>
      </c>
      <c r="M2868" t="s">
        <v>174</v>
      </c>
      <c r="N2868">
        <v>39.632801999999998</v>
      </c>
      <c r="O2868">
        <v>-111.43928699999999</v>
      </c>
      <c r="P2868">
        <v>5933.569786</v>
      </c>
      <c r="Q2868">
        <v>1384</v>
      </c>
      <c r="R2868">
        <v>0</v>
      </c>
    </row>
    <row r="2869" spans="1:18" x14ac:dyDescent="0.25">
      <c r="A2869">
        <v>2868</v>
      </c>
      <c r="B2869">
        <v>94</v>
      </c>
      <c r="C2869" t="s">
        <v>530</v>
      </c>
      <c r="D2869" t="s">
        <v>272</v>
      </c>
      <c r="E2869">
        <v>284.01900000000001</v>
      </c>
      <c r="F2869" t="s">
        <v>21</v>
      </c>
      <c r="G2869" t="s">
        <v>26</v>
      </c>
      <c r="H2869" t="s">
        <v>19</v>
      </c>
      <c r="I2869">
        <v>31</v>
      </c>
      <c r="J2869" t="s">
        <v>20</v>
      </c>
      <c r="K2869" t="s">
        <v>27</v>
      </c>
      <c r="L2869" t="s">
        <v>230</v>
      </c>
      <c r="M2869" t="s">
        <v>174</v>
      </c>
      <c r="N2869">
        <v>39.633304000000003</v>
      </c>
      <c r="O2869">
        <v>-111.439466</v>
      </c>
      <c r="P2869">
        <v>5937.239039</v>
      </c>
      <c r="Q2869">
        <v>1384</v>
      </c>
      <c r="R2869">
        <v>0</v>
      </c>
    </row>
    <row r="2870" spans="1:18" x14ac:dyDescent="0.25">
      <c r="A2870">
        <v>2869</v>
      </c>
      <c r="B2870">
        <v>94</v>
      </c>
      <c r="C2870" t="e">
        <f>-IoN1p0rGp128Ea7E_5e5F</f>
        <v>#NAME?</v>
      </c>
      <c r="D2870" t="s">
        <v>272</v>
      </c>
      <c r="E2870">
        <v>284.12299999999999</v>
      </c>
      <c r="F2870" t="s">
        <v>21</v>
      </c>
      <c r="G2870" t="s">
        <v>26</v>
      </c>
      <c r="H2870" t="s">
        <v>19</v>
      </c>
      <c r="I2870">
        <v>31</v>
      </c>
      <c r="J2870" t="s">
        <v>20</v>
      </c>
      <c r="K2870" t="s">
        <v>27</v>
      </c>
      <c r="L2870" t="s">
        <v>230</v>
      </c>
      <c r="M2870" t="s">
        <v>174</v>
      </c>
      <c r="N2870">
        <v>39.634301000000001</v>
      </c>
      <c r="O2870">
        <v>-111.440879</v>
      </c>
      <c r="P2870">
        <v>5934.180781</v>
      </c>
      <c r="Q2870">
        <v>1384</v>
      </c>
      <c r="R2870">
        <v>0</v>
      </c>
    </row>
    <row r="2871" spans="1:18" x14ac:dyDescent="0.25">
      <c r="A2871">
        <v>2870</v>
      </c>
      <c r="B2871">
        <v>94</v>
      </c>
      <c r="C2871" t="s">
        <v>531</v>
      </c>
      <c r="D2871" t="s">
        <v>272</v>
      </c>
      <c r="E2871">
        <v>284.14400000000001</v>
      </c>
      <c r="F2871" t="s">
        <v>21</v>
      </c>
      <c r="G2871" t="s">
        <v>26</v>
      </c>
      <c r="H2871" t="s">
        <v>21</v>
      </c>
      <c r="I2871" t="s">
        <v>20</v>
      </c>
      <c r="J2871" t="s">
        <v>20</v>
      </c>
      <c r="K2871" t="s">
        <v>27</v>
      </c>
      <c r="L2871" t="s">
        <v>230</v>
      </c>
      <c r="M2871" t="s">
        <v>174</v>
      </c>
      <c r="N2871">
        <v>39.634478000000001</v>
      </c>
      <c r="O2871">
        <v>-111.441205</v>
      </c>
      <c r="P2871">
        <v>5933.1932470000002</v>
      </c>
      <c r="Q2871">
        <v>1384</v>
      </c>
      <c r="R2871">
        <v>0</v>
      </c>
    </row>
    <row r="2872" spans="1:18" x14ac:dyDescent="0.25">
      <c r="A2872">
        <v>2871</v>
      </c>
      <c r="B2872">
        <v>94</v>
      </c>
      <c r="C2872" t="e">
        <f>-IoN2CgHILePIscJr4AGlk</f>
        <v>#NAME?</v>
      </c>
      <c r="D2872" t="s">
        <v>272</v>
      </c>
      <c r="E2872">
        <v>284.28399999999999</v>
      </c>
      <c r="F2872" t="s">
        <v>21</v>
      </c>
      <c r="G2872" t="s">
        <v>26</v>
      </c>
      <c r="H2872" t="s">
        <v>21</v>
      </c>
      <c r="I2872" t="s">
        <v>20</v>
      </c>
      <c r="J2872" t="s">
        <v>20</v>
      </c>
      <c r="K2872" t="s">
        <v>27</v>
      </c>
      <c r="L2872" t="s">
        <v>230</v>
      </c>
      <c r="M2872" t="s">
        <v>174</v>
      </c>
      <c r="N2872">
        <v>39.635758000000003</v>
      </c>
      <c r="O2872">
        <v>-111.44324</v>
      </c>
      <c r="P2872">
        <v>5925.3336939999999</v>
      </c>
      <c r="Q2872">
        <v>1384</v>
      </c>
      <c r="R2872">
        <v>0</v>
      </c>
    </row>
    <row r="2873" spans="1:18" x14ac:dyDescent="0.25">
      <c r="A2873">
        <v>2872</v>
      </c>
      <c r="B2873">
        <v>94</v>
      </c>
      <c r="C2873">
        <v>31556323</v>
      </c>
      <c r="D2873" t="s">
        <v>288</v>
      </c>
      <c r="E2873">
        <v>284.94499999999999</v>
      </c>
      <c r="F2873" t="s">
        <v>21</v>
      </c>
      <c r="G2873" t="s">
        <v>20</v>
      </c>
      <c r="H2873" t="s">
        <v>21</v>
      </c>
      <c r="I2873" t="s">
        <v>20</v>
      </c>
      <c r="J2873" t="s">
        <v>20</v>
      </c>
      <c r="K2873" t="s">
        <v>22</v>
      </c>
      <c r="L2873" t="s">
        <v>253</v>
      </c>
      <c r="M2873" t="s">
        <v>120</v>
      </c>
      <c r="N2873">
        <v>40.059947999999999</v>
      </c>
      <c r="O2873">
        <v>-110.520855</v>
      </c>
      <c r="P2873">
        <v>6262.8777559999999</v>
      </c>
      <c r="Q2873">
        <v>350</v>
      </c>
      <c r="R2873">
        <v>0</v>
      </c>
    </row>
    <row r="2874" spans="1:18" x14ac:dyDescent="0.25">
      <c r="A2874">
        <v>2873</v>
      </c>
      <c r="B2874">
        <v>94</v>
      </c>
      <c r="C2874" t="e">
        <f>-IoN3bhvFBa47u0PKo4JDk</f>
        <v>#NAME?</v>
      </c>
      <c r="D2874" t="s">
        <v>272</v>
      </c>
      <c r="E2874">
        <v>284.95499999999998</v>
      </c>
      <c r="F2874" t="s">
        <v>21</v>
      </c>
      <c r="G2874" t="s">
        <v>26</v>
      </c>
      <c r="H2874" t="s">
        <v>21</v>
      </c>
      <c r="I2874" t="s">
        <v>20</v>
      </c>
      <c r="J2874" t="s">
        <v>20</v>
      </c>
      <c r="K2874" t="s">
        <v>27</v>
      </c>
      <c r="L2874" t="s">
        <v>230</v>
      </c>
      <c r="M2874" t="s">
        <v>174</v>
      </c>
      <c r="N2874">
        <v>39.643954999999998</v>
      </c>
      <c r="O2874">
        <v>-111.449738</v>
      </c>
      <c r="P2874">
        <v>5935.7169190000004</v>
      </c>
      <c r="Q2874">
        <v>1384</v>
      </c>
      <c r="R2874">
        <v>0</v>
      </c>
    </row>
    <row r="2875" spans="1:18" x14ac:dyDescent="0.25">
      <c r="A2875">
        <v>2874</v>
      </c>
      <c r="B2875">
        <v>94</v>
      </c>
      <c r="C2875" t="e">
        <f>-JXAvDs_GByHyoi27LwK6V</f>
        <v>#NAME?</v>
      </c>
      <c r="D2875" t="s">
        <v>63</v>
      </c>
      <c r="E2875">
        <v>38.316000000000003</v>
      </c>
      <c r="F2875" t="s">
        <v>21</v>
      </c>
      <c r="G2875" t="s">
        <v>26</v>
      </c>
      <c r="H2875" t="s">
        <v>21</v>
      </c>
      <c r="I2875" t="s">
        <v>20</v>
      </c>
      <c r="J2875" t="s">
        <v>20</v>
      </c>
      <c r="K2875" t="s">
        <v>27</v>
      </c>
      <c r="L2875" t="s">
        <v>266</v>
      </c>
      <c r="M2875" t="s">
        <v>29</v>
      </c>
      <c r="N2875">
        <v>38.517113000000002</v>
      </c>
      <c r="O2875">
        <v>-111.881381</v>
      </c>
      <c r="P2875">
        <v>6885.1953670000003</v>
      </c>
      <c r="Q2875">
        <v>1365</v>
      </c>
      <c r="R2875">
        <v>0</v>
      </c>
    </row>
    <row r="2876" spans="1:18" x14ac:dyDescent="0.25">
      <c r="A2876">
        <v>2875</v>
      </c>
      <c r="B2876">
        <v>94</v>
      </c>
      <c r="C2876">
        <v>31432220</v>
      </c>
      <c r="D2876" t="s">
        <v>221</v>
      </c>
      <c r="E2876">
        <v>38.323999999999998</v>
      </c>
      <c r="F2876" t="s">
        <v>21</v>
      </c>
      <c r="G2876" t="s">
        <v>20</v>
      </c>
      <c r="H2876" t="s">
        <v>21</v>
      </c>
      <c r="I2876" t="s">
        <v>20</v>
      </c>
      <c r="J2876" t="s">
        <v>20</v>
      </c>
      <c r="K2876" t="s">
        <v>22</v>
      </c>
      <c r="L2876" t="s">
        <v>155</v>
      </c>
      <c r="M2876" t="s">
        <v>174</v>
      </c>
      <c r="N2876">
        <v>39.675395999999999</v>
      </c>
      <c r="O2876">
        <v>-111.842236</v>
      </c>
      <c r="P2876">
        <v>5073.6384269999999</v>
      </c>
      <c r="Q2876">
        <v>1342</v>
      </c>
      <c r="R2876">
        <v>0</v>
      </c>
    </row>
    <row r="2877" spans="1:18" x14ac:dyDescent="0.25">
      <c r="A2877">
        <v>2876</v>
      </c>
      <c r="B2877">
        <v>94</v>
      </c>
      <c r="C2877" t="e">
        <f>-IozwA6MGePZyWreblCY8V</f>
        <v>#NAME?</v>
      </c>
      <c r="D2877" t="s">
        <v>203</v>
      </c>
      <c r="E2877">
        <v>38.323999999999998</v>
      </c>
      <c r="F2877" t="s">
        <v>21</v>
      </c>
      <c r="G2877" t="s">
        <v>26</v>
      </c>
      <c r="H2877" t="s">
        <v>21</v>
      </c>
      <c r="I2877" t="s">
        <v>20</v>
      </c>
      <c r="J2877" t="s">
        <v>20</v>
      </c>
      <c r="K2877" t="s">
        <v>41</v>
      </c>
      <c r="L2877" t="s">
        <v>255</v>
      </c>
      <c r="M2877" t="s">
        <v>204</v>
      </c>
      <c r="N2877">
        <v>41.422600000000003</v>
      </c>
      <c r="O2877">
        <v>-111.56421</v>
      </c>
      <c r="P2877">
        <v>7603.5665570000001</v>
      </c>
      <c r="Q2877">
        <v>1349</v>
      </c>
      <c r="R2877">
        <v>0</v>
      </c>
    </row>
    <row r="2878" spans="1:18" x14ac:dyDescent="0.25">
      <c r="A2878">
        <v>2877</v>
      </c>
      <c r="B2878">
        <v>94</v>
      </c>
      <c r="C2878">
        <v>31744505</v>
      </c>
      <c r="D2878" t="s">
        <v>290</v>
      </c>
      <c r="E2878">
        <v>38.335999999999999</v>
      </c>
      <c r="F2878" t="s">
        <v>21</v>
      </c>
      <c r="G2878" t="s">
        <v>26</v>
      </c>
      <c r="H2878" t="s">
        <v>21</v>
      </c>
      <c r="I2878" t="s">
        <v>20</v>
      </c>
      <c r="J2878" t="s">
        <v>20</v>
      </c>
      <c r="K2878" t="s">
        <v>41</v>
      </c>
      <c r="L2878" t="s">
        <v>291</v>
      </c>
      <c r="M2878" t="s">
        <v>238</v>
      </c>
      <c r="N2878">
        <v>41.684693000000003</v>
      </c>
      <c r="O2878">
        <v>-113.5393</v>
      </c>
      <c r="P2878">
        <v>5139.7882449999997</v>
      </c>
      <c r="Q2878">
        <v>1343</v>
      </c>
      <c r="R2878">
        <v>0</v>
      </c>
    </row>
    <row r="2879" spans="1:18" x14ac:dyDescent="0.25">
      <c r="A2879">
        <v>2878</v>
      </c>
      <c r="B2879">
        <v>94</v>
      </c>
      <c r="C2879">
        <v>28193625</v>
      </c>
      <c r="D2879" t="s">
        <v>233</v>
      </c>
      <c r="E2879">
        <v>38.341999999999999</v>
      </c>
      <c r="F2879" t="s">
        <v>21</v>
      </c>
      <c r="G2879" t="s">
        <v>26</v>
      </c>
      <c r="H2879" t="s">
        <v>21</v>
      </c>
      <c r="I2879" t="s">
        <v>20</v>
      </c>
      <c r="J2879" t="s">
        <v>20</v>
      </c>
      <c r="K2879" t="s">
        <v>22</v>
      </c>
      <c r="L2879" t="s">
        <v>234</v>
      </c>
      <c r="M2879" t="s">
        <v>235</v>
      </c>
      <c r="N2879">
        <v>40.390186</v>
      </c>
      <c r="O2879">
        <v>-109.498772</v>
      </c>
      <c r="P2879">
        <v>5265.7490980000002</v>
      </c>
      <c r="Q2879">
        <v>1354</v>
      </c>
      <c r="R2879">
        <v>0</v>
      </c>
    </row>
    <row r="2880" spans="1:18" x14ac:dyDescent="0.25">
      <c r="A2880">
        <v>2879</v>
      </c>
      <c r="B2880">
        <v>94</v>
      </c>
      <c r="C2880">
        <v>31286445</v>
      </c>
      <c r="D2880" t="s">
        <v>241</v>
      </c>
      <c r="E2880">
        <v>38.350999999999999</v>
      </c>
      <c r="F2880" t="s">
        <v>21</v>
      </c>
      <c r="G2880" t="s">
        <v>26</v>
      </c>
      <c r="H2880" t="s">
        <v>21</v>
      </c>
      <c r="I2880" t="s">
        <v>20</v>
      </c>
      <c r="J2880" t="s">
        <v>20</v>
      </c>
      <c r="K2880" t="s">
        <v>27</v>
      </c>
      <c r="L2880" t="s">
        <v>111</v>
      </c>
      <c r="M2880" t="s">
        <v>243</v>
      </c>
      <c r="N2880">
        <v>39.211776</v>
      </c>
      <c r="O2880">
        <v>-111.01038200000001</v>
      </c>
      <c r="P2880">
        <v>5582.7325430000001</v>
      </c>
      <c r="Q2880">
        <v>1327</v>
      </c>
      <c r="R2880">
        <v>0</v>
      </c>
    </row>
    <row r="2881" spans="1:18" x14ac:dyDescent="0.25">
      <c r="A2881">
        <v>2880</v>
      </c>
      <c r="B2881">
        <v>94</v>
      </c>
      <c r="C2881">
        <v>31324350</v>
      </c>
      <c r="D2881" t="s">
        <v>288</v>
      </c>
      <c r="E2881">
        <v>38.351999999999997</v>
      </c>
      <c r="F2881" t="s">
        <v>21</v>
      </c>
      <c r="G2881" t="s">
        <v>20</v>
      </c>
      <c r="H2881" t="s">
        <v>21</v>
      </c>
      <c r="I2881" t="s">
        <v>20</v>
      </c>
      <c r="J2881" t="s">
        <v>20</v>
      </c>
      <c r="K2881" t="s">
        <v>27</v>
      </c>
      <c r="L2881" t="s">
        <v>327</v>
      </c>
      <c r="M2881" t="s">
        <v>212</v>
      </c>
      <c r="N2881">
        <v>37.450074999999998</v>
      </c>
      <c r="O2881">
        <v>-109.467079</v>
      </c>
      <c r="P2881">
        <v>5211.4489139999996</v>
      </c>
      <c r="Q2881">
        <v>350</v>
      </c>
      <c r="R2881">
        <v>0</v>
      </c>
    </row>
    <row r="2882" spans="1:18" x14ac:dyDescent="0.25">
      <c r="A2882">
        <v>2881</v>
      </c>
      <c r="B2882">
        <v>94</v>
      </c>
      <c r="C2882">
        <v>31292440</v>
      </c>
      <c r="D2882" t="s">
        <v>308</v>
      </c>
      <c r="E2882">
        <v>38.354999999999997</v>
      </c>
      <c r="F2882" t="s">
        <v>21</v>
      </c>
      <c r="G2882" t="s">
        <v>26</v>
      </c>
      <c r="H2882" t="s">
        <v>21</v>
      </c>
      <c r="I2882" t="s">
        <v>20</v>
      </c>
      <c r="J2882" t="s">
        <v>20</v>
      </c>
      <c r="K2882" t="s">
        <v>27</v>
      </c>
      <c r="L2882" t="s">
        <v>111</v>
      </c>
      <c r="M2882" t="s">
        <v>82</v>
      </c>
      <c r="N2882">
        <v>39.398890999999999</v>
      </c>
      <c r="O2882">
        <v>-111.10996299999999</v>
      </c>
      <c r="P2882">
        <v>6701.9984169999998</v>
      </c>
      <c r="Q2882">
        <v>1344</v>
      </c>
      <c r="R2882">
        <v>0</v>
      </c>
    </row>
    <row r="2883" spans="1:18" x14ac:dyDescent="0.25">
      <c r="A2883">
        <v>2882</v>
      </c>
      <c r="B2883">
        <v>94</v>
      </c>
      <c r="C2883" t="s">
        <v>532</v>
      </c>
      <c r="D2883" t="s">
        <v>203</v>
      </c>
      <c r="E2883">
        <v>38.441000000000003</v>
      </c>
      <c r="F2883" t="s">
        <v>21</v>
      </c>
      <c r="G2883" t="s">
        <v>20</v>
      </c>
      <c r="H2883" t="s">
        <v>21</v>
      </c>
      <c r="I2883" t="s">
        <v>20</v>
      </c>
      <c r="J2883" t="s">
        <v>20</v>
      </c>
      <c r="K2883" t="s">
        <v>41</v>
      </c>
      <c r="L2883" t="s">
        <v>255</v>
      </c>
      <c r="M2883" t="s">
        <v>204</v>
      </c>
      <c r="N2883">
        <v>41.422072</v>
      </c>
      <c r="O2883">
        <v>-111.562388</v>
      </c>
      <c r="P2883">
        <v>7622.4120439999997</v>
      </c>
      <c r="Q2883">
        <v>1349</v>
      </c>
      <c r="R2883">
        <v>0</v>
      </c>
    </row>
    <row r="2884" spans="1:18" x14ac:dyDescent="0.25">
      <c r="A2884">
        <v>2883</v>
      </c>
      <c r="B2884">
        <v>94</v>
      </c>
      <c r="C2884">
        <v>31522077</v>
      </c>
      <c r="D2884" t="s">
        <v>132</v>
      </c>
      <c r="E2884">
        <v>38.51</v>
      </c>
      <c r="F2884" t="s">
        <v>21</v>
      </c>
      <c r="G2884" t="s">
        <v>26</v>
      </c>
      <c r="H2884" t="s">
        <v>21</v>
      </c>
      <c r="I2884" t="s">
        <v>20</v>
      </c>
      <c r="J2884" t="s">
        <v>20</v>
      </c>
      <c r="K2884" t="s">
        <v>22</v>
      </c>
      <c r="L2884" t="s">
        <v>234</v>
      </c>
      <c r="M2884" t="s">
        <v>277</v>
      </c>
      <c r="N2884">
        <v>40.462643999999997</v>
      </c>
      <c r="O2884">
        <v>-109.562988</v>
      </c>
      <c r="P2884">
        <v>5416.9851870000002</v>
      </c>
      <c r="Q2884">
        <v>1405</v>
      </c>
      <c r="R2884">
        <v>0</v>
      </c>
    </row>
    <row r="2885" spans="1:18" x14ac:dyDescent="0.25">
      <c r="A2885">
        <v>2884</v>
      </c>
      <c r="B2885">
        <v>94</v>
      </c>
      <c r="C2885">
        <v>31432231</v>
      </c>
      <c r="D2885" t="s">
        <v>221</v>
      </c>
      <c r="E2885">
        <v>38.552</v>
      </c>
      <c r="F2885" t="s">
        <v>21</v>
      </c>
      <c r="G2885" t="s">
        <v>26</v>
      </c>
      <c r="H2885" t="s">
        <v>21</v>
      </c>
      <c r="I2885" t="s">
        <v>20</v>
      </c>
      <c r="J2885" t="s">
        <v>20</v>
      </c>
      <c r="K2885" t="s">
        <v>22</v>
      </c>
      <c r="L2885" t="s">
        <v>155</v>
      </c>
      <c r="M2885" t="s">
        <v>174</v>
      </c>
      <c r="N2885">
        <v>39.678291000000002</v>
      </c>
      <c r="O2885">
        <v>-111.84020200000001</v>
      </c>
      <c r="P2885">
        <v>5045.3220810000003</v>
      </c>
      <c r="Q2885">
        <v>1342</v>
      </c>
      <c r="R2885">
        <v>0</v>
      </c>
    </row>
    <row r="2886" spans="1:18" x14ac:dyDescent="0.25">
      <c r="A2886">
        <v>2885</v>
      </c>
      <c r="B2886">
        <v>94</v>
      </c>
      <c r="C2886">
        <v>31412241</v>
      </c>
      <c r="D2886" t="s">
        <v>63</v>
      </c>
      <c r="E2886">
        <v>38.552</v>
      </c>
      <c r="F2886" t="s">
        <v>21</v>
      </c>
      <c r="G2886" t="s">
        <v>26</v>
      </c>
      <c r="H2886" t="s">
        <v>21</v>
      </c>
      <c r="I2886" t="s">
        <v>20</v>
      </c>
      <c r="J2886" t="s">
        <v>20</v>
      </c>
      <c r="K2886" t="s">
        <v>27</v>
      </c>
      <c r="L2886" t="s">
        <v>266</v>
      </c>
      <c r="M2886" t="s">
        <v>29</v>
      </c>
      <c r="N2886">
        <v>38.520550999999998</v>
      </c>
      <c r="O2886">
        <v>-111.881325</v>
      </c>
      <c r="P2886">
        <v>6891.5567440000004</v>
      </c>
      <c r="Q2886">
        <v>1365</v>
      </c>
      <c r="R2886">
        <v>0</v>
      </c>
    </row>
    <row r="2887" spans="1:18" x14ac:dyDescent="0.25">
      <c r="A2887">
        <v>2886</v>
      </c>
      <c r="B2887">
        <v>94</v>
      </c>
      <c r="C2887">
        <v>31328516</v>
      </c>
      <c r="D2887" t="s">
        <v>278</v>
      </c>
      <c r="E2887">
        <v>38.567</v>
      </c>
      <c r="F2887" t="s">
        <v>21</v>
      </c>
      <c r="G2887" t="s">
        <v>20</v>
      </c>
      <c r="H2887" t="s">
        <v>21</v>
      </c>
      <c r="I2887" t="s">
        <v>20</v>
      </c>
      <c r="J2887" t="s">
        <v>20</v>
      </c>
      <c r="K2887" t="s">
        <v>27</v>
      </c>
      <c r="L2887" t="s">
        <v>279</v>
      </c>
      <c r="M2887" t="s">
        <v>280</v>
      </c>
      <c r="N2887">
        <v>37.496898999999999</v>
      </c>
      <c r="O2887">
        <v>-112.544944</v>
      </c>
      <c r="P2887">
        <v>7732.3028450000002</v>
      </c>
      <c r="Q2887">
        <v>1330</v>
      </c>
      <c r="R2887">
        <v>0</v>
      </c>
    </row>
    <row r="2888" spans="1:18" x14ac:dyDescent="0.25">
      <c r="A2888">
        <v>2887</v>
      </c>
      <c r="B2888">
        <v>94</v>
      </c>
      <c r="C2888">
        <v>31778231</v>
      </c>
      <c r="D2888" t="s">
        <v>171</v>
      </c>
      <c r="E2888">
        <v>10.875999999999999</v>
      </c>
      <c r="F2888" t="s">
        <v>19</v>
      </c>
      <c r="G2888" t="s">
        <v>20</v>
      </c>
      <c r="H2888" t="s">
        <v>21</v>
      </c>
      <c r="I2888" t="s">
        <v>20</v>
      </c>
      <c r="J2888" t="s">
        <v>20</v>
      </c>
      <c r="K2888" t="s">
        <v>31</v>
      </c>
      <c r="L2888" t="s">
        <v>69</v>
      </c>
      <c r="M2888" t="s">
        <v>79</v>
      </c>
      <c r="N2888">
        <v>40.699854999999999</v>
      </c>
      <c r="O2888">
        <v>-111.88549</v>
      </c>
      <c r="P2888">
        <v>4202.5633909999997</v>
      </c>
      <c r="Q2888">
        <v>346</v>
      </c>
      <c r="R2888">
        <v>0</v>
      </c>
    </row>
    <row r="2889" spans="1:18" x14ac:dyDescent="0.25">
      <c r="A2889">
        <v>2888</v>
      </c>
      <c r="B2889">
        <v>94</v>
      </c>
      <c r="C2889">
        <v>31286145</v>
      </c>
      <c r="D2889" t="s">
        <v>305</v>
      </c>
      <c r="E2889">
        <v>10.881</v>
      </c>
      <c r="F2889" t="s">
        <v>21</v>
      </c>
      <c r="G2889" t="s">
        <v>26</v>
      </c>
      <c r="H2889" t="s">
        <v>21</v>
      </c>
      <c r="I2889" t="s">
        <v>20</v>
      </c>
      <c r="J2889" t="s">
        <v>20</v>
      </c>
      <c r="K2889" t="s">
        <v>22</v>
      </c>
      <c r="L2889" t="s">
        <v>133</v>
      </c>
      <c r="M2889" t="s">
        <v>235</v>
      </c>
      <c r="N2889">
        <v>40.232500999999999</v>
      </c>
      <c r="O2889">
        <v>-109.68435700000001</v>
      </c>
      <c r="P2889">
        <v>4997.2217909999999</v>
      </c>
      <c r="Q2889">
        <v>1383</v>
      </c>
      <c r="R2889">
        <v>0</v>
      </c>
    </row>
    <row r="2890" spans="1:18" x14ac:dyDescent="0.25">
      <c r="A2890">
        <v>2889</v>
      </c>
      <c r="B2890">
        <v>94</v>
      </c>
      <c r="C2890">
        <v>31275662</v>
      </c>
      <c r="D2890" t="s">
        <v>303</v>
      </c>
      <c r="E2890">
        <v>10.882</v>
      </c>
      <c r="F2890" t="s">
        <v>21</v>
      </c>
      <c r="G2890" t="s">
        <v>26</v>
      </c>
      <c r="H2890" t="s">
        <v>21</v>
      </c>
      <c r="I2890" t="s">
        <v>20</v>
      </c>
      <c r="J2890" t="s">
        <v>20</v>
      </c>
      <c r="K2890" t="s">
        <v>27</v>
      </c>
      <c r="L2890" t="s">
        <v>72</v>
      </c>
      <c r="M2890" t="s">
        <v>73</v>
      </c>
      <c r="N2890">
        <v>37.188912999999999</v>
      </c>
      <c r="O2890">
        <v>-113.27839400000001</v>
      </c>
      <c r="P2890">
        <v>3131.7856139999999</v>
      </c>
      <c r="Q2890">
        <v>1326</v>
      </c>
      <c r="R2890">
        <v>0</v>
      </c>
    </row>
    <row r="2891" spans="1:18" x14ac:dyDescent="0.25">
      <c r="A2891">
        <v>2890</v>
      </c>
      <c r="B2891">
        <v>94</v>
      </c>
      <c r="C2891">
        <v>31669970</v>
      </c>
      <c r="D2891" t="s">
        <v>185</v>
      </c>
      <c r="E2891">
        <v>10.9</v>
      </c>
      <c r="F2891" t="s">
        <v>21</v>
      </c>
      <c r="G2891" t="s">
        <v>26</v>
      </c>
      <c r="H2891" t="s">
        <v>21</v>
      </c>
      <c r="I2891" t="s">
        <v>20</v>
      </c>
      <c r="J2891" t="s">
        <v>20</v>
      </c>
      <c r="K2891" t="s">
        <v>41</v>
      </c>
      <c r="L2891" t="s">
        <v>57</v>
      </c>
      <c r="M2891" t="s">
        <v>58</v>
      </c>
      <c r="N2891">
        <v>41.190770000000001</v>
      </c>
      <c r="O2891">
        <v>-112.07619800000001</v>
      </c>
      <c r="P2891">
        <v>4202.7645579999999</v>
      </c>
      <c r="Q2891">
        <v>309</v>
      </c>
      <c r="R2891">
        <v>0</v>
      </c>
    </row>
    <row r="2892" spans="1:18" x14ac:dyDescent="0.25">
      <c r="A2892">
        <v>2891</v>
      </c>
      <c r="B2892">
        <v>94</v>
      </c>
      <c r="C2892">
        <v>1696592</v>
      </c>
      <c r="D2892" t="s">
        <v>100</v>
      </c>
      <c r="E2892">
        <v>10.914</v>
      </c>
      <c r="F2892" t="s">
        <v>21</v>
      </c>
      <c r="G2892" t="s">
        <v>26</v>
      </c>
      <c r="H2892" t="s">
        <v>21</v>
      </c>
      <c r="I2892" t="s">
        <v>20</v>
      </c>
      <c r="J2892" t="s">
        <v>20</v>
      </c>
      <c r="K2892" t="s">
        <v>41</v>
      </c>
      <c r="L2892" t="s">
        <v>57</v>
      </c>
      <c r="M2892" t="s">
        <v>46</v>
      </c>
      <c r="N2892">
        <v>41.185938999999998</v>
      </c>
      <c r="O2892">
        <v>-112.053575</v>
      </c>
      <c r="P2892">
        <v>4251.0217119999998</v>
      </c>
      <c r="Q2892">
        <v>1396</v>
      </c>
      <c r="R2892">
        <v>0</v>
      </c>
    </row>
    <row r="2893" spans="1:18" x14ac:dyDescent="0.25">
      <c r="A2893">
        <v>2892</v>
      </c>
      <c r="B2893">
        <v>94</v>
      </c>
      <c r="C2893">
        <v>1515436</v>
      </c>
      <c r="D2893" t="s">
        <v>88</v>
      </c>
      <c r="E2893">
        <v>10.93</v>
      </c>
      <c r="F2893" t="s">
        <v>21</v>
      </c>
      <c r="G2893" t="s">
        <v>26</v>
      </c>
      <c r="H2893" t="s">
        <v>21</v>
      </c>
      <c r="I2893" t="s">
        <v>20</v>
      </c>
      <c r="J2893" t="s">
        <v>20</v>
      </c>
      <c r="K2893" t="s">
        <v>31</v>
      </c>
      <c r="L2893" t="s">
        <v>32</v>
      </c>
      <c r="M2893" t="s">
        <v>90</v>
      </c>
      <c r="N2893">
        <v>40.598204000000003</v>
      </c>
      <c r="O2893">
        <v>-111.87220499999999</v>
      </c>
      <c r="P2893">
        <v>4443.2108340000004</v>
      </c>
      <c r="Q2893">
        <v>318</v>
      </c>
      <c r="R2893">
        <v>0</v>
      </c>
    </row>
    <row r="2894" spans="1:18" x14ac:dyDescent="0.25">
      <c r="A2894">
        <v>2893</v>
      </c>
      <c r="B2894">
        <v>94</v>
      </c>
      <c r="C2894">
        <v>27953219</v>
      </c>
      <c r="D2894" t="s">
        <v>281</v>
      </c>
      <c r="E2894">
        <v>10.93</v>
      </c>
      <c r="F2894" t="s">
        <v>21</v>
      </c>
      <c r="G2894" t="s">
        <v>20</v>
      </c>
      <c r="H2894" t="s">
        <v>21</v>
      </c>
      <c r="I2894" t="s">
        <v>20</v>
      </c>
      <c r="J2894" t="s">
        <v>20</v>
      </c>
      <c r="K2894" t="s">
        <v>31</v>
      </c>
      <c r="L2894" t="s">
        <v>282</v>
      </c>
      <c r="M2894" t="s">
        <v>174</v>
      </c>
      <c r="N2894">
        <v>40.019423000000003</v>
      </c>
      <c r="O2894">
        <v>-112.279657</v>
      </c>
      <c r="P2894">
        <v>5637.777212</v>
      </c>
      <c r="Q2894">
        <v>1347</v>
      </c>
      <c r="R2894">
        <v>0</v>
      </c>
    </row>
    <row r="2895" spans="1:18" x14ac:dyDescent="0.25">
      <c r="A2895">
        <v>2894</v>
      </c>
      <c r="B2895">
        <v>94</v>
      </c>
      <c r="C2895" t="e">
        <f>-JN0EAWAIGqKy_UQ3EkddV</f>
        <v>#NAME?</v>
      </c>
      <c r="D2895" t="s">
        <v>184</v>
      </c>
      <c r="E2895">
        <v>10.933</v>
      </c>
      <c r="F2895" t="s">
        <v>21</v>
      </c>
      <c r="G2895" t="s">
        <v>20</v>
      </c>
      <c r="H2895" t="s">
        <v>21</v>
      </c>
      <c r="I2895" t="s">
        <v>20</v>
      </c>
      <c r="J2895" t="s">
        <v>20</v>
      </c>
      <c r="K2895" t="s">
        <v>27</v>
      </c>
      <c r="L2895" t="s">
        <v>54</v>
      </c>
      <c r="M2895" t="s">
        <v>55</v>
      </c>
      <c r="N2895">
        <v>37.794911999999997</v>
      </c>
      <c r="O2895">
        <v>-113.05063</v>
      </c>
      <c r="P2895">
        <v>5382.1131160000004</v>
      </c>
      <c r="Q2895">
        <v>1410</v>
      </c>
      <c r="R2895">
        <v>0</v>
      </c>
    </row>
    <row r="2896" spans="1:18" x14ac:dyDescent="0.25">
      <c r="A2896">
        <v>2895</v>
      </c>
      <c r="B2896">
        <v>94</v>
      </c>
      <c r="C2896">
        <v>31734927</v>
      </c>
      <c r="D2896" t="s">
        <v>244</v>
      </c>
      <c r="E2896">
        <v>114.86</v>
      </c>
      <c r="F2896" t="s">
        <v>21</v>
      </c>
      <c r="G2896" t="s">
        <v>26</v>
      </c>
      <c r="H2896" t="s">
        <v>21</v>
      </c>
      <c r="I2896" t="s">
        <v>20</v>
      </c>
      <c r="J2896" t="s">
        <v>20</v>
      </c>
      <c r="K2896" t="s">
        <v>27</v>
      </c>
      <c r="L2896" t="s">
        <v>122</v>
      </c>
      <c r="M2896" t="s">
        <v>270</v>
      </c>
      <c r="N2896">
        <v>38.378273999999998</v>
      </c>
      <c r="O2896">
        <v>-110.733857</v>
      </c>
      <c r="P2896">
        <v>4258.8634590000001</v>
      </c>
      <c r="Q2896">
        <v>1340</v>
      </c>
      <c r="R2896">
        <v>0</v>
      </c>
    </row>
    <row r="2897" spans="1:18" x14ac:dyDescent="0.25">
      <c r="A2897">
        <v>2896</v>
      </c>
      <c r="B2897">
        <v>94</v>
      </c>
      <c r="C2897">
        <v>31816160</v>
      </c>
      <c r="D2897" t="s">
        <v>118</v>
      </c>
      <c r="E2897">
        <v>114.916</v>
      </c>
      <c r="F2897" t="s">
        <v>19</v>
      </c>
      <c r="G2897" t="s">
        <v>20</v>
      </c>
      <c r="H2897" t="s">
        <v>21</v>
      </c>
      <c r="I2897" t="s">
        <v>20</v>
      </c>
      <c r="J2897" t="s">
        <v>20</v>
      </c>
      <c r="K2897" t="s">
        <v>22</v>
      </c>
      <c r="L2897" t="s">
        <v>133</v>
      </c>
      <c r="M2897" t="s">
        <v>169</v>
      </c>
      <c r="N2897">
        <v>40.302168000000002</v>
      </c>
      <c r="O2897">
        <v>-109.982398</v>
      </c>
      <c r="P2897">
        <v>5014.6445359999998</v>
      </c>
      <c r="Q2897">
        <v>310</v>
      </c>
      <c r="R2897">
        <v>0</v>
      </c>
    </row>
    <row r="2898" spans="1:18" x14ac:dyDescent="0.25">
      <c r="A2898">
        <v>2897</v>
      </c>
      <c r="B2898">
        <v>94</v>
      </c>
      <c r="C2898">
        <v>31816493</v>
      </c>
      <c r="D2898" t="s">
        <v>118</v>
      </c>
      <c r="E2898">
        <v>114.979</v>
      </c>
      <c r="F2898" t="s">
        <v>21</v>
      </c>
      <c r="G2898" t="s">
        <v>26</v>
      </c>
      <c r="H2898" t="s">
        <v>21</v>
      </c>
      <c r="I2898" t="s">
        <v>20</v>
      </c>
      <c r="J2898" t="s">
        <v>20</v>
      </c>
      <c r="K2898" t="s">
        <v>22</v>
      </c>
      <c r="L2898" t="s">
        <v>133</v>
      </c>
      <c r="M2898" t="s">
        <v>169</v>
      </c>
      <c r="N2898">
        <v>40.302154000000002</v>
      </c>
      <c r="O2898">
        <v>-109.981207</v>
      </c>
      <c r="P2898">
        <v>5011.8985629999997</v>
      </c>
      <c r="Q2898">
        <v>310</v>
      </c>
      <c r="R2898">
        <v>0</v>
      </c>
    </row>
    <row r="2899" spans="1:18" x14ac:dyDescent="0.25">
      <c r="A2899">
        <v>2898</v>
      </c>
      <c r="B2899">
        <v>94</v>
      </c>
      <c r="C2899">
        <v>31553816</v>
      </c>
      <c r="D2899" t="s">
        <v>348</v>
      </c>
      <c r="E2899">
        <v>115.014</v>
      </c>
      <c r="F2899" t="s">
        <v>21</v>
      </c>
      <c r="G2899" t="s">
        <v>26</v>
      </c>
      <c r="H2899" t="s">
        <v>21</v>
      </c>
      <c r="I2899" t="s">
        <v>20</v>
      </c>
      <c r="J2899" t="s">
        <v>20</v>
      </c>
      <c r="K2899" t="s">
        <v>27</v>
      </c>
      <c r="L2899" t="s">
        <v>327</v>
      </c>
      <c r="M2899" t="s">
        <v>123</v>
      </c>
      <c r="N2899">
        <v>37.562690000000003</v>
      </c>
      <c r="O2899">
        <v>-109.583682</v>
      </c>
      <c r="P2899">
        <v>5161.5792229999997</v>
      </c>
      <c r="Q2899">
        <v>1388</v>
      </c>
      <c r="R2899">
        <v>0</v>
      </c>
    </row>
    <row r="2900" spans="1:18" x14ac:dyDescent="0.25">
      <c r="A2900">
        <v>2899</v>
      </c>
      <c r="B2900">
        <v>94</v>
      </c>
      <c r="C2900" t="e">
        <f>-JXTj0JLHsylGUgPLL59pF</f>
        <v>#NAME?</v>
      </c>
      <c r="D2900" t="s">
        <v>220</v>
      </c>
      <c r="E2900">
        <v>115.01900000000001</v>
      </c>
      <c r="F2900" t="s">
        <v>21</v>
      </c>
      <c r="G2900" t="s">
        <v>20</v>
      </c>
      <c r="H2900" t="s">
        <v>21</v>
      </c>
      <c r="I2900" t="s">
        <v>20</v>
      </c>
      <c r="J2900" t="s">
        <v>20</v>
      </c>
      <c r="K2900" t="s">
        <v>27</v>
      </c>
      <c r="L2900" t="s">
        <v>266</v>
      </c>
      <c r="M2900" t="s">
        <v>267</v>
      </c>
      <c r="N2900">
        <v>38.212121000000003</v>
      </c>
      <c r="O2900">
        <v>-111.348141</v>
      </c>
      <c r="P2900">
        <v>7241.2106620000004</v>
      </c>
      <c r="Q2900">
        <v>1328</v>
      </c>
      <c r="R2900">
        <v>0</v>
      </c>
    </row>
    <row r="2901" spans="1:18" x14ac:dyDescent="0.25">
      <c r="A2901">
        <v>2900</v>
      </c>
      <c r="B2901">
        <v>94</v>
      </c>
      <c r="C2901">
        <v>31816904</v>
      </c>
      <c r="D2901" t="s">
        <v>118</v>
      </c>
      <c r="E2901">
        <v>115.04</v>
      </c>
      <c r="F2901" t="s">
        <v>21</v>
      </c>
      <c r="G2901" t="s">
        <v>26</v>
      </c>
      <c r="H2901" t="s">
        <v>21</v>
      </c>
      <c r="I2901" t="s">
        <v>20</v>
      </c>
      <c r="J2901" t="s">
        <v>20</v>
      </c>
      <c r="K2901" t="s">
        <v>22</v>
      </c>
      <c r="L2901" t="s">
        <v>133</v>
      </c>
      <c r="M2901" t="s">
        <v>169</v>
      </c>
      <c r="N2901">
        <v>40.302163</v>
      </c>
      <c r="O2901">
        <v>-109.980041</v>
      </c>
      <c r="P2901">
        <v>5009.3886089999996</v>
      </c>
      <c r="Q2901">
        <v>310</v>
      </c>
      <c r="R2901">
        <v>0</v>
      </c>
    </row>
    <row r="2902" spans="1:18" x14ac:dyDescent="0.25">
      <c r="A2902">
        <v>2901</v>
      </c>
      <c r="B2902">
        <v>94</v>
      </c>
      <c r="C2902">
        <v>31816915</v>
      </c>
      <c r="D2902" t="s">
        <v>118</v>
      </c>
      <c r="E2902">
        <v>115.06699999999999</v>
      </c>
      <c r="F2902" t="s">
        <v>21</v>
      </c>
      <c r="G2902" t="s">
        <v>26</v>
      </c>
      <c r="H2902" t="s">
        <v>21</v>
      </c>
      <c r="I2902" t="s">
        <v>20</v>
      </c>
      <c r="J2902" t="s">
        <v>20</v>
      </c>
      <c r="K2902" t="s">
        <v>22</v>
      </c>
      <c r="L2902" t="s">
        <v>133</v>
      </c>
      <c r="M2902" t="s">
        <v>169</v>
      </c>
      <c r="N2902">
        <v>40.302163999999998</v>
      </c>
      <c r="O2902">
        <v>-109.979541</v>
      </c>
      <c r="P2902">
        <v>5008.3589069999998</v>
      </c>
      <c r="Q2902">
        <v>310</v>
      </c>
      <c r="R2902">
        <v>0</v>
      </c>
    </row>
    <row r="2903" spans="1:18" x14ac:dyDescent="0.25">
      <c r="A2903">
        <v>2902</v>
      </c>
      <c r="B2903">
        <v>94</v>
      </c>
      <c r="C2903">
        <v>31440918</v>
      </c>
      <c r="D2903" t="s">
        <v>288</v>
      </c>
      <c r="E2903">
        <v>115.151</v>
      </c>
      <c r="F2903" t="s">
        <v>21</v>
      </c>
      <c r="G2903" t="s">
        <v>26</v>
      </c>
      <c r="H2903" t="s">
        <v>21</v>
      </c>
      <c r="I2903" t="s">
        <v>20</v>
      </c>
      <c r="J2903" t="s">
        <v>20</v>
      </c>
      <c r="K2903" t="s">
        <v>27</v>
      </c>
      <c r="L2903" t="s">
        <v>38</v>
      </c>
      <c r="M2903" t="s">
        <v>152</v>
      </c>
      <c r="N2903">
        <v>38.452570000000001</v>
      </c>
      <c r="O2903">
        <v>-109.439053</v>
      </c>
      <c r="P2903">
        <v>5095.6573259999996</v>
      </c>
      <c r="Q2903">
        <v>350</v>
      </c>
      <c r="R2903">
        <v>0</v>
      </c>
    </row>
    <row r="2904" spans="1:18" x14ac:dyDescent="0.25">
      <c r="A2904">
        <v>2903</v>
      </c>
      <c r="B2904">
        <v>94</v>
      </c>
      <c r="C2904">
        <v>31816926</v>
      </c>
      <c r="D2904" t="s">
        <v>118</v>
      </c>
      <c r="E2904">
        <v>115.19499999999999</v>
      </c>
      <c r="F2904" t="s">
        <v>21</v>
      </c>
      <c r="G2904" t="s">
        <v>20</v>
      </c>
      <c r="H2904" t="s">
        <v>21</v>
      </c>
      <c r="I2904" t="s">
        <v>20</v>
      </c>
      <c r="J2904" t="s">
        <v>20</v>
      </c>
      <c r="K2904" t="s">
        <v>22</v>
      </c>
      <c r="L2904" t="s">
        <v>133</v>
      </c>
      <c r="M2904" t="s">
        <v>169</v>
      </c>
      <c r="N2904">
        <v>40.302188000000001</v>
      </c>
      <c r="O2904">
        <v>-109.977098</v>
      </c>
      <c r="P2904">
        <v>5004.3797770000001</v>
      </c>
      <c r="Q2904">
        <v>310</v>
      </c>
      <c r="R2904">
        <v>0</v>
      </c>
    </row>
    <row r="2905" spans="1:18" x14ac:dyDescent="0.25">
      <c r="A2905">
        <v>2904</v>
      </c>
      <c r="B2905">
        <v>94</v>
      </c>
      <c r="C2905">
        <v>31816937</v>
      </c>
      <c r="D2905" t="s">
        <v>118</v>
      </c>
      <c r="E2905">
        <v>115.22199999999999</v>
      </c>
      <c r="F2905" t="s">
        <v>21</v>
      </c>
      <c r="G2905" t="s">
        <v>26</v>
      </c>
      <c r="H2905" t="s">
        <v>21</v>
      </c>
      <c r="I2905" t="s">
        <v>20</v>
      </c>
      <c r="J2905" t="s">
        <v>20</v>
      </c>
      <c r="K2905" t="s">
        <v>22</v>
      </c>
      <c r="L2905" t="s">
        <v>133</v>
      </c>
      <c r="M2905" t="s">
        <v>169</v>
      </c>
      <c r="N2905">
        <v>40.302177999999998</v>
      </c>
      <c r="O2905">
        <v>-109.976584</v>
      </c>
      <c r="P2905">
        <v>5003.7010229999996</v>
      </c>
      <c r="Q2905">
        <v>310</v>
      </c>
      <c r="R2905">
        <v>0</v>
      </c>
    </row>
    <row r="2906" spans="1:18" x14ac:dyDescent="0.25">
      <c r="A2906">
        <v>2905</v>
      </c>
      <c r="B2906">
        <v>94</v>
      </c>
      <c r="C2906">
        <v>31734938</v>
      </c>
      <c r="D2906" t="s">
        <v>244</v>
      </c>
      <c r="E2906">
        <v>115.255</v>
      </c>
      <c r="F2906" t="s">
        <v>21</v>
      </c>
      <c r="G2906" t="s">
        <v>26</v>
      </c>
      <c r="H2906" t="s">
        <v>21</v>
      </c>
      <c r="I2906" t="s">
        <v>20</v>
      </c>
      <c r="J2906" t="s">
        <v>20</v>
      </c>
      <c r="K2906" t="s">
        <v>27</v>
      </c>
      <c r="L2906" t="s">
        <v>122</v>
      </c>
      <c r="M2906" t="s">
        <v>270</v>
      </c>
      <c r="N2906">
        <v>38.374687000000002</v>
      </c>
      <c r="O2906">
        <v>-110.728386</v>
      </c>
      <c r="P2906">
        <v>4238.3966259999997</v>
      </c>
      <c r="Q2906">
        <v>1340</v>
      </c>
      <c r="R2906">
        <v>0</v>
      </c>
    </row>
    <row r="2907" spans="1:18" x14ac:dyDescent="0.25">
      <c r="A2907">
        <v>2906</v>
      </c>
      <c r="B2907">
        <v>94</v>
      </c>
      <c r="C2907">
        <v>31816948</v>
      </c>
      <c r="D2907" t="s">
        <v>118</v>
      </c>
      <c r="E2907">
        <v>115.26900000000001</v>
      </c>
      <c r="F2907" t="s">
        <v>21</v>
      </c>
      <c r="G2907" t="s">
        <v>26</v>
      </c>
      <c r="H2907" t="s">
        <v>21</v>
      </c>
      <c r="I2907" t="s">
        <v>20</v>
      </c>
      <c r="J2907" t="s">
        <v>20</v>
      </c>
      <c r="K2907" t="s">
        <v>22</v>
      </c>
      <c r="L2907" t="s">
        <v>133</v>
      </c>
      <c r="M2907" t="s">
        <v>169</v>
      </c>
      <c r="N2907">
        <v>40.302185000000001</v>
      </c>
      <c r="O2907">
        <v>-109.97570899999999</v>
      </c>
      <c r="P2907">
        <v>5002.868692</v>
      </c>
      <c r="Q2907">
        <v>310</v>
      </c>
      <c r="R2907">
        <v>0</v>
      </c>
    </row>
    <row r="2908" spans="1:18" x14ac:dyDescent="0.25">
      <c r="A2908">
        <v>2907</v>
      </c>
      <c r="B2908">
        <v>94</v>
      </c>
      <c r="C2908">
        <v>28299053</v>
      </c>
      <c r="D2908" t="s">
        <v>220</v>
      </c>
      <c r="E2908">
        <v>115.36199999999999</v>
      </c>
      <c r="F2908" t="s">
        <v>21</v>
      </c>
      <c r="G2908" t="s">
        <v>26</v>
      </c>
      <c r="H2908" t="s">
        <v>21</v>
      </c>
      <c r="I2908" t="s">
        <v>20</v>
      </c>
      <c r="J2908" t="s">
        <v>20</v>
      </c>
      <c r="K2908" t="s">
        <v>27</v>
      </c>
      <c r="L2908" t="s">
        <v>266</v>
      </c>
      <c r="M2908" t="s">
        <v>267</v>
      </c>
      <c r="N2908">
        <v>38.216802000000001</v>
      </c>
      <c r="O2908">
        <v>-111.34595400000001</v>
      </c>
      <c r="P2908">
        <v>7205.9262259999996</v>
      </c>
      <c r="Q2908">
        <v>1328</v>
      </c>
      <c r="R2908">
        <v>0</v>
      </c>
    </row>
    <row r="2909" spans="1:18" x14ac:dyDescent="0.25">
      <c r="A2909">
        <v>2908</v>
      </c>
      <c r="B2909">
        <v>94</v>
      </c>
      <c r="C2909">
        <v>31905279</v>
      </c>
      <c r="D2909" t="s">
        <v>272</v>
      </c>
      <c r="E2909">
        <v>115.378</v>
      </c>
      <c r="F2909" t="s">
        <v>21</v>
      </c>
      <c r="G2909" t="s">
        <v>26</v>
      </c>
      <c r="H2909" t="s">
        <v>21</v>
      </c>
      <c r="I2909" t="s">
        <v>20</v>
      </c>
      <c r="J2909" t="s">
        <v>20</v>
      </c>
      <c r="K2909" t="s">
        <v>27</v>
      </c>
      <c r="L2909" t="s">
        <v>279</v>
      </c>
      <c r="M2909" t="s">
        <v>214</v>
      </c>
      <c r="N2909">
        <v>37.640265999999997</v>
      </c>
      <c r="O2909">
        <v>-112.437449</v>
      </c>
      <c r="P2909">
        <v>6858.6268739999996</v>
      </c>
      <c r="Q2909">
        <v>1384</v>
      </c>
      <c r="R2909">
        <v>0</v>
      </c>
    </row>
    <row r="2910" spans="1:18" x14ac:dyDescent="0.25">
      <c r="A2910">
        <v>2909</v>
      </c>
      <c r="B2910">
        <v>94</v>
      </c>
      <c r="C2910">
        <v>31817759</v>
      </c>
      <c r="D2910" t="s">
        <v>118</v>
      </c>
      <c r="E2910">
        <v>115.416</v>
      </c>
      <c r="F2910" t="s">
        <v>21</v>
      </c>
      <c r="G2910" t="s">
        <v>26</v>
      </c>
      <c r="H2910" t="s">
        <v>21</v>
      </c>
      <c r="I2910" t="s">
        <v>20</v>
      </c>
      <c r="J2910" t="s">
        <v>20</v>
      </c>
      <c r="K2910" t="s">
        <v>22</v>
      </c>
      <c r="L2910" t="s">
        <v>133</v>
      </c>
      <c r="M2910" t="s">
        <v>169</v>
      </c>
      <c r="N2910">
        <v>40.302213000000002</v>
      </c>
      <c r="O2910">
        <v>-109.972921</v>
      </c>
      <c r="P2910">
        <v>4997.8105990000004</v>
      </c>
      <c r="Q2910">
        <v>310</v>
      </c>
      <c r="R2910">
        <v>0</v>
      </c>
    </row>
    <row r="2911" spans="1:18" x14ac:dyDescent="0.25">
      <c r="A2911">
        <v>2910</v>
      </c>
      <c r="B2911">
        <v>94</v>
      </c>
      <c r="C2911">
        <v>31905290</v>
      </c>
      <c r="D2911" t="s">
        <v>272</v>
      </c>
      <c r="E2911">
        <v>115.446</v>
      </c>
      <c r="F2911" t="s">
        <v>21</v>
      </c>
      <c r="G2911" t="s">
        <v>26</v>
      </c>
      <c r="H2911" t="s">
        <v>21</v>
      </c>
      <c r="I2911" t="s">
        <v>20</v>
      </c>
      <c r="J2911" t="s">
        <v>20</v>
      </c>
      <c r="K2911" t="s">
        <v>27</v>
      </c>
      <c r="L2911" t="s">
        <v>279</v>
      </c>
      <c r="M2911" t="s">
        <v>214</v>
      </c>
      <c r="N2911">
        <v>37.641120000000001</v>
      </c>
      <c r="O2911">
        <v>-112.436815</v>
      </c>
      <c r="P2911">
        <v>6849.1847280000002</v>
      </c>
      <c r="Q2911">
        <v>1384</v>
      </c>
      <c r="R2911">
        <v>0</v>
      </c>
    </row>
    <row r="2912" spans="1:18" x14ac:dyDescent="0.25">
      <c r="A2912">
        <v>2911</v>
      </c>
      <c r="B2912">
        <v>94</v>
      </c>
      <c r="C2912">
        <v>31814688</v>
      </c>
      <c r="D2912" t="s">
        <v>290</v>
      </c>
      <c r="E2912">
        <v>115.477</v>
      </c>
      <c r="F2912" t="s">
        <v>21</v>
      </c>
      <c r="G2912" t="s">
        <v>20</v>
      </c>
      <c r="H2912" t="s">
        <v>21</v>
      </c>
      <c r="I2912" t="s">
        <v>20</v>
      </c>
      <c r="J2912" t="s">
        <v>20</v>
      </c>
      <c r="K2912" t="s">
        <v>41</v>
      </c>
      <c r="L2912" t="s">
        <v>325</v>
      </c>
      <c r="M2912" t="s">
        <v>280</v>
      </c>
      <c r="N2912">
        <v>41.877279000000001</v>
      </c>
      <c r="O2912">
        <v>-111.365318</v>
      </c>
      <c r="P2912">
        <v>5884.2225719999997</v>
      </c>
      <c r="Q2912">
        <v>1343</v>
      </c>
      <c r="R2912">
        <v>0</v>
      </c>
    </row>
    <row r="2913" spans="1:18" x14ac:dyDescent="0.25">
      <c r="A2913">
        <v>2912</v>
      </c>
      <c r="B2913">
        <v>94</v>
      </c>
      <c r="C2913">
        <v>28299075</v>
      </c>
      <c r="D2913" t="s">
        <v>220</v>
      </c>
      <c r="E2913">
        <v>115.753</v>
      </c>
      <c r="F2913" t="s">
        <v>21</v>
      </c>
      <c r="G2913" t="s">
        <v>26</v>
      </c>
      <c r="H2913" t="s">
        <v>21</v>
      </c>
      <c r="I2913" t="s">
        <v>20</v>
      </c>
      <c r="J2913" t="s">
        <v>20</v>
      </c>
      <c r="K2913" t="s">
        <v>27</v>
      </c>
      <c r="L2913" t="s">
        <v>266</v>
      </c>
      <c r="M2913" t="s">
        <v>267</v>
      </c>
      <c r="N2913">
        <v>38.221753999999997</v>
      </c>
      <c r="O2913">
        <v>-111.342676</v>
      </c>
      <c r="P2913">
        <v>7133.7738019999997</v>
      </c>
      <c r="Q2913">
        <v>1328</v>
      </c>
      <c r="R2913">
        <v>0</v>
      </c>
    </row>
    <row r="2914" spans="1:18" x14ac:dyDescent="0.25">
      <c r="A2914">
        <v>2913</v>
      </c>
      <c r="B2914">
        <v>94</v>
      </c>
      <c r="C2914">
        <v>31905301</v>
      </c>
      <c r="D2914" t="s">
        <v>272</v>
      </c>
      <c r="E2914">
        <v>115.839</v>
      </c>
      <c r="F2914" t="s">
        <v>21</v>
      </c>
      <c r="G2914" t="s">
        <v>26</v>
      </c>
      <c r="H2914" t="s">
        <v>21</v>
      </c>
      <c r="I2914" t="s">
        <v>20</v>
      </c>
      <c r="J2914" t="s">
        <v>20</v>
      </c>
      <c r="K2914" t="s">
        <v>27</v>
      </c>
      <c r="L2914" t="s">
        <v>247</v>
      </c>
      <c r="M2914" t="s">
        <v>214</v>
      </c>
      <c r="N2914">
        <v>37.646442999999998</v>
      </c>
      <c r="O2914">
        <v>-112.434456</v>
      </c>
      <c r="P2914">
        <v>6841.2749409999997</v>
      </c>
      <c r="Q2914">
        <v>1384</v>
      </c>
      <c r="R2914">
        <v>0</v>
      </c>
    </row>
    <row r="2915" spans="1:18" x14ac:dyDescent="0.25">
      <c r="A2915">
        <v>2914</v>
      </c>
      <c r="B2915">
        <v>94</v>
      </c>
      <c r="C2915">
        <v>31736660</v>
      </c>
      <c r="D2915" t="s">
        <v>244</v>
      </c>
      <c r="E2915">
        <v>115.89</v>
      </c>
      <c r="F2915" t="s">
        <v>21</v>
      </c>
      <c r="G2915" t="s">
        <v>26</v>
      </c>
      <c r="H2915" t="s">
        <v>21</v>
      </c>
      <c r="I2915" t="s">
        <v>20</v>
      </c>
      <c r="J2915" t="s">
        <v>20</v>
      </c>
      <c r="K2915" t="s">
        <v>27</v>
      </c>
      <c r="L2915" t="s">
        <v>122</v>
      </c>
      <c r="M2915" t="s">
        <v>270</v>
      </c>
      <c r="N2915">
        <v>38.374422000000003</v>
      </c>
      <c r="O2915">
        <v>-110.71668200000001</v>
      </c>
      <c r="P2915">
        <v>4229.9187730000003</v>
      </c>
      <c r="Q2915">
        <v>1340</v>
      </c>
      <c r="R2915">
        <v>0</v>
      </c>
    </row>
    <row r="2916" spans="1:18" x14ac:dyDescent="0.25">
      <c r="A2916">
        <v>2915</v>
      </c>
      <c r="B2916">
        <v>94</v>
      </c>
      <c r="C2916">
        <v>31440929</v>
      </c>
      <c r="D2916" t="s">
        <v>288</v>
      </c>
      <c r="E2916">
        <v>115.928</v>
      </c>
      <c r="F2916" t="s">
        <v>21</v>
      </c>
      <c r="G2916" t="s">
        <v>26</v>
      </c>
      <c r="H2916" t="s">
        <v>21</v>
      </c>
      <c r="I2916" t="s">
        <v>20</v>
      </c>
      <c r="J2916" t="s">
        <v>20</v>
      </c>
      <c r="K2916" t="s">
        <v>27</v>
      </c>
      <c r="L2916" t="s">
        <v>38</v>
      </c>
      <c r="M2916" t="s">
        <v>152</v>
      </c>
      <c r="N2916">
        <v>38.462530000000001</v>
      </c>
      <c r="O2916">
        <v>-109.445651</v>
      </c>
      <c r="P2916">
        <v>4994.0469119999998</v>
      </c>
      <c r="Q2916">
        <v>350</v>
      </c>
      <c r="R2916">
        <v>0</v>
      </c>
    </row>
    <row r="2917" spans="1:18" x14ac:dyDescent="0.25">
      <c r="A2917">
        <v>2916</v>
      </c>
      <c r="B2917">
        <v>94</v>
      </c>
      <c r="C2917" t="e">
        <f>-Iovd9g6IjHehFz-YmnbWk</f>
        <v>#NAME?</v>
      </c>
      <c r="D2917" t="s">
        <v>290</v>
      </c>
      <c r="E2917">
        <v>118.63</v>
      </c>
      <c r="F2917" t="s">
        <v>21</v>
      </c>
      <c r="G2917" t="s">
        <v>20</v>
      </c>
      <c r="H2917" t="s">
        <v>21</v>
      </c>
      <c r="I2917" t="s">
        <v>20</v>
      </c>
      <c r="J2917" t="s">
        <v>20</v>
      </c>
      <c r="K2917" t="s">
        <v>41</v>
      </c>
      <c r="L2917" t="s">
        <v>325</v>
      </c>
      <c r="M2917" t="s">
        <v>280</v>
      </c>
      <c r="N2917">
        <v>41.839509999999997</v>
      </c>
      <c r="O2917">
        <v>-111.341234</v>
      </c>
      <c r="P2917">
        <v>5902.5687589999998</v>
      </c>
      <c r="Q2917">
        <v>1343</v>
      </c>
      <c r="R2917">
        <v>0</v>
      </c>
    </row>
    <row r="2918" spans="1:18" x14ac:dyDescent="0.25">
      <c r="A2918">
        <v>2917</v>
      </c>
      <c r="B2918">
        <v>94</v>
      </c>
      <c r="C2918">
        <v>31444023</v>
      </c>
      <c r="D2918" t="s">
        <v>288</v>
      </c>
      <c r="E2918">
        <v>118.889</v>
      </c>
      <c r="F2918" t="s">
        <v>21</v>
      </c>
      <c r="G2918" t="s">
        <v>26</v>
      </c>
      <c r="H2918" t="s">
        <v>21</v>
      </c>
      <c r="I2918" t="s">
        <v>20</v>
      </c>
      <c r="J2918" t="s">
        <v>20</v>
      </c>
      <c r="K2918" t="s">
        <v>27</v>
      </c>
      <c r="L2918" t="s">
        <v>38</v>
      </c>
      <c r="M2918" t="s">
        <v>152</v>
      </c>
      <c r="N2918">
        <v>38.498645000000003</v>
      </c>
      <c r="O2918">
        <v>-109.474048</v>
      </c>
      <c r="P2918">
        <v>4668.8237740000004</v>
      </c>
      <c r="Q2918">
        <v>350</v>
      </c>
      <c r="R2918">
        <v>0</v>
      </c>
    </row>
    <row r="2919" spans="1:18" x14ac:dyDescent="0.25">
      <c r="A2919">
        <v>2918</v>
      </c>
      <c r="B2919">
        <v>94</v>
      </c>
      <c r="C2919">
        <v>31906289</v>
      </c>
      <c r="D2919" t="s">
        <v>272</v>
      </c>
      <c r="E2919">
        <v>118.90300000000001</v>
      </c>
      <c r="F2919" t="s">
        <v>21</v>
      </c>
      <c r="G2919" t="s">
        <v>20</v>
      </c>
      <c r="H2919" t="s">
        <v>21</v>
      </c>
      <c r="I2919" t="s">
        <v>20</v>
      </c>
      <c r="J2919" t="s">
        <v>20</v>
      </c>
      <c r="K2919" t="s">
        <v>27</v>
      </c>
      <c r="L2919" t="s">
        <v>247</v>
      </c>
      <c r="M2919" t="s">
        <v>214</v>
      </c>
      <c r="N2919">
        <v>37.677667</v>
      </c>
      <c r="O2919">
        <v>-112.40072600000001</v>
      </c>
      <c r="P2919">
        <v>6795.403225</v>
      </c>
      <c r="Q2919">
        <v>1384</v>
      </c>
      <c r="R2919">
        <v>0</v>
      </c>
    </row>
    <row r="2920" spans="1:18" x14ac:dyDescent="0.25">
      <c r="A2920">
        <v>2919</v>
      </c>
      <c r="B2920">
        <v>94</v>
      </c>
      <c r="C2920">
        <v>31444034</v>
      </c>
      <c r="D2920" t="s">
        <v>288</v>
      </c>
      <c r="E2920">
        <v>119.06399999999999</v>
      </c>
      <c r="F2920" t="s">
        <v>21</v>
      </c>
      <c r="G2920" t="s">
        <v>20</v>
      </c>
      <c r="H2920" t="s">
        <v>21</v>
      </c>
      <c r="I2920" t="s">
        <v>20</v>
      </c>
      <c r="J2920" t="s">
        <v>20</v>
      </c>
      <c r="K2920" t="s">
        <v>27</v>
      </c>
      <c r="L2920" t="s">
        <v>38</v>
      </c>
      <c r="M2920" t="s">
        <v>152</v>
      </c>
      <c r="N2920">
        <v>38.500633000000001</v>
      </c>
      <c r="O2920">
        <v>-109.47602999999999</v>
      </c>
      <c r="P2920">
        <v>4660.7642310000001</v>
      </c>
      <c r="Q2920">
        <v>350</v>
      </c>
      <c r="R2920">
        <v>0</v>
      </c>
    </row>
    <row r="2921" spans="1:18" x14ac:dyDescent="0.25">
      <c r="A2921">
        <v>2920</v>
      </c>
      <c r="B2921">
        <v>94</v>
      </c>
      <c r="C2921">
        <v>31444045</v>
      </c>
      <c r="D2921" t="s">
        <v>288</v>
      </c>
      <c r="E2921">
        <v>119.224</v>
      </c>
      <c r="F2921" t="s">
        <v>21</v>
      </c>
      <c r="G2921" t="s">
        <v>20</v>
      </c>
      <c r="H2921" t="s">
        <v>21</v>
      </c>
      <c r="I2921" t="s">
        <v>20</v>
      </c>
      <c r="J2921" t="s">
        <v>20</v>
      </c>
      <c r="K2921" t="s">
        <v>27</v>
      </c>
      <c r="L2921" t="s">
        <v>38</v>
      </c>
      <c r="M2921" t="s">
        <v>152</v>
      </c>
      <c r="N2921">
        <v>38.502473000000002</v>
      </c>
      <c r="O2921">
        <v>-109.47783800000001</v>
      </c>
      <c r="P2921">
        <v>4650.792085</v>
      </c>
      <c r="Q2921">
        <v>350</v>
      </c>
      <c r="R2921">
        <v>0</v>
      </c>
    </row>
    <row r="2922" spans="1:18" x14ac:dyDescent="0.25">
      <c r="A2922">
        <v>2921</v>
      </c>
      <c r="B2922">
        <v>94</v>
      </c>
      <c r="C2922">
        <v>31444356</v>
      </c>
      <c r="D2922" t="s">
        <v>288</v>
      </c>
      <c r="E2922">
        <v>119.294</v>
      </c>
      <c r="F2922" t="s">
        <v>21</v>
      </c>
      <c r="G2922" t="s">
        <v>26</v>
      </c>
      <c r="H2922" t="s">
        <v>21</v>
      </c>
      <c r="I2922" t="s">
        <v>20</v>
      </c>
      <c r="J2922" t="s">
        <v>20</v>
      </c>
      <c r="K2922" t="s">
        <v>27</v>
      </c>
      <c r="L2922" t="s">
        <v>38</v>
      </c>
      <c r="M2922" t="s">
        <v>152</v>
      </c>
      <c r="N2922">
        <v>38.503270999999998</v>
      </c>
      <c r="O2922">
        <v>-109.478624</v>
      </c>
      <c r="P2922">
        <v>4644.991994</v>
      </c>
      <c r="Q2922">
        <v>350</v>
      </c>
      <c r="R2922">
        <v>0</v>
      </c>
    </row>
    <row r="2923" spans="1:18" x14ac:dyDescent="0.25">
      <c r="A2923">
        <v>2922</v>
      </c>
      <c r="B2923">
        <v>94</v>
      </c>
      <c r="C2923">
        <v>31737587</v>
      </c>
      <c r="D2923" t="s">
        <v>244</v>
      </c>
      <c r="E2923">
        <v>119.392</v>
      </c>
      <c r="F2923" t="s">
        <v>21</v>
      </c>
      <c r="G2923" t="s">
        <v>26</v>
      </c>
      <c r="H2923" t="s">
        <v>21</v>
      </c>
      <c r="I2923" t="s">
        <v>20</v>
      </c>
      <c r="J2923" t="s">
        <v>20</v>
      </c>
      <c r="K2923" t="s">
        <v>27</v>
      </c>
      <c r="L2923" t="s">
        <v>122</v>
      </c>
      <c r="M2923" t="s">
        <v>270</v>
      </c>
      <c r="N2923">
        <v>38.412576999999999</v>
      </c>
      <c r="O2923">
        <v>-110.69381199999999</v>
      </c>
      <c r="P2923">
        <v>4352.1677550000004</v>
      </c>
      <c r="Q2923">
        <v>1340</v>
      </c>
      <c r="R2923">
        <v>0</v>
      </c>
    </row>
    <row r="2924" spans="1:18" x14ac:dyDescent="0.25">
      <c r="A2924">
        <v>2923</v>
      </c>
      <c r="B2924">
        <v>94</v>
      </c>
      <c r="C2924">
        <v>31820475</v>
      </c>
      <c r="D2924" t="s">
        <v>118</v>
      </c>
      <c r="E2924">
        <v>119.40300000000001</v>
      </c>
      <c r="F2924" t="s">
        <v>21</v>
      </c>
      <c r="G2924" t="s">
        <v>26</v>
      </c>
      <c r="H2924" t="s">
        <v>21</v>
      </c>
      <c r="I2924" t="s">
        <v>20</v>
      </c>
      <c r="J2924" t="s">
        <v>20</v>
      </c>
      <c r="K2924" t="s">
        <v>22</v>
      </c>
      <c r="L2924" t="s">
        <v>133</v>
      </c>
      <c r="M2924" t="s">
        <v>169</v>
      </c>
      <c r="N2924">
        <v>40.301906000000002</v>
      </c>
      <c r="O2924">
        <v>-109.897226</v>
      </c>
      <c r="P2924">
        <v>5201.5240409999997</v>
      </c>
      <c r="Q2924">
        <v>310</v>
      </c>
      <c r="R2924">
        <v>0</v>
      </c>
    </row>
    <row r="2925" spans="1:18" x14ac:dyDescent="0.25">
      <c r="A2925">
        <v>2924</v>
      </c>
      <c r="B2925">
        <v>94</v>
      </c>
      <c r="C2925" t="e">
        <f>-JYmkk8nGUuiBQSx1MF1Mk</f>
        <v>#NAME?</v>
      </c>
      <c r="D2925" t="s">
        <v>220</v>
      </c>
      <c r="E2925">
        <v>119.443</v>
      </c>
      <c r="F2925" t="s">
        <v>21</v>
      </c>
      <c r="G2925" t="s">
        <v>20</v>
      </c>
      <c r="H2925" t="s">
        <v>21</v>
      </c>
      <c r="I2925" t="s">
        <v>20</v>
      </c>
      <c r="J2925" t="s">
        <v>20</v>
      </c>
      <c r="K2925" t="s">
        <v>27</v>
      </c>
      <c r="L2925" t="s">
        <v>266</v>
      </c>
      <c r="M2925" t="s">
        <v>267</v>
      </c>
      <c r="N2925">
        <v>38.259053000000002</v>
      </c>
      <c r="O2925">
        <v>-111.376355</v>
      </c>
      <c r="P2925">
        <v>6716.9839609999999</v>
      </c>
      <c r="Q2925">
        <v>1328</v>
      </c>
      <c r="R2925">
        <v>0</v>
      </c>
    </row>
    <row r="2926" spans="1:18" x14ac:dyDescent="0.25">
      <c r="A2926">
        <v>2925</v>
      </c>
      <c r="B2926">
        <v>94</v>
      </c>
      <c r="C2926">
        <v>31737598</v>
      </c>
      <c r="D2926" t="s">
        <v>244</v>
      </c>
      <c r="E2926">
        <v>119.523</v>
      </c>
      <c r="F2926" t="s">
        <v>21</v>
      </c>
      <c r="G2926" t="s">
        <v>20</v>
      </c>
      <c r="H2926" t="s">
        <v>21</v>
      </c>
      <c r="I2926" t="s">
        <v>20</v>
      </c>
      <c r="J2926" t="s">
        <v>20</v>
      </c>
      <c r="K2926" t="s">
        <v>27</v>
      </c>
      <c r="L2926" t="s">
        <v>122</v>
      </c>
      <c r="M2926" t="s">
        <v>270</v>
      </c>
      <c r="N2926">
        <v>38.414484999999999</v>
      </c>
      <c r="O2926">
        <v>-110.69368900000001</v>
      </c>
      <c r="P2926">
        <v>4358.7335730000004</v>
      </c>
      <c r="Q2926">
        <v>1340</v>
      </c>
      <c r="R2926">
        <v>0</v>
      </c>
    </row>
    <row r="2927" spans="1:18" x14ac:dyDescent="0.25">
      <c r="A2927">
        <v>2926</v>
      </c>
      <c r="B2927">
        <v>94</v>
      </c>
      <c r="C2927">
        <v>28311046</v>
      </c>
      <c r="D2927" t="s">
        <v>220</v>
      </c>
      <c r="E2927">
        <v>119.586</v>
      </c>
      <c r="F2927" t="s">
        <v>21</v>
      </c>
      <c r="G2927" t="s">
        <v>26</v>
      </c>
      <c r="H2927" t="s">
        <v>21</v>
      </c>
      <c r="I2927" t="s">
        <v>20</v>
      </c>
      <c r="J2927" t="s">
        <v>20</v>
      </c>
      <c r="K2927" t="s">
        <v>27</v>
      </c>
      <c r="L2927" t="s">
        <v>266</v>
      </c>
      <c r="M2927" t="s">
        <v>267</v>
      </c>
      <c r="N2927">
        <v>38.261116000000001</v>
      </c>
      <c r="O2927">
        <v>-111.376037</v>
      </c>
      <c r="P2927">
        <v>6669.0974829999996</v>
      </c>
      <c r="Q2927">
        <v>1328</v>
      </c>
      <c r="R2927">
        <v>0</v>
      </c>
    </row>
    <row r="2928" spans="1:18" x14ac:dyDescent="0.25">
      <c r="A2928">
        <v>2927</v>
      </c>
      <c r="B2928">
        <v>94</v>
      </c>
      <c r="C2928">
        <v>31490183</v>
      </c>
      <c r="D2928" t="s">
        <v>320</v>
      </c>
      <c r="E2928">
        <v>119.592</v>
      </c>
      <c r="F2928" t="s">
        <v>21</v>
      </c>
      <c r="G2928" t="s">
        <v>26</v>
      </c>
      <c r="H2928" t="s">
        <v>21</v>
      </c>
      <c r="I2928" t="s">
        <v>20</v>
      </c>
      <c r="J2928" t="s">
        <v>20</v>
      </c>
      <c r="K2928" t="s">
        <v>27</v>
      </c>
      <c r="L2928" t="s">
        <v>202</v>
      </c>
      <c r="M2928" t="s">
        <v>166</v>
      </c>
      <c r="N2928">
        <v>39.144703999999997</v>
      </c>
      <c r="O2928">
        <v>-112.237273</v>
      </c>
      <c r="P2928">
        <v>5283.9776670000001</v>
      </c>
      <c r="Q2928">
        <v>1356</v>
      </c>
      <c r="R2928">
        <v>0</v>
      </c>
    </row>
    <row r="2929" spans="1:18" x14ac:dyDescent="0.25">
      <c r="A2929">
        <v>2928</v>
      </c>
      <c r="B2929">
        <v>94</v>
      </c>
      <c r="C2929" t="e">
        <f>-JXTrdINGcaWkDAvrmC7qk</f>
        <v>#NAME?</v>
      </c>
      <c r="D2929" t="s">
        <v>220</v>
      </c>
      <c r="E2929">
        <v>119.602</v>
      </c>
      <c r="F2929" t="s">
        <v>21</v>
      </c>
      <c r="G2929" t="s">
        <v>20</v>
      </c>
      <c r="H2929" t="s">
        <v>21</v>
      </c>
      <c r="I2929" t="s">
        <v>20</v>
      </c>
      <c r="J2929" t="s">
        <v>20</v>
      </c>
      <c r="K2929" t="s">
        <v>27</v>
      </c>
      <c r="L2929" t="s">
        <v>266</v>
      </c>
      <c r="M2929" t="s">
        <v>267</v>
      </c>
      <c r="N2929">
        <v>38.261347000000001</v>
      </c>
      <c r="O2929">
        <v>-111.375974</v>
      </c>
      <c r="P2929">
        <v>6668.801719</v>
      </c>
      <c r="Q2929">
        <v>1328</v>
      </c>
      <c r="R2929">
        <v>0</v>
      </c>
    </row>
    <row r="2930" spans="1:18" x14ac:dyDescent="0.25">
      <c r="A2930">
        <v>2929</v>
      </c>
      <c r="B2930">
        <v>94</v>
      </c>
      <c r="C2930" t="e">
        <f>-JOny3o_IU1fwJgGbr3ytV</f>
        <v>#NAME?</v>
      </c>
      <c r="D2930" t="s">
        <v>348</v>
      </c>
      <c r="E2930">
        <v>119.625</v>
      </c>
      <c r="F2930" t="s">
        <v>21</v>
      </c>
      <c r="G2930" t="s">
        <v>20</v>
      </c>
      <c r="H2930" t="s">
        <v>21</v>
      </c>
      <c r="I2930" t="s">
        <v>20</v>
      </c>
      <c r="J2930" t="s">
        <v>20</v>
      </c>
      <c r="K2930" t="s">
        <v>27</v>
      </c>
      <c r="L2930" t="s">
        <v>327</v>
      </c>
      <c r="M2930" t="s">
        <v>123</v>
      </c>
      <c r="N2930">
        <v>37.577787999999998</v>
      </c>
      <c r="O2930">
        <v>-109.51625799999999</v>
      </c>
      <c r="P2930">
        <v>5667.4815779999999</v>
      </c>
      <c r="Q2930">
        <v>1388</v>
      </c>
      <c r="R2930">
        <v>0</v>
      </c>
    </row>
    <row r="2931" spans="1:18" x14ac:dyDescent="0.25">
      <c r="A2931">
        <v>2930</v>
      </c>
      <c r="B2931">
        <v>94</v>
      </c>
      <c r="C2931">
        <v>31820486</v>
      </c>
      <c r="D2931" t="s">
        <v>118</v>
      </c>
      <c r="E2931">
        <v>119.655</v>
      </c>
      <c r="F2931" t="s">
        <v>21</v>
      </c>
      <c r="G2931" t="s">
        <v>26</v>
      </c>
      <c r="H2931" t="s">
        <v>21</v>
      </c>
      <c r="I2931" t="s">
        <v>20</v>
      </c>
      <c r="J2931" t="s">
        <v>20</v>
      </c>
      <c r="K2931" t="s">
        <v>22</v>
      </c>
      <c r="L2931" t="s">
        <v>133</v>
      </c>
      <c r="M2931" t="s">
        <v>169</v>
      </c>
      <c r="N2931">
        <v>40.301853999999999</v>
      </c>
      <c r="O2931">
        <v>-109.89243999999999</v>
      </c>
      <c r="P2931">
        <v>5196.1005679999998</v>
      </c>
      <c r="Q2931">
        <v>310</v>
      </c>
      <c r="R2931">
        <v>0</v>
      </c>
    </row>
    <row r="2932" spans="1:18" x14ac:dyDescent="0.25">
      <c r="A2932">
        <v>2931</v>
      </c>
      <c r="B2932">
        <v>94</v>
      </c>
      <c r="C2932">
        <v>31738159</v>
      </c>
      <c r="D2932" t="s">
        <v>244</v>
      </c>
      <c r="E2932">
        <v>119.682</v>
      </c>
      <c r="F2932" t="s">
        <v>21</v>
      </c>
      <c r="G2932" t="s">
        <v>26</v>
      </c>
      <c r="H2932" t="s">
        <v>21</v>
      </c>
      <c r="I2932" t="s">
        <v>20</v>
      </c>
      <c r="J2932" t="s">
        <v>20</v>
      </c>
      <c r="K2932" t="s">
        <v>27</v>
      </c>
      <c r="L2932" t="s">
        <v>122</v>
      </c>
      <c r="M2932" t="s">
        <v>270</v>
      </c>
      <c r="N2932">
        <v>38.416783000000002</v>
      </c>
      <c r="O2932">
        <v>-110.693541</v>
      </c>
      <c r="P2932">
        <v>4360.020657</v>
      </c>
      <c r="Q2932">
        <v>1340</v>
      </c>
      <c r="R2932">
        <v>0</v>
      </c>
    </row>
    <row r="2933" spans="1:18" x14ac:dyDescent="0.25">
      <c r="A2933">
        <v>2932</v>
      </c>
      <c r="B2933">
        <v>94</v>
      </c>
      <c r="C2933">
        <v>31490194</v>
      </c>
      <c r="D2933" t="s">
        <v>320</v>
      </c>
      <c r="E2933">
        <v>119.715</v>
      </c>
      <c r="F2933" t="s">
        <v>21</v>
      </c>
      <c r="G2933" t="s">
        <v>26</v>
      </c>
      <c r="H2933" t="s">
        <v>21</v>
      </c>
      <c r="I2933" t="s">
        <v>20</v>
      </c>
      <c r="J2933" t="s">
        <v>20</v>
      </c>
      <c r="K2933" t="s">
        <v>27</v>
      </c>
      <c r="L2933" t="s">
        <v>202</v>
      </c>
      <c r="M2933" t="s">
        <v>166</v>
      </c>
      <c r="N2933">
        <v>39.143946</v>
      </c>
      <c r="O2933">
        <v>-112.235034</v>
      </c>
      <c r="P2933">
        <v>5299.9436960000003</v>
      </c>
      <c r="Q2933">
        <v>1356</v>
      </c>
      <c r="R2933">
        <v>0</v>
      </c>
    </row>
    <row r="2934" spans="1:18" x14ac:dyDescent="0.25">
      <c r="A2934">
        <v>2933</v>
      </c>
      <c r="B2934">
        <v>94</v>
      </c>
      <c r="C2934" t="e">
        <f>-IovdaVyFkPXAnEzM5tePF</f>
        <v>#NAME?</v>
      </c>
      <c r="D2934" t="s">
        <v>290</v>
      </c>
      <c r="E2934">
        <v>119.71599999999999</v>
      </c>
      <c r="F2934" t="s">
        <v>21</v>
      </c>
      <c r="G2934" t="s">
        <v>26</v>
      </c>
      <c r="H2934" t="s">
        <v>21</v>
      </c>
      <c r="I2934" t="s">
        <v>20</v>
      </c>
      <c r="J2934" t="s">
        <v>20</v>
      </c>
      <c r="K2934" t="s">
        <v>41</v>
      </c>
      <c r="L2934" t="s">
        <v>325</v>
      </c>
      <c r="M2934" t="s">
        <v>280</v>
      </c>
      <c r="N2934">
        <v>41.831736999999997</v>
      </c>
      <c r="O2934">
        <v>-111.322903</v>
      </c>
      <c r="P2934">
        <v>5913.493168</v>
      </c>
      <c r="Q2934">
        <v>1343</v>
      </c>
      <c r="R2934">
        <v>0</v>
      </c>
    </row>
    <row r="2935" spans="1:18" x14ac:dyDescent="0.25">
      <c r="A2935">
        <v>2934</v>
      </c>
      <c r="B2935">
        <v>94</v>
      </c>
      <c r="C2935">
        <v>31778250</v>
      </c>
      <c r="D2935" t="s">
        <v>171</v>
      </c>
      <c r="E2935">
        <v>12.005000000000001</v>
      </c>
      <c r="F2935" t="s">
        <v>21</v>
      </c>
      <c r="G2935" t="s">
        <v>26</v>
      </c>
      <c r="H2935" t="s">
        <v>21</v>
      </c>
      <c r="I2935" t="s">
        <v>20</v>
      </c>
      <c r="J2935" t="s">
        <v>20</v>
      </c>
      <c r="K2935" t="s">
        <v>31</v>
      </c>
      <c r="L2935" t="s">
        <v>188</v>
      </c>
      <c r="M2935" t="s">
        <v>79</v>
      </c>
      <c r="N2935">
        <v>40.699883</v>
      </c>
      <c r="O2935">
        <v>-111.86403</v>
      </c>
      <c r="P2935">
        <v>4255.5157740000004</v>
      </c>
      <c r="Q2935">
        <v>346</v>
      </c>
      <c r="R2935">
        <v>0</v>
      </c>
    </row>
    <row r="2936" spans="1:18" x14ac:dyDescent="0.25">
      <c r="A2936">
        <v>2935</v>
      </c>
      <c r="B2936">
        <v>94</v>
      </c>
      <c r="C2936">
        <v>31611509</v>
      </c>
      <c r="D2936" t="s">
        <v>232</v>
      </c>
      <c r="E2936">
        <v>12.01</v>
      </c>
      <c r="F2936" t="s">
        <v>21</v>
      </c>
      <c r="G2936" t="s">
        <v>26</v>
      </c>
      <c r="H2936" t="s">
        <v>21</v>
      </c>
      <c r="I2936" t="s">
        <v>20</v>
      </c>
      <c r="J2936" t="s">
        <v>20</v>
      </c>
      <c r="K2936" t="s">
        <v>31</v>
      </c>
      <c r="L2936" t="s">
        <v>130</v>
      </c>
      <c r="M2936" t="s">
        <v>131</v>
      </c>
      <c r="N2936">
        <v>40.638907000000003</v>
      </c>
      <c r="O2936">
        <v>-111.327668</v>
      </c>
      <c r="P2936">
        <v>6542.5542779999996</v>
      </c>
      <c r="Q2936">
        <v>1279</v>
      </c>
      <c r="R2936">
        <v>0</v>
      </c>
    </row>
    <row r="2937" spans="1:18" x14ac:dyDescent="0.25">
      <c r="A2937">
        <v>2936</v>
      </c>
      <c r="B2937">
        <v>94</v>
      </c>
      <c r="C2937" t="e">
        <f>-JMEuaslF91WmF3JwdpVOV</f>
        <v>#NAME?</v>
      </c>
      <c r="D2937" t="s">
        <v>417</v>
      </c>
      <c r="E2937">
        <v>12.023999999999999</v>
      </c>
      <c r="F2937" t="s">
        <v>21</v>
      </c>
      <c r="G2937" t="s">
        <v>26</v>
      </c>
      <c r="H2937" t="s">
        <v>21</v>
      </c>
      <c r="I2937" t="s">
        <v>20</v>
      </c>
      <c r="J2937" t="s">
        <v>20</v>
      </c>
      <c r="K2937" t="s">
        <v>31</v>
      </c>
      <c r="L2937" t="s">
        <v>84</v>
      </c>
      <c r="M2937" t="s">
        <v>24</v>
      </c>
      <c r="N2937">
        <v>40.560581999999997</v>
      </c>
      <c r="O2937">
        <v>-112.032365</v>
      </c>
      <c r="P2937">
        <v>4921.6510820000003</v>
      </c>
      <c r="Q2937">
        <v>6765</v>
      </c>
      <c r="R2937">
        <v>0</v>
      </c>
    </row>
    <row r="2938" spans="1:18" x14ac:dyDescent="0.25">
      <c r="A2938">
        <v>2937</v>
      </c>
      <c r="B2938">
        <v>94</v>
      </c>
      <c r="C2938">
        <v>31275695</v>
      </c>
      <c r="D2938" t="s">
        <v>303</v>
      </c>
      <c r="E2938">
        <v>11.510999999999999</v>
      </c>
      <c r="F2938" t="s">
        <v>21</v>
      </c>
      <c r="G2938" t="s">
        <v>26</v>
      </c>
      <c r="H2938" t="s">
        <v>21</v>
      </c>
      <c r="I2938" t="s">
        <v>20</v>
      </c>
      <c r="J2938" t="s">
        <v>20</v>
      </c>
      <c r="K2938" t="s">
        <v>27</v>
      </c>
      <c r="L2938" t="s">
        <v>72</v>
      </c>
      <c r="M2938" t="s">
        <v>73</v>
      </c>
      <c r="N2938">
        <v>37.197436000000003</v>
      </c>
      <c r="O2938">
        <v>-113.274333</v>
      </c>
      <c r="P2938">
        <v>3102.3311920000001</v>
      </c>
      <c r="Q2938">
        <v>1326</v>
      </c>
      <c r="R2938">
        <v>0</v>
      </c>
    </row>
    <row r="2939" spans="1:18" x14ac:dyDescent="0.25">
      <c r="A2939">
        <v>2938</v>
      </c>
      <c r="B2939">
        <v>94</v>
      </c>
      <c r="C2939">
        <v>27416745</v>
      </c>
      <c r="D2939" t="s">
        <v>185</v>
      </c>
      <c r="E2939">
        <v>11.518000000000001</v>
      </c>
      <c r="F2939" t="s">
        <v>19</v>
      </c>
      <c r="G2939" t="s">
        <v>20</v>
      </c>
      <c r="H2939" t="s">
        <v>21</v>
      </c>
      <c r="I2939" t="s">
        <v>20</v>
      </c>
      <c r="J2939" t="s">
        <v>20</v>
      </c>
      <c r="K2939" t="s">
        <v>41</v>
      </c>
      <c r="L2939" t="s">
        <v>57</v>
      </c>
      <c r="M2939" t="s">
        <v>58</v>
      </c>
      <c r="N2939">
        <v>41.190683999999997</v>
      </c>
      <c r="O2939">
        <v>-112.064323</v>
      </c>
      <c r="P2939">
        <v>4209.6163829999996</v>
      </c>
      <c r="Q2939">
        <v>309</v>
      </c>
      <c r="R2939">
        <v>0</v>
      </c>
    </row>
    <row r="2940" spans="1:18" x14ac:dyDescent="0.25">
      <c r="A2940">
        <v>2939</v>
      </c>
      <c r="B2940">
        <v>94</v>
      </c>
      <c r="C2940" t="e">
        <f>-JYlPbVeI0y62IPwc1Bb_F</f>
        <v>#NAME?</v>
      </c>
      <c r="D2940" t="s">
        <v>129</v>
      </c>
      <c r="E2940">
        <v>11.531000000000001</v>
      </c>
      <c r="F2940" t="s">
        <v>21</v>
      </c>
      <c r="G2940" t="s">
        <v>20</v>
      </c>
      <c r="H2940" t="s">
        <v>21</v>
      </c>
      <c r="I2940" t="s">
        <v>20</v>
      </c>
      <c r="J2940" t="s">
        <v>20</v>
      </c>
      <c r="K2940" t="s">
        <v>31</v>
      </c>
      <c r="L2940" t="s">
        <v>130</v>
      </c>
      <c r="M2940" t="s">
        <v>131</v>
      </c>
      <c r="N2940">
        <v>40.598160999999998</v>
      </c>
      <c r="O2940">
        <v>-111.09939300000001</v>
      </c>
      <c r="P2940">
        <v>7473.0916440000001</v>
      </c>
      <c r="Q2940">
        <v>340</v>
      </c>
      <c r="R2940">
        <v>0</v>
      </c>
    </row>
    <row r="2941" spans="1:18" x14ac:dyDescent="0.25">
      <c r="A2941">
        <v>2940</v>
      </c>
      <c r="B2941">
        <v>94</v>
      </c>
      <c r="C2941" t="s">
        <v>533</v>
      </c>
      <c r="D2941" t="s">
        <v>208</v>
      </c>
      <c r="E2941">
        <v>11.535</v>
      </c>
      <c r="F2941" t="s">
        <v>19</v>
      </c>
      <c r="G2941" t="s">
        <v>20</v>
      </c>
      <c r="H2941" t="s">
        <v>21</v>
      </c>
      <c r="I2941" t="s">
        <v>20</v>
      </c>
      <c r="J2941" t="s">
        <v>20</v>
      </c>
      <c r="K2941" t="s">
        <v>31</v>
      </c>
      <c r="L2941" t="s">
        <v>209</v>
      </c>
      <c r="M2941" t="s">
        <v>131</v>
      </c>
      <c r="N2941">
        <v>40.727187000000001</v>
      </c>
      <c r="O2941">
        <v>-111.543514</v>
      </c>
      <c r="P2941">
        <v>6352.1183330000003</v>
      </c>
      <c r="Q2941">
        <v>357</v>
      </c>
      <c r="R2941">
        <v>0</v>
      </c>
    </row>
    <row r="2942" spans="1:18" x14ac:dyDescent="0.25">
      <c r="A2942">
        <v>2941</v>
      </c>
      <c r="B2942">
        <v>94</v>
      </c>
      <c r="C2942">
        <v>31367760</v>
      </c>
      <c r="D2942" t="s">
        <v>229</v>
      </c>
      <c r="E2942">
        <v>11.538</v>
      </c>
      <c r="F2942" t="s">
        <v>21</v>
      </c>
      <c r="G2942" t="s">
        <v>26</v>
      </c>
      <c r="H2942" t="s">
        <v>21</v>
      </c>
      <c r="I2942" t="s">
        <v>20</v>
      </c>
      <c r="J2942" t="s">
        <v>20</v>
      </c>
      <c r="K2942" t="s">
        <v>27</v>
      </c>
      <c r="L2942" t="s">
        <v>230</v>
      </c>
      <c r="M2942" t="s">
        <v>82</v>
      </c>
      <c r="N2942">
        <v>39.521034999999998</v>
      </c>
      <c r="O2942">
        <v>-111.473085</v>
      </c>
      <c r="P2942">
        <v>5835.2042240000001</v>
      </c>
      <c r="Q2942">
        <v>331</v>
      </c>
      <c r="R2942">
        <v>0</v>
      </c>
    </row>
    <row r="2943" spans="1:18" x14ac:dyDescent="0.25">
      <c r="A2943">
        <v>2942</v>
      </c>
      <c r="B2943">
        <v>94</v>
      </c>
      <c r="C2943">
        <v>31496770</v>
      </c>
      <c r="D2943" t="s">
        <v>224</v>
      </c>
      <c r="E2943">
        <v>11.539</v>
      </c>
      <c r="F2943" t="s">
        <v>19</v>
      </c>
      <c r="G2943" t="s">
        <v>20</v>
      </c>
      <c r="H2943" t="s">
        <v>19</v>
      </c>
      <c r="I2943">
        <v>164</v>
      </c>
      <c r="J2943" t="s">
        <v>20</v>
      </c>
      <c r="K2943" t="s">
        <v>22</v>
      </c>
      <c r="L2943" t="s">
        <v>198</v>
      </c>
      <c r="M2943" t="s">
        <v>194</v>
      </c>
      <c r="N2943">
        <v>40.094149000000002</v>
      </c>
      <c r="O2943">
        <v>-111.65556599999999</v>
      </c>
      <c r="P2943">
        <v>4541.6300769999998</v>
      </c>
      <c r="Q2943">
        <v>408</v>
      </c>
      <c r="R2943">
        <v>0</v>
      </c>
    </row>
    <row r="2944" spans="1:18" x14ac:dyDescent="0.25">
      <c r="A2944">
        <v>2943</v>
      </c>
      <c r="B2944">
        <v>94</v>
      </c>
      <c r="C2944">
        <v>31459823</v>
      </c>
      <c r="D2944" t="s">
        <v>254</v>
      </c>
      <c r="E2944">
        <v>11.542999999999999</v>
      </c>
      <c r="F2944" t="s">
        <v>21</v>
      </c>
      <c r="G2944" t="s">
        <v>26</v>
      </c>
      <c r="H2944" t="s">
        <v>21</v>
      </c>
      <c r="I2944" t="s">
        <v>20</v>
      </c>
      <c r="J2944" t="s">
        <v>20</v>
      </c>
      <c r="K2944" t="s">
        <v>41</v>
      </c>
      <c r="L2944" t="s">
        <v>255</v>
      </c>
      <c r="M2944" t="s">
        <v>204</v>
      </c>
      <c r="N2944">
        <v>41.378895</v>
      </c>
      <c r="O2944">
        <v>-111.784216</v>
      </c>
      <c r="P2944">
        <v>8137.5747069999998</v>
      </c>
      <c r="Q2944">
        <v>1429</v>
      </c>
      <c r="R2944">
        <v>0</v>
      </c>
    </row>
    <row r="2945" spans="1:18" x14ac:dyDescent="0.25">
      <c r="A2945">
        <v>2944</v>
      </c>
      <c r="B2945">
        <v>94</v>
      </c>
      <c r="C2945">
        <v>31282515</v>
      </c>
      <c r="D2945" t="s">
        <v>347</v>
      </c>
      <c r="E2945">
        <v>11.827</v>
      </c>
      <c r="F2945" t="s">
        <v>21</v>
      </c>
      <c r="G2945" t="s">
        <v>20</v>
      </c>
      <c r="H2945" t="s">
        <v>21</v>
      </c>
      <c r="I2945" t="s">
        <v>20</v>
      </c>
      <c r="J2945" t="s">
        <v>20</v>
      </c>
      <c r="K2945" t="s">
        <v>41</v>
      </c>
      <c r="L2945" t="s">
        <v>325</v>
      </c>
      <c r="M2945" t="s">
        <v>204</v>
      </c>
      <c r="N2945">
        <v>41.542288999999997</v>
      </c>
      <c r="O2945">
        <v>-111.15870200000001</v>
      </c>
      <c r="P2945">
        <v>6267.2495529999997</v>
      </c>
      <c r="Q2945">
        <v>1334</v>
      </c>
      <c r="R2945">
        <v>0</v>
      </c>
    </row>
    <row r="2946" spans="1:18" x14ac:dyDescent="0.25">
      <c r="A2946">
        <v>2945</v>
      </c>
      <c r="B2946">
        <v>94</v>
      </c>
      <c r="C2946" t="e">
        <f>-IpQWfobIhy0ApuB2c9rMk</f>
        <v>#NAME?</v>
      </c>
      <c r="D2946" t="s">
        <v>288</v>
      </c>
      <c r="E2946">
        <v>11.837999999999999</v>
      </c>
      <c r="F2946" t="s">
        <v>21</v>
      </c>
      <c r="G2946" t="s">
        <v>20</v>
      </c>
      <c r="H2946" t="s">
        <v>21</v>
      </c>
      <c r="I2946" t="s">
        <v>20</v>
      </c>
      <c r="J2946" t="s">
        <v>20</v>
      </c>
      <c r="K2946" t="s">
        <v>27</v>
      </c>
      <c r="L2946" t="s">
        <v>211</v>
      </c>
      <c r="M2946" t="s">
        <v>318</v>
      </c>
      <c r="N2946">
        <v>37.147319000000003</v>
      </c>
      <c r="O2946">
        <v>-109.563641</v>
      </c>
      <c r="P2946">
        <v>4610.3726139999999</v>
      </c>
      <c r="Q2946">
        <v>350</v>
      </c>
      <c r="R2946">
        <v>0</v>
      </c>
    </row>
    <row r="2947" spans="1:18" x14ac:dyDescent="0.25">
      <c r="A2947">
        <v>2946</v>
      </c>
      <c r="B2947">
        <v>94</v>
      </c>
      <c r="C2947">
        <v>31193343</v>
      </c>
      <c r="D2947" t="s">
        <v>310</v>
      </c>
      <c r="E2947">
        <v>11.846</v>
      </c>
      <c r="F2947" t="s">
        <v>21</v>
      </c>
      <c r="G2947" t="s">
        <v>26</v>
      </c>
      <c r="H2947" t="s">
        <v>21</v>
      </c>
      <c r="I2947" t="s">
        <v>20</v>
      </c>
      <c r="J2947" t="s">
        <v>20</v>
      </c>
      <c r="K2947" t="s">
        <v>31</v>
      </c>
      <c r="L2947" t="s">
        <v>285</v>
      </c>
      <c r="M2947" t="s">
        <v>206</v>
      </c>
      <c r="N2947">
        <v>40.599634999999999</v>
      </c>
      <c r="O2947">
        <v>-112.432863</v>
      </c>
      <c r="P2947">
        <v>4233.9849969999996</v>
      </c>
      <c r="Q2947">
        <v>1414</v>
      </c>
      <c r="R2947">
        <v>0</v>
      </c>
    </row>
    <row r="2948" spans="1:18" x14ac:dyDescent="0.25">
      <c r="A2948">
        <v>2947</v>
      </c>
      <c r="B2948">
        <v>94</v>
      </c>
      <c r="C2948">
        <v>31194487</v>
      </c>
      <c r="D2948" t="s">
        <v>309</v>
      </c>
      <c r="E2948">
        <v>11.848000000000001</v>
      </c>
      <c r="F2948" t="s">
        <v>21</v>
      </c>
      <c r="G2948" t="s">
        <v>26</v>
      </c>
      <c r="H2948" t="s">
        <v>21</v>
      </c>
      <c r="I2948" t="s">
        <v>20</v>
      </c>
      <c r="J2948" t="s">
        <v>20</v>
      </c>
      <c r="K2948" t="s">
        <v>22</v>
      </c>
      <c r="L2948" t="s">
        <v>140</v>
      </c>
      <c r="M2948" t="s">
        <v>125</v>
      </c>
      <c r="N2948">
        <v>40.115074999999997</v>
      </c>
      <c r="O2948">
        <v>-111.659841</v>
      </c>
      <c r="P2948">
        <v>4512.701298</v>
      </c>
      <c r="Q2948">
        <v>339</v>
      </c>
      <c r="R2948">
        <v>0</v>
      </c>
    </row>
    <row r="2949" spans="1:18" x14ac:dyDescent="0.25">
      <c r="A2949">
        <v>2948</v>
      </c>
      <c r="B2949">
        <v>94</v>
      </c>
      <c r="C2949">
        <v>31194166</v>
      </c>
      <c r="D2949" t="s">
        <v>339</v>
      </c>
      <c r="E2949">
        <v>11.851000000000001</v>
      </c>
      <c r="F2949" t="s">
        <v>21</v>
      </c>
      <c r="G2949" t="s">
        <v>26</v>
      </c>
      <c r="H2949" t="s">
        <v>21</v>
      </c>
      <c r="I2949" t="s">
        <v>20</v>
      </c>
      <c r="J2949" t="s">
        <v>20</v>
      </c>
      <c r="K2949" t="s">
        <v>41</v>
      </c>
      <c r="L2949" t="s">
        <v>95</v>
      </c>
      <c r="M2949" t="s">
        <v>73</v>
      </c>
      <c r="N2949">
        <v>41.914696999999997</v>
      </c>
      <c r="O2949">
        <v>-111.914033</v>
      </c>
      <c r="P2949">
        <v>4411.7115100000001</v>
      </c>
      <c r="Q2949">
        <v>1417</v>
      </c>
      <c r="R2949">
        <v>0</v>
      </c>
    </row>
    <row r="2950" spans="1:18" x14ac:dyDescent="0.25">
      <c r="A2950">
        <v>2949</v>
      </c>
      <c r="B2950">
        <v>94</v>
      </c>
      <c r="C2950" t="e">
        <f>-JYlSIOQHfP2YAqZ3JIXyV</f>
        <v>#NAME?</v>
      </c>
      <c r="D2950" t="s">
        <v>129</v>
      </c>
      <c r="E2950">
        <v>11.853999999999999</v>
      </c>
      <c r="F2950" t="s">
        <v>21</v>
      </c>
      <c r="G2950" t="s">
        <v>20</v>
      </c>
      <c r="H2950" t="s">
        <v>21</v>
      </c>
      <c r="I2950" t="s">
        <v>20</v>
      </c>
      <c r="J2950" t="s">
        <v>20</v>
      </c>
      <c r="K2950" t="s">
        <v>31</v>
      </c>
      <c r="L2950" t="s">
        <v>130</v>
      </c>
      <c r="M2950" t="s">
        <v>131</v>
      </c>
      <c r="N2950">
        <v>40.596083999999998</v>
      </c>
      <c r="O2950">
        <v>-111.093919</v>
      </c>
      <c r="P2950">
        <v>7515.6550850000003</v>
      </c>
      <c r="Q2950">
        <v>340</v>
      </c>
      <c r="R2950">
        <v>0</v>
      </c>
    </row>
    <row r="2951" spans="1:18" x14ac:dyDescent="0.25">
      <c r="A2951">
        <v>2950</v>
      </c>
      <c r="B2951">
        <v>94</v>
      </c>
      <c r="C2951">
        <v>31284734</v>
      </c>
      <c r="D2951" t="s">
        <v>126</v>
      </c>
      <c r="E2951">
        <v>11.867000000000001</v>
      </c>
      <c r="F2951" t="s">
        <v>19</v>
      </c>
      <c r="G2951" t="s">
        <v>20</v>
      </c>
      <c r="H2951" t="s">
        <v>21</v>
      </c>
      <c r="I2951" t="s">
        <v>20</v>
      </c>
      <c r="J2951" t="s">
        <v>20</v>
      </c>
      <c r="K2951" t="s">
        <v>41</v>
      </c>
      <c r="L2951" t="s">
        <v>57</v>
      </c>
      <c r="M2951" t="s">
        <v>93</v>
      </c>
      <c r="N2951">
        <v>41.306873000000003</v>
      </c>
      <c r="O2951">
        <v>-112.015711</v>
      </c>
      <c r="P2951">
        <v>4226.407776</v>
      </c>
      <c r="Q2951">
        <v>1412</v>
      </c>
      <c r="R2951">
        <v>0</v>
      </c>
    </row>
    <row r="2952" spans="1:18" x14ac:dyDescent="0.25">
      <c r="A2952">
        <v>2951</v>
      </c>
      <c r="B2952">
        <v>94</v>
      </c>
      <c r="C2952">
        <v>31415334</v>
      </c>
      <c r="D2952" t="s">
        <v>345</v>
      </c>
      <c r="E2952">
        <v>11.885999999999999</v>
      </c>
      <c r="F2952" t="s">
        <v>21</v>
      </c>
      <c r="G2952" t="s">
        <v>26</v>
      </c>
      <c r="H2952" t="s">
        <v>21</v>
      </c>
      <c r="I2952" t="s">
        <v>20</v>
      </c>
      <c r="J2952" t="s">
        <v>20</v>
      </c>
      <c r="K2952" t="s">
        <v>27</v>
      </c>
      <c r="L2952" t="s">
        <v>75</v>
      </c>
      <c r="M2952" t="s">
        <v>76</v>
      </c>
      <c r="N2952">
        <v>38.711689</v>
      </c>
      <c r="O2952">
        <v>-112.1061</v>
      </c>
      <c r="P2952">
        <v>5261.6855189999997</v>
      </c>
      <c r="Q2952">
        <v>1403</v>
      </c>
      <c r="R2952">
        <v>0</v>
      </c>
    </row>
    <row r="2953" spans="1:18" x14ac:dyDescent="0.25">
      <c r="A2953">
        <v>2952</v>
      </c>
      <c r="B2953">
        <v>94</v>
      </c>
      <c r="C2953">
        <v>28356732</v>
      </c>
      <c r="D2953" t="s">
        <v>323</v>
      </c>
      <c r="E2953">
        <v>11.895</v>
      </c>
      <c r="F2953" t="s">
        <v>21</v>
      </c>
      <c r="G2953" t="s">
        <v>26</v>
      </c>
      <c r="H2953" t="s">
        <v>21</v>
      </c>
      <c r="I2953" t="s">
        <v>20</v>
      </c>
      <c r="J2953" t="s">
        <v>20</v>
      </c>
      <c r="K2953" t="s">
        <v>31</v>
      </c>
      <c r="L2953" t="s">
        <v>130</v>
      </c>
      <c r="M2953" t="s">
        <v>131</v>
      </c>
      <c r="N2953">
        <v>40.632126</v>
      </c>
      <c r="O2953">
        <v>-111.280739</v>
      </c>
      <c r="P2953">
        <v>6440.8335569999999</v>
      </c>
      <c r="Q2953">
        <v>1345</v>
      </c>
      <c r="R2953">
        <v>0</v>
      </c>
    </row>
    <row r="2954" spans="1:18" x14ac:dyDescent="0.25">
      <c r="A2954">
        <v>2953</v>
      </c>
      <c r="B2954">
        <v>94</v>
      </c>
      <c r="C2954">
        <v>28597395</v>
      </c>
      <c r="D2954" t="s">
        <v>142</v>
      </c>
      <c r="E2954">
        <v>11.896000000000001</v>
      </c>
      <c r="F2954" t="s">
        <v>21</v>
      </c>
      <c r="G2954" t="s">
        <v>26</v>
      </c>
      <c r="H2954" t="s">
        <v>21</v>
      </c>
      <c r="I2954" t="s">
        <v>20</v>
      </c>
      <c r="J2954" t="s">
        <v>20</v>
      </c>
      <c r="K2954" t="s">
        <v>27</v>
      </c>
      <c r="L2954" t="s">
        <v>143</v>
      </c>
      <c r="M2954" t="s">
        <v>106</v>
      </c>
      <c r="N2954">
        <v>38.793447999999998</v>
      </c>
      <c r="O2954">
        <v>-113.971825</v>
      </c>
      <c r="P2954">
        <v>5401.5972700000002</v>
      </c>
      <c r="Q2954">
        <v>305</v>
      </c>
      <c r="R2954">
        <v>0</v>
      </c>
    </row>
    <row r="2955" spans="1:18" x14ac:dyDescent="0.25">
      <c r="A2955">
        <v>2954</v>
      </c>
      <c r="B2955">
        <v>94</v>
      </c>
      <c r="C2955">
        <v>31391460</v>
      </c>
      <c r="D2955" t="s">
        <v>124</v>
      </c>
      <c r="E2955">
        <v>11.920999999999999</v>
      </c>
      <c r="F2955" t="s">
        <v>21</v>
      </c>
      <c r="G2955" t="s">
        <v>20</v>
      </c>
      <c r="H2955" t="s">
        <v>21</v>
      </c>
      <c r="I2955" t="s">
        <v>20</v>
      </c>
      <c r="J2955" t="s">
        <v>20</v>
      </c>
      <c r="K2955" t="s">
        <v>22</v>
      </c>
      <c r="L2955" t="s">
        <v>193</v>
      </c>
      <c r="M2955" t="s">
        <v>194</v>
      </c>
      <c r="N2955">
        <v>40.125041000000003</v>
      </c>
      <c r="O2955">
        <v>-111.959041</v>
      </c>
      <c r="P2955">
        <v>4499.383718</v>
      </c>
      <c r="Q2955">
        <v>1368</v>
      </c>
      <c r="R2955">
        <v>0</v>
      </c>
    </row>
    <row r="2956" spans="1:18" x14ac:dyDescent="0.25">
      <c r="A2956">
        <v>2955</v>
      </c>
      <c r="B2956">
        <v>94</v>
      </c>
      <c r="C2956">
        <v>1073699</v>
      </c>
      <c r="D2956" t="s">
        <v>171</v>
      </c>
      <c r="E2956">
        <v>11.929</v>
      </c>
      <c r="F2956" t="s">
        <v>19</v>
      </c>
      <c r="G2956" t="s">
        <v>20</v>
      </c>
      <c r="H2956" t="s">
        <v>21</v>
      </c>
      <c r="I2956" t="s">
        <v>20</v>
      </c>
      <c r="J2956" t="s">
        <v>20</v>
      </c>
      <c r="K2956" t="s">
        <v>31</v>
      </c>
      <c r="L2956" t="s">
        <v>188</v>
      </c>
      <c r="M2956" t="s">
        <v>79</v>
      </c>
      <c r="N2956">
        <v>40.699877999999998</v>
      </c>
      <c r="O2956">
        <v>-111.865476</v>
      </c>
      <c r="P2956">
        <v>4251.207539</v>
      </c>
      <c r="Q2956">
        <v>346</v>
      </c>
      <c r="R2956">
        <v>0</v>
      </c>
    </row>
    <row r="2957" spans="1:18" x14ac:dyDescent="0.25">
      <c r="A2957">
        <v>2956</v>
      </c>
      <c r="B2957">
        <v>94</v>
      </c>
      <c r="C2957">
        <v>31193354</v>
      </c>
      <c r="D2957" t="s">
        <v>310</v>
      </c>
      <c r="E2957">
        <v>11.933</v>
      </c>
      <c r="F2957" t="s">
        <v>21</v>
      </c>
      <c r="G2957" t="s">
        <v>26</v>
      </c>
      <c r="H2957" t="s">
        <v>21</v>
      </c>
      <c r="I2957" t="s">
        <v>20</v>
      </c>
      <c r="J2957" t="s">
        <v>20</v>
      </c>
      <c r="K2957" t="s">
        <v>31</v>
      </c>
      <c r="L2957" t="s">
        <v>285</v>
      </c>
      <c r="M2957" t="s">
        <v>206</v>
      </c>
      <c r="N2957">
        <v>40.599621999999997</v>
      </c>
      <c r="O2957">
        <v>-112.431228</v>
      </c>
      <c r="P2957">
        <v>4307.9904429999997</v>
      </c>
      <c r="Q2957">
        <v>1414</v>
      </c>
      <c r="R2957">
        <v>0</v>
      </c>
    </row>
    <row r="2958" spans="1:18" x14ac:dyDescent="0.25">
      <c r="A2958">
        <v>2957</v>
      </c>
      <c r="B2958">
        <v>94</v>
      </c>
      <c r="C2958">
        <v>31194498</v>
      </c>
      <c r="D2958" t="s">
        <v>309</v>
      </c>
      <c r="E2958">
        <v>11.936</v>
      </c>
      <c r="F2958" t="s">
        <v>21</v>
      </c>
      <c r="G2958" t="s">
        <v>26</v>
      </c>
      <c r="H2958" t="s">
        <v>21</v>
      </c>
      <c r="I2958" t="s">
        <v>20</v>
      </c>
      <c r="J2958" t="s">
        <v>20</v>
      </c>
      <c r="K2958" t="s">
        <v>22</v>
      </c>
      <c r="L2958" t="s">
        <v>140</v>
      </c>
      <c r="M2958" t="s">
        <v>125</v>
      </c>
      <c r="N2958">
        <v>40.115036000000003</v>
      </c>
      <c r="O2958">
        <v>-111.658187</v>
      </c>
      <c r="P2958">
        <v>4514.1029129999997</v>
      </c>
      <c r="Q2958">
        <v>339</v>
      </c>
      <c r="R2958">
        <v>0</v>
      </c>
    </row>
    <row r="2959" spans="1:18" x14ac:dyDescent="0.25">
      <c r="A2959">
        <v>2958</v>
      </c>
      <c r="B2959">
        <v>94</v>
      </c>
      <c r="C2959">
        <v>31584540</v>
      </c>
      <c r="D2959" t="s">
        <v>409</v>
      </c>
      <c r="E2959">
        <v>11.941000000000001</v>
      </c>
      <c r="F2959" t="s">
        <v>21</v>
      </c>
      <c r="G2959" t="s">
        <v>20</v>
      </c>
      <c r="H2959" t="s">
        <v>21</v>
      </c>
      <c r="I2959" t="s">
        <v>20</v>
      </c>
      <c r="J2959" t="s">
        <v>20</v>
      </c>
      <c r="K2959" t="s">
        <v>27</v>
      </c>
      <c r="L2959" t="s">
        <v>247</v>
      </c>
      <c r="M2959" t="s">
        <v>117</v>
      </c>
      <c r="N2959">
        <v>38.025495999999997</v>
      </c>
      <c r="O2959">
        <v>-112.513542</v>
      </c>
      <c r="P2959">
        <v>7263.1089179999999</v>
      </c>
      <c r="Q2959">
        <v>1337</v>
      </c>
      <c r="R2959">
        <v>0</v>
      </c>
    </row>
    <row r="2960" spans="1:18" x14ac:dyDescent="0.25">
      <c r="A2960">
        <v>2959</v>
      </c>
      <c r="B2960">
        <v>94</v>
      </c>
      <c r="C2960">
        <v>31499707</v>
      </c>
      <c r="D2960" t="s">
        <v>224</v>
      </c>
      <c r="E2960">
        <v>11.959</v>
      </c>
      <c r="F2960" t="s">
        <v>21</v>
      </c>
      <c r="G2960" t="s">
        <v>26</v>
      </c>
      <c r="H2960" t="s">
        <v>21</v>
      </c>
      <c r="I2960" t="s">
        <v>20</v>
      </c>
      <c r="J2960" t="s">
        <v>20</v>
      </c>
      <c r="K2960" t="s">
        <v>22</v>
      </c>
      <c r="L2960" t="s">
        <v>140</v>
      </c>
      <c r="M2960" t="s">
        <v>194</v>
      </c>
      <c r="N2960">
        <v>40.100276000000001</v>
      </c>
      <c r="O2960">
        <v>-111.655298</v>
      </c>
      <c r="P2960">
        <v>4530.5901400000002</v>
      </c>
      <c r="Q2960">
        <v>408</v>
      </c>
      <c r="R2960">
        <v>0</v>
      </c>
    </row>
    <row r="2961" spans="1:18" x14ac:dyDescent="0.25">
      <c r="A2961">
        <v>2960</v>
      </c>
      <c r="B2961">
        <v>94</v>
      </c>
      <c r="C2961">
        <v>28356777</v>
      </c>
      <c r="D2961" t="s">
        <v>323</v>
      </c>
      <c r="E2961">
        <v>11.961</v>
      </c>
      <c r="F2961" t="s">
        <v>21</v>
      </c>
      <c r="G2961" t="s">
        <v>26</v>
      </c>
      <c r="H2961" t="s">
        <v>21</v>
      </c>
      <c r="I2961" t="s">
        <v>20</v>
      </c>
      <c r="J2961" t="s">
        <v>20</v>
      </c>
      <c r="K2961" t="s">
        <v>31</v>
      </c>
      <c r="L2961" t="s">
        <v>130</v>
      </c>
      <c r="M2961" t="s">
        <v>131</v>
      </c>
      <c r="N2961">
        <v>40.633083999999997</v>
      </c>
      <c r="O2961">
        <v>-111.280745</v>
      </c>
      <c r="P2961">
        <v>6439.8551109999999</v>
      </c>
      <c r="Q2961">
        <v>1345</v>
      </c>
      <c r="R2961">
        <v>0</v>
      </c>
    </row>
    <row r="2962" spans="1:18" x14ac:dyDescent="0.25">
      <c r="A2962">
        <v>2961</v>
      </c>
      <c r="B2962">
        <v>94</v>
      </c>
      <c r="C2962">
        <v>31390616</v>
      </c>
      <c r="D2962" t="s">
        <v>184</v>
      </c>
      <c r="E2962">
        <v>11.968</v>
      </c>
      <c r="F2962" t="s">
        <v>21</v>
      </c>
      <c r="G2962" t="s">
        <v>20</v>
      </c>
      <c r="H2962" t="s">
        <v>21</v>
      </c>
      <c r="I2962" t="s">
        <v>20</v>
      </c>
      <c r="J2962" t="s">
        <v>20</v>
      </c>
      <c r="K2962" t="s">
        <v>27</v>
      </c>
      <c r="L2962" t="s">
        <v>54</v>
      </c>
      <c r="M2962" t="s">
        <v>55</v>
      </c>
      <c r="N2962">
        <v>37.809752000000003</v>
      </c>
      <c r="O2962">
        <v>-113.050501</v>
      </c>
      <c r="P2962">
        <v>5371.553911</v>
      </c>
      <c r="Q2962">
        <v>1410</v>
      </c>
      <c r="R2962">
        <v>0</v>
      </c>
    </row>
    <row r="2963" spans="1:18" x14ac:dyDescent="0.25">
      <c r="A2963">
        <v>2962</v>
      </c>
      <c r="B2963">
        <v>94</v>
      </c>
      <c r="C2963">
        <v>31382849</v>
      </c>
      <c r="D2963" t="s">
        <v>284</v>
      </c>
      <c r="E2963">
        <v>11.968</v>
      </c>
      <c r="F2963" t="s">
        <v>21</v>
      </c>
      <c r="G2963" t="s">
        <v>26</v>
      </c>
      <c r="H2963" t="s">
        <v>21</v>
      </c>
      <c r="I2963" t="s">
        <v>20</v>
      </c>
      <c r="J2963" t="s">
        <v>20</v>
      </c>
      <c r="K2963" t="s">
        <v>31</v>
      </c>
      <c r="L2963" t="s">
        <v>285</v>
      </c>
      <c r="M2963" t="s">
        <v>206</v>
      </c>
      <c r="N2963">
        <v>40.398491</v>
      </c>
      <c r="O2963">
        <v>-112.74780699999999</v>
      </c>
      <c r="P2963">
        <v>4531.4890610000002</v>
      </c>
      <c r="Q2963">
        <v>407</v>
      </c>
      <c r="R2963">
        <v>0</v>
      </c>
    </row>
    <row r="2964" spans="1:18" x14ac:dyDescent="0.25">
      <c r="A2964">
        <v>2963</v>
      </c>
      <c r="B2964">
        <v>94</v>
      </c>
      <c r="C2964" t="e">
        <f>-JMDJvTJHJihZucn7tfARF</f>
        <v>#NAME?</v>
      </c>
      <c r="D2964" t="s">
        <v>322</v>
      </c>
      <c r="E2964">
        <v>11.972</v>
      </c>
      <c r="F2964" t="s">
        <v>21</v>
      </c>
      <c r="G2964" t="s">
        <v>20</v>
      </c>
      <c r="H2964" t="s">
        <v>21</v>
      </c>
      <c r="I2964" t="s">
        <v>20</v>
      </c>
      <c r="J2964" t="s">
        <v>20</v>
      </c>
      <c r="K2964" t="s">
        <v>31</v>
      </c>
      <c r="L2964" t="s">
        <v>84</v>
      </c>
      <c r="M2964" t="s">
        <v>24</v>
      </c>
      <c r="N2964">
        <v>40.560819000000002</v>
      </c>
      <c r="O2964">
        <v>-112.031209</v>
      </c>
      <c r="P2964">
        <v>4921.5542969999997</v>
      </c>
      <c r="Q2964">
        <v>6660</v>
      </c>
      <c r="R2964">
        <v>0</v>
      </c>
    </row>
    <row r="2965" spans="1:18" x14ac:dyDescent="0.25">
      <c r="A2965">
        <v>2964</v>
      </c>
      <c r="B2965">
        <v>94</v>
      </c>
      <c r="C2965">
        <v>1524145</v>
      </c>
      <c r="D2965" t="s">
        <v>88</v>
      </c>
      <c r="E2965">
        <v>11.984</v>
      </c>
      <c r="F2965" t="s">
        <v>21</v>
      </c>
      <c r="G2965" t="s">
        <v>26</v>
      </c>
      <c r="H2965" t="s">
        <v>21</v>
      </c>
      <c r="I2965" t="s">
        <v>20</v>
      </c>
      <c r="J2965" t="s">
        <v>20</v>
      </c>
      <c r="K2965" t="s">
        <v>31</v>
      </c>
      <c r="L2965" t="s">
        <v>32</v>
      </c>
      <c r="M2965" t="s">
        <v>90</v>
      </c>
      <c r="N2965">
        <v>40.613193000000003</v>
      </c>
      <c r="O2965">
        <v>-111.87081000000001</v>
      </c>
      <c r="P2965">
        <v>4407.0658960000001</v>
      </c>
      <c r="Q2965">
        <v>318</v>
      </c>
      <c r="R2965">
        <v>0</v>
      </c>
    </row>
    <row r="2966" spans="1:18" x14ac:dyDescent="0.25">
      <c r="A2966">
        <v>2965</v>
      </c>
      <c r="B2966">
        <v>94</v>
      </c>
      <c r="C2966">
        <v>1237016</v>
      </c>
      <c r="D2966" t="s">
        <v>100</v>
      </c>
      <c r="E2966">
        <v>11.988</v>
      </c>
      <c r="F2966" t="s">
        <v>19</v>
      </c>
      <c r="G2966" t="s">
        <v>20</v>
      </c>
      <c r="H2966" t="s">
        <v>19</v>
      </c>
      <c r="I2966">
        <v>79</v>
      </c>
      <c r="J2966" t="s">
        <v>20</v>
      </c>
      <c r="K2966" t="s">
        <v>41</v>
      </c>
      <c r="L2966" t="s">
        <v>57</v>
      </c>
      <c r="M2966" t="s">
        <v>46</v>
      </c>
      <c r="N2966">
        <v>41.197709000000003</v>
      </c>
      <c r="O2966">
        <v>-112.04006699999999</v>
      </c>
      <c r="P2966">
        <v>4259.2484889999996</v>
      </c>
      <c r="Q2966">
        <v>1396</v>
      </c>
      <c r="R2966">
        <v>0</v>
      </c>
    </row>
    <row r="2967" spans="1:18" x14ac:dyDescent="0.25">
      <c r="A2967">
        <v>2966</v>
      </c>
      <c r="B2967">
        <v>94</v>
      </c>
      <c r="C2967">
        <v>31506849</v>
      </c>
      <c r="D2967" t="s">
        <v>292</v>
      </c>
      <c r="E2967">
        <v>11.992000000000001</v>
      </c>
      <c r="F2967" t="s">
        <v>21</v>
      </c>
      <c r="G2967" t="s">
        <v>26</v>
      </c>
      <c r="H2967" t="s">
        <v>21</v>
      </c>
      <c r="I2967" t="s">
        <v>20</v>
      </c>
      <c r="J2967" t="s">
        <v>20</v>
      </c>
      <c r="K2967" t="s">
        <v>22</v>
      </c>
      <c r="L2967" t="s">
        <v>253</v>
      </c>
      <c r="M2967" t="s">
        <v>134</v>
      </c>
      <c r="N2967">
        <v>40.322836000000002</v>
      </c>
      <c r="O2967">
        <v>-110.40135600000001</v>
      </c>
      <c r="P2967">
        <v>6603.8005089999997</v>
      </c>
      <c r="Q2967">
        <v>323</v>
      </c>
      <c r="R2967">
        <v>0</v>
      </c>
    </row>
    <row r="2968" spans="1:18" x14ac:dyDescent="0.25">
      <c r="A2968">
        <v>2967</v>
      </c>
      <c r="B2968">
        <v>94</v>
      </c>
      <c r="C2968">
        <v>31514884</v>
      </c>
      <c r="D2968" t="s">
        <v>132</v>
      </c>
      <c r="E2968">
        <v>11.999000000000001</v>
      </c>
      <c r="F2968" t="s">
        <v>21</v>
      </c>
      <c r="G2968" t="s">
        <v>26</v>
      </c>
      <c r="H2968" t="s">
        <v>21</v>
      </c>
      <c r="I2968" t="s">
        <v>20</v>
      </c>
      <c r="J2968" t="s">
        <v>20</v>
      </c>
      <c r="K2968" t="s">
        <v>22</v>
      </c>
      <c r="L2968" t="s">
        <v>133</v>
      </c>
      <c r="M2968" t="s">
        <v>134</v>
      </c>
      <c r="N2968">
        <v>40.432946999999999</v>
      </c>
      <c r="O2968">
        <v>-109.992175</v>
      </c>
      <c r="P2968">
        <v>5889.1398230000004</v>
      </c>
      <c r="Q2968">
        <v>1405</v>
      </c>
      <c r="R2968">
        <v>0</v>
      </c>
    </row>
    <row r="2969" spans="1:18" x14ac:dyDescent="0.25">
      <c r="A2969">
        <v>2968</v>
      </c>
      <c r="B2969">
        <v>94</v>
      </c>
      <c r="C2969">
        <v>31904913</v>
      </c>
      <c r="D2969" t="s">
        <v>272</v>
      </c>
      <c r="E2969">
        <v>110.05500000000001</v>
      </c>
      <c r="F2969" t="s">
        <v>21</v>
      </c>
      <c r="G2969" t="s">
        <v>26</v>
      </c>
      <c r="H2969" t="s">
        <v>21</v>
      </c>
      <c r="I2969" t="s">
        <v>20</v>
      </c>
      <c r="J2969" t="s">
        <v>20</v>
      </c>
      <c r="K2969" t="s">
        <v>27</v>
      </c>
      <c r="L2969" t="s">
        <v>279</v>
      </c>
      <c r="M2969" t="s">
        <v>214</v>
      </c>
      <c r="N2969">
        <v>37.574475</v>
      </c>
      <c r="O2969">
        <v>-112.47952100000001</v>
      </c>
      <c r="P2969">
        <v>6978.1649530000004</v>
      </c>
      <c r="Q2969">
        <v>1384</v>
      </c>
      <c r="R2969">
        <v>0</v>
      </c>
    </row>
    <row r="2970" spans="1:18" x14ac:dyDescent="0.25">
      <c r="A2970">
        <v>2969</v>
      </c>
      <c r="B2970">
        <v>94</v>
      </c>
      <c r="C2970">
        <v>31794863</v>
      </c>
      <c r="D2970" t="s">
        <v>118</v>
      </c>
      <c r="E2970">
        <v>110.099</v>
      </c>
      <c r="F2970" t="s">
        <v>21</v>
      </c>
      <c r="G2970" t="s">
        <v>20</v>
      </c>
      <c r="H2970" t="s">
        <v>21</v>
      </c>
      <c r="I2970" t="s">
        <v>20</v>
      </c>
      <c r="J2970" t="s">
        <v>20</v>
      </c>
      <c r="K2970" t="s">
        <v>22</v>
      </c>
      <c r="L2970" t="s">
        <v>133</v>
      </c>
      <c r="M2970" t="s">
        <v>169</v>
      </c>
      <c r="N2970">
        <v>40.262988999999997</v>
      </c>
      <c r="O2970">
        <v>-110.050935</v>
      </c>
      <c r="P2970">
        <v>5085.0046840000005</v>
      </c>
      <c r="Q2970">
        <v>310</v>
      </c>
      <c r="R2970">
        <v>0</v>
      </c>
    </row>
    <row r="2971" spans="1:18" x14ac:dyDescent="0.25">
      <c r="A2971">
        <v>2970</v>
      </c>
      <c r="B2971">
        <v>94</v>
      </c>
      <c r="C2971">
        <v>31811090</v>
      </c>
      <c r="D2971" t="s">
        <v>290</v>
      </c>
      <c r="E2971">
        <v>110.107</v>
      </c>
      <c r="F2971" t="s">
        <v>21</v>
      </c>
      <c r="G2971" t="s">
        <v>26</v>
      </c>
      <c r="H2971" t="s">
        <v>21</v>
      </c>
      <c r="I2971" t="s">
        <v>20</v>
      </c>
      <c r="J2971" t="s">
        <v>20</v>
      </c>
      <c r="K2971" t="s">
        <v>41</v>
      </c>
      <c r="L2971" t="s">
        <v>325</v>
      </c>
      <c r="M2971" t="s">
        <v>280</v>
      </c>
      <c r="N2971">
        <v>41.944088000000001</v>
      </c>
      <c r="O2971">
        <v>-111.39345900000001</v>
      </c>
      <c r="P2971">
        <v>5910.8564690000003</v>
      </c>
      <c r="Q2971">
        <v>1343</v>
      </c>
      <c r="R2971">
        <v>0</v>
      </c>
    </row>
    <row r="2972" spans="1:18" x14ac:dyDescent="0.25">
      <c r="A2972">
        <v>2971</v>
      </c>
      <c r="B2972">
        <v>94</v>
      </c>
      <c r="C2972" t="e">
        <f>-JRuh-b7FbTXTpxEf69O-k</f>
        <v>#NAME?</v>
      </c>
      <c r="D2972" t="s">
        <v>288</v>
      </c>
      <c r="E2972">
        <v>110.154</v>
      </c>
      <c r="F2972" t="s">
        <v>21</v>
      </c>
      <c r="G2972" t="s">
        <v>26</v>
      </c>
      <c r="H2972" t="s">
        <v>21</v>
      </c>
      <c r="I2972" t="s">
        <v>20</v>
      </c>
      <c r="J2972" t="s">
        <v>20</v>
      </c>
      <c r="K2972" t="s">
        <v>27</v>
      </c>
      <c r="L2972" t="s">
        <v>38</v>
      </c>
      <c r="M2972" t="s">
        <v>152</v>
      </c>
      <c r="N2972">
        <v>38.389946999999999</v>
      </c>
      <c r="O2972">
        <v>-109.455277</v>
      </c>
      <c r="P2972">
        <v>4997.6573779999999</v>
      </c>
      <c r="Q2972">
        <v>350</v>
      </c>
      <c r="R2972">
        <v>0</v>
      </c>
    </row>
    <row r="2973" spans="1:18" x14ac:dyDescent="0.25">
      <c r="A2973">
        <v>2972</v>
      </c>
      <c r="B2973">
        <v>94</v>
      </c>
      <c r="C2973">
        <v>31811101</v>
      </c>
      <c r="D2973" t="s">
        <v>290</v>
      </c>
      <c r="E2973">
        <v>110.23699999999999</v>
      </c>
      <c r="F2973" t="s">
        <v>21</v>
      </c>
      <c r="G2973" t="s">
        <v>26</v>
      </c>
      <c r="H2973" t="s">
        <v>21</v>
      </c>
      <c r="I2973" t="s">
        <v>20</v>
      </c>
      <c r="J2973" t="s">
        <v>20</v>
      </c>
      <c r="K2973" t="s">
        <v>41</v>
      </c>
      <c r="L2973" t="s">
        <v>325</v>
      </c>
      <c r="M2973" t="s">
        <v>280</v>
      </c>
      <c r="N2973">
        <v>41.942191000000001</v>
      </c>
      <c r="O2973">
        <v>-111.393497</v>
      </c>
      <c r="P2973">
        <v>5906.4409900000001</v>
      </c>
      <c r="Q2973">
        <v>1343</v>
      </c>
      <c r="R2973">
        <v>0</v>
      </c>
    </row>
    <row r="2974" spans="1:18" x14ac:dyDescent="0.25">
      <c r="A2974">
        <v>2973</v>
      </c>
      <c r="B2974">
        <v>94</v>
      </c>
      <c r="C2974">
        <v>31811862</v>
      </c>
      <c r="D2974" t="s">
        <v>290</v>
      </c>
      <c r="E2974">
        <v>110.366</v>
      </c>
      <c r="F2974" t="s">
        <v>21</v>
      </c>
      <c r="G2974" t="s">
        <v>26</v>
      </c>
      <c r="H2974" t="s">
        <v>21</v>
      </c>
      <c r="I2974" t="s">
        <v>20</v>
      </c>
      <c r="J2974" t="s">
        <v>20</v>
      </c>
      <c r="K2974" t="s">
        <v>41</v>
      </c>
      <c r="L2974" t="s">
        <v>325</v>
      </c>
      <c r="M2974" t="s">
        <v>280</v>
      </c>
      <c r="N2974">
        <v>41.940319000000002</v>
      </c>
      <c r="O2974">
        <v>-111.393535</v>
      </c>
      <c r="P2974">
        <v>5905.7810410000002</v>
      </c>
      <c r="Q2974">
        <v>1343</v>
      </c>
      <c r="R2974">
        <v>0</v>
      </c>
    </row>
    <row r="2975" spans="1:18" x14ac:dyDescent="0.25">
      <c r="A2975">
        <v>2974</v>
      </c>
      <c r="B2975">
        <v>94</v>
      </c>
      <c r="C2975" t="e">
        <f>-Ip-YiAlFb95CuzuqPqPJk</f>
        <v>#NAME?</v>
      </c>
      <c r="D2975" t="s">
        <v>118</v>
      </c>
      <c r="E2975">
        <v>110.432</v>
      </c>
      <c r="F2975" t="s">
        <v>21</v>
      </c>
      <c r="G2975" t="s">
        <v>26</v>
      </c>
      <c r="H2975" t="s">
        <v>21</v>
      </c>
      <c r="I2975" t="s">
        <v>20</v>
      </c>
      <c r="J2975" t="s">
        <v>20</v>
      </c>
      <c r="K2975" t="s">
        <v>22</v>
      </c>
      <c r="L2975" t="s">
        <v>133</v>
      </c>
      <c r="M2975" t="s">
        <v>169</v>
      </c>
      <c r="N2975">
        <v>40.265607000000003</v>
      </c>
      <c r="O2975">
        <v>-110.045646</v>
      </c>
      <c r="P2975">
        <v>5070.1163280000001</v>
      </c>
      <c r="Q2975">
        <v>310</v>
      </c>
      <c r="R2975">
        <v>0</v>
      </c>
    </row>
    <row r="2976" spans="1:18" x14ac:dyDescent="0.25">
      <c r="A2976">
        <v>2975</v>
      </c>
      <c r="B2976">
        <v>94</v>
      </c>
      <c r="C2976">
        <v>31439422</v>
      </c>
      <c r="D2976" t="s">
        <v>288</v>
      </c>
      <c r="E2976">
        <v>110.449</v>
      </c>
      <c r="F2976" t="s">
        <v>21</v>
      </c>
      <c r="G2976" t="s">
        <v>26</v>
      </c>
      <c r="H2976" t="s">
        <v>21</v>
      </c>
      <c r="I2976" t="s">
        <v>20</v>
      </c>
      <c r="J2976" t="s">
        <v>20</v>
      </c>
      <c r="K2976" t="s">
        <v>27</v>
      </c>
      <c r="L2976" t="s">
        <v>38</v>
      </c>
      <c r="M2976" t="s">
        <v>152</v>
      </c>
      <c r="N2976">
        <v>38.393793000000002</v>
      </c>
      <c r="O2976">
        <v>-109.453025</v>
      </c>
      <c r="P2976">
        <v>5046.1073409999999</v>
      </c>
      <c r="Q2976">
        <v>350</v>
      </c>
      <c r="R2976">
        <v>0</v>
      </c>
    </row>
    <row r="2977" spans="1:18" x14ac:dyDescent="0.25">
      <c r="A2977">
        <v>2976</v>
      </c>
      <c r="B2977">
        <v>94</v>
      </c>
      <c r="C2977">
        <v>31811873</v>
      </c>
      <c r="D2977" t="s">
        <v>290</v>
      </c>
      <c r="E2977">
        <v>110.45</v>
      </c>
      <c r="F2977" t="s">
        <v>21</v>
      </c>
      <c r="G2977" t="s">
        <v>20</v>
      </c>
      <c r="H2977" t="s">
        <v>21</v>
      </c>
      <c r="I2977" t="s">
        <v>20</v>
      </c>
      <c r="J2977" t="s">
        <v>20</v>
      </c>
      <c r="K2977" t="s">
        <v>41</v>
      </c>
      <c r="L2977" t="s">
        <v>325</v>
      </c>
      <c r="M2977" t="s">
        <v>280</v>
      </c>
      <c r="N2977">
        <v>41.939112999999999</v>
      </c>
      <c r="O2977">
        <v>-111.393556</v>
      </c>
      <c r="P2977">
        <v>5902.9386039999999</v>
      </c>
      <c r="Q2977">
        <v>1343</v>
      </c>
      <c r="R2977">
        <v>0</v>
      </c>
    </row>
    <row r="2978" spans="1:18" x14ac:dyDescent="0.25">
      <c r="A2978">
        <v>2977</v>
      </c>
      <c r="B2978">
        <v>94</v>
      </c>
      <c r="C2978">
        <v>31794874</v>
      </c>
      <c r="D2978" t="s">
        <v>118</v>
      </c>
      <c r="E2978">
        <v>110.486</v>
      </c>
      <c r="F2978" t="s">
        <v>21</v>
      </c>
      <c r="G2978" t="s">
        <v>26</v>
      </c>
      <c r="H2978" t="s">
        <v>21</v>
      </c>
      <c r="I2978" t="s">
        <v>20</v>
      </c>
      <c r="J2978" t="s">
        <v>20</v>
      </c>
      <c r="K2978" t="s">
        <v>22</v>
      </c>
      <c r="L2978" t="s">
        <v>133</v>
      </c>
      <c r="M2978" t="s">
        <v>169</v>
      </c>
      <c r="N2978">
        <v>40.266024000000002</v>
      </c>
      <c r="O2978">
        <v>-110.044792</v>
      </c>
      <c r="P2978">
        <v>5065.7625939999998</v>
      </c>
      <c r="Q2978">
        <v>310</v>
      </c>
      <c r="R2978">
        <v>0</v>
      </c>
    </row>
    <row r="2979" spans="1:18" x14ac:dyDescent="0.25">
      <c r="A2979">
        <v>2978</v>
      </c>
      <c r="B2979">
        <v>94</v>
      </c>
      <c r="C2979">
        <v>31811884</v>
      </c>
      <c r="D2979" t="s">
        <v>290</v>
      </c>
      <c r="E2979">
        <v>110.489</v>
      </c>
      <c r="F2979" t="s">
        <v>21</v>
      </c>
      <c r="G2979" t="s">
        <v>20</v>
      </c>
      <c r="H2979" t="s">
        <v>21</v>
      </c>
      <c r="I2979" t="s">
        <v>20</v>
      </c>
      <c r="J2979" t="s">
        <v>20</v>
      </c>
      <c r="K2979" t="s">
        <v>41</v>
      </c>
      <c r="L2979" t="s">
        <v>325</v>
      </c>
      <c r="M2979" t="s">
        <v>280</v>
      </c>
      <c r="N2979">
        <v>41.938541000000001</v>
      </c>
      <c r="O2979">
        <v>-111.393567</v>
      </c>
      <c r="P2979">
        <v>5899.6098330000004</v>
      </c>
      <c r="Q2979">
        <v>1343</v>
      </c>
      <c r="R2979">
        <v>0</v>
      </c>
    </row>
    <row r="2980" spans="1:18" x14ac:dyDescent="0.25">
      <c r="A2980">
        <v>2979</v>
      </c>
      <c r="B2980">
        <v>94</v>
      </c>
      <c r="C2980">
        <v>31811895</v>
      </c>
      <c r="D2980" t="s">
        <v>290</v>
      </c>
      <c r="E2980">
        <v>110.547</v>
      </c>
      <c r="F2980" t="s">
        <v>21</v>
      </c>
      <c r="G2980" t="s">
        <v>20</v>
      </c>
      <c r="H2980" t="s">
        <v>21</v>
      </c>
      <c r="I2980" t="s">
        <v>20</v>
      </c>
      <c r="J2980" t="s">
        <v>20</v>
      </c>
      <c r="K2980" t="s">
        <v>41</v>
      </c>
      <c r="L2980" t="s">
        <v>325</v>
      </c>
      <c r="M2980" t="s">
        <v>280</v>
      </c>
      <c r="N2980">
        <v>41.937691000000001</v>
      </c>
      <c r="O2980">
        <v>-111.393584</v>
      </c>
      <c r="P2980">
        <v>5895.1168729999999</v>
      </c>
      <c r="Q2980">
        <v>1343</v>
      </c>
      <c r="R2980">
        <v>0</v>
      </c>
    </row>
    <row r="2981" spans="1:18" x14ac:dyDescent="0.25">
      <c r="A2981">
        <v>2980</v>
      </c>
      <c r="B2981">
        <v>94</v>
      </c>
      <c r="C2981">
        <v>31812906</v>
      </c>
      <c r="D2981" t="s">
        <v>290</v>
      </c>
      <c r="E2981">
        <v>110.755</v>
      </c>
      <c r="F2981" t="s">
        <v>21</v>
      </c>
      <c r="G2981" t="s">
        <v>26</v>
      </c>
      <c r="H2981" t="s">
        <v>21</v>
      </c>
      <c r="I2981" t="s">
        <v>20</v>
      </c>
      <c r="J2981" t="s">
        <v>20</v>
      </c>
      <c r="K2981" t="s">
        <v>41</v>
      </c>
      <c r="L2981" t="s">
        <v>325</v>
      </c>
      <c r="M2981" t="s">
        <v>280</v>
      </c>
      <c r="N2981">
        <v>41.934733999999999</v>
      </c>
      <c r="O2981">
        <v>-111.39418999999999</v>
      </c>
      <c r="P2981">
        <v>5891.4838449999997</v>
      </c>
      <c r="Q2981">
        <v>1343</v>
      </c>
      <c r="R2981">
        <v>0</v>
      </c>
    </row>
    <row r="2982" spans="1:18" x14ac:dyDescent="0.25">
      <c r="A2982">
        <v>2981</v>
      </c>
      <c r="B2982">
        <v>94</v>
      </c>
      <c r="C2982">
        <v>31549983</v>
      </c>
      <c r="D2982" t="s">
        <v>348</v>
      </c>
      <c r="E2982">
        <v>110.809</v>
      </c>
      <c r="F2982" t="s">
        <v>21</v>
      </c>
      <c r="G2982" t="s">
        <v>26</v>
      </c>
      <c r="H2982" t="s">
        <v>21</v>
      </c>
      <c r="I2982" t="s">
        <v>20</v>
      </c>
      <c r="J2982" t="s">
        <v>20</v>
      </c>
      <c r="K2982" t="s">
        <v>27</v>
      </c>
      <c r="L2982" t="s">
        <v>327</v>
      </c>
      <c r="M2982" t="s">
        <v>123</v>
      </c>
      <c r="N2982">
        <v>37.521937999999999</v>
      </c>
      <c r="O2982">
        <v>-109.632378</v>
      </c>
      <c r="P2982">
        <v>5126.9419619999999</v>
      </c>
      <c r="Q2982">
        <v>1388</v>
      </c>
      <c r="R2982">
        <v>0</v>
      </c>
    </row>
    <row r="2983" spans="1:18" x14ac:dyDescent="0.25">
      <c r="A2983">
        <v>2982</v>
      </c>
      <c r="B2983">
        <v>94</v>
      </c>
      <c r="C2983">
        <v>31904935</v>
      </c>
      <c r="D2983" t="s">
        <v>272</v>
      </c>
      <c r="E2983">
        <v>110.964</v>
      </c>
      <c r="F2983" t="s">
        <v>21</v>
      </c>
      <c r="G2983" t="s">
        <v>20</v>
      </c>
      <c r="H2983" t="s">
        <v>21</v>
      </c>
      <c r="I2983" t="s">
        <v>20</v>
      </c>
      <c r="J2983" t="s">
        <v>20</v>
      </c>
      <c r="K2983" t="s">
        <v>27</v>
      </c>
      <c r="L2983" t="s">
        <v>279</v>
      </c>
      <c r="M2983" t="s">
        <v>214</v>
      </c>
      <c r="N2983">
        <v>37.587319999999998</v>
      </c>
      <c r="O2983">
        <v>-112.475859</v>
      </c>
      <c r="P2983">
        <v>6936.6481560000002</v>
      </c>
      <c r="Q2983">
        <v>1384</v>
      </c>
      <c r="R2983">
        <v>0</v>
      </c>
    </row>
    <row r="2984" spans="1:18" x14ac:dyDescent="0.25">
      <c r="A2984">
        <v>2983</v>
      </c>
      <c r="B2984">
        <v>94</v>
      </c>
      <c r="C2984">
        <v>31812917</v>
      </c>
      <c r="D2984" t="s">
        <v>290</v>
      </c>
      <c r="E2984">
        <v>111.148</v>
      </c>
      <c r="F2984" t="s">
        <v>21</v>
      </c>
      <c r="G2984" t="s">
        <v>26</v>
      </c>
      <c r="H2984" t="s">
        <v>21</v>
      </c>
      <c r="I2984" t="s">
        <v>20</v>
      </c>
      <c r="J2984" t="s">
        <v>20</v>
      </c>
      <c r="K2984" t="s">
        <v>41</v>
      </c>
      <c r="L2984" t="s">
        <v>325</v>
      </c>
      <c r="M2984" t="s">
        <v>280</v>
      </c>
      <c r="N2984">
        <v>41.929296000000001</v>
      </c>
      <c r="O2984">
        <v>-111.396461</v>
      </c>
      <c r="P2984">
        <v>5890.4600300000002</v>
      </c>
      <c r="Q2984">
        <v>1343</v>
      </c>
      <c r="R2984">
        <v>0</v>
      </c>
    </row>
    <row r="2985" spans="1:18" x14ac:dyDescent="0.25">
      <c r="A2985">
        <v>2984</v>
      </c>
      <c r="B2985">
        <v>94</v>
      </c>
      <c r="C2985">
        <v>31194232</v>
      </c>
      <c r="D2985" t="s">
        <v>309</v>
      </c>
      <c r="E2985">
        <v>11.554</v>
      </c>
      <c r="F2985" t="s">
        <v>21</v>
      </c>
      <c r="G2985" t="s">
        <v>26</v>
      </c>
      <c r="H2985" t="s">
        <v>21</v>
      </c>
      <c r="I2985" t="s">
        <v>20</v>
      </c>
      <c r="J2985" t="s">
        <v>20</v>
      </c>
      <c r="K2985" t="s">
        <v>22</v>
      </c>
      <c r="L2985" t="s">
        <v>140</v>
      </c>
      <c r="M2985" t="s">
        <v>125</v>
      </c>
      <c r="N2985">
        <v>40.115440999999997</v>
      </c>
      <c r="O2985">
        <v>-111.66524800000001</v>
      </c>
      <c r="P2985">
        <v>4509.7096899999997</v>
      </c>
      <c r="Q2985">
        <v>339</v>
      </c>
      <c r="R2985">
        <v>0</v>
      </c>
    </row>
    <row r="2986" spans="1:18" x14ac:dyDescent="0.25">
      <c r="A2986">
        <v>2985</v>
      </c>
      <c r="B2986">
        <v>94</v>
      </c>
      <c r="C2986">
        <v>31408151</v>
      </c>
      <c r="D2986" t="s">
        <v>30</v>
      </c>
      <c r="E2986">
        <v>11.558</v>
      </c>
      <c r="F2986" t="s">
        <v>21</v>
      </c>
      <c r="G2986" t="s">
        <v>26</v>
      </c>
      <c r="H2986" t="s">
        <v>21</v>
      </c>
      <c r="I2986" t="s">
        <v>20</v>
      </c>
      <c r="J2986" t="s">
        <v>20</v>
      </c>
      <c r="K2986" t="s">
        <v>31</v>
      </c>
      <c r="L2986" t="s">
        <v>32</v>
      </c>
      <c r="M2986" t="s">
        <v>33</v>
      </c>
      <c r="N2986">
        <v>40.589010000000002</v>
      </c>
      <c r="O2986">
        <v>-111.644678</v>
      </c>
      <c r="P2986">
        <v>8476.5865219999996</v>
      </c>
      <c r="Q2986">
        <v>415</v>
      </c>
      <c r="R2986">
        <v>0</v>
      </c>
    </row>
    <row r="2987" spans="1:18" x14ac:dyDescent="0.25">
      <c r="A2987">
        <v>2986</v>
      </c>
      <c r="B2987">
        <v>94</v>
      </c>
      <c r="C2987">
        <v>31606211</v>
      </c>
      <c r="D2987" t="s">
        <v>145</v>
      </c>
      <c r="E2987">
        <v>11.56</v>
      </c>
      <c r="F2987" t="s">
        <v>21</v>
      </c>
      <c r="G2987" t="s">
        <v>26</v>
      </c>
      <c r="H2987" t="s">
        <v>21</v>
      </c>
      <c r="I2987" t="s">
        <v>20</v>
      </c>
      <c r="J2987" t="s">
        <v>20</v>
      </c>
      <c r="K2987" t="s">
        <v>27</v>
      </c>
      <c r="L2987" t="s">
        <v>146</v>
      </c>
      <c r="M2987" t="s">
        <v>147</v>
      </c>
      <c r="N2987">
        <v>37.843516000000001</v>
      </c>
      <c r="O2987">
        <v>-109.136106</v>
      </c>
      <c r="P2987">
        <v>6740.0060489999996</v>
      </c>
      <c r="Q2987">
        <v>1291</v>
      </c>
      <c r="R2987">
        <v>0</v>
      </c>
    </row>
    <row r="2988" spans="1:18" x14ac:dyDescent="0.25">
      <c r="A2988">
        <v>2987</v>
      </c>
      <c r="B2988">
        <v>94</v>
      </c>
      <c r="C2988" t="s">
        <v>534</v>
      </c>
      <c r="D2988" t="s">
        <v>126</v>
      </c>
      <c r="E2988">
        <v>11.56</v>
      </c>
      <c r="F2988" t="s">
        <v>21</v>
      </c>
      <c r="G2988" t="s">
        <v>26</v>
      </c>
      <c r="H2988" t="s">
        <v>21</v>
      </c>
      <c r="I2988" t="s">
        <v>20</v>
      </c>
      <c r="J2988" t="s">
        <v>20</v>
      </c>
      <c r="K2988" t="s">
        <v>41</v>
      </c>
      <c r="L2988" t="s">
        <v>57</v>
      </c>
      <c r="M2988" t="s">
        <v>93</v>
      </c>
      <c r="N2988">
        <v>41.306696000000002</v>
      </c>
      <c r="O2988">
        <v>-112.021564</v>
      </c>
      <c r="P2988">
        <v>4220.1270119999999</v>
      </c>
      <c r="Q2988">
        <v>1412</v>
      </c>
      <c r="R2988">
        <v>0</v>
      </c>
    </row>
    <row r="2989" spans="1:18" x14ac:dyDescent="0.25">
      <c r="A2989">
        <v>2988</v>
      </c>
      <c r="B2989">
        <v>94</v>
      </c>
      <c r="C2989" t="e">
        <f>-JP64DaqIxLlSoZcUpLALk</f>
        <v>#NAME?</v>
      </c>
      <c r="D2989" t="s">
        <v>208</v>
      </c>
      <c r="E2989">
        <v>11.567</v>
      </c>
      <c r="F2989" t="s">
        <v>21</v>
      </c>
      <c r="G2989" t="s">
        <v>26</v>
      </c>
      <c r="H2989" t="s">
        <v>21</v>
      </c>
      <c r="I2989" t="s">
        <v>20</v>
      </c>
      <c r="J2989" t="s">
        <v>20</v>
      </c>
      <c r="K2989" t="s">
        <v>31</v>
      </c>
      <c r="L2989" t="s">
        <v>209</v>
      </c>
      <c r="M2989" t="s">
        <v>131</v>
      </c>
      <c r="N2989">
        <v>40.727544999999999</v>
      </c>
      <c r="O2989">
        <v>-111.543104</v>
      </c>
      <c r="P2989">
        <v>6348.5105780000004</v>
      </c>
      <c r="Q2989">
        <v>357</v>
      </c>
      <c r="R2989">
        <v>0</v>
      </c>
    </row>
    <row r="2990" spans="1:18" x14ac:dyDescent="0.25">
      <c r="A2990">
        <v>2989</v>
      </c>
      <c r="B2990">
        <v>94</v>
      </c>
      <c r="C2990">
        <v>31193310</v>
      </c>
      <c r="D2990" t="s">
        <v>310</v>
      </c>
      <c r="E2990">
        <v>11.574999999999999</v>
      </c>
      <c r="F2990" t="s">
        <v>21</v>
      </c>
      <c r="G2990" t="s">
        <v>26</v>
      </c>
      <c r="H2990" t="s">
        <v>21</v>
      </c>
      <c r="I2990" t="s">
        <v>20</v>
      </c>
      <c r="J2990" t="s">
        <v>20</v>
      </c>
      <c r="K2990" t="s">
        <v>31</v>
      </c>
      <c r="L2990" t="s">
        <v>285</v>
      </c>
      <c r="M2990" t="s">
        <v>206</v>
      </c>
      <c r="N2990">
        <v>40.599651999999999</v>
      </c>
      <c r="O2990">
        <v>-112.438018</v>
      </c>
      <c r="P2990">
        <v>4233.0424169999997</v>
      </c>
      <c r="Q2990">
        <v>1414</v>
      </c>
      <c r="R2990">
        <v>0</v>
      </c>
    </row>
    <row r="2991" spans="1:18" x14ac:dyDescent="0.25">
      <c r="A2991">
        <v>2990</v>
      </c>
      <c r="B2991">
        <v>94</v>
      </c>
      <c r="C2991" t="e">
        <f>-Ip5UdgnHu9xuDg7pzXrwV</f>
        <v>#NAME?</v>
      </c>
      <c r="D2991" t="s">
        <v>208</v>
      </c>
      <c r="E2991">
        <v>11.590999999999999</v>
      </c>
      <c r="F2991" t="s">
        <v>21</v>
      </c>
      <c r="G2991" t="s">
        <v>26</v>
      </c>
      <c r="H2991" t="s">
        <v>21</v>
      </c>
      <c r="I2991" t="s">
        <v>20</v>
      </c>
      <c r="J2991" t="s">
        <v>20</v>
      </c>
      <c r="K2991" t="s">
        <v>31</v>
      </c>
      <c r="L2991" t="s">
        <v>209</v>
      </c>
      <c r="M2991" t="s">
        <v>131</v>
      </c>
      <c r="N2991">
        <v>40.727967999999997</v>
      </c>
      <c r="O2991">
        <v>-111.54286500000001</v>
      </c>
      <c r="P2991">
        <v>6348.2455369999998</v>
      </c>
      <c r="Q2991">
        <v>357</v>
      </c>
      <c r="R2991">
        <v>0</v>
      </c>
    </row>
    <row r="2992" spans="1:18" x14ac:dyDescent="0.25">
      <c r="A2992">
        <v>2991</v>
      </c>
      <c r="B2992">
        <v>94</v>
      </c>
      <c r="C2992">
        <v>31506838</v>
      </c>
      <c r="D2992" t="s">
        <v>292</v>
      </c>
      <c r="E2992">
        <v>11.599</v>
      </c>
      <c r="F2992" t="s">
        <v>21</v>
      </c>
      <c r="G2992" t="s">
        <v>20</v>
      </c>
      <c r="H2992" t="s">
        <v>21</v>
      </c>
      <c r="I2992" t="s">
        <v>20</v>
      </c>
      <c r="J2992" t="s">
        <v>20</v>
      </c>
      <c r="K2992" t="s">
        <v>22</v>
      </c>
      <c r="L2992" t="s">
        <v>253</v>
      </c>
      <c r="M2992" t="s">
        <v>134</v>
      </c>
      <c r="N2992">
        <v>40.319465999999998</v>
      </c>
      <c r="O2992">
        <v>-110.395399</v>
      </c>
      <c r="P2992">
        <v>6580.9448560000001</v>
      </c>
      <c r="Q2992">
        <v>323</v>
      </c>
      <c r="R2992">
        <v>0</v>
      </c>
    </row>
    <row r="2993" spans="1:18" x14ac:dyDescent="0.25">
      <c r="A2993">
        <v>2992</v>
      </c>
      <c r="B2993">
        <v>94</v>
      </c>
      <c r="C2993">
        <v>1698188</v>
      </c>
      <c r="D2993" t="s">
        <v>100</v>
      </c>
      <c r="E2993">
        <v>11.601000000000001</v>
      </c>
      <c r="F2993" t="s">
        <v>21</v>
      </c>
      <c r="G2993" t="s">
        <v>26</v>
      </c>
      <c r="H2993" t="s">
        <v>21</v>
      </c>
      <c r="I2993" t="s">
        <v>20</v>
      </c>
      <c r="J2993" t="s">
        <v>20</v>
      </c>
      <c r="K2993" t="s">
        <v>41</v>
      </c>
      <c r="L2993" t="s">
        <v>57</v>
      </c>
      <c r="M2993" t="s">
        <v>46</v>
      </c>
      <c r="N2993">
        <v>41.193623000000002</v>
      </c>
      <c r="O2993">
        <v>-112.045188</v>
      </c>
      <c r="P2993">
        <v>4256.9869500000004</v>
      </c>
      <c r="Q2993">
        <v>1396</v>
      </c>
      <c r="R2993">
        <v>0</v>
      </c>
    </row>
    <row r="2994" spans="1:18" x14ac:dyDescent="0.25">
      <c r="A2994">
        <v>2993</v>
      </c>
      <c r="B2994">
        <v>94</v>
      </c>
      <c r="C2994">
        <v>31303666</v>
      </c>
      <c r="D2994" t="s">
        <v>203</v>
      </c>
      <c r="E2994">
        <v>11.608000000000001</v>
      </c>
      <c r="F2994" t="s">
        <v>21</v>
      </c>
      <c r="G2994" t="s">
        <v>26</v>
      </c>
      <c r="H2994" t="s">
        <v>21</v>
      </c>
      <c r="I2994" t="s">
        <v>20</v>
      </c>
      <c r="J2994" t="s">
        <v>20</v>
      </c>
      <c r="K2994" t="s">
        <v>41</v>
      </c>
      <c r="L2994" t="s">
        <v>255</v>
      </c>
      <c r="M2994" t="s">
        <v>204</v>
      </c>
      <c r="N2994">
        <v>41.251708999999998</v>
      </c>
      <c r="O2994">
        <v>-111.880365</v>
      </c>
      <c r="P2994">
        <v>4676.6067240000002</v>
      </c>
      <c r="Q2994">
        <v>1349</v>
      </c>
      <c r="R2994">
        <v>0</v>
      </c>
    </row>
    <row r="2995" spans="1:18" x14ac:dyDescent="0.25">
      <c r="A2995">
        <v>2994</v>
      </c>
      <c r="B2995">
        <v>94</v>
      </c>
      <c r="C2995">
        <v>31530313</v>
      </c>
      <c r="D2995" t="s">
        <v>231</v>
      </c>
      <c r="E2995">
        <v>11.61</v>
      </c>
      <c r="F2995" t="s">
        <v>21</v>
      </c>
      <c r="G2995" t="s">
        <v>26</v>
      </c>
      <c r="H2995" t="s">
        <v>21</v>
      </c>
      <c r="I2995" t="s">
        <v>20</v>
      </c>
      <c r="J2995" t="s">
        <v>20</v>
      </c>
      <c r="K2995" t="s">
        <v>41</v>
      </c>
      <c r="L2995" t="s">
        <v>57</v>
      </c>
      <c r="M2995" t="s">
        <v>93</v>
      </c>
      <c r="N2995">
        <v>41.203445000000002</v>
      </c>
      <c r="O2995">
        <v>-112.025819</v>
      </c>
      <c r="P2995">
        <v>4286.5037140000004</v>
      </c>
      <c r="Q2995">
        <v>1409</v>
      </c>
      <c r="R2995">
        <v>0</v>
      </c>
    </row>
    <row r="2996" spans="1:18" x14ac:dyDescent="0.25">
      <c r="A2996">
        <v>2995</v>
      </c>
      <c r="B2996">
        <v>94</v>
      </c>
      <c r="C2996" t="s">
        <v>535</v>
      </c>
      <c r="D2996" t="s">
        <v>336</v>
      </c>
      <c r="E2996">
        <v>11.61</v>
      </c>
      <c r="F2996" t="s">
        <v>21</v>
      </c>
      <c r="G2996" t="s">
        <v>20</v>
      </c>
      <c r="H2996" t="s">
        <v>21</v>
      </c>
      <c r="I2996" t="s">
        <v>20</v>
      </c>
      <c r="J2996" t="s">
        <v>20</v>
      </c>
      <c r="K2996" t="s">
        <v>31</v>
      </c>
      <c r="L2996" t="s">
        <v>32</v>
      </c>
      <c r="M2996" t="s">
        <v>33</v>
      </c>
      <c r="N2996">
        <v>40.642999000000003</v>
      </c>
      <c r="O2996">
        <v>-111.63693000000001</v>
      </c>
      <c r="P2996">
        <v>7313.0602669999998</v>
      </c>
      <c r="Q2996">
        <v>404</v>
      </c>
      <c r="R2996">
        <v>0</v>
      </c>
    </row>
    <row r="2997" spans="1:18" x14ac:dyDescent="0.25">
      <c r="A2997">
        <v>2996</v>
      </c>
      <c r="B2997">
        <v>94</v>
      </c>
      <c r="C2997">
        <v>31194243</v>
      </c>
      <c r="D2997" t="s">
        <v>309</v>
      </c>
      <c r="E2997">
        <v>11.614000000000001</v>
      </c>
      <c r="F2997" t="s">
        <v>21</v>
      </c>
      <c r="G2997" t="s">
        <v>26</v>
      </c>
      <c r="H2997" t="s">
        <v>21</v>
      </c>
      <c r="I2997" t="s">
        <v>20</v>
      </c>
      <c r="J2997" t="s">
        <v>20</v>
      </c>
      <c r="K2997" t="s">
        <v>22</v>
      </c>
      <c r="L2997" t="s">
        <v>140</v>
      </c>
      <c r="M2997" t="s">
        <v>125</v>
      </c>
      <c r="N2997">
        <v>40.115433000000003</v>
      </c>
      <c r="O2997">
        <v>-111.664092</v>
      </c>
      <c r="P2997">
        <v>4509.6924740000004</v>
      </c>
      <c r="Q2997">
        <v>339</v>
      </c>
      <c r="R2997">
        <v>0</v>
      </c>
    </row>
    <row r="2998" spans="1:18" x14ac:dyDescent="0.25">
      <c r="A2998">
        <v>2997</v>
      </c>
      <c r="B2998">
        <v>94</v>
      </c>
      <c r="C2998">
        <v>1072165</v>
      </c>
      <c r="D2998" t="s">
        <v>171</v>
      </c>
      <c r="E2998">
        <v>11.62</v>
      </c>
      <c r="F2998" t="s">
        <v>19</v>
      </c>
      <c r="G2998" t="s">
        <v>20</v>
      </c>
      <c r="H2998" t="s">
        <v>19</v>
      </c>
      <c r="I2998">
        <v>71</v>
      </c>
      <c r="J2998" t="s">
        <v>20</v>
      </c>
      <c r="K2998" t="s">
        <v>31</v>
      </c>
      <c r="L2998" t="s">
        <v>69</v>
      </c>
      <c r="M2998" t="s">
        <v>79</v>
      </c>
      <c r="N2998">
        <v>40.69988</v>
      </c>
      <c r="O2998">
        <v>-111.871337</v>
      </c>
      <c r="P2998">
        <v>4218.0202010000003</v>
      </c>
      <c r="Q2998">
        <v>346</v>
      </c>
      <c r="R2998">
        <v>0</v>
      </c>
    </row>
    <row r="2999" spans="1:18" x14ac:dyDescent="0.25">
      <c r="A2999">
        <v>2998</v>
      </c>
      <c r="B2999">
        <v>94</v>
      </c>
      <c r="C2999">
        <v>1519459</v>
      </c>
      <c r="D2999" t="s">
        <v>88</v>
      </c>
      <c r="E2999">
        <v>11.631</v>
      </c>
      <c r="F2999" t="s">
        <v>21</v>
      </c>
      <c r="G2999" t="s">
        <v>26</v>
      </c>
      <c r="H2999" t="s">
        <v>21</v>
      </c>
      <c r="I2999" t="s">
        <v>20</v>
      </c>
      <c r="J2999" t="s">
        <v>20</v>
      </c>
      <c r="K2999" t="s">
        <v>31</v>
      </c>
      <c r="L2999" t="s">
        <v>32</v>
      </c>
      <c r="M2999" t="s">
        <v>90</v>
      </c>
      <c r="N2999">
        <v>40.608383000000003</v>
      </c>
      <c r="O2999">
        <v>-111.872204</v>
      </c>
      <c r="P2999">
        <v>4424.3113350000003</v>
      </c>
      <c r="Q2999">
        <v>318</v>
      </c>
      <c r="R2999">
        <v>0</v>
      </c>
    </row>
    <row r="3000" spans="1:18" x14ac:dyDescent="0.25">
      <c r="A3000">
        <v>2999</v>
      </c>
      <c r="B3000">
        <v>94</v>
      </c>
      <c r="C3000">
        <v>31282504</v>
      </c>
      <c r="D3000" t="s">
        <v>347</v>
      </c>
      <c r="E3000">
        <v>11.638</v>
      </c>
      <c r="F3000" t="s">
        <v>21</v>
      </c>
      <c r="G3000" t="s">
        <v>26</v>
      </c>
      <c r="H3000" t="s">
        <v>21</v>
      </c>
      <c r="I3000" t="s">
        <v>20</v>
      </c>
      <c r="J3000" t="s">
        <v>20</v>
      </c>
      <c r="K3000" t="s">
        <v>41</v>
      </c>
      <c r="L3000" t="s">
        <v>325</v>
      </c>
      <c r="M3000" t="s">
        <v>204</v>
      </c>
      <c r="N3000">
        <v>41.539842999999998</v>
      </c>
      <c r="O3000">
        <v>-111.160206</v>
      </c>
      <c r="P3000">
        <v>6274.3211209999999</v>
      </c>
      <c r="Q3000">
        <v>1334</v>
      </c>
      <c r="R3000">
        <v>0</v>
      </c>
    </row>
    <row r="3001" spans="1:18" x14ac:dyDescent="0.25">
      <c r="A3001">
        <v>3000</v>
      </c>
      <c r="B3001">
        <v>94</v>
      </c>
      <c r="C3001">
        <v>31459834</v>
      </c>
      <c r="D3001" t="s">
        <v>254</v>
      </c>
      <c r="E3001">
        <v>11.641999999999999</v>
      </c>
      <c r="F3001" t="s">
        <v>21</v>
      </c>
      <c r="G3001" t="s">
        <v>20</v>
      </c>
      <c r="H3001" t="s">
        <v>21</v>
      </c>
      <c r="I3001" t="s">
        <v>20</v>
      </c>
      <c r="J3001" t="s">
        <v>20</v>
      </c>
      <c r="K3001" t="s">
        <v>41</v>
      </c>
      <c r="L3001" t="s">
        <v>255</v>
      </c>
      <c r="M3001" t="s">
        <v>204</v>
      </c>
      <c r="N3001">
        <v>41.379477000000001</v>
      </c>
      <c r="O3001">
        <v>-111.782515</v>
      </c>
      <c r="P3001">
        <v>8173.9569670000001</v>
      </c>
      <c r="Q3001">
        <v>1429</v>
      </c>
      <c r="R3001">
        <v>0</v>
      </c>
    </row>
    <row r="3002" spans="1:18" x14ac:dyDescent="0.25">
      <c r="A3002">
        <v>3001</v>
      </c>
      <c r="B3002">
        <v>94</v>
      </c>
      <c r="C3002">
        <v>31496534</v>
      </c>
      <c r="D3002" t="s">
        <v>317</v>
      </c>
      <c r="E3002">
        <v>11.657999999999999</v>
      </c>
      <c r="F3002" t="s">
        <v>21</v>
      </c>
      <c r="G3002" t="s">
        <v>26</v>
      </c>
      <c r="H3002" t="s">
        <v>21</v>
      </c>
      <c r="I3002" t="s">
        <v>20</v>
      </c>
      <c r="J3002" t="s">
        <v>20</v>
      </c>
      <c r="K3002" t="s">
        <v>27</v>
      </c>
      <c r="L3002" t="s">
        <v>211</v>
      </c>
      <c r="M3002" t="s">
        <v>212</v>
      </c>
      <c r="N3002">
        <v>37.088591000000001</v>
      </c>
      <c r="O3002">
        <v>-110.010081</v>
      </c>
      <c r="P3002">
        <v>5007.0335709999999</v>
      </c>
      <c r="Q3002">
        <v>1432</v>
      </c>
      <c r="R3002">
        <v>0</v>
      </c>
    </row>
    <row r="3003" spans="1:18" x14ac:dyDescent="0.25">
      <c r="A3003">
        <v>3002</v>
      </c>
      <c r="B3003">
        <v>94</v>
      </c>
      <c r="C3003">
        <v>31276313</v>
      </c>
      <c r="D3003" t="s">
        <v>303</v>
      </c>
      <c r="E3003">
        <v>11.66</v>
      </c>
      <c r="F3003" t="s">
        <v>21</v>
      </c>
      <c r="G3003" t="s">
        <v>26</v>
      </c>
      <c r="H3003" t="s">
        <v>21</v>
      </c>
      <c r="I3003" t="s">
        <v>20</v>
      </c>
      <c r="J3003" t="s">
        <v>20</v>
      </c>
      <c r="K3003" t="s">
        <v>27</v>
      </c>
      <c r="L3003" t="s">
        <v>72</v>
      </c>
      <c r="M3003" t="s">
        <v>73</v>
      </c>
      <c r="N3003">
        <v>37.199441</v>
      </c>
      <c r="O3003">
        <v>-113.27337</v>
      </c>
      <c r="P3003">
        <v>3102.1658859999998</v>
      </c>
      <c r="Q3003">
        <v>1326</v>
      </c>
      <c r="R3003">
        <v>0</v>
      </c>
    </row>
    <row r="3004" spans="1:18" x14ac:dyDescent="0.25">
      <c r="A3004">
        <v>3003</v>
      </c>
      <c r="B3004">
        <v>94</v>
      </c>
      <c r="C3004" t="e">
        <f>-Iov2njWH6u7Qz-KGooZek</f>
        <v>#NAME?</v>
      </c>
      <c r="D3004" t="s">
        <v>176</v>
      </c>
      <c r="E3004">
        <v>11.666</v>
      </c>
      <c r="F3004" t="s">
        <v>21</v>
      </c>
      <c r="G3004" t="s">
        <v>26</v>
      </c>
      <c r="H3004" t="s">
        <v>21</v>
      </c>
      <c r="I3004" t="s">
        <v>20</v>
      </c>
      <c r="J3004" t="s">
        <v>20</v>
      </c>
      <c r="K3004" t="s">
        <v>41</v>
      </c>
      <c r="L3004" t="s">
        <v>181</v>
      </c>
      <c r="M3004" t="s">
        <v>178</v>
      </c>
      <c r="N3004">
        <v>41.591600999999997</v>
      </c>
      <c r="O3004">
        <v>-112.129668</v>
      </c>
      <c r="P3004">
        <v>4189.2785359999998</v>
      </c>
      <c r="Q3004">
        <v>1329</v>
      </c>
      <c r="R3004">
        <v>0</v>
      </c>
    </row>
    <row r="3005" spans="1:18" x14ac:dyDescent="0.25">
      <c r="A3005">
        <v>3004</v>
      </c>
      <c r="B3005">
        <v>94</v>
      </c>
      <c r="C3005">
        <v>31194454</v>
      </c>
      <c r="D3005" t="s">
        <v>309</v>
      </c>
      <c r="E3005">
        <v>11.667999999999999</v>
      </c>
      <c r="F3005" t="s">
        <v>21</v>
      </c>
      <c r="G3005" t="s">
        <v>26</v>
      </c>
      <c r="H3005" t="s">
        <v>21</v>
      </c>
      <c r="I3005" t="s">
        <v>20</v>
      </c>
      <c r="J3005" t="s">
        <v>20</v>
      </c>
      <c r="K3005" t="s">
        <v>22</v>
      </c>
      <c r="L3005" t="s">
        <v>140</v>
      </c>
      <c r="M3005" t="s">
        <v>125</v>
      </c>
      <c r="N3005">
        <v>40.115425999999999</v>
      </c>
      <c r="O3005">
        <v>-111.663073</v>
      </c>
      <c r="P3005">
        <v>4510.0003450000004</v>
      </c>
      <c r="Q3005">
        <v>339</v>
      </c>
      <c r="R3005">
        <v>0</v>
      </c>
    </row>
    <row r="3006" spans="1:18" x14ac:dyDescent="0.25">
      <c r="A3006">
        <v>3005</v>
      </c>
      <c r="B3006">
        <v>94</v>
      </c>
      <c r="C3006">
        <v>31193321</v>
      </c>
      <c r="D3006" t="s">
        <v>310</v>
      </c>
      <c r="E3006">
        <v>11.67</v>
      </c>
      <c r="F3006" t="s">
        <v>21</v>
      </c>
      <c r="G3006" t="s">
        <v>26</v>
      </c>
      <c r="H3006" t="s">
        <v>21</v>
      </c>
      <c r="I3006" t="s">
        <v>20</v>
      </c>
      <c r="J3006" t="s">
        <v>20</v>
      </c>
      <c r="K3006" t="s">
        <v>31</v>
      </c>
      <c r="L3006" t="s">
        <v>285</v>
      </c>
      <c r="M3006" t="s">
        <v>206</v>
      </c>
      <c r="N3006">
        <v>40.599640999999998</v>
      </c>
      <c r="O3006">
        <v>-112.436207</v>
      </c>
      <c r="P3006">
        <v>4233.0364879999997</v>
      </c>
      <c r="Q3006">
        <v>1414</v>
      </c>
      <c r="R3006">
        <v>0</v>
      </c>
    </row>
    <row r="3007" spans="1:18" x14ac:dyDescent="0.25">
      <c r="A3007">
        <v>3006</v>
      </c>
      <c r="B3007">
        <v>94</v>
      </c>
      <c r="C3007">
        <v>1072630</v>
      </c>
      <c r="D3007" t="s">
        <v>171</v>
      </c>
      <c r="E3007">
        <v>11.675000000000001</v>
      </c>
      <c r="F3007" t="s">
        <v>21</v>
      </c>
      <c r="G3007" t="s">
        <v>20</v>
      </c>
      <c r="H3007" t="s">
        <v>21</v>
      </c>
      <c r="I3007" t="s">
        <v>20</v>
      </c>
      <c r="J3007" t="s">
        <v>20</v>
      </c>
      <c r="K3007" t="s">
        <v>31</v>
      </c>
      <c r="L3007" t="s">
        <v>188</v>
      </c>
      <c r="M3007" t="s">
        <v>79</v>
      </c>
      <c r="N3007">
        <v>40.699883</v>
      </c>
      <c r="O3007">
        <v>-111.870293</v>
      </c>
      <c r="P3007">
        <v>4222.4738500000003</v>
      </c>
      <c r="Q3007">
        <v>346</v>
      </c>
      <c r="R3007">
        <v>0</v>
      </c>
    </row>
    <row r="3008" spans="1:18" x14ac:dyDescent="0.25">
      <c r="A3008">
        <v>3007</v>
      </c>
      <c r="B3008">
        <v>94</v>
      </c>
      <c r="C3008">
        <v>31303677</v>
      </c>
      <c r="D3008" t="s">
        <v>203</v>
      </c>
      <c r="E3008">
        <v>11.680999999999999</v>
      </c>
      <c r="F3008" t="s">
        <v>21</v>
      </c>
      <c r="G3008" t="s">
        <v>26</v>
      </c>
      <c r="H3008" t="s">
        <v>21</v>
      </c>
      <c r="I3008" t="s">
        <v>20</v>
      </c>
      <c r="J3008" t="s">
        <v>20</v>
      </c>
      <c r="K3008" t="s">
        <v>41</v>
      </c>
      <c r="L3008" t="s">
        <v>255</v>
      </c>
      <c r="M3008" t="s">
        <v>204</v>
      </c>
      <c r="N3008">
        <v>41.252124999999999</v>
      </c>
      <c r="O3008">
        <v>-111.87909000000001</v>
      </c>
      <c r="P3008">
        <v>4677.0581929999998</v>
      </c>
      <c r="Q3008">
        <v>1349</v>
      </c>
      <c r="R3008">
        <v>0</v>
      </c>
    </row>
    <row r="3009" spans="1:18" x14ac:dyDescent="0.25">
      <c r="A3009">
        <v>3008</v>
      </c>
      <c r="B3009">
        <v>94</v>
      </c>
      <c r="C3009">
        <v>31284723</v>
      </c>
      <c r="D3009" t="s">
        <v>126</v>
      </c>
      <c r="E3009">
        <v>11.7</v>
      </c>
      <c r="F3009" t="s">
        <v>21</v>
      </c>
      <c r="G3009" t="s">
        <v>26</v>
      </c>
      <c r="H3009" t="s">
        <v>21</v>
      </c>
      <c r="I3009" t="s">
        <v>20</v>
      </c>
      <c r="J3009" t="s">
        <v>20</v>
      </c>
      <c r="K3009" t="s">
        <v>41</v>
      </c>
      <c r="L3009" t="s">
        <v>57</v>
      </c>
      <c r="M3009" t="s">
        <v>93</v>
      </c>
      <c r="N3009">
        <v>41.306817000000002</v>
      </c>
      <c r="O3009">
        <v>-112.01890400000001</v>
      </c>
      <c r="P3009">
        <v>4222.4423340000003</v>
      </c>
      <c r="Q3009">
        <v>1412</v>
      </c>
      <c r="R3009">
        <v>0</v>
      </c>
    </row>
    <row r="3010" spans="1:18" x14ac:dyDescent="0.25">
      <c r="A3010">
        <v>3009</v>
      </c>
      <c r="B3010">
        <v>94</v>
      </c>
      <c r="C3010">
        <v>31194465</v>
      </c>
      <c r="D3010" t="s">
        <v>309</v>
      </c>
      <c r="E3010">
        <v>11.707000000000001</v>
      </c>
      <c r="F3010" t="s">
        <v>21</v>
      </c>
      <c r="G3010" t="s">
        <v>26</v>
      </c>
      <c r="H3010" t="s">
        <v>21</v>
      </c>
      <c r="I3010" t="s">
        <v>20</v>
      </c>
      <c r="J3010" t="s">
        <v>20</v>
      </c>
      <c r="K3010" t="s">
        <v>22</v>
      </c>
      <c r="L3010" t="s">
        <v>140</v>
      </c>
      <c r="M3010" t="s">
        <v>125</v>
      </c>
      <c r="N3010">
        <v>40.115425000000002</v>
      </c>
      <c r="O3010">
        <v>-111.662361</v>
      </c>
      <c r="P3010">
        <v>4509.5796399999999</v>
      </c>
      <c r="Q3010">
        <v>339</v>
      </c>
      <c r="R3010">
        <v>0</v>
      </c>
    </row>
    <row r="3011" spans="1:18" x14ac:dyDescent="0.25">
      <c r="A3011">
        <v>3010</v>
      </c>
      <c r="B3011">
        <v>94</v>
      </c>
      <c r="C3011">
        <v>1521656</v>
      </c>
      <c r="D3011" t="s">
        <v>88</v>
      </c>
      <c r="E3011">
        <v>11.711</v>
      </c>
      <c r="F3011" t="s">
        <v>19</v>
      </c>
      <c r="G3011" t="s">
        <v>20</v>
      </c>
      <c r="H3011" t="s">
        <v>21</v>
      </c>
      <c r="I3011" t="s">
        <v>20</v>
      </c>
      <c r="J3011" t="s">
        <v>20</v>
      </c>
      <c r="K3011" t="s">
        <v>31</v>
      </c>
      <c r="L3011" t="s">
        <v>32</v>
      </c>
      <c r="M3011" t="s">
        <v>90</v>
      </c>
      <c r="N3011">
        <v>40.609554000000003</v>
      </c>
      <c r="O3011">
        <v>-111.872195</v>
      </c>
      <c r="P3011">
        <v>4417.1672859999999</v>
      </c>
      <c r="Q3011">
        <v>318</v>
      </c>
      <c r="R3011">
        <v>0</v>
      </c>
    </row>
    <row r="3012" spans="1:18" x14ac:dyDescent="0.25">
      <c r="A3012">
        <v>3011</v>
      </c>
      <c r="B3012">
        <v>94</v>
      </c>
      <c r="C3012">
        <v>31306463</v>
      </c>
      <c r="D3012" t="s">
        <v>251</v>
      </c>
      <c r="E3012">
        <v>11.734999999999999</v>
      </c>
      <c r="F3012" t="s">
        <v>21</v>
      </c>
      <c r="G3012" t="s">
        <v>26</v>
      </c>
      <c r="H3012" t="s">
        <v>21</v>
      </c>
      <c r="I3012" t="s">
        <v>20</v>
      </c>
      <c r="J3012" t="s">
        <v>20</v>
      </c>
      <c r="K3012" t="s">
        <v>27</v>
      </c>
      <c r="L3012" t="s">
        <v>165</v>
      </c>
      <c r="M3012" t="s">
        <v>166</v>
      </c>
      <c r="N3012">
        <v>39.081319000000001</v>
      </c>
      <c r="O3012">
        <v>-112.40986700000001</v>
      </c>
      <c r="P3012">
        <v>4587.7376539999996</v>
      </c>
      <c r="Q3012">
        <v>326</v>
      </c>
      <c r="R3012">
        <v>0</v>
      </c>
    </row>
    <row r="3013" spans="1:18" x14ac:dyDescent="0.25">
      <c r="A3013">
        <v>3012</v>
      </c>
      <c r="B3013">
        <v>94</v>
      </c>
      <c r="C3013">
        <v>31498285</v>
      </c>
      <c r="D3013" t="s">
        <v>224</v>
      </c>
      <c r="E3013">
        <v>11.741</v>
      </c>
      <c r="F3013" t="s">
        <v>21</v>
      </c>
      <c r="G3013" t="s">
        <v>26</v>
      </c>
      <c r="H3013" t="s">
        <v>21</v>
      </c>
      <c r="I3013" t="s">
        <v>20</v>
      </c>
      <c r="J3013" t="s">
        <v>20</v>
      </c>
      <c r="K3013" t="s">
        <v>22</v>
      </c>
      <c r="L3013" t="s">
        <v>140</v>
      </c>
      <c r="M3013" t="s">
        <v>194</v>
      </c>
      <c r="N3013">
        <v>40.097102</v>
      </c>
      <c r="O3013">
        <v>-111.65542000000001</v>
      </c>
      <c r="P3013">
        <v>4534.8759760000003</v>
      </c>
      <c r="Q3013">
        <v>408</v>
      </c>
      <c r="R3013">
        <v>0</v>
      </c>
    </row>
    <row r="3014" spans="1:18" x14ac:dyDescent="0.25">
      <c r="A3014">
        <v>3013</v>
      </c>
      <c r="B3014">
        <v>94</v>
      </c>
      <c r="C3014">
        <v>31530324</v>
      </c>
      <c r="D3014" t="s">
        <v>231</v>
      </c>
      <c r="E3014">
        <v>11.743</v>
      </c>
      <c r="F3014" t="s">
        <v>19</v>
      </c>
      <c r="G3014" t="s">
        <v>20</v>
      </c>
      <c r="H3014" t="s">
        <v>19</v>
      </c>
      <c r="I3014">
        <v>108</v>
      </c>
      <c r="J3014" t="s">
        <v>20</v>
      </c>
      <c r="K3014" t="s">
        <v>41</v>
      </c>
      <c r="L3014" t="s">
        <v>57</v>
      </c>
      <c r="M3014" t="s">
        <v>93</v>
      </c>
      <c r="N3014">
        <v>41.205367000000003</v>
      </c>
      <c r="O3014">
        <v>-112.025819</v>
      </c>
      <c r="P3014">
        <v>4274.1340840000003</v>
      </c>
      <c r="Q3014">
        <v>1409</v>
      </c>
      <c r="R3014">
        <v>0</v>
      </c>
    </row>
    <row r="3015" spans="1:18" x14ac:dyDescent="0.25">
      <c r="A3015">
        <v>3014</v>
      </c>
      <c r="B3015">
        <v>94</v>
      </c>
      <c r="C3015">
        <v>31194476</v>
      </c>
      <c r="D3015" t="s">
        <v>309</v>
      </c>
      <c r="E3015">
        <v>11.756</v>
      </c>
      <c r="F3015" t="s">
        <v>21</v>
      </c>
      <c r="G3015" t="s">
        <v>26</v>
      </c>
      <c r="H3015" t="s">
        <v>21</v>
      </c>
      <c r="I3015" t="s">
        <v>20</v>
      </c>
      <c r="J3015" t="s">
        <v>20</v>
      </c>
      <c r="K3015" t="s">
        <v>22</v>
      </c>
      <c r="L3015" t="s">
        <v>140</v>
      </c>
      <c r="M3015" t="s">
        <v>125</v>
      </c>
      <c r="N3015">
        <v>40.115420999999998</v>
      </c>
      <c r="O3015">
        <v>-111.661428</v>
      </c>
      <c r="P3015">
        <v>4509.6309570000003</v>
      </c>
      <c r="Q3015">
        <v>339</v>
      </c>
      <c r="R3015">
        <v>0</v>
      </c>
    </row>
    <row r="3016" spans="1:18" x14ac:dyDescent="0.25">
      <c r="A3016">
        <v>3015</v>
      </c>
      <c r="B3016">
        <v>94</v>
      </c>
      <c r="C3016">
        <v>31193332</v>
      </c>
      <c r="D3016" t="s">
        <v>310</v>
      </c>
      <c r="E3016">
        <v>11.759</v>
      </c>
      <c r="F3016" t="s">
        <v>21</v>
      </c>
      <c r="G3016" t="s">
        <v>26</v>
      </c>
      <c r="H3016" t="s">
        <v>21</v>
      </c>
      <c r="I3016" t="s">
        <v>20</v>
      </c>
      <c r="J3016" t="s">
        <v>20</v>
      </c>
      <c r="K3016" t="s">
        <v>31</v>
      </c>
      <c r="L3016" t="s">
        <v>285</v>
      </c>
      <c r="M3016" t="s">
        <v>206</v>
      </c>
      <c r="N3016">
        <v>40.599637999999999</v>
      </c>
      <c r="O3016">
        <v>-112.43453599999999</v>
      </c>
      <c r="P3016">
        <v>4233.6528859999999</v>
      </c>
      <c r="Q3016">
        <v>1414</v>
      </c>
      <c r="R3016">
        <v>0</v>
      </c>
    </row>
    <row r="3017" spans="1:18" x14ac:dyDescent="0.25">
      <c r="A3017">
        <v>3016</v>
      </c>
      <c r="B3017">
        <v>94</v>
      </c>
      <c r="C3017">
        <v>31346161</v>
      </c>
      <c r="D3017" t="s">
        <v>220</v>
      </c>
      <c r="E3017">
        <v>11.765000000000001</v>
      </c>
      <c r="F3017" t="s">
        <v>21</v>
      </c>
      <c r="G3017" t="s">
        <v>26</v>
      </c>
      <c r="H3017" t="s">
        <v>21</v>
      </c>
      <c r="I3017" t="s">
        <v>20</v>
      </c>
      <c r="J3017" t="s">
        <v>20</v>
      </c>
      <c r="K3017" t="s">
        <v>27</v>
      </c>
      <c r="L3017" t="s">
        <v>28</v>
      </c>
      <c r="M3017" t="s">
        <v>29</v>
      </c>
      <c r="N3017">
        <v>37.698048999999997</v>
      </c>
      <c r="O3017">
        <v>-112.18497499999999</v>
      </c>
      <c r="P3017">
        <v>7556.2221579999996</v>
      </c>
      <c r="Q3017">
        <v>1328</v>
      </c>
      <c r="R3017">
        <v>0</v>
      </c>
    </row>
    <row r="3018" spans="1:18" x14ac:dyDescent="0.25">
      <c r="A3018">
        <v>3017</v>
      </c>
      <c r="B3018">
        <v>94</v>
      </c>
      <c r="C3018" t="e">
        <f>-IpALhEOFF5wXbKibFJQWV</f>
        <v>#NAME?</v>
      </c>
      <c r="D3018" t="s">
        <v>126</v>
      </c>
      <c r="E3018">
        <v>11.765000000000001</v>
      </c>
      <c r="F3018" t="s">
        <v>21</v>
      </c>
      <c r="G3018" t="s">
        <v>26</v>
      </c>
      <c r="H3018" t="s">
        <v>21</v>
      </c>
      <c r="I3018" t="s">
        <v>20</v>
      </c>
      <c r="J3018" t="s">
        <v>20</v>
      </c>
      <c r="K3018" t="s">
        <v>41</v>
      </c>
      <c r="L3018" t="s">
        <v>57</v>
      </c>
      <c r="M3018" t="s">
        <v>93</v>
      </c>
      <c r="N3018">
        <v>41.306857999999998</v>
      </c>
      <c r="O3018">
        <v>-112.017668</v>
      </c>
      <c r="P3018">
        <v>4223.9551670000001</v>
      </c>
      <c r="Q3018">
        <v>1412</v>
      </c>
      <c r="R3018">
        <v>0</v>
      </c>
    </row>
    <row r="3019" spans="1:18" x14ac:dyDescent="0.25">
      <c r="A3019">
        <v>3018</v>
      </c>
      <c r="B3019">
        <v>94</v>
      </c>
      <c r="C3019">
        <v>31735607</v>
      </c>
      <c r="D3019" t="s">
        <v>290</v>
      </c>
      <c r="E3019">
        <v>11.766999999999999</v>
      </c>
      <c r="F3019" t="s">
        <v>21</v>
      </c>
      <c r="G3019" t="s">
        <v>26</v>
      </c>
      <c r="H3019" t="s">
        <v>21</v>
      </c>
      <c r="I3019" t="s">
        <v>20</v>
      </c>
      <c r="J3019" t="s">
        <v>20</v>
      </c>
      <c r="K3019" t="s">
        <v>41</v>
      </c>
      <c r="L3019" t="s">
        <v>291</v>
      </c>
      <c r="M3019" t="s">
        <v>238</v>
      </c>
      <c r="N3019">
        <v>41.427573000000002</v>
      </c>
      <c r="O3019">
        <v>-113.831716</v>
      </c>
      <c r="P3019">
        <v>4556.6012700000001</v>
      </c>
      <c r="Q3019">
        <v>1343</v>
      </c>
      <c r="R3019">
        <v>0</v>
      </c>
    </row>
    <row r="3020" spans="1:18" x14ac:dyDescent="0.25">
      <c r="A3020">
        <v>3019</v>
      </c>
      <c r="B3020">
        <v>94</v>
      </c>
      <c r="C3020">
        <v>1072733</v>
      </c>
      <c r="D3020" t="s">
        <v>171</v>
      </c>
      <c r="E3020">
        <v>11.776999999999999</v>
      </c>
      <c r="F3020" t="s">
        <v>21</v>
      </c>
      <c r="G3020" t="s">
        <v>26</v>
      </c>
      <c r="H3020" t="s">
        <v>21</v>
      </c>
      <c r="I3020" t="s">
        <v>20</v>
      </c>
      <c r="J3020" t="s">
        <v>20</v>
      </c>
      <c r="K3020" t="s">
        <v>31</v>
      </c>
      <c r="L3020" t="s">
        <v>188</v>
      </c>
      <c r="M3020" t="s">
        <v>79</v>
      </c>
      <c r="N3020">
        <v>40.699871999999999</v>
      </c>
      <c r="O3020">
        <v>-111.86836099999999</v>
      </c>
      <c r="P3020">
        <v>4230.9072070000002</v>
      </c>
      <c r="Q3020">
        <v>346</v>
      </c>
      <c r="R3020">
        <v>0</v>
      </c>
    </row>
    <row r="3021" spans="1:18" x14ac:dyDescent="0.25">
      <c r="A3021">
        <v>3020</v>
      </c>
      <c r="B3021">
        <v>94</v>
      </c>
      <c r="C3021">
        <v>31496106</v>
      </c>
      <c r="D3021" t="s">
        <v>129</v>
      </c>
      <c r="E3021">
        <v>11.779</v>
      </c>
      <c r="F3021" t="s">
        <v>21</v>
      </c>
      <c r="G3021" t="s">
        <v>26</v>
      </c>
      <c r="H3021" t="s">
        <v>21</v>
      </c>
      <c r="I3021" t="s">
        <v>20</v>
      </c>
      <c r="J3021" t="s">
        <v>20</v>
      </c>
      <c r="K3021" t="s">
        <v>31</v>
      </c>
      <c r="L3021" t="s">
        <v>130</v>
      </c>
      <c r="M3021" t="s">
        <v>131</v>
      </c>
      <c r="N3021">
        <v>40.596561000000001</v>
      </c>
      <c r="O3021">
        <v>-111.095204</v>
      </c>
      <c r="P3021">
        <v>7496.1230169999999</v>
      </c>
      <c r="Q3021">
        <v>340</v>
      </c>
      <c r="R3021">
        <v>0</v>
      </c>
    </row>
    <row r="3022" spans="1:18" x14ac:dyDescent="0.25">
      <c r="A3022">
        <v>3021</v>
      </c>
      <c r="B3022">
        <v>94</v>
      </c>
      <c r="C3022">
        <v>1522177</v>
      </c>
      <c r="D3022" t="s">
        <v>88</v>
      </c>
      <c r="E3022">
        <v>11.779</v>
      </c>
      <c r="F3022" t="s">
        <v>21</v>
      </c>
      <c r="G3022" t="s">
        <v>26</v>
      </c>
      <c r="H3022" t="s">
        <v>21</v>
      </c>
      <c r="I3022" t="s">
        <v>20</v>
      </c>
      <c r="J3022" t="s">
        <v>20</v>
      </c>
      <c r="K3022" t="s">
        <v>31</v>
      </c>
      <c r="L3022" t="s">
        <v>32</v>
      </c>
      <c r="M3022" t="s">
        <v>90</v>
      </c>
      <c r="N3022">
        <v>40.610542000000002</v>
      </c>
      <c r="O3022">
        <v>-111.87219899999999</v>
      </c>
      <c r="P3022">
        <v>4412.187876</v>
      </c>
      <c r="Q3022">
        <v>318</v>
      </c>
      <c r="R3022">
        <v>0</v>
      </c>
    </row>
    <row r="3023" spans="1:18" x14ac:dyDescent="0.25">
      <c r="A3023">
        <v>3022</v>
      </c>
      <c r="B3023">
        <v>94</v>
      </c>
      <c r="C3023">
        <v>31277452</v>
      </c>
      <c r="D3023" t="s">
        <v>303</v>
      </c>
      <c r="E3023">
        <v>11.803000000000001</v>
      </c>
      <c r="F3023" t="s">
        <v>19</v>
      </c>
      <c r="G3023" t="s">
        <v>20</v>
      </c>
      <c r="H3023" t="s">
        <v>21</v>
      </c>
      <c r="I3023" t="s">
        <v>20</v>
      </c>
      <c r="J3023" t="s">
        <v>20</v>
      </c>
      <c r="K3023" t="s">
        <v>27</v>
      </c>
      <c r="L3023" t="s">
        <v>72</v>
      </c>
      <c r="M3023" t="s">
        <v>73</v>
      </c>
      <c r="N3023">
        <v>37.201385999999999</v>
      </c>
      <c r="O3023">
        <v>-113.272437</v>
      </c>
      <c r="P3023">
        <v>3108.9441510000001</v>
      </c>
      <c r="Q3023">
        <v>1326</v>
      </c>
      <c r="R3023">
        <v>0</v>
      </c>
    </row>
    <row r="3024" spans="1:18" x14ac:dyDescent="0.25">
      <c r="A3024">
        <v>3023</v>
      </c>
      <c r="B3024">
        <v>94</v>
      </c>
      <c r="C3024">
        <v>31498910</v>
      </c>
      <c r="D3024" t="s">
        <v>224</v>
      </c>
      <c r="E3024">
        <v>11.807</v>
      </c>
      <c r="F3024" t="s">
        <v>19</v>
      </c>
      <c r="G3024" t="s">
        <v>20</v>
      </c>
      <c r="H3024" t="s">
        <v>21</v>
      </c>
      <c r="I3024" t="s">
        <v>20</v>
      </c>
      <c r="J3024" t="s">
        <v>20</v>
      </c>
      <c r="K3024" t="s">
        <v>22</v>
      </c>
      <c r="L3024" t="s">
        <v>140</v>
      </c>
      <c r="M3024" t="s">
        <v>194</v>
      </c>
      <c r="N3024">
        <v>40.098069000000002</v>
      </c>
      <c r="O3024">
        <v>-111.655417</v>
      </c>
      <c r="P3024">
        <v>4533.4280449999997</v>
      </c>
      <c r="Q3024">
        <v>408</v>
      </c>
      <c r="R3024">
        <v>0</v>
      </c>
    </row>
    <row r="3025" spans="1:18" x14ac:dyDescent="0.25">
      <c r="A3025">
        <v>3024</v>
      </c>
      <c r="B3025">
        <v>94</v>
      </c>
      <c r="C3025">
        <v>1072740</v>
      </c>
      <c r="D3025" t="s">
        <v>171</v>
      </c>
      <c r="E3025">
        <v>11.814</v>
      </c>
      <c r="F3025" t="s">
        <v>21</v>
      </c>
      <c r="G3025" t="s">
        <v>26</v>
      </c>
      <c r="H3025" t="s">
        <v>21</v>
      </c>
      <c r="I3025" t="s">
        <v>20</v>
      </c>
      <c r="J3025" t="s">
        <v>20</v>
      </c>
      <c r="K3025" t="s">
        <v>31</v>
      </c>
      <c r="L3025" t="s">
        <v>188</v>
      </c>
      <c r="M3025" t="s">
        <v>79</v>
      </c>
      <c r="N3025">
        <v>40.699871000000002</v>
      </c>
      <c r="O3025">
        <v>-111.867651</v>
      </c>
      <c r="P3025">
        <v>4237.0210470000002</v>
      </c>
      <c r="Q3025">
        <v>346</v>
      </c>
      <c r="R3025">
        <v>0</v>
      </c>
    </row>
    <row r="3026" spans="1:18" x14ac:dyDescent="0.25">
      <c r="A3026">
        <v>3025</v>
      </c>
      <c r="B3026">
        <v>94</v>
      </c>
      <c r="C3026">
        <v>1515744</v>
      </c>
      <c r="D3026" t="s">
        <v>88</v>
      </c>
      <c r="E3026">
        <v>11.124000000000001</v>
      </c>
      <c r="F3026" t="s">
        <v>21</v>
      </c>
      <c r="G3026" t="s">
        <v>26</v>
      </c>
      <c r="H3026" t="s">
        <v>21</v>
      </c>
      <c r="I3026" t="s">
        <v>20</v>
      </c>
      <c r="J3026" t="s">
        <v>20</v>
      </c>
      <c r="K3026" t="s">
        <v>31</v>
      </c>
      <c r="L3026" t="s">
        <v>32</v>
      </c>
      <c r="M3026" t="s">
        <v>90</v>
      </c>
      <c r="N3026">
        <v>40.601021000000003</v>
      </c>
      <c r="O3026">
        <v>-111.872202</v>
      </c>
      <c r="P3026">
        <v>4437.827311</v>
      </c>
      <c r="Q3026">
        <v>318</v>
      </c>
      <c r="R3026">
        <v>0</v>
      </c>
    </row>
    <row r="3027" spans="1:18" x14ac:dyDescent="0.25">
      <c r="A3027">
        <v>3026</v>
      </c>
      <c r="B3027">
        <v>94</v>
      </c>
      <c r="C3027" t="e">
        <f>-IowWmdjIK1J_gwJrEWfoV</f>
        <v>#NAME?</v>
      </c>
      <c r="D3027" t="s">
        <v>203</v>
      </c>
      <c r="E3027">
        <v>11.13</v>
      </c>
      <c r="F3027" t="s">
        <v>21</v>
      </c>
      <c r="G3027" t="s">
        <v>20</v>
      </c>
      <c r="H3027" t="s">
        <v>21</v>
      </c>
      <c r="I3027" t="s">
        <v>20</v>
      </c>
      <c r="J3027" t="s">
        <v>20</v>
      </c>
      <c r="K3027" t="s">
        <v>41</v>
      </c>
      <c r="L3027" t="s">
        <v>255</v>
      </c>
      <c r="M3027" t="s">
        <v>204</v>
      </c>
      <c r="N3027">
        <v>41.248448000000003</v>
      </c>
      <c r="O3027">
        <v>-111.88779700000001</v>
      </c>
      <c r="P3027">
        <v>4638.614176</v>
      </c>
      <c r="Q3027">
        <v>1349</v>
      </c>
      <c r="R3027">
        <v>0</v>
      </c>
    </row>
    <row r="3028" spans="1:18" x14ac:dyDescent="0.25">
      <c r="A3028">
        <v>3027</v>
      </c>
      <c r="B3028">
        <v>94</v>
      </c>
      <c r="C3028">
        <v>31817556</v>
      </c>
      <c r="D3028" t="s">
        <v>61</v>
      </c>
      <c r="E3028">
        <v>11.137</v>
      </c>
      <c r="F3028" t="s">
        <v>21</v>
      </c>
      <c r="G3028" t="s">
        <v>26</v>
      </c>
      <c r="H3028" t="s">
        <v>21</v>
      </c>
      <c r="I3028" t="s">
        <v>20</v>
      </c>
      <c r="J3028" t="s">
        <v>20</v>
      </c>
      <c r="K3028" t="s">
        <v>22</v>
      </c>
      <c r="L3028" t="s">
        <v>60</v>
      </c>
      <c r="M3028" t="s">
        <v>62</v>
      </c>
      <c r="N3028">
        <v>40.341116999999997</v>
      </c>
      <c r="O3028">
        <v>-111.60457599999999</v>
      </c>
      <c r="P3028">
        <v>5128.1169380000001</v>
      </c>
      <c r="Q3028">
        <v>403</v>
      </c>
      <c r="R3028">
        <v>0</v>
      </c>
    </row>
    <row r="3029" spans="1:18" x14ac:dyDescent="0.25">
      <c r="A3029">
        <v>3028</v>
      </c>
      <c r="B3029">
        <v>94</v>
      </c>
      <c r="C3029">
        <v>31415312</v>
      </c>
      <c r="D3029" t="s">
        <v>345</v>
      </c>
      <c r="E3029">
        <v>11.14</v>
      </c>
      <c r="F3029" t="s">
        <v>21</v>
      </c>
      <c r="G3029" t="s">
        <v>20</v>
      </c>
      <c r="H3029" t="s">
        <v>21</v>
      </c>
      <c r="I3029" t="s">
        <v>20</v>
      </c>
      <c r="J3029" t="s">
        <v>20</v>
      </c>
      <c r="K3029" t="s">
        <v>27</v>
      </c>
      <c r="L3029" t="s">
        <v>75</v>
      </c>
      <c r="M3029" t="s">
        <v>76</v>
      </c>
      <c r="N3029">
        <v>38.701542000000003</v>
      </c>
      <c r="O3029">
        <v>-112.11091399999999</v>
      </c>
      <c r="P3029">
        <v>5273.7555469999998</v>
      </c>
      <c r="Q3029">
        <v>1403</v>
      </c>
      <c r="R3029">
        <v>0</v>
      </c>
    </row>
    <row r="3030" spans="1:18" x14ac:dyDescent="0.25">
      <c r="A3030">
        <v>3029</v>
      </c>
      <c r="B3030">
        <v>94</v>
      </c>
      <c r="C3030" t="e">
        <f>-Ip5TxAYFNyD6o0aA5v6kk</f>
        <v>#NAME?</v>
      </c>
      <c r="D3030" t="s">
        <v>208</v>
      </c>
      <c r="E3030">
        <v>11.148</v>
      </c>
      <c r="F3030" t="s">
        <v>19</v>
      </c>
      <c r="G3030" t="s">
        <v>20</v>
      </c>
      <c r="H3030" t="s">
        <v>21</v>
      </c>
      <c r="I3030" t="s">
        <v>20</v>
      </c>
      <c r="J3030" t="s">
        <v>20</v>
      </c>
      <c r="K3030" t="s">
        <v>31</v>
      </c>
      <c r="L3030" t="s">
        <v>209</v>
      </c>
      <c r="M3030" t="s">
        <v>131</v>
      </c>
      <c r="N3030">
        <v>40.721758000000001</v>
      </c>
      <c r="O3030">
        <v>-111.54468</v>
      </c>
      <c r="P3030">
        <v>6366.4934970000004</v>
      </c>
      <c r="Q3030">
        <v>357</v>
      </c>
      <c r="R3030">
        <v>0</v>
      </c>
    </row>
    <row r="3031" spans="1:18" x14ac:dyDescent="0.25">
      <c r="A3031">
        <v>3030</v>
      </c>
      <c r="B3031">
        <v>94</v>
      </c>
      <c r="C3031">
        <v>31275673</v>
      </c>
      <c r="D3031" t="s">
        <v>303</v>
      </c>
      <c r="E3031">
        <v>11.15</v>
      </c>
      <c r="F3031" t="s">
        <v>21</v>
      </c>
      <c r="G3031" t="s">
        <v>26</v>
      </c>
      <c r="H3031" t="s">
        <v>21</v>
      </c>
      <c r="I3031" t="s">
        <v>20</v>
      </c>
      <c r="J3031" t="s">
        <v>20</v>
      </c>
      <c r="K3031" t="s">
        <v>27</v>
      </c>
      <c r="L3031" t="s">
        <v>72</v>
      </c>
      <c r="M3031" t="s">
        <v>73</v>
      </c>
      <c r="N3031">
        <v>37.192548000000002</v>
      </c>
      <c r="O3031">
        <v>-113.27666000000001</v>
      </c>
      <c r="P3031">
        <v>3131.9074770000002</v>
      </c>
      <c r="Q3031">
        <v>1326</v>
      </c>
      <c r="R3031">
        <v>0</v>
      </c>
    </row>
    <row r="3032" spans="1:18" x14ac:dyDescent="0.25">
      <c r="A3032">
        <v>3031</v>
      </c>
      <c r="B3032">
        <v>94</v>
      </c>
      <c r="C3032" t="e">
        <f>-JY2HtISHTmIagyKdD8qcF</f>
        <v>#NAME?</v>
      </c>
      <c r="D3032" t="s">
        <v>199</v>
      </c>
      <c r="E3032">
        <v>11.162000000000001</v>
      </c>
      <c r="F3032" t="s">
        <v>21</v>
      </c>
      <c r="G3032" t="s">
        <v>26</v>
      </c>
      <c r="H3032" t="s">
        <v>21</v>
      </c>
      <c r="I3032" t="s">
        <v>20</v>
      </c>
      <c r="J3032" t="s">
        <v>20</v>
      </c>
      <c r="K3032" t="s">
        <v>27</v>
      </c>
      <c r="L3032" t="s">
        <v>103</v>
      </c>
      <c r="M3032" t="s">
        <v>200</v>
      </c>
      <c r="N3032">
        <v>38.268552</v>
      </c>
      <c r="O3032">
        <v>-112.48637100000001</v>
      </c>
      <c r="P3032">
        <v>7408.0415069999999</v>
      </c>
      <c r="Q3032">
        <v>341</v>
      </c>
      <c r="R3032">
        <v>0</v>
      </c>
    </row>
    <row r="3033" spans="1:18" x14ac:dyDescent="0.25">
      <c r="A3033">
        <v>3032</v>
      </c>
      <c r="B3033">
        <v>94</v>
      </c>
      <c r="C3033">
        <v>1060874</v>
      </c>
      <c r="D3033" t="s">
        <v>171</v>
      </c>
      <c r="E3033">
        <v>11.173</v>
      </c>
      <c r="F3033" t="s">
        <v>21</v>
      </c>
      <c r="G3033" t="s">
        <v>26</v>
      </c>
      <c r="H3033" t="s">
        <v>21</v>
      </c>
      <c r="I3033" t="s">
        <v>20</v>
      </c>
      <c r="J3033" t="s">
        <v>20</v>
      </c>
      <c r="K3033" t="s">
        <v>31</v>
      </c>
      <c r="L3033" t="s">
        <v>69</v>
      </c>
      <c r="M3033" t="s">
        <v>79</v>
      </c>
      <c r="N3033">
        <v>40.699852999999997</v>
      </c>
      <c r="O3033">
        <v>-111.879852</v>
      </c>
      <c r="P3033">
        <v>4205.6767870000003</v>
      </c>
      <c r="Q3033">
        <v>346</v>
      </c>
      <c r="R3033">
        <v>0</v>
      </c>
    </row>
    <row r="3034" spans="1:18" x14ac:dyDescent="0.25">
      <c r="A3034">
        <v>3033</v>
      </c>
      <c r="B3034">
        <v>94</v>
      </c>
      <c r="C3034">
        <v>31495834</v>
      </c>
      <c r="D3034" t="s">
        <v>129</v>
      </c>
      <c r="E3034">
        <v>11.173999999999999</v>
      </c>
      <c r="F3034" t="s">
        <v>21</v>
      </c>
      <c r="G3034" t="s">
        <v>26</v>
      </c>
      <c r="H3034" t="s">
        <v>21</v>
      </c>
      <c r="I3034" t="s">
        <v>20</v>
      </c>
      <c r="J3034" t="s">
        <v>20</v>
      </c>
      <c r="K3034" t="s">
        <v>31</v>
      </c>
      <c r="L3034" t="s">
        <v>130</v>
      </c>
      <c r="M3034" t="s">
        <v>131</v>
      </c>
      <c r="N3034">
        <v>40.600186999999998</v>
      </c>
      <c r="O3034">
        <v>-111.105625</v>
      </c>
      <c r="P3034">
        <v>7485.5913499999997</v>
      </c>
      <c r="Q3034">
        <v>340</v>
      </c>
      <c r="R3034">
        <v>0</v>
      </c>
    </row>
    <row r="3035" spans="1:18" x14ac:dyDescent="0.25">
      <c r="A3035">
        <v>3034</v>
      </c>
      <c r="B3035">
        <v>94</v>
      </c>
      <c r="C3035" t="e">
        <f>-IpB36uaHje2F9AbEmc8tk</f>
        <v>#NAME?</v>
      </c>
      <c r="D3035" t="s">
        <v>184</v>
      </c>
      <c r="E3035">
        <v>11.18</v>
      </c>
      <c r="F3035" t="s">
        <v>21</v>
      </c>
      <c r="G3035" t="s">
        <v>26</v>
      </c>
      <c r="H3035" t="s">
        <v>21</v>
      </c>
      <c r="I3035" t="s">
        <v>20</v>
      </c>
      <c r="J3035" t="s">
        <v>20</v>
      </c>
      <c r="K3035" t="s">
        <v>27</v>
      </c>
      <c r="L3035" t="s">
        <v>54</v>
      </c>
      <c r="M3035" t="s">
        <v>55</v>
      </c>
      <c r="N3035">
        <v>37.798447000000003</v>
      </c>
      <c r="O3035">
        <v>-113.050602</v>
      </c>
      <c r="P3035">
        <v>5380.0197850000004</v>
      </c>
      <c r="Q3035">
        <v>1410</v>
      </c>
      <c r="R3035">
        <v>0</v>
      </c>
    </row>
    <row r="3036" spans="1:18" x14ac:dyDescent="0.25">
      <c r="A3036">
        <v>3035</v>
      </c>
      <c r="B3036">
        <v>94</v>
      </c>
      <c r="C3036">
        <v>27699154</v>
      </c>
      <c r="D3036" t="s">
        <v>217</v>
      </c>
      <c r="E3036">
        <v>11.182</v>
      </c>
      <c r="F3036" t="s">
        <v>21</v>
      </c>
      <c r="G3036" t="s">
        <v>26</v>
      </c>
      <c r="H3036" t="s">
        <v>21</v>
      </c>
      <c r="I3036" t="s">
        <v>20</v>
      </c>
      <c r="J3036" t="s">
        <v>20</v>
      </c>
      <c r="K3036" t="s">
        <v>27</v>
      </c>
      <c r="L3036" t="s">
        <v>72</v>
      </c>
      <c r="M3036" t="s">
        <v>163</v>
      </c>
      <c r="N3036">
        <v>37.230826999999998</v>
      </c>
      <c r="O3036">
        <v>-113.633723</v>
      </c>
      <c r="P3036">
        <v>4025.4830489999999</v>
      </c>
      <c r="Q3036">
        <v>304</v>
      </c>
      <c r="R3036">
        <v>0</v>
      </c>
    </row>
    <row r="3037" spans="1:18" x14ac:dyDescent="0.25">
      <c r="A3037">
        <v>3036</v>
      </c>
      <c r="B3037">
        <v>94</v>
      </c>
      <c r="C3037">
        <v>31343950</v>
      </c>
      <c r="D3037" t="s">
        <v>220</v>
      </c>
      <c r="E3037">
        <v>11.196</v>
      </c>
      <c r="F3037" t="s">
        <v>21</v>
      </c>
      <c r="G3037" t="s">
        <v>26</v>
      </c>
      <c r="H3037" t="s">
        <v>21</v>
      </c>
      <c r="I3037" t="s">
        <v>20</v>
      </c>
      <c r="J3037" t="s">
        <v>20</v>
      </c>
      <c r="K3037" t="s">
        <v>27</v>
      </c>
      <c r="L3037" t="s">
        <v>28</v>
      </c>
      <c r="M3037" t="s">
        <v>29</v>
      </c>
      <c r="N3037">
        <v>37.700437999999998</v>
      </c>
      <c r="O3037">
        <v>-112.19488800000001</v>
      </c>
      <c r="P3037">
        <v>7574.2868390000003</v>
      </c>
      <c r="Q3037">
        <v>1328</v>
      </c>
      <c r="R3037">
        <v>0</v>
      </c>
    </row>
    <row r="3038" spans="1:18" x14ac:dyDescent="0.25">
      <c r="A3038">
        <v>3037</v>
      </c>
      <c r="B3038">
        <v>94</v>
      </c>
      <c r="C3038">
        <v>31194221</v>
      </c>
      <c r="D3038" t="s">
        <v>309</v>
      </c>
      <c r="E3038">
        <v>11.202999999999999</v>
      </c>
      <c r="F3038" t="s">
        <v>21</v>
      </c>
      <c r="G3038" t="s">
        <v>26</v>
      </c>
      <c r="H3038" t="s">
        <v>21</v>
      </c>
      <c r="I3038" t="s">
        <v>20</v>
      </c>
      <c r="J3038" t="s">
        <v>20</v>
      </c>
      <c r="K3038" t="s">
        <v>22</v>
      </c>
      <c r="L3038" t="s">
        <v>140</v>
      </c>
      <c r="M3038" t="s">
        <v>125</v>
      </c>
      <c r="N3038">
        <v>40.115431000000001</v>
      </c>
      <c r="O3038">
        <v>-111.671836</v>
      </c>
      <c r="P3038">
        <v>4506.9607809999998</v>
      </c>
      <c r="Q3038">
        <v>339</v>
      </c>
      <c r="R3038">
        <v>0</v>
      </c>
    </row>
    <row r="3039" spans="1:18" x14ac:dyDescent="0.25">
      <c r="A3039">
        <v>3038</v>
      </c>
      <c r="B3039">
        <v>94</v>
      </c>
      <c r="C3039" t="s">
        <v>536</v>
      </c>
      <c r="D3039" t="s">
        <v>316</v>
      </c>
      <c r="E3039">
        <v>11.225</v>
      </c>
      <c r="F3039" t="s">
        <v>21</v>
      </c>
      <c r="G3039" t="s">
        <v>26</v>
      </c>
      <c r="H3039" t="s">
        <v>21</v>
      </c>
      <c r="I3039" t="s">
        <v>20</v>
      </c>
      <c r="J3039" t="s">
        <v>20</v>
      </c>
      <c r="K3039" t="s">
        <v>31</v>
      </c>
      <c r="L3039" t="s">
        <v>130</v>
      </c>
      <c r="M3039" t="s">
        <v>302</v>
      </c>
      <c r="N3039">
        <v>40.554049999999997</v>
      </c>
      <c r="O3039">
        <v>-111.109155</v>
      </c>
      <c r="P3039">
        <v>7299.020595</v>
      </c>
      <c r="Q3039">
        <v>1346</v>
      </c>
      <c r="R3039">
        <v>0</v>
      </c>
    </row>
    <row r="3040" spans="1:18" x14ac:dyDescent="0.25">
      <c r="A3040">
        <v>3039</v>
      </c>
      <c r="B3040">
        <v>94</v>
      </c>
      <c r="C3040">
        <v>1060881</v>
      </c>
      <c r="D3040" t="s">
        <v>171</v>
      </c>
      <c r="E3040">
        <v>11.227</v>
      </c>
      <c r="F3040" t="s">
        <v>21</v>
      </c>
      <c r="G3040" t="s">
        <v>26</v>
      </c>
      <c r="H3040" t="s">
        <v>21</v>
      </c>
      <c r="I3040" t="s">
        <v>20</v>
      </c>
      <c r="J3040" t="s">
        <v>20</v>
      </c>
      <c r="K3040" t="s">
        <v>31</v>
      </c>
      <c r="L3040" t="s">
        <v>69</v>
      </c>
      <c r="M3040" t="s">
        <v>79</v>
      </c>
      <c r="N3040">
        <v>40.699854999999999</v>
      </c>
      <c r="O3040">
        <v>-111.87880800000001</v>
      </c>
      <c r="P3040">
        <v>4205.6815880000004</v>
      </c>
      <c r="Q3040">
        <v>346</v>
      </c>
      <c r="R3040">
        <v>0</v>
      </c>
    </row>
    <row r="3041" spans="1:18" x14ac:dyDescent="0.25">
      <c r="A3041">
        <v>3040</v>
      </c>
      <c r="B3041">
        <v>94</v>
      </c>
      <c r="C3041" t="s">
        <v>537</v>
      </c>
      <c r="D3041" t="s">
        <v>176</v>
      </c>
      <c r="E3041">
        <v>11.23</v>
      </c>
      <c r="F3041" t="s">
        <v>21</v>
      </c>
      <c r="G3041" t="s">
        <v>26</v>
      </c>
      <c r="H3041" t="s">
        <v>21</v>
      </c>
      <c r="I3041" t="s">
        <v>20</v>
      </c>
      <c r="J3041" t="s">
        <v>20</v>
      </c>
      <c r="K3041" t="s">
        <v>41</v>
      </c>
      <c r="L3041" t="s">
        <v>181</v>
      </c>
      <c r="M3041" t="s">
        <v>178</v>
      </c>
      <c r="N3041">
        <v>41.585276999999998</v>
      </c>
      <c r="O3041">
        <v>-112.129761</v>
      </c>
      <c r="P3041">
        <v>4188.3751510000002</v>
      </c>
      <c r="Q3041">
        <v>1329</v>
      </c>
      <c r="R3041">
        <v>0</v>
      </c>
    </row>
    <row r="3042" spans="1:18" x14ac:dyDescent="0.25">
      <c r="A3042">
        <v>3041</v>
      </c>
      <c r="B3042">
        <v>94</v>
      </c>
      <c r="C3042">
        <v>31195885</v>
      </c>
      <c r="D3042" t="s">
        <v>126</v>
      </c>
      <c r="E3042">
        <v>11.244999999999999</v>
      </c>
      <c r="F3042" t="s">
        <v>19</v>
      </c>
      <c r="G3042" t="s">
        <v>20</v>
      </c>
      <c r="H3042" t="s">
        <v>19</v>
      </c>
      <c r="I3042">
        <v>126</v>
      </c>
      <c r="J3042" t="s">
        <v>20</v>
      </c>
      <c r="K3042" t="s">
        <v>41</v>
      </c>
      <c r="L3042" t="s">
        <v>57</v>
      </c>
      <c r="M3042" t="s">
        <v>93</v>
      </c>
      <c r="N3042">
        <v>41.306666999999997</v>
      </c>
      <c r="O3042">
        <v>-112.027632</v>
      </c>
      <c r="P3042">
        <v>4212.0351579999997</v>
      </c>
      <c r="Q3042">
        <v>1412</v>
      </c>
      <c r="R3042">
        <v>0</v>
      </c>
    </row>
    <row r="3043" spans="1:18" x14ac:dyDescent="0.25">
      <c r="A3043">
        <v>3042</v>
      </c>
      <c r="B3043">
        <v>94</v>
      </c>
      <c r="C3043">
        <v>31279618</v>
      </c>
      <c r="D3043" t="s">
        <v>288</v>
      </c>
      <c r="E3043">
        <v>11.253</v>
      </c>
      <c r="F3043" t="s">
        <v>21</v>
      </c>
      <c r="G3043" t="s">
        <v>26</v>
      </c>
      <c r="H3043" t="s">
        <v>21</v>
      </c>
      <c r="I3043" t="s">
        <v>20</v>
      </c>
      <c r="J3043" t="s">
        <v>20</v>
      </c>
      <c r="K3043" t="s">
        <v>27</v>
      </c>
      <c r="L3043" t="s">
        <v>211</v>
      </c>
      <c r="M3043" t="s">
        <v>318</v>
      </c>
      <c r="N3043">
        <v>37.140082</v>
      </c>
      <c r="O3043">
        <v>-109.558061</v>
      </c>
      <c r="P3043">
        <v>4614.1789339999996</v>
      </c>
      <c r="Q3043">
        <v>350</v>
      </c>
      <c r="R3043">
        <v>0</v>
      </c>
    </row>
    <row r="3044" spans="1:18" x14ac:dyDescent="0.25">
      <c r="A3044">
        <v>3043</v>
      </c>
      <c r="B3044">
        <v>94</v>
      </c>
      <c r="C3044">
        <v>31415323</v>
      </c>
      <c r="D3044" t="s">
        <v>345</v>
      </c>
      <c r="E3044">
        <v>11.254</v>
      </c>
      <c r="F3044" t="s">
        <v>21</v>
      </c>
      <c r="G3044" t="s">
        <v>26</v>
      </c>
      <c r="H3044" t="s">
        <v>21</v>
      </c>
      <c r="I3044" t="s">
        <v>20</v>
      </c>
      <c r="J3044" t="s">
        <v>20</v>
      </c>
      <c r="K3044" t="s">
        <v>27</v>
      </c>
      <c r="L3044" t="s">
        <v>75</v>
      </c>
      <c r="M3044" t="s">
        <v>76</v>
      </c>
      <c r="N3044">
        <v>38.703093000000003</v>
      </c>
      <c r="O3044">
        <v>-112.110197</v>
      </c>
      <c r="P3044">
        <v>5272.0694999999996</v>
      </c>
      <c r="Q3044">
        <v>1403</v>
      </c>
      <c r="R3044">
        <v>0</v>
      </c>
    </row>
    <row r="3045" spans="1:18" x14ac:dyDescent="0.25">
      <c r="A3045">
        <v>3044</v>
      </c>
      <c r="B3045">
        <v>94</v>
      </c>
      <c r="C3045">
        <v>31529898</v>
      </c>
      <c r="D3045" t="s">
        <v>231</v>
      </c>
      <c r="E3045">
        <v>11.255000000000001</v>
      </c>
      <c r="F3045" t="s">
        <v>19</v>
      </c>
      <c r="G3045" t="s">
        <v>20</v>
      </c>
      <c r="H3045" t="s">
        <v>19</v>
      </c>
      <c r="I3045">
        <v>79</v>
      </c>
      <c r="J3045" t="s">
        <v>20</v>
      </c>
      <c r="K3045" t="s">
        <v>41</v>
      </c>
      <c r="L3045" t="s">
        <v>57</v>
      </c>
      <c r="M3045" t="s">
        <v>93</v>
      </c>
      <c r="N3045">
        <v>41.198141</v>
      </c>
      <c r="O3045">
        <v>-112.02583799999999</v>
      </c>
      <c r="P3045">
        <v>4373.9905959999996</v>
      </c>
      <c r="Q3045">
        <v>1409</v>
      </c>
      <c r="R3045">
        <v>0</v>
      </c>
    </row>
    <row r="3046" spans="1:18" x14ac:dyDescent="0.25">
      <c r="A3046">
        <v>3045</v>
      </c>
      <c r="B3046">
        <v>94</v>
      </c>
      <c r="C3046">
        <v>1060888</v>
      </c>
      <c r="D3046" t="s">
        <v>171</v>
      </c>
      <c r="E3046">
        <v>11.273</v>
      </c>
      <c r="F3046" t="s">
        <v>21</v>
      </c>
      <c r="G3046" t="s">
        <v>26</v>
      </c>
      <c r="H3046" t="s">
        <v>21</v>
      </c>
      <c r="I3046" t="s">
        <v>20</v>
      </c>
      <c r="J3046" t="s">
        <v>20</v>
      </c>
      <c r="K3046" t="s">
        <v>31</v>
      </c>
      <c r="L3046" t="s">
        <v>69</v>
      </c>
      <c r="M3046" t="s">
        <v>79</v>
      </c>
      <c r="N3046">
        <v>40.699857999999999</v>
      </c>
      <c r="O3046">
        <v>-111.877939</v>
      </c>
      <c r="P3046">
        <v>4206.0378190000001</v>
      </c>
      <c r="Q3046">
        <v>346</v>
      </c>
      <c r="R3046">
        <v>0</v>
      </c>
    </row>
    <row r="3047" spans="1:18" x14ac:dyDescent="0.25">
      <c r="A3047">
        <v>3046</v>
      </c>
      <c r="B3047">
        <v>94</v>
      </c>
      <c r="C3047">
        <v>31754409</v>
      </c>
      <c r="D3047" t="s">
        <v>346</v>
      </c>
      <c r="E3047">
        <v>11.276999999999999</v>
      </c>
      <c r="F3047" t="s">
        <v>21</v>
      </c>
      <c r="G3047" t="s">
        <v>20</v>
      </c>
      <c r="H3047" t="s">
        <v>21</v>
      </c>
      <c r="I3047" t="s">
        <v>20</v>
      </c>
      <c r="J3047" t="s">
        <v>20</v>
      </c>
      <c r="K3047" t="s">
        <v>27</v>
      </c>
      <c r="L3047" t="s">
        <v>307</v>
      </c>
      <c r="M3047" t="s">
        <v>159</v>
      </c>
      <c r="N3047">
        <v>39.786166000000001</v>
      </c>
      <c r="O3047">
        <v>-111.1202</v>
      </c>
      <c r="P3047">
        <v>7586.9811380000001</v>
      </c>
      <c r="Q3047">
        <v>1389</v>
      </c>
      <c r="R3047">
        <v>0</v>
      </c>
    </row>
    <row r="3048" spans="1:18" x14ac:dyDescent="0.25">
      <c r="A3048">
        <v>3047</v>
      </c>
      <c r="B3048">
        <v>94</v>
      </c>
      <c r="C3048">
        <v>27870119</v>
      </c>
      <c r="D3048" t="s">
        <v>91</v>
      </c>
      <c r="E3048">
        <v>11.291</v>
      </c>
      <c r="F3048" t="s">
        <v>21</v>
      </c>
      <c r="G3048" t="s">
        <v>26</v>
      </c>
      <c r="H3048" t="s">
        <v>21</v>
      </c>
      <c r="I3048" t="s">
        <v>20</v>
      </c>
      <c r="J3048" t="s">
        <v>20</v>
      </c>
      <c r="K3048" t="s">
        <v>41</v>
      </c>
      <c r="L3048" t="s">
        <v>42</v>
      </c>
      <c r="M3048" t="s">
        <v>73</v>
      </c>
      <c r="N3048">
        <v>41.768281999999999</v>
      </c>
      <c r="O3048">
        <v>-111.98147400000001</v>
      </c>
      <c r="P3048">
        <v>4425.0683010000002</v>
      </c>
      <c r="Q3048">
        <v>1339</v>
      </c>
      <c r="R3048">
        <v>0</v>
      </c>
    </row>
    <row r="3049" spans="1:18" x14ac:dyDescent="0.25">
      <c r="A3049">
        <v>3048</v>
      </c>
      <c r="B3049">
        <v>94</v>
      </c>
      <c r="C3049">
        <v>31196264</v>
      </c>
      <c r="D3049" t="s">
        <v>126</v>
      </c>
      <c r="E3049">
        <v>11.295999999999999</v>
      </c>
      <c r="F3049" t="s">
        <v>19</v>
      </c>
      <c r="G3049" t="s">
        <v>20</v>
      </c>
      <c r="H3049" t="s">
        <v>21</v>
      </c>
      <c r="I3049" t="s">
        <v>20</v>
      </c>
      <c r="J3049" t="s">
        <v>20</v>
      </c>
      <c r="K3049" t="s">
        <v>41</v>
      </c>
      <c r="L3049" t="s">
        <v>57</v>
      </c>
      <c r="M3049" t="s">
        <v>93</v>
      </c>
      <c r="N3049">
        <v>41.306654999999999</v>
      </c>
      <c r="O3049">
        <v>-112.026669</v>
      </c>
      <c r="P3049">
        <v>4214.1440819999998</v>
      </c>
      <c r="Q3049">
        <v>1412</v>
      </c>
      <c r="R3049">
        <v>0</v>
      </c>
    </row>
    <row r="3050" spans="1:18" x14ac:dyDescent="0.25">
      <c r="A3050">
        <v>3049</v>
      </c>
      <c r="B3050">
        <v>94</v>
      </c>
      <c r="C3050">
        <v>1516807</v>
      </c>
      <c r="D3050" t="s">
        <v>88</v>
      </c>
      <c r="E3050">
        <v>11.303000000000001</v>
      </c>
      <c r="F3050" t="s">
        <v>21</v>
      </c>
      <c r="G3050" t="s">
        <v>26</v>
      </c>
      <c r="H3050" t="s">
        <v>21</v>
      </c>
      <c r="I3050" t="s">
        <v>20</v>
      </c>
      <c r="J3050" t="s">
        <v>20</v>
      </c>
      <c r="K3050" t="s">
        <v>31</v>
      </c>
      <c r="L3050" t="s">
        <v>32</v>
      </c>
      <c r="M3050" t="s">
        <v>90</v>
      </c>
      <c r="N3050">
        <v>40.603610000000003</v>
      </c>
      <c r="O3050">
        <v>-111.872198</v>
      </c>
      <c r="P3050">
        <v>4432.4185360000001</v>
      </c>
      <c r="Q3050">
        <v>318</v>
      </c>
      <c r="R3050">
        <v>0</v>
      </c>
    </row>
    <row r="3051" spans="1:18" x14ac:dyDescent="0.25">
      <c r="A3051">
        <v>3050</v>
      </c>
      <c r="B3051">
        <v>94</v>
      </c>
      <c r="C3051">
        <v>1060989</v>
      </c>
      <c r="D3051" t="s">
        <v>171</v>
      </c>
      <c r="E3051">
        <v>11.324</v>
      </c>
      <c r="F3051" t="s">
        <v>19</v>
      </c>
      <c r="G3051" t="s">
        <v>20</v>
      </c>
      <c r="H3051" t="s">
        <v>21</v>
      </c>
      <c r="I3051" t="s">
        <v>20</v>
      </c>
      <c r="J3051" t="s">
        <v>20</v>
      </c>
      <c r="K3051" t="s">
        <v>31</v>
      </c>
      <c r="L3051" t="s">
        <v>69</v>
      </c>
      <c r="M3051" t="s">
        <v>79</v>
      </c>
      <c r="N3051">
        <v>40.699869</v>
      </c>
      <c r="O3051">
        <v>-111.87697</v>
      </c>
      <c r="P3051">
        <v>4207.0162170000003</v>
      </c>
      <c r="Q3051">
        <v>346</v>
      </c>
      <c r="R3051">
        <v>0</v>
      </c>
    </row>
    <row r="3052" spans="1:18" x14ac:dyDescent="0.25">
      <c r="A3052">
        <v>3051</v>
      </c>
      <c r="B3052">
        <v>94</v>
      </c>
      <c r="C3052" t="s">
        <v>538</v>
      </c>
      <c r="D3052" t="s">
        <v>322</v>
      </c>
      <c r="E3052">
        <v>11.329000000000001</v>
      </c>
      <c r="F3052" t="s">
        <v>21</v>
      </c>
      <c r="G3052" t="s">
        <v>20</v>
      </c>
      <c r="H3052" t="s">
        <v>21</v>
      </c>
      <c r="I3052" t="s">
        <v>20</v>
      </c>
      <c r="J3052" t="s">
        <v>20</v>
      </c>
      <c r="K3052" t="s">
        <v>31</v>
      </c>
      <c r="L3052" t="s">
        <v>84</v>
      </c>
      <c r="M3052" t="s">
        <v>24</v>
      </c>
      <c r="N3052">
        <v>40.551761999999997</v>
      </c>
      <c r="O3052">
        <v>-112.028841</v>
      </c>
      <c r="P3052">
        <v>4878.6104619999996</v>
      </c>
      <c r="Q3052">
        <v>6660</v>
      </c>
      <c r="R3052">
        <v>0</v>
      </c>
    </row>
    <row r="3053" spans="1:18" x14ac:dyDescent="0.25">
      <c r="A3053">
        <v>3052</v>
      </c>
      <c r="B3053">
        <v>94</v>
      </c>
      <c r="C3053" t="e">
        <f>-Ip5UEI5HiiqJQ54zIWN0F</f>
        <v>#NAME?</v>
      </c>
      <c r="D3053" t="s">
        <v>208</v>
      </c>
      <c r="E3053">
        <v>11.337</v>
      </c>
      <c r="F3053" t="s">
        <v>19</v>
      </c>
      <c r="G3053" t="s">
        <v>20</v>
      </c>
      <c r="H3053" t="s">
        <v>21</v>
      </c>
      <c r="I3053" t="s">
        <v>20</v>
      </c>
      <c r="J3053" t="s">
        <v>20</v>
      </c>
      <c r="K3053" t="s">
        <v>31</v>
      </c>
      <c r="L3053" t="s">
        <v>209</v>
      </c>
      <c r="M3053" t="s">
        <v>131</v>
      </c>
      <c r="N3053">
        <v>40.724502999999999</v>
      </c>
      <c r="O3053">
        <v>-111.544686</v>
      </c>
      <c r="P3053">
        <v>6376.4526569999998</v>
      </c>
      <c r="Q3053">
        <v>357</v>
      </c>
      <c r="R3053">
        <v>0</v>
      </c>
    </row>
    <row r="3054" spans="1:18" x14ac:dyDescent="0.25">
      <c r="A3054">
        <v>3053</v>
      </c>
      <c r="B3054">
        <v>94</v>
      </c>
      <c r="C3054">
        <v>1232852</v>
      </c>
      <c r="D3054" t="s">
        <v>100</v>
      </c>
      <c r="E3054">
        <v>11.339</v>
      </c>
      <c r="F3054" t="s">
        <v>19</v>
      </c>
      <c r="G3054" t="s">
        <v>20</v>
      </c>
      <c r="H3054" t="s">
        <v>19</v>
      </c>
      <c r="I3054">
        <v>37</v>
      </c>
      <c r="J3054" t="s">
        <v>20</v>
      </c>
      <c r="K3054" t="s">
        <v>41</v>
      </c>
      <c r="L3054" t="s">
        <v>57</v>
      </c>
      <c r="M3054" t="s">
        <v>46</v>
      </c>
      <c r="N3054">
        <v>41.190631000000003</v>
      </c>
      <c r="O3054">
        <v>-112.048309</v>
      </c>
      <c r="P3054">
        <v>4254.5389750000004</v>
      </c>
      <c r="Q3054">
        <v>1396</v>
      </c>
      <c r="R3054">
        <v>0</v>
      </c>
    </row>
    <row r="3055" spans="1:18" x14ac:dyDescent="0.25">
      <c r="A3055">
        <v>3054</v>
      </c>
      <c r="B3055">
        <v>94</v>
      </c>
      <c r="C3055">
        <v>31193188</v>
      </c>
      <c r="D3055" t="s">
        <v>310</v>
      </c>
      <c r="E3055">
        <v>11.339</v>
      </c>
      <c r="F3055" t="s">
        <v>21</v>
      </c>
      <c r="G3055" t="s">
        <v>26</v>
      </c>
      <c r="H3055" t="s">
        <v>21</v>
      </c>
      <c r="I3055" t="s">
        <v>20</v>
      </c>
      <c r="J3055" t="s">
        <v>20</v>
      </c>
      <c r="K3055" t="s">
        <v>31</v>
      </c>
      <c r="L3055" t="s">
        <v>285</v>
      </c>
      <c r="M3055" t="s">
        <v>206</v>
      </c>
      <c r="N3055">
        <v>40.599705999999998</v>
      </c>
      <c r="O3055">
        <v>-112.44249000000001</v>
      </c>
      <c r="P3055">
        <v>4232.3721699999996</v>
      </c>
      <c r="Q3055">
        <v>1414</v>
      </c>
      <c r="R3055">
        <v>0</v>
      </c>
    </row>
    <row r="3056" spans="1:18" x14ac:dyDescent="0.25">
      <c r="A3056">
        <v>3055</v>
      </c>
      <c r="B3056">
        <v>94</v>
      </c>
      <c r="C3056">
        <v>1516814</v>
      </c>
      <c r="D3056" t="s">
        <v>88</v>
      </c>
      <c r="E3056">
        <v>11.339</v>
      </c>
      <c r="F3056" t="s">
        <v>21</v>
      </c>
      <c r="G3056" t="s">
        <v>26</v>
      </c>
      <c r="H3056" t="s">
        <v>21</v>
      </c>
      <c r="I3056" t="s">
        <v>20</v>
      </c>
      <c r="J3056" t="s">
        <v>20</v>
      </c>
      <c r="K3056" t="s">
        <v>31</v>
      </c>
      <c r="L3056" t="s">
        <v>32</v>
      </c>
      <c r="M3056" t="s">
        <v>90</v>
      </c>
      <c r="N3056">
        <v>40.604137999999999</v>
      </c>
      <c r="O3056">
        <v>-111.87220499999999</v>
      </c>
      <c r="P3056">
        <v>4431.0111969999998</v>
      </c>
      <c r="Q3056">
        <v>318</v>
      </c>
      <c r="R3056">
        <v>0</v>
      </c>
    </row>
    <row r="3057" spans="1:18" x14ac:dyDescent="0.25">
      <c r="A3057">
        <v>3056</v>
      </c>
      <c r="B3057">
        <v>94</v>
      </c>
      <c r="C3057">
        <v>31194155</v>
      </c>
      <c r="D3057" t="s">
        <v>339</v>
      </c>
      <c r="E3057">
        <v>11.346</v>
      </c>
      <c r="F3057" t="s">
        <v>21</v>
      </c>
      <c r="G3057" t="s">
        <v>26</v>
      </c>
      <c r="H3057" t="s">
        <v>21</v>
      </c>
      <c r="I3057" t="s">
        <v>20</v>
      </c>
      <c r="J3057" t="s">
        <v>20</v>
      </c>
      <c r="K3057" t="s">
        <v>41</v>
      </c>
      <c r="L3057" t="s">
        <v>95</v>
      </c>
      <c r="M3057" t="s">
        <v>73</v>
      </c>
      <c r="N3057">
        <v>41.914622999999999</v>
      </c>
      <c r="O3057">
        <v>-111.923801</v>
      </c>
      <c r="P3057">
        <v>4406.6792160000005</v>
      </c>
      <c r="Q3057">
        <v>1417</v>
      </c>
      <c r="R3057">
        <v>0</v>
      </c>
    </row>
    <row r="3058" spans="1:18" x14ac:dyDescent="0.25">
      <c r="A3058">
        <v>3057</v>
      </c>
      <c r="B3058">
        <v>94</v>
      </c>
      <c r="C3058" t="s">
        <v>539</v>
      </c>
      <c r="D3058" t="s">
        <v>417</v>
      </c>
      <c r="E3058">
        <v>11.362</v>
      </c>
      <c r="F3058" t="s">
        <v>21</v>
      </c>
      <c r="G3058" t="s">
        <v>26</v>
      </c>
      <c r="H3058" t="s">
        <v>21</v>
      </c>
      <c r="I3058" t="s">
        <v>20</v>
      </c>
      <c r="J3058" t="s">
        <v>20</v>
      </c>
      <c r="K3058" t="s">
        <v>31</v>
      </c>
      <c r="L3058" t="s">
        <v>84</v>
      </c>
      <c r="M3058" t="s">
        <v>24</v>
      </c>
      <c r="N3058">
        <v>40.551198999999997</v>
      </c>
      <c r="O3058">
        <v>-112.03001</v>
      </c>
      <c r="P3058">
        <v>4882.3977560000003</v>
      </c>
      <c r="Q3058">
        <v>6765</v>
      </c>
      <c r="R3058">
        <v>0</v>
      </c>
    </row>
    <row r="3059" spans="1:18" x14ac:dyDescent="0.25">
      <c r="A3059">
        <v>3058</v>
      </c>
      <c r="B3059">
        <v>94</v>
      </c>
      <c r="C3059">
        <v>1516829</v>
      </c>
      <c r="D3059" t="s">
        <v>88</v>
      </c>
      <c r="E3059">
        <v>11.366</v>
      </c>
      <c r="F3059" t="s">
        <v>21</v>
      </c>
      <c r="G3059" t="s">
        <v>26</v>
      </c>
      <c r="H3059" t="s">
        <v>21</v>
      </c>
      <c r="I3059" t="s">
        <v>20</v>
      </c>
      <c r="J3059" t="s">
        <v>20</v>
      </c>
      <c r="K3059" t="s">
        <v>31</v>
      </c>
      <c r="L3059" t="s">
        <v>32</v>
      </c>
      <c r="M3059" t="s">
        <v>90</v>
      </c>
      <c r="N3059">
        <v>40.604528000000002</v>
      </c>
      <c r="O3059">
        <v>-111.87220600000001</v>
      </c>
      <c r="P3059">
        <v>4429.926813</v>
      </c>
      <c r="Q3059">
        <v>318</v>
      </c>
      <c r="R3059">
        <v>0</v>
      </c>
    </row>
    <row r="3060" spans="1:18" x14ac:dyDescent="0.25">
      <c r="A3060">
        <v>3059</v>
      </c>
      <c r="B3060">
        <v>94</v>
      </c>
      <c r="C3060">
        <v>31283969</v>
      </c>
      <c r="D3060" t="s">
        <v>126</v>
      </c>
      <c r="E3060">
        <v>11.37</v>
      </c>
      <c r="F3060" t="s">
        <v>19</v>
      </c>
      <c r="G3060" t="s">
        <v>20</v>
      </c>
      <c r="H3060" t="s">
        <v>21</v>
      </c>
      <c r="I3060" t="s">
        <v>20</v>
      </c>
      <c r="J3060" t="s">
        <v>20</v>
      </c>
      <c r="K3060" t="s">
        <v>41</v>
      </c>
      <c r="L3060" t="s">
        <v>57</v>
      </c>
      <c r="M3060" t="s">
        <v>93</v>
      </c>
      <c r="N3060">
        <v>41.306685999999999</v>
      </c>
      <c r="O3060">
        <v>-112.025226</v>
      </c>
      <c r="P3060">
        <v>4216.9121779999996</v>
      </c>
      <c r="Q3060">
        <v>1412</v>
      </c>
      <c r="R3060">
        <v>0</v>
      </c>
    </row>
    <row r="3061" spans="1:18" x14ac:dyDescent="0.25">
      <c r="A3061">
        <v>3060</v>
      </c>
      <c r="B3061">
        <v>94</v>
      </c>
      <c r="C3061">
        <v>31275684</v>
      </c>
      <c r="D3061" t="s">
        <v>303</v>
      </c>
      <c r="E3061">
        <v>11.374000000000001</v>
      </c>
      <c r="F3061" t="s">
        <v>21</v>
      </c>
      <c r="G3061" t="s">
        <v>26</v>
      </c>
      <c r="H3061" t="s">
        <v>21</v>
      </c>
      <c r="I3061" t="s">
        <v>20</v>
      </c>
      <c r="J3061" t="s">
        <v>20</v>
      </c>
      <c r="K3061" t="s">
        <v>27</v>
      </c>
      <c r="L3061" t="s">
        <v>72</v>
      </c>
      <c r="M3061" t="s">
        <v>73</v>
      </c>
      <c r="N3061">
        <v>37.195577</v>
      </c>
      <c r="O3061">
        <v>-113.275232</v>
      </c>
      <c r="P3061">
        <v>3110.5455459999998</v>
      </c>
      <c r="Q3061">
        <v>1326</v>
      </c>
      <c r="R3061">
        <v>0</v>
      </c>
    </row>
    <row r="3062" spans="1:18" x14ac:dyDescent="0.25">
      <c r="A3062">
        <v>3061</v>
      </c>
      <c r="B3062">
        <v>94</v>
      </c>
      <c r="C3062">
        <v>1061098</v>
      </c>
      <c r="D3062" t="s">
        <v>171</v>
      </c>
      <c r="E3062">
        <v>11.388</v>
      </c>
      <c r="F3062" t="s">
        <v>21</v>
      </c>
      <c r="G3062" t="s">
        <v>26</v>
      </c>
      <c r="H3062" t="s">
        <v>21</v>
      </c>
      <c r="I3062" t="s">
        <v>20</v>
      </c>
      <c r="J3062" t="s">
        <v>20</v>
      </c>
      <c r="K3062" t="s">
        <v>31</v>
      </c>
      <c r="L3062" t="s">
        <v>69</v>
      </c>
      <c r="M3062" t="s">
        <v>79</v>
      </c>
      <c r="N3062">
        <v>40.69988</v>
      </c>
      <c r="O3062">
        <v>-111.87575099999999</v>
      </c>
      <c r="P3062">
        <v>4209.4701869999999</v>
      </c>
      <c r="Q3062">
        <v>346</v>
      </c>
      <c r="R3062">
        <v>0</v>
      </c>
    </row>
    <row r="3063" spans="1:18" x14ac:dyDescent="0.25">
      <c r="A3063">
        <v>3062</v>
      </c>
      <c r="B3063">
        <v>94</v>
      </c>
      <c r="C3063">
        <v>31336685</v>
      </c>
      <c r="D3063" t="s">
        <v>333</v>
      </c>
      <c r="E3063">
        <v>11.39</v>
      </c>
      <c r="F3063" t="s">
        <v>19</v>
      </c>
      <c r="G3063" t="s">
        <v>20</v>
      </c>
      <c r="H3063" t="s">
        <v>21</v>
      </c>
      <c r="I3063" t="s">
        <v>20</v>
      </c>
      <c r="J3063" t="s">
        <v>20</v>
      </c>
      <c r="K3063" t="s">
        <v>31</v>
      </c>
      <c r="L3063" t="s">
        <v>48</v>
      </c>
      <c r="M3063" t="s">
        <v>49</v>
      </c>
      <c r="N3063">
        <v>40.587840999999997</v>
      </c>
      <c r="O3063">
        <v>-111.977113</v>
      </c>
      <c r="P3063">
        <v>4538.8830189999999</v>
      </c>
      <c r="Q3063">
        <v>1426</v>
      </c>
      <c r="R3063">
        <v>0</v>
      </c>
    </row>
    <row r="3064" spans="1:18" x14ac:dyDescent="0.25">
      <c r="A3064">
        <v>3063</v>
      </c>
      <c r="B3064">
        <v>94</v>
      </c>
      <c r="C3064" t="e">
        <f>-JYlPX66HALF__8PT4lNfk</f>
        <v>#NAME?</v>
      </c>
      <c r="D3064" t="s">
        <v>129</v>
      </c>
      <c r="E3064">
        <v>11.395</v>
      </c>
      <c r="F3064" t="s">
        <v>21</v>
      </c>
      <c r="G3064" t="s">
        <v>26</v>
      </c>
      <c r="H3064" t="s">
        <v>21</v>
      </c>
      <c r="I3064" t="s">
        <v>20</v>
      </c>
      <c r="J3064" t="s">
        <v>20</v>
      </c>
      <c r="K3064" t="s">
        <v>31</v>
      </c>
      <c r="L3064" t="s">
        <v>130</v>
      </c>
      <c r="M3064" t="s">
        <v>131</v>
      </c>
      <c r="N3064">
        <v>40.599043000000002</v>
      </c>
      <c r="O3064">
        <v>-111.101703</v>
      </c>
      <c r="P3064">
        <v>7468.4887269999999</v>
      </c>
      <c r="Q3064">
        <v>340</v>
      </c>
      <c r="R3064">
        <v>0</v>
      </c>
    </row>
    <row r="3065" spans="1:18" x14ac:dyDescent="0.25">
      <c r="A3065">
        <v>3064</v>
      </c>
      <c r="B3065">
        <v>94</v>
      </c>
      <c r="C3065">
        <v>1697513</v>
      </c>
      <c r="D3065" t="s">
        <v>100</v>
      </c>
      <c r="E3065">
        <v>11.398</v>
      </c>
      <c r="F3065" t="s">
        <v>21</v>
      </c>
      <c r="G3065" t="s">
        <v>26</v>
      </c>
      <c r="H3065" t="s">
        <v>21</v>
      </c>
      <c r="I3065" t="s">
        <v>20</v>
      </c>
      <c r="J3065" t="s">
        <v>20</v>
      </c>
      <c r="K3065" t="s">
        <v>41</v>
      </c>
      <c r="L3065" t="s">
        <v>57</v>
      </c>
      <c r="M3065" t="s">
        <v>46</v>
      </c>
      <c r="N3065">
        <v>41.191312000000003</v>
      </c>
      <c r="O3065">
        <v>-112.04759799999999</v>
      </c>
      <c r="P3065">
        <v>4254.5246699999998</v>
      </c>
      <c r="Q3065">
        <v>1396</v>
      </c>
      <c r="R3065">
        <v>0</v>
      </c>
    </row>
    <row r="3066" spans="1:18" x14ac:dyDescent="0.25">
      <c r="A3066">
        <v>3065</v>
      </c>
      <c r="B3066">
        <v>94</v>
      </c>
      <c r="C3066">
        <v>27970304</v>
      </c>
      <c r="D3066" t="s">
        <v>265</v>
      </c>
      <c r="E3066">
        <v>11.401</v>
      </c>
      <c r="F3066" t="s">
        <v>21</v>
      </c>
      <c r="G3066" t="s">
        <v>26</v>
      </c>
      <c r="H3066" t="s">
        <v>21</v>
      </c>
      <c r="I3066" t="s">
        <v>20</v>
      </c>
      <c r="J3066" t="s">
        <v>20</v>
      </c>
      <c r="K3066" t="s">
        <v>27</v>
      </c>
      <c r="L3066" t="s">
        <v>266</v>
      </c>
      <c r="M3066" t="s">
        <v>267</v>
      </c>
      <c r="N3066">
        <v>38.511505999999997</v>
      </c>
      <c r="O3066">
        <v>-111.52595700000001</v>
      </c>
      <c r="P3066">
        <v>8104.0752519999996</v>
      </c>
      <c r="Q3066">
        <v>1371</v>
      </c>
      <c r="R3066">
        <v>0</v>
      </c>
    </row>
    <row r="3067" spans="1:18" x14ac:dyDescent="0.25">
      <c r="A3067">
        <v>3066</v>
      </c>
      <c r="B3067">
        <v>94</v>
      </c>
      <c r="C3067">
        <v>31803899</v>
      </c>
      <c r="D3067" t="s">
        <v>118</v>
      </c>
      <c r="E3067">
        <v>114.84</v>
      </c>
      <c r="F3067" t="s">
        <v>21</v>
      </c>
      <c r="G3067" t="s">
        <v>26</v>
      </c>
      <c r="H3067" t="s">
        <v>21</v>
      </c>
      <c r="I3067" t="s">
        <v>20</v>
      </c>
      <c r="J3067" t="s">
        <v>20</v>
      </c>
      <c r="K3067" t="s">
        <v>22</v>
      </c>
      <c r="L3067" t="s">
        <v>133</v>
      </c>
      <c r="M3067" t="s">
        <v>169</v>
      </c>
      <c r="N3067">
        <v>40.302159000000003</v>
      </c>
      <c r="O3067">
        <v>-109.983841</v>
      </c>
      <c r="P3067">
        <v>5017.7177250000004</v>
      </c>
      <c r="Q3067">
        <v>310</v>
      </c>
      <c r="R3067">
        <v>0</v>
      </c>
    </row>
    <row r="3068" spans="1:18" x14ac:dyDescent="0.25">
      <c r="A3068">
        <v>3067</v>
      </c>
      <c r="B3068">
        <v>94</v>
      </c>
      <c r="C3068" t="e">
        <f>-JVxru6-Fo5inVR5sDxpRV</f>
        <v>#NAME?</v>
      </c>
      <c r="D3068" t="s">
        <v>347</v>
      </c>
      <c r="E3068">
        <v>29.349</v>
      </c>
      <c r="F3068" t="s">
        <v>21</v>
      </c>
      <c r="G3068" t="s">
        <v>26</v>
      </c>
      <c r="H3068" t="s">
        <v>21</v>
      </c>
      <c r="I3068" t="s">
        <v>20</v>
      </c>
      <c r="J3068" t="s">
        <v>20</v>
      </c>
      <c r="K3068" t="s">
        <v>41</v>
      </c>
      <c r="L3068" t="s">
        <v>325</v>
      </c>
      <c r="M3068" t="s">
        <v>204</v>
      </c>
      <c r="N3068">
        <v>41.772565999999998</v>
      </c>
      <c r="O3068">
        <v>-111.12204699999999</v>
      </c>
      <c r="P3068">
        <v>6205.9138389999998</v>
      </c>
      <c r="Q3068">
        <v>1334</v>
      </c>
      <c r="R3068">
        <v>0</v>
      </c>
    </row>
    <row r="3069" spans="1:18" x14ac:dyDescent="0.25">
      <c r="A3069">
        <v>3068</v>
      </c>
      <c r="B3069">
        <v>94</v>
      </c>
      <c r="C3069">
        <v>31569933</v>
      </c>
      <c r="D3069" t="s">
        <v>172</v>
      </c>
      <c r="E3069">
        <v>29.366</v>
      </c>
      <c r="F3069" t="s">
        <v>21</v>
      </c>
      <c r="G3069" t="s">
        <v>26</v>
      </c>
      <c r="H3069" t="s">
        <v>21</v>
      </c>
      <c r="I3069" t="s">
        <v>20</v>
      </c>
      <c r="J3069" t="s">
        <v>20</v>
      </c>
      <c r="K3069" t="s">
        <v>22</v>
      </c>
      <c r="L3069" t="s">
        <v>155</v>
      </c>
      <c r="M3069" t="s">
        <v>174</v>
      </c>
      <c r="N3069">
        <v>39.707039999999999</v>
      </c>
      <c r="O3069">
        <v>-111.907844</v>
      </c>
      <c r="P3069">
        <v>4953.8977789999999</v>
      </c>
      <c r="Q3069">
        <v>1411</v>
      </c>
      <c r="R3069">
        <v>0</v>
      </c>
    </row>
    <row r="3070" spans="1:18" x14ac:dyDescent="0.25">
      <c r="A3070">
        <v>3069</v>
      </c>
      <c r="B3070">
        <v>94</v>
      </c>
      <c r="C3070">
        <v>31307591</v>
      </c>
      <c r="D3070" t="s">
        <v>203</v>
      </c>
      <c r="E3070">
        <v>29.373000000000001</v>
      </c>
      <c r="F3070" t="s">
        <v>21</v>
      </c>
      <c r="G3070" t="s">
        <v>26</v>
      </c>
      <c r="H3070" t="s">
        <v>21</v>
      </c>
      <c r="I3070" t="s">
        <v>20</v>
      </c>
      <c r="J3070" t="s">
        <v>20</v>
      </c>
      <c r="K3070" t="s">
        <v>41</v>
      </c>
      <c r="L3070" t="s">
        <v>255</v>
      </c>
      <c r="M3070" t="s">
        <v>204</v>
      </c>
      <c r="N3070">
        <v>41.320543000000001</v>
      </c>
      <c r="O3070">
        <v>-111.615554</v>
      </c>
      <c r="P3070">
        <v>5639.4372659999999</v>
      </c>
      <c r="Q3070">
        <v>1349</v>
      </c>
      <c r="R3070">
        <v>0</v>
      </c>
    </row>
    <row r="3071" spans="1:18" x14ac:dyDescent="0.25">
      <c r="A3071">
        <v>3070</v>
      </c>
      <c r="B3071">
        <v>94</v>
      </c>
      <c r="C3071">
        <v>31400125</v>
      </c>
      <c r="D3071" t="s">
        <v>224</v>
      </c>
      <c r="E3071">
        <v>3.69</v>
      </c>
      <c r="F3071" t="s">
        <v>21</v>
      </c>
      <c r="G3071" t="s">
        <v>26</v>
      </c>
      <c r="H3071" t="s">
        <v>21</v>
      </c>
      <c r="I3071" t="s">
        <v>20</v>
      </c>
      <c r="J3071" t="s">
        <v>20</v>
      </c>
      <c r="K3071" t="s">
        <v>22</v>
      </c>
      <c r="L3071" t="s">
        <v>198</v>
      </c>
      <c r="M3071" t="s">
        <v>194</v>
      </c>
      <c r="N3071">
        <v>40.022680999999999</v>
      </c>
      <c r="O3071">
        <v>-111.742265</v>
      </c>
      <c r="P3071">
        <v>4686.383648</v>
      </c>
      <c r="Q3071">
        <v>408</v>
      </c>
      <c r="R3071">
        <v>0</v>
      </c>
    </row>
    <row r="3072" spans="1:18" x14ac:dyDescent="0.25">
      <c r="A3072">
        <v>3071</v>
      </c>
      <c r="B3072">
        <v>94</v>
      </c>
      <c r="C3072">
        <v>31388503</v>
      </c>
      <c r="D3072" t="s">
        <v>364</v>
      </c>
      <c r="E3072">
        <v>3.6909999999999998</v>
      </c>
      <c r="F3072" t="s">
        <v>21</v>
      </c>
      <c r="G3072" t="s">
        <v>26</v>
      </c>
      <c r="H3072" t="s">
        <v>19</v>
      </c>
      <c r="I3072">
        <v>147</v>
      </c>
      <c r="J3072" t="s">
        <v>20</v>
      </c>
      <c r="K3072" t="s">
        <v>22</v>
      </c>
      <c r="L3072" t="s">
        <v>198</v>
      </c>
      <c r="M3072" t="s">
        <v>85</v>
      </c>
      <c r="N3072">
        <v>40.098180999999997</v>
      </c>
      <c r="O3072">
        <v>-111.730903</v>
      </c>
      <c r="P3072">
        <v>4472.8679629999997</v>
      </c>
      <c r="Q3072">
        <v>1401</v>
      </c>
      <c r="R3072">
        <v>0</v>
      </c>
    </row>
    <row r="3073" spans="1:18" x14ac:dyDescent="0.25">
      <c r="A3073">
        <v>3072</v>
      </c>
      <c r="B3073">
        <v>94</v>
      </c>
      <c r="C3073">
        <v>28038148</v>
      </c>
      <c r="D3073" t="s">
        <v>59</v>
      </c>
      <c r="E3073">
        <v>3.6909999999999998</v>
      </c>
      <c r="F3073" t="s">
        <v>19</v>
      </c>
      <c r="G3073" t="s">
        <v>20</v>
      </c>
      <c r="H3073" t="s">
        <v>21</v>
      </c>
      <c r="I3073" t="s">
        <v>20</v>
      </c>
      <c r="J3073" t="s">
        <v>20</v>
      </c>
      <c r="K3073" t="s">
        <v>22</v>
      </c>
      <c r="L3073" t="s">
        <v>60</v>
      </c>
      <c r="M3073" t="s">
        <v>24</v>
      </c>
      <c r="N3073">
        <v>40.311981000000003</v>
      </c>
      <c r="O3073">
        <v>-111.664942</v>
      </c>
      <c r="P3073">
        <v>4809.8142349999998</v>
      </c>
      <c r="Q3073">
        <v>313</v>
      </c>
      <c r="R3073">
        <v>0</v>
      </c>
    </row>
    <row r="3074" spans="1:18" x14ac:dyDescent="0.25">
      <c r="A3074">
        <v>3073</v>
      </c>
      <c r="B3074">
        <v>94</v>
      </c>
      <c r="C3074">
        <v>1008386</v>
      </c>
      <c r="D3074" t="s">
        <v>171</v>
      </c>
      <c r="E3074">
        <v>3.6920000000000002</v>
      </c>
      <c r="F3074" t="s">
        <v>21</v>
      </c>
      <c r="G3074" t="s">
        <v>26</v>
      </c>
      <c r="H3074" t="s">
        <v>21</v>
      </c>
      <c r="I3074" t="s">
        <v>20</v>
      </c>
      <c r="J3074" t="s">
        <v>20</v>
      </c>
      <c r="K3074" t="s">
        <v>31</v>
      </c>
      <c r="L3074" t="s">
        <v>78</v>
      </c>
      <c r="M3074" t="s">
        <v>79</v>
      </c>
      <c r="N3074">
        <v>40.696564000000002</v>
      </c>
      <c r="O3074">
        <v>-112.021294</v>
      </c>
      <c r="P3074">
        <v>4237.7787239999998</v>
      </c>
      <c r="Q3074">
        <v>346</v>
      </c>
      <c r="R3074">
        <v>0</v>
      </c>
    </row>
    <row r="3075" spans="1:18" x14ac:dyDescent="0.25">
      <c r="A3075">
        <v>3074</v>
      </c>
      <c r="B3075">
        <v>94</v>
      </c>
      <c r="C3075">
        <v>31532036</v>
      </c>
      <c r="D3075" t="s">
        <v>390</v>
      </c>
      <c r="E3075">
        <v>25.018000000000001</v>
      </c>
      <c r="F3075" t="s">
        <v>21</v>
      </c>
      <c r="G3075" t="s">
        <v>26</v>
      </c>
      <c r="H3075" t="s">
        <v>21</v>
      </c>
      <c r="I3075" t="s">
        <v>20</v>
      </c>
      <c r="J3075" t="s">
        <v>20</v>
      </c>
      <c r="K3075" t="s">
        <v>22</v>
      </c>
      <c r="L3075" t="s">
        <v>60</v>
      </c>
      <c r="M3075" t="s">
        <v>335</v>
      </c>
      <c r="N3075">
        <v>40.390745000000003</v>
      </c>
      <c r="O3075">
        <v>-111.57654100000001</v>
      </c>
      <c r="P3075">
        <v>6022.4217449999996</v>
      </c>
      <c r="Q3075">
        <v>1386</v>
      </c>
      <c r="R3075">
        <v>0</v>
      </c>
    </row>
    <row r="3076" spans="1:18" x14ac:dyDescent="0.25">
      <c r="A3076">
        <v>3075</v>
      </c>
      <c r="B3076">
        <v>94</v>
      </c>
      <c r="C3076">
        <v>31306944</v>
      </c>
      <c r="D3076" t="s">
        <v>116</v>
      </c>
      <c r="E3076">
        <v>25.04</v>
      </c>
      <c r="F3076" t="s">
        <v>21</v>
      </c>
      <c r="G3076" t="s">
        <v>26</v>
      </c>
      <c r="H3076" t="s">
        <v>21</v>
      </c>
      <c r="I3076" t="s">
        <v>20</v>
      </c>
      <c r="J3076" t="s">
        <v>20</v>
      </c>
      <c r="K3076" t="s">
        <v>41</v>
      </c>
      <c r="L3076" t="s">
        <v>42</v>
      </c>
      <c r="M3076" t="s">
        <v>43</v>
      </c>
      <c r="N3076">
        <v>41.710366</v>
      </c>
      <c r="O3076">
        <v>-111.842072</v>
      </c>
      <c r="P3076">
        <v>4433.5992180000003</v>
      </c>
      <c r="Q3076">
        <v>324</v>
      </c>
      <c r="R3076">
        <v>0</v>
      </c>
    </row>
    <row r="3077" spans="1:18" x14ac:dyDescent="0.25">
      <c r="A3077">
        <v>3076</v>
      </c>
      <c r="B3077">
        <v>94</v>
      </c>
      <c r="C3077" t="s">
        <v>540</v>
      </c>
      <c r="D3077" t="s">
        <v>124</v>
      </c>
      <c r="E3077">
        <v>25.053000000000001</v>
      </c>
      <c r="F3077" t="s">
        <v>21</v>
      </c>
      <c r="G3077" t="s">
        <v>20</v>
      </c>
      <c r="H3077" t="s">
        <v>21</v>
      </c>
      <c r="I3077" t="s">
        <v>20</v>
      </c>
      <c r="J3077" t="s">
        <v>20</v>
      </c>
      <c r="K3077" t="s">
        <v>22</v>
      </c>
      <c r="L3077" t="s">
        <v>84</v>
      </c>
      <c r="M3077" t="s">
        <v>194</v>
      </c>
      <c r="N3077">
        <v>40.28593</v>
      </c>
      <c r="O3077">
        <v>-111.874756</v>
      </c>
      <c r="P3077">
        <v>4529.3346369999999</v>
      </c>
      <c r="Q3077">
        <v>1368</v>
      </c>
      <c r="R3077">
        <v>0</v>
      </c>
    </row>
    <row r="3078" spans="1:18" x14ac:dyDescent="0.25">
      <c r="A3078">
        <v>3077</v>
      </c>
      <c r="B3078">
        <v>94</v>
      </c>
      <c r="C3078">
        <v>31630973</v>
      </c>
      <c r="D3078" t="s">
        <v>227</v>
      </c>
      <c r="E3078">
        <v>2.819</v>
      </c>
      <c r="F3078" t="s">
        <v>21</v>
      </c>
      <c r="G3078" t="s">
        <v>26</v>
      </c>
      <c r="H3078" t="s">
        <v>21</v>
      </c>
      <c r="I3078" t="s">
        <v>20</v>
      </c>
      <c r="J3078" t="s">
        <v>20</v>
      </c>
      <c r="K3078" t="s">
        <v>27</v>
      </c>
      <c r="L3078" t="s">
        <v>158</v>
      </c>
      <c r="M3078" t="s">
        <v>190</v>
      </c>
      <c r="N3078">
        <v>39.534052000000003</v>
      </c>
      <c r="O3078">
        <v>-110.52321499999999</v>
      </c>
      <c r="P3078">
        <v>5657.4800690000002</v>
      </c>
      <c r="Q3078">
        <v>1407</v>
      </c>
      <c r="R3078">
        <v>0</v>
      </c>
    </row>
    <row r="3079" spans="1:18" x14ac:dyDescent="0.25">
      <c r="A3079">
        <v>3078</v>
      </c>
      <c r="B3079">
        <v>94</v>
      </c>
      <c r="C3079">
        <v>28008338</v>
      </c>
      <c r="D3079" t="s">
        <v>59</v>
      </c>
      <c r="E3079">
        <v>2.819</v>
      </c>
      <c r="F3079" t="s">
        <v>21</v>
      </c>
      <c r="G3079" t="s">
        <v>26</v>
      </c>
      <c r="H3079" t="s">
        <v>21</v>
      </c>
      <c r="I3079" t="s">
        <v>20</v>
      </c>
      <c r="J3079" t="s">
        <v>20</v>
      </c>
      <c r="K3079" t="s">
        <v>22</v>
      </c>
      <c r="L3079" t="s">
        <v>60</v>
      </c>
      <c r="M3079" t="s">
        <v>24</v>
      </c>
      <c r="N3079">
        <v>40.311883000000002</v>
      </c>
      <c r="O3079">
        <v>-111.681394</v>
      </c>
      <c r="P3079">
        <v>4771.6349659999996</v>
      </c>
      <c r="Q3079">
        <v>313</v>
      </c>
      <c r="R3079">
        <v>0</v>
      </c>
    </row>
    <row r="3080" spans="1:18" x14ac:dyDescent="0.25">
      <c r="A3080">
        <v>3079</v>
      </c>
      <c r="B3080">
        <v>94</v>
      </c>
      <c r="C3080">
        <v>31436789</v>
      </c>
      <c r="D3080" t="s">
        <v>333</v>
      </c>
      <c r="E3080">
        <v>22.262</v>
      </c>
      <c r="F3080" t="s">
        <v>19</v>
      </c>
      <c r="G3080" t="s">
        <v>20</v>
      </c>
      <c r="H3080" t="s">
        <v>21</v>
      </c>
      <c r="I3080" t="s">
        <v>20</v>
      </c>
      <c r="J3080" t="s">
        <v>20</v>
      </c>
      <c r="K3080" t="s">
        <v>31</v>
      </c>
      <c r="L3080" t="s">
        <v>78</v>
      </c>
      <c r="M3080" t="s">
        <v>49</v>
      </c>
      <c r="N3080">
        <v>40.743273000000002</v>
      </c>
      <c r="O3080">
        <v>-111.98963999999999</v>
      </c>
      <c r="P3080">
        <v>4185.6754849999998</v>
      </c>
      <c r="Q3080">
        <v>1426</v>
      </c>
      <c r="R3080">
        <v>0</v>
      </c>
    </row>
    <row r="3081" spans="1:18" x14ac:dyDescent="0.25">
      <c r="A3081">
        <v>3080</v>
      </c>
      <c r="B3081">
        <v>94</v>
      </c>
      <c r="C3081" t="e">
        <f>-IowaTkGGxL5hpp6KzaAUF</f>
        <v>#NAME?</v>
      </c>
      <c r="D3081" t="s">
        <v>203</v>
      </c>
      <c r="E3081">
        <v>22.274999999999999</v>
      </c>
      <c r="F3081" t="s">
        <v>21</v>
      </c>
      <c r="G3081" t="s">
        <v>20</v>
      </c>
      <c r="H3081" t="s">
        <v>21</v>
      </c>
      <c r="I3081" t="s">
        <v>20</v>
      </c>
      <c r="J3081" t="s">
        <v>20</v>
      </c>
      <c r="K3081" t="s">
        <v>41</v>
      </c>
      <c r="L3081" t="s">
        <v>255</v>
      </c>
      <c r="M3081" t="s">
        <v>204</v>
      </c>
      <c r="N3081">
        <v>41.261107000000003</v>
      </c>
      <c r="O3081">
        <v>-111.704748</v>
      </c>
      <c r="P3081">
        <v>5027.3976979999998</v>
      </c>
      <c r="Q3081">
        <v>1349</v>
      </c>
      <c r="R3081">
        <v>0</v>
      </c>
    </row>
    <row r="3082" spans="1:18" x14ac:dyDescent="0.25">
      <c r="A3082">
        <v>3081</v>
      </c>
      <c r="B3082">
        <v>94</v>
      </c>
      <c r="C3082">
        <v>31473032</v>
      </c>
      <c r="D3082" t="s">
        <v>213</v>
      </c>
      <c r="E3082">
        <v>22.303000000000001</v>
      </c>
      <c r="F3082" t="s">
        <v>21</v>
      </c>
      <c r="G3082" t="s">
        <v>26</v>
      </c>
      <c r="H3082" t="s">
        <v>21</v>
      </c>
      <c r="I3082" t="s">
        <v>20</v>
      </c>
      <c r="J3082" t="s">
        <v>20</v>
      </c>
      <c r="K3082" t="s">
        <v>27</v>
      </c>
      <c r="L3082" t="s">
        <v>173</v>
      </c>
      <c r="M3082" t="s">
        <v>214</v>
      </c>
      <c r="N3082">
        <v>39.072184999999998</v>
      </c>
      <c r="O3082">
        <v>-113.647719</v>
      </c>
      <c r="P3082">
        <v>6174.0870869999999</v>
      </c>
      <c r="Q3082">
        <v>1332</v>
      </c>
      <c r="R3082">
        <v>0</v>
      </c>
    </row>
    <row r="3083" spans="1:18" x14ac:dyDescent="0.25">
      <c r="A3083">
        <v>3082</v>
      </c>
      <c r="B3083">
        <v>94</v>
      </c>
      <c r="C3083">
        <v>31305190</v>
      </c>
      <c r="D3083" t="s">
        <v>116</v>
      </c>
      <c r="E3083">
        <v>22.311</v>
      </c>
      <c r="F3083" t="s">
        <v>21</v>
      </c>
      <c r="G3083" t="s">
        <v>26</v>
      </c>
      <c r="H3083" t="s">
        <v>21</v>
      </c>
      <c r="I3083" t="s">
        <v>20</v>
      </c>
      <c r="J3083" t="s">
        <v>20</v>
      </c>
      <c r="K3083" t="s">
        <v>41</v>
      </c>
      <c r="L3083" t="s">
        <v>42</v>
      </c>
      <c r="M3083" t="s">
        <v>43</v>
      </c>
      <c r="N3083">
        <v>41.681054000000003</v>
      </c>
      <c r="O3083">
        <v>-111.877424</v>
      </c>
      <c r="P3083">
        <v>4437.5945609999999</v>
      </c>
      <c r="Q3083">
        <v>324</v>
      </c>
      <c r="R3083">
        <v>0</v>
      </c>
    </row>
    <row r="3084" spans="1:18" x14ac:dyDescent="0.25">
      <c r="A3084">
        <v>3083</v>
      </c>
      <c r="B3084">
        <v>94</v>
      </c>
      <c r="C3084">
        <v>1573935</v>
      </c>
      <c r="D3084" t="s">
        <v>88</v>
      </c>
      <c r="E3084">
        <v>22.323</v>
      </c>
      <c r="F3084" t="s">
        <v>19</v>
      </c>
      <c r="G3084" t="s">
        <v>20</v>
      </c>
      <c r="H3084" t="s">
        <v>21</v>
      </c>
      <c r="I3084" t="s">
        <v>20</v>
      </c>
      <c r="J3084" t="s">
        <v>20</v>
      </c>
      <c r="K3084" t="s">
        <v>31</v>
      </c>
      <c r="L3084" t="s">
        <v>66</v>
      </c>
      <c r="M3084" t="s">
        <v>90</v>
      </c>
      <c r="N3084">
        <v>40.758490999999999</v>
      </c>
      <c r="O3084">
        <v>-111.871056</v>
      </c>
      <c r="P3084">
        <v>4254.6859750000003</v>
      </c>
      <c r="Q3084">
        <v>318</v>
      </c>
      <c r="R3084">
        <v>0</v>
      </c>
    </row>
    <row r="3085" spans="1:18" x14ac:dyDescent="0.25">
      <c r="A3085">
        <v>3084</v>
      </c>
      <c r="B3085">
        <v>94</v>
      </c>
      <c r="C3085">
        <v>31764697</v>
      </c>
      <c r="D3085" t="s">
        <v>312</v>
      </c>
      <c r="E3085">
        <v>22.338999999999999</v>
      </c>
      <c r="F3085" t="s">
        <v>21</v>
      </c>
      <c r="G3085" t="s">
        <v>26</v>
      </c>
      <c r="H3085" t="s">
        <v>21</v>
      </c>
      <c r="I3085" t="s">
        <v>20</v>
      </c>
      <c r="J3085" t="s">
        <v>20</v>
      </c>
      <c r="K3085" t="s">
        <v>27</v>
      </c>
      <c r="L3085" t="s">
        <v>143</v>
      </c>
      <c r="M3085" t="s">
        <v>313</v>
      </c>
      <c r="N3085">
        <v>38.716797999999997</v>
      </c>
      <c r="O3085">
        <v>-112.968847</v>
      </c>
      <c r="P3085">
        <v>4783.792383</v>
      </c>
      <c r="Q3085">
        <v>255</v>
      </c>
      <c r="R3085">
        <v>0</v>
      </c>
    </row>
    <row r="3086" spans="1:18" x14ac:dyDescent="0.25">
      <c r="A3086">
        <v>3085</v>
      </c>
      <c r="B3086">
        <v>94</v>
      </c>
      <c r="C3086">
        <v>31512091</v>
      </c>
      <c r="D3086" t="s">
        <v>292</v>
      </c>
      <c r="E3086">
        <v>22.385000000000002</v>
      </c>
      <c r="F3086" t="s">
        <v>21</v>
      </c>
      <c r="G3086" t="s">
        <v>26</v>
      </c>
      <c r="H3086" t="s">
        <v>21</v>
      </c>
      <c r="I3086" t="s">
        <v>20</v>
      </c>
      <c r="J3086" t="s">
        <v>20</v>
      </c>
      <c r="K3086" t="s">
        <v>22</v>
      </c>
      <c r="L3086" t="s">
        <v>253</v>
      </c>
      <c r="M3086" t="s">
        <v>134</v>
      </c>
      <c r="N3086">
        <v>40.352099000000003</v>
      </c>
      <c r="O3086">
        <v>-110.275212</v>
      </c>
      <c r="P3086">
        <v>6264.6672980000003</v>
      </c>
      <c r="Q3086">
        <v>323</v>
      </c>
      <c r="R3086">
        <v>0</v>
      </c>
    </row>
    <row r="3087" spans="1:18" x14ac:dyDescent="0.25">
      <c r="A3087">
        <v>3086</v>
      </c>
      <c r="B3087">
        <v>94</v>
      </c>
      <c r="C3087">
        <v>28174443</v>
      </c>
      <c r="D3087" t="s">
        <v>233</v>
      </c>
      <c r="E3087">
        <v>21.713999999999999</v>
      </c>
      <c r="F3087" t="s">
        <v>21</v>
      </c>
      <c r="G3087" t="s">
        <v>26</v>
      </c>
      <c r="H3087" t="s">
        <v>21</v>
      </c>
      <c r="I3087" t="s">
        <v>20</v>
      </c>
      <c r="J3087" t="s">
        <v>20</v>
      </c>
      <c r="K3087" t="s">
        <v>22</v>
      </c>
      <c r="L3087" t="s">
        <v>234</v>
      </c>
      <c r="M3087" t="s">
        <v>235</v>
      </c>
      <c r="N3087">
        <v>40.202714999999998</v>
      </c>
      <c r="O3087">
        <v>-109.353767</v>
      </c>
      <c r="P3087">
        <v>5524.9353590000001</v>
      </c>
      <c r="Q3087">
        <v>1354</v>
      </c>
      <c r="R3087">
        <v>0</v>
      </c>
    </row>
    <row r="3088" spans="1:18" x14ac:dyDescent="0.25">
      <c r="A3088">
        <v>3087</v>
      </c>
      <c r="B3088">
        <v>94</v>
      </c>
      <c r="C3088">
        <v>31277726</v>
      </c>
      <c r="D3088" t="s">
        <v>241</v>
      </c>
      <c r="E3088">
        <v>21.722000000000001</v>
      </c>
      <c r="F3088" t="s">
        <v>21</v>
      </c>
      <c r="G3088" t="s">
        <v>26</v>
      </c>
      <c r="H3088" t="s">
        <v>21</v>
      </c>
      <c r="I3088" t="s">
        <v>20</v>
      </c>
      <c r="J3088" t="s">
        <v>20</v>
      </c>
      <c r="K3088" t="s">
        <v>27</v>
      </c>
      <c r="L3088" t="s">
        <v>242</v>
      </c>
      <c r="M3088" t="s">
        <v>243</v>
      </c>
      <c r="N3088">
        <v>39.020622000000003</v>
      </c>
      <c r="O3088">
        <v>-111.139473</v>
      </c>
      <c r="P3088">
        <v>6186.1057790000004</v>
      </c>
      <c r="Q3088">
        <v>1327</v>
      </c>
      <c r="R3088">
        <v>0</v>
      </c>
    </row>
    <row r="3089" spans="1:18" x14ac:dyDescent="0.25">
      <c r="A3089">
        <v>3088</v>
      </c>
      <c r="B3089">
        <v>94</v>
      </c>
      <c r="C3089">
        <v>1567803</v>
      </c>
      <c r="D3089" t="s">
        <v>88</v>
      </c>
      <c r="E3089">
        <v>21.724</v>
      </c>
      <c r="F3089" t="s">
        <v>19</v>
      </c>
      <c r="G3089" t="s">
        <v>20</v>
      </c>
      <c r="H3089" t="s">
        <v>21</v>
      </c>
      <c r="I3089" t="s">
        <v>20</v>
      </c>
      <c r="J3089" t="s">
        <v>20</v>
      </c>
      <c r="K3089" t="s">
        <v>31</v>
      </c>
      <c r="L3089" t="s">
        <v>66</v>
      </c>
      <c r="M3089" t="s">
        <v>90</v>
      </c>
      <c r="N3089">
        <v>40.749794999999999</v>
      </c>
      <c r="O3089">
        <v>-111.87110800000001</v>
      </c>
      <c r="P3089">
        <v>4222.5781859999997</v>
      </c>
      <c r="Q3089">
        <v>318</v>
      </c>
      <c r="R3089">
        <v>0</v>
      </c>
    </row>
    <row r="3090" spans="1:18" x14ac:dyDescent="0.25">
      <c r="A3090">
        <v>3089</v>
      </c>
      <c r="B3090">
        <v>94</v>
      </c>
      <c r="C3090">
        <v>31294705</v>
      </c>
      <c r="D3090" t="s">
        <v>315</v>
      </c>
      <c r="E3090">
        <v>21.728999999999999</v>
      </c>
      <c r="F3090" t="s">
        <v>21</v>
      </c>
      <c r="G3090" t="s">
        <v>26</v>
      </c>
      <c r="H3090" t="s">
        <v>19</v>
      </c>
      <c r="I3090">
        <v>10</v>
      </c>
      <c r="J3090" t="s">
        <v>20</v>
      </c>
      <c r="K3090" t="s">
        <v>27</v>
      </c>
      <c r="L3090" t="s">
        <v>111</v>
      </c>
      <c r="M3090" t="s">
        <v>243</v>
      </c>
      <c r="N3090">
        <v>39.245519999999999</v>
      </c>
      <c r="O3090">
        <v>-110.988381</v>
      </c>
      <c r="P3090">
        <v>5652.8957179999998</v>
      </c>
      <c r="Q3090">
        <v>307</v>
      </c>
      <c r="R3090">
        <v>0</v>
      </c>
    </row>
    <row r="3091" spans="1:18" x14ac:dyDescent="0.25">
      <c r="A3091">
        <v>3090</v>
      </c>
      <c r="B3091">
        <v>94</v>
      </c>
      <c r="C3091" t="e">
        <f>-Iov9r4_HUPawk_WpS0S_F</f>
        <v>#NAME?</v>
      </c>
      <c r="D3091" t="s">
        <v>176</v>
      </c>
      <c r="E3091">
        <v>21.738</v>
      </c>
      <c r="F3091" t="s">
        <v>21</v>
      </c>
      <c r="G3091" t="s">
        <v>26</v>
      </c>
      <c r="H3091" t="s">
        <v>21</v>
      </c>
      <c r="I3091" t="s">
        <v>20</v>
      </c>
      <c r="J3091" t="s">
        <v>20</v>
      </c>
      <c r="K3091" t="s">
        <v>41</v>
      </c>
      <c r="L3091" t="s">
        <v>223</v>
      </c>
      <c r="M3091" t="s">
        <v>178</v>
      </c>
      <c r="N3091">
        <v>41.734875000000002</v>
      </c>
      <c r="O3091">
        <v>-112.143323</v>
      </c>
      <c r="P3091">
        <v>4286.2124590000003</v>
      </c>
      <c r="Q3091">
        <v>1329</v>
      </c>
      <c r="R3091">
        <v>0</v>
      </c>
    </row>
    <row r="3092" spans="1:18" x14ac:dyDescent="0.25">
      <c r="A3092">
        <v>3091</v>
      </c>
      <c r="B3092">
        <v>94</v>
      </c>
      <c r="C3092">
        <v>31494347</v>
      </c>
      <c r="D3092" t="s">
        <v>353</v>
      </c>
      <c r="E3092">
        <v>21.744</v>
      </c>
      <c r="F3092" t="s">
        <v>21</v>
      </c>
      <c r="G3092" t="s">
        <v>20</v>
      </c>
      <c r="H3092" t="s">
        <v>21</v>
      </c>
      <c r="I3092" t="s">
        <v>20</v>
      </c>
      <c r="J3092" t="s">
        <v>20</v>
      </c>
      <c r="K3092" t="s">
        <v>41</v>
      </c>
      <c r="L3092" t="s">
        <v>137</v>
      </c>
      <c r="M3092" t="s">
        <v>138</v>
      </c>
      <c r="N3092">
        <v>40.953668999999998</v>
      </c>
      <c r="O3092">
        <v>-111.549622</v>
      </c>
      <c r="P3092">
        <v>6213.139338</v>
      </c>
      <c r="Q3092">
        <v>1367</v>
      </c>
      <c r="R3092">
        <v>0</v>
      </c>
    </row>
    <row r="3093" spans="1:18" x14ac:dyDescent="0.25">
      <c r="A3093">
        <v>3092</v>
      </c>
      <c r="B3093">
        <v>94</v>
      </c>
      <c r="C3093">
        <v>31728924</v>
      </c>
      <c r="D3093" t="s">
        <v>541</v>
      </c>
      <c r="E3093">
        <v>2.8439999999999999</v>
      </c>
      <c r="F3093" t="s">
        <v>21</v>
      </c>
      <c r="G3093" t="s">
        <v>26</v>
      </c>
      <c r="H3093" t="s">
        <v>21</v>
      </c>
      <c r="I3093" t="s">
        <v>20</v>
      </c>
      <c r="J3093" t="s">
        <v>20</v>
      </c>
      <c r="K3093" t="s">
        <v>27</v>
      </c>
      <c r="L3093" t="s">
        <v>158</v>
      </c>
      <c r="M3093" t="s">
        <v>112</v>
      </c>
      <c r="N3093">
        <v>39.485926999999997</v>
      </c>
      <c r="O3093">
        <v>-110.95404000000001</v>
      </c>
      <c r="P3093">
        <v>6560.5282379999999</v>
      </c>
      <c r="Q3093">
        <v>1406</v>
      </c>
      <c r="R3093">
        <v>0</v>
      </c>
    </row>
    <row r="3094" spans="1:18" x14ac:dyDescent="0.25">
      <c r="A3094">
        <v>3093</v>
      </c>
      <c r="B3094">
        <v>94</v>
      </c>
      <c r="C3094">
        <v>1111488</v>
      </c>
      <c r="D3094" t="s">
        <v>101</v>
      </c>
      <c r="E3094">
        <v>2.8490000000000002</v>
      </c>
      <c r="F3094" t="s">
        <v>21</v>
      </c>
      <c r="G3094" t="s">
        <v>26</v>
      </c>
      <c r="H3094" t="s">
        <v>21</v>
      </c>
      <c r="I3094" t="s">
        <v>20</v>
      </c>
      <c r="J3094" t="s">
        <v>20</v>
      </c>
      <c r="K3094" t="s">
        <v>41</v>
      </c>
      <c r="L3094" t="s">
        <v>57</v>
      </c>
      <c r="M3094" t="s">
        <v>58</v>
      </c>
      <c r="N3094">
        <v>41.118094999999997</v>
      </c>
      <c r="O3094">
        <v>-112.05799500000001</v>
      </c>
      <c r="P3094">
        <v>4323.02196</v>
      </c>
      <c r="Q3094">
        <v>328</v>
      </c>
      <c r="R3094">
        <v>0</v>
      </c>
    </row>
    <row r="3095" spans="1:18" x14ac:dyDescent="0.25">
      <c r="A3095">
        <v>3094</v>
      </c>
      <c r="B3095">
        <v>94</v>
      </c>
      <c r="C3095">
        <v>31191260</v>
      </c>
      <c r="D3095" t="s">
        <v>310</v>
      </c>
      <c r="E3095">
        <v>2.8490000000000002</v>
      </c>
      <c r="F3095" t="s">
        <v>21</v>
      </c>
      <c r="G3095" t="s">
        <v>26</v>
      </c>
      <c r="H3095" t="s">
        <v>21</v>
      </c>
      <c r="I3095" t="s">
        <v>20</v>
      </c>
      <c r="J3095" t="s">
        <v>20</v>
      </c>
      <c r="K3095" t="s">
        <v>31</v>
      </c>
      <c r="L3095" t="s">
        <v>285</v>
      </c>
      <c r="M3095" t="s">
        <v>206</v>
      </c>
      <c r="N3095">
        <v>40.676493999999998</v>
      </c>
      <c r="O3095">
        <v>-112.550459</v>
      </c>
      <c r="P3095">
        <v>4188.1266500000002</v>
      </c>
      <c r="Q3095">
        <v>1414</v>
      </c>
      <c r="R3095">
        <v>0</v>
      </c>
    </row>
    <row r="3096" spans="1:18" x14ac:dyDescent="0.25">
      <c r="A3096">
        <v>3095</v>
      </c>
      <c r="B3096">
        <v>94</v>
      </c>
      <c r="C3096">
        <v>27686100</v>
      </c>
      <c r="D3096" t="s">
        <v>217</v>
      </c>
      <c r="E3096">
        <v>2.8530000000000002</v>
      </c>
      <c r="F3096" t="s">
        <v>21</v>
      </c>
      <c r="G3096" t="s">
        <v>26</v>
      </c>
      <c r="H3096" t="s">
        <v>21</v>
      </c>
      <c r="I3096" t="s">
        <v>20</v>
      </c>
      <c r="J3096" t="s">
        <v>20</v>
      </c>
      <c r="K3096" t="s">
        <v>27</v>
      </c>
      <c r="L3096" t="s">
        <v>72</v>
      </c>
      <c r="M3096" t="s">
        <v>163</v>
      </c>
      <c r="N3096">
        <v>37.120106</v>
      </c>
      <c r="O3096">
        <v>-113.598399</v>
      </c>
      <c r="P3096">
        <v>2787.0922690000002</v>
      </c>
      <c r="Q3096">
        <v>304</v>
      </c>
      <c r="R3096">
        <v>0</v>
      </c>
    </row>
    <row r="3097" spans="1:18" x14ac:dyDescent="0.25">
      <c r="A3097">
        <v>3096</v>
      </c>
      <c r="B3097">
        <v>94</v>
      </c>
      <c r="C3097">
        <v>485152</v>
      </c>
      <c r="D3097" t="s">
        <v>83</v>
      </c>
      <c r="E3097">
        <v>2.8559999999999999</v>
      </c>
      <c r="F3097" t="s">
        <v>21</v>
      </c>
      <c r="G3097" t="s">
        <v>26</v>
      </c>
      <c r="H3097" t="s">
        <v>21</v>
      </c>
      <c r="I3097" t="s">
        <v>20</v>
      </c>
      <c r="J3097" t="s">
        <v>20</v>
      </c>
      <c r="K3097" t="s">
        <v>22</v>
      </c>
      <c r="L3097" t="s">
        <v>84</v>
      </c>
      <c r="M3097" t="s">
        <v>85</v>
      </c>
      <c r="N3097">
        <v>40.416991000000003</v>
      </c>
      <c r="O3097">
        <v>-111.7876</v>
      </c>
      <c r="P3097">
        <v>4810.278996</v>
      </c>
      <c r="Q3097">
        <v>319</v>
      </c>
      <c r="R3097">
        <v>0</v>
      </c>
    </row>
    <row r="3098" spans="1:18" x14ac:dyDescent="0.25">
      <c r="A3098">
        <v>3097</v>
      </c>
      <c r="B3098">
        <v>94</v>
      </c>
      <c r="C3098" t="s">
        <v>542</v>
      </c>
      <c r="D3098" t="s">
        <v>316</v>
      </c>
      <c r="E3098">
        <v>2.86</v>
      </c>
      <c r="F3098" t="s">
        <v>21</v>
      </c>
      <c r="G3098" t="s">
        <v>20</v>
      </c>
      <c r="H3098" t="s">
        <v>21</v>
      </c>
      <c r="I3098" t="s">
        <v>20</v>
      </c>
      <c r="J3098" t="s">
        <v>20</v>
      </c>
      <c r="K3098" t="s">
        <v>31</v>
      </c>
      <c r="L3098" t="s">
        <v>130</v>
      </c>
      <c r="M3098" t="s">
        <v>302</v>
      </c>
      <c r="N3098">
        <v>40.590871</v>
      </c>
      <c r="O3098">
        <v>-111.24229699999999</v>
      </c>
      <c r="P3098">
        <v>6674.0407919999998</v>
      </c>
      <c r="Q3098">
        <v>1346</v>
      </c>
      <c r="R3098">
        <v>0</v>
      </c>
    </row>
    <row r="3099" spans="1:18" x14ac:dyDescent="0.25">
      <c r="A3099">
        <v>3098</v>
      </c>
      <c r="B3099">
        <v>94</v>
      </c>
      <c r="C3099">
        <v>31433860</v>
      </c>
      <c r="D3099" t="s">
        <v>345</v>
      </c>
      <c r="E3099">
        <v>22.510999999999999</v>
      </c>
      <c r="F3099" t="s">
        <v>21</v>
      </c>
      <c r="G3099" t="s">
        <v>20</v>
      </c>
      <c r="H3099" t="s">
        <v>21</v>
      </c>
      <c r="I3099" t="s">
        <v>20</v>
      </c>
      <c r="J3099" t="s">
        <v>20</v>
      </c>
      <c r="K3099" t="s">
        <v>27</v>
      </c>
      <c r="L3099" t="s">
        <v>75</v>
      </c>
      <c r="M3099" t="s">
        <v>76</v>
      </c>
      <c r="N3099">
        <v>38.844844999999999</v>
      </c>
      <c r="O3099">
        <v>-111.979679</v>
      </c>
      <c r="P3099">
        <v>5201.7958509999999</v>
      </c>
      <c r="Q3099">
        <v>1403</v>
      </c>
      <c r="R3099">
        <v>0</v>
      </c>
    </row>
    <row r="3100" spans="1:18" x14ac:dyDescent="0.25">
      <c r="A3100">
        <v>3099</v>
      </c>
      <c r="B3100">
        <v>94</v>
      </c>
      <c r="C3100">
        <v>31591884</v>
      </c>
      <c r="D3100" t="s">
        <v>271</v>
      </c>
      <c r="E3100">
        <v>22.521999999999998</v>
      </c>
      <c r="F3100" t="s">
        <v>21</v>
      </c>
      <c r="G3100" t="s">
        <v>26</v>
      </c>
      <c r="H3100" t="s">
        <v>21</v>
      </c>
      <c r="I3100" t="s">
        <v>20</v>
      </c>
      <c r="J3100" t="s">
        <v>20</v>
      </c>
      <c r="K3100" t="s">
        <v>22</v>
      </c>
      <c r="L3100" t="s">
        <v>263</v>
      </c>
      <c r="M3100" t="s">
        <v>24</v>
      </c>
      <c r="N3100">
        <v>40.287216000000001</v>
      </c>
      <c r="O3100">
        <v>-112.09689299999999</v>
      </c>
      <c r="P3100">
        <v>4870.1827869999997</v>
      </c>
      <c r="Q3100">
        <v>1372</v>
      </c>
      <c r="R3100">
        <v>0</v>
      </c>
    </row>
    <row r="3101" spans="1:18" x14ac:dyDescent="0.25">
      <c r="A3101">
        <v>3100</v>
      </c>
      <c r="B3101">
        <v>94</v>
      </c>
      <c r="C3101" t="e">
        <f>-JODptIEFqT_uV_1xLmiqV</f>
        <v>#NAME?</v>
      </c>
      <c r="D3101" t="s">
        <v>210</v>
      </c>
      <c r="E3101">
        <v>22.524999999999999</v>
      </c>
      <c r="F3101" t="s">
        <v>21</v>
      </c>
      <c r="G3101" t="s">
        <v>26</v>
      </c>
      <c r="H3101" t="s">
        <v>21</v>
      </c>
      <c r="I3101" t="s">
        <v>20</v>
      </c>
      <c r="J3101" t="s">
        <v>20</v>
      </c>
      <c r="K3101" t="s">
        <v>27</v>
      </c>
      <c r="L3101" t="s">
        <v>211</v>
      </c>
      <c r="M3101" t="s">
        <v>212</v>
      </c>
      <c r="N3101">
        <v>37.215038</v>
      </c>
      <c r="O3101">
        <v>-109.182873</v>
      </c>
      <c r="P3101">
        <v>4458.6650810000001</v>
      </c>
      <c r="Q3101">
        <v>344</v>
      </c>
      <c r="R3101">
        <v>0</v>
      </c>
    </row>
    <row r="3102" spans="1:18" x14ac:dyDescent="0.25">
      <c r="A3102">
        <v>3101</v>
      </c>
      <c r="B3102">
        <v>94</v>
      </c>
      <c r="C3102">
        <v>31433871</v>
      </c>
      <c r="D3102" t="s">
        <v>345</v>
      </c>
      <c r="E3102">
        <v>22.545999999999999</v>
      </c>
      <c r="F3102" t="s">
        <v>21</v>
      </c>
      <c r="G3102" t="s">
        <v>26</v>
      </c>
      <c r="H3102" t="s">
        <v>21</v>
      </c>
      <c r="I3102" t="s">
        <v>20</v>
      </c>
      <c r="J3102" t="s">
        <v>20</v>
      </c>
      <c r="K3102" t="s">
        <v>27</v>
      </c>
      <c r="L3102" t="s">
        <v>75</v>
      </c>
      <c r="M3102" t="s">
        <v>76</v>
      </c>
      <c r="N3102">
        <v>38.845291000000003</v>
      </c>
      <c r="O3102">
        <v>-111.979382</v>
      </c>
      <c r="P3102">
        <v>5201.5237770000003</v>
      </c>
      <c r="Q3102">
        <v>1403</v>
      </c>
      <c r="R3102">
        <v>0</v>
      </c>
    </row>
    <row r="3103" spans="1:18" x14ac:dyDescent="0.25">
      <c r="A3103">
        <v>3102</v>
      </c>
      <c r="B3103">
        <v>94</v>
      </c>
      <c r="C3103">
        <v>27716990</v>
      </c>
      <c r="D3103" t="s">
        <v>217</v>
      </c>
      <c r="E3103">
        <v>22.591999999999999</v>
      </c>
      <c r="F3103" t="s">
        <v>21</v>
      </c>
      <c r="G3103" t="s">
        <v>26</v>
      </c>
      <c r="H3103" t="s">
        <v>21</v>
      </c>
      <c r="I3103" t="s">
        <v>20</v>
      </c>
      <c r="J3103" t="s">
        <v>20</v>
      </c>
      <c r="K3103" t="s">
        <v>27</v>
      </c>
      <c r="L3103" t="s">
        <v>162</v>
      </c>
      <c r="M3103" t="s">
        <v>163</v>
      </c>
      <c r="N3103">
        <v>37.364809999999999</v>
      </c>
      <c r="O3103">
        <v>-113.667798</v>
      </c>
      <c r="P3103">
        <v>4830.061455</v>
      </c>
      <c r="Q3103">
        <v>304</v>
      </c>
      <c r="R3103">
        <v>0</v>
      </c>
    </row>
    <row r="3104" spans="1:18" x14ac:dyDescent="0.25">
      <c r="A3104">
        <v>3103</v>
      </c>
      <c r="B3104">
        <v>94</v>
      </c>
      <c r="C3104">
        <v>31652145</v>
      </c>
      <c r="D3104" t="s">
        <v>418</v>
      </c>
      <c r="E3104">
        <v>22.605</v>
      </c>
      <c r="F3104" t="s">
        <v>21</v>
      </c>
      <c r="G3104" t="s">
        <v>26</v>
      </c>
      <c r="H3104" t="s">
        <v>19</v>
      </c>
      <c r="I3104">
        <v>162</v>
      </c>
      <c r="J3104" t="s">
        <v>20</v>
      </c>
      <c r="K3104" t="s">
        <v>27</v>
      </c>
      <c r="L3104" t="s">
        <v>211</v>
      </c>
      <c r="M3104" t="s">
        <v>212</v>
      </c>
      <c r="N3104">
        <v>37.262424000000003</v>
      </c>
      <c r="O3104">
        <v>-109.305812</v>
      </c>
      <c r="P3104">
        <v>4385.9655229999998</v>
      </c>
      <c r="Q3104">
        <v>361</v>
      </c>
      <c r="R3104">
        <v>0</v>
      </c>
    </row>
    <row r="3105" spans="1:18" x14ac:dyDescent="0.25">
      <c r="A3105">
        <v>3104</v>
      </c>
      <c r="B3105">
        <v>94</v>
      </c>
      <c r="C3105">
        <v>31284385</v>
      </c>
      <c r="D3105" t="s">
        <v>278</v>
      </c>
      <c r="E3105">
        <v>22.622</v>
      </c>
      <c r="F3105" t="s">
        <v>21</v>
      </c>
      <c r="G3105" t="s">
        <v>26</v>
      </c>
      <c r="H3105" t="s">
        <v>21</v>
      </c>
      <c r="I3105" t="s">
        <v>20</v>
      </c>
      <c r="J3105" t="s">
        <v>20</v>
      </c>
      <c r="K3105" t="s">
        <v>27</v>
      </c>
      <c r="L3105" t="s">
        <v>501</v>
      </c>
      <c r="M3105" t="s">
        <v>280</v>
      </c>
      <c r="N3105">
        <v>37.542752</v>
      </c>
      <c r="O3105">
        <v>-112.784476</v>
      </c>
      <c r="P3105">
        <v>9464.9273749999993</v>
      </c>
      <c r="Q3105">
        <v>1330</v>
      </c>
      <c r="R3105">
        <v>0</v>
      </c>
    </row>
    <row r="3106" spans="1:18" x14ac:dyDescent="0.25">
      <c r="A3106">
        <v>3105</v>
      </c>
      <c r="B3106">
        <v>94</v>
      </c>
      <c r="C3106" t="e">
        <f>-Ip_JpwtF2PHjmkorTFuOk</f>
        <v>#NAME?</v>
      </c>
      <c r="D3106" t="s">
        <v>272</v>
      </c>
      <c r="E3106">
        <v>22.623000000000001</v>
      </c>
      <c r="F3106" t="s">
        <v>21</v>
      </c>
      <c r="G3106" t="s">
        <v>26</v>
      </c>
      <c r="H3106" t="s">
        <v>21</v>
      </c>
      <c r="I3106" t="s">
        <v>20</v>
      </c>
      <c r="J3106" t="s">
        <v>20</v>
      </c>
      <c r="K3106" t="s">
        <v>27</v>
      </c>
      <c r="L3106" t="s">
        <v>259</v>
      </c>
      <c r="M3106" t="s">
        <v>214</v>
      </c>
      <c r="N3106">
        <v>37.112940000000002</v>
      </c>
      <c r="O3106">
        <v>-111.932046</v>
      </c>
      <c r="P3106">
        <v>4355.1282279999996</v>
      </c>
      <c r="Q3106">
        <v>1384</v>
      </c>
      <c r="R3106">
        <v>0</v>
      </c>
    </row>
    <row r="3107" spans="1:18" x14ac:dyDescent="0.25">
      <c r="A3107">
        <v>3106</v>
      </c>
      <c r="B3107">
        <v>94</v>
      </c>
      <c r="C3107">
        <v>31530750</v>
      </c>
      <c r="D3107" t="s">
        <v>326</v>
      </c>
      <c r="E3107">
        <v>22.626000000000001</v>
      </c>
      <c r="F3107" t="s">
        <v>21</v>
      </c>
      <c r="G3107" t="s">
        <v>20</v>
      </c>
      <c r="H3107" t="s">
        <v>21</v>
      </c>
      <c r="I3107" t="s">
        <v>20</v>
      </c>
      <c r="J3107" t="s">
        <v>20</v>
      </c>
      <c r="K3107" t="s">
        <v>27</v>
      </c>
      <c r="L3107" t="s">
        <v>327</v>
      </c>
      <c r="M3107" t="s">
        <v>318</v>
      </c>
      <c r="N3107">
        <v>37.441059000000003</v>
      </c>
      <c r="O3107">
        <v>-109.92275100000001</v>
      </c>
      <c r="P3107">
        <v>6436.9013050000003</v>
      </c>
      <c r="Q3107">
        <v>256</v>
      </c>
      <c r="R3107">
        <v>0</v>
      </c>
    </row>
    <row r="3108" spans="1:18" x14ac:dyDescent="0.25">
      <c r="A3108">
        <v>3107</v>
      </c>
      <c r="B3108">
        <v>94</v>
      </c>
      <c r="C3108">
        <v>31528837</v>
      </c>
      <c r="D3108" t="s">
        <v>390</v>
      </c>
      <c r="E3108">
        <v>22.63</v>
      </c>
      <c r="F3108" t="s">
        <v>21</v>
      </c>
      <c r="G3108" t="s">
        <v>20</v>
      </c>
      <c r="H3108" t="s">
        <v>21</v>
      </c>
      <c r="I3108" t="s">
        <v>20</v>
      </c>
      <c r="J3108" t="s">
        <v>20</v>
      </c>
      <c r="K3108" t="s">
        <v>22</v>
      </c>
      <c r="L3108" t="s">
        <v>60</v>
      </c>
      <c r="M3108" t="s">
        <v>335</v>
      </c>
      <c r="N3108">
        <v>40.404843</v>
      </c>
      <c r="O3108">
        <v>-111.602535</v>
      </c>
      <c r="P3108">
        <v>6799.1645939999999</v>
      </c>
      <c r="Q3108">
        <v>1386</v>
      </c>
      <c r="R3108">
        <v>0</v>
      </c>
    </row>
    <row r="3109" spans="1:18" x14ac:dyDescent="0.25">
      <c r="A3109">
        <v>3108</v>
      </c>
      <c r="B3109">
        <v>94</v>
      </c>
      <c r="C3109">
        <v>31522066</v>
      </c>
      <c r="D3109" t="s">
        <v>132</v>
      </c>
      <c r="E3109">
        <v>38.31</v>
      </c>
      <c r="F3109" t="s">
        <v>19</v>
      </c>
      <c r="G3109" t="s">
        <v>20</v>
      </c>
      <c r="H3109" t="s">
        <v>21</v>
      </c>
      <c r="I3109" t="s">
        <v>20</v>
      </c>
      <c r="J3109" t="s">
        <v>20</v>
      </c>
      <c r="K3109" t="s">
        <v>22</v>
      </c>
      <c r="L3109" t="s">
        <v>234</v>
      </c>
      <c r="M3109" t="s">
        <v>277</v>
      </c>
      <c r="N3109">
        <v>40.462645999999999</v>
      </c>
      <c r="O3109">
        <v>-109.566779</v>
      </c>
      <c r="P3109">
        <v>5436.6749239999999</v>
      </c>
      <c r="Q3109">
        <v>1405</v>
      </c>
      <c r="R3109">
        <v>0</v>
      </c>
    </row>
    <row r="3110" spans="1:18" x14ac:dyDescent="0.25">
      <c r="A3110">
        <v>3109</v>
      </c>
      <c r="B3110">
        <v>94</v>
      </c>
      <c r="C3110">
        <v>31292418</v>
      </c>
      <c r="D3110" t="s">
        <v>308</v>
      </c>
      <c r="E3110">
        <v>36.479999999999997</v>
      </c>
      <c r="F3110" t="s">
        <v>21</v>
      </c>
      <c r="G3110" t="s">
        <v>20</v>
      </c>
      <c r="H3110" t="s">
        <v>21</v>
      </c>
      <c r="I3110" t="s">
        <v>20</v>
      </c>
      <c r="J3110" t="s">
        <v>20</v>
      </c>
      <c r="K3110" t="s">
        <v>27</v>
      </c>
      <c r="L3110" t="s">
        <v>111</v>
      </c>
      <c r="M3110" t="s">
        <v>82</v>
      </c>
      <c r="N3110">
        <v>39.418568999999998</v>
      </c>
      <c r="O3110">
        <v>-111.12421399999999</v>
      </c>
      <c r="P3110">
        <v>6913.3915129999996</v>
      </c>
      <c r="Q3110">
        <v>1344</v>
      </c>
      <c r="R3110">
        <v>0</v>
      </c>
    </row>
    <row r="3111" spans="1:18" x14ac:dyDescent="0.25">
      <c r="A3111">
        <v>3110</v>
      </c>
      <c r="B3111">
        <v>94</v>
      </c>
      <c r="C3111" t="e">
        <f>-Iozvj0PFT9vLt5Ez0DzrV</f>
        <v>#NAME?</v>
      </c>
      <c r="D3111" t="s">
        <v>203</v>
      </c>
      <c r="E3111">
        <v>36.520000000000003</v>
      </c>
      <c r="F3111" t="s">
        <v>21</v>
      </c>
      <c r="G3111" t="s">
        <v>20</v>
      </c>
      <c r="H3111" t="s">
        <v>21</v>
      </c>
      <c r="I3111" t="s">
        <v>20</v>
      </c>
      <c r="J3111" t="s">
        <v>20</v>
      </c>
      <c r="K3111" t="s">
        <v>41</v>
      </c>
      <c r="L3111" t="s">
        <v>255</v>
      </c>
      <c r="M3111" t="s">
        <v>204</v>
      </c>
      <c r="N3111">
        <v>41.408177999999999</v>
      </c>
      <c r="O3111">
        <v>-111.58735</v>
      </c>
      <c r="P3111">
        <v>7115.7457949999998</v>
      </c>
      <c r="Q3111">
        <v>1349</v>
      </c>
      <c r="R3111">
        <v>0</v>
      </c>
    </row>
    <row r="3112" spans="1:18" x14ac:dyDescent="0.25">
      <c r="A3112">
        <v>3111</v>
      </c>
      <c r="B3112">
        <v>94</v>
      </c>
      <c r="C3112">
        <v>31412352</v>
      </c>
      <c r="D3112" t="s">
        <v>63</v>
      </c>
      <c r="E3112">
        <v>36.540999999999997</v>
      </c>
      <c r="F3112" t="s">
        <v>21</v>
      </c>
      <c r="G3112" t="s">
        <v>26</v>
      </c>
      <c r="H3112" t="s">
        <v>21</v>
      </c>
      <c r="I3112" t="s">
        <v>20</v>
      </c>
      <c r="J3112" t="s">
        <v>20</v>
      </c>
      <c r="K3112" t="s">
        <v>27</v>
      </c>
      <c r="L3112" t="s">
        <v>266</v>
      </c>
      <c r="M3112" t="s">
        <v>29</v>
      </c>
      <c r="N3112">
        <v>38.491498</v>
      </c>
      <c r="O3112">
        <v>-111.88274</v>
      </c>
      <c r="P3112">
        <v>6758.830046</v>
      </c>
      <c r="Q3112">
        <v>1365</v>
      </c>
      <c r="R3112">
        <v>0</v>
      </c>
    </row>
    <row r="3113" spans="1:18" x14ac:dyDescent="0.25">
      <c r="A3113">
        <v>3112</v>
      </c>
      <c r="B3113">
        <v>94</v>
      </c>
      <c r="C3113" t="s">
        <v>543</v>
      </c>
      <c r="D3113" t="s">
        <v>284</v>
      </c>
      <c r="E3113">
        <v>36.590000000000003</v>
      </c>
      <c r="F3113" t="s">
        <v>21</v>
      </c>
      <c r="G3113" t="s">
        <v>20</v>
      </c>
      <c r="H3113" t="s">
        <v>21</v>
      </c>
      <c r="I3113" t="s">
        <v>20</v>
      </c>
      <c r="J3113" t="s">
        <v>20</v>
      </c>
      <c r="K3113" t="s">
        <v>31</v>
      </c>
      <c r="L3113" t="s">
        <v>285</v>
      </c>
      <c r="M3113" t="s">
        <v>206</v>
      </c>
      <c r="N3113">
        <v>40.741940999999997</v>
      </c>
      <c r="O3113">
        <v>-112.65407</v>
      </c>
      <c r="P3113">
        <v>4165.7830110000004</v>
      </c>
      <c r="Q3113">
        <v>407</v>
      </c>
      <c r="R3113">
        <v>0</v>
      </c>
    </row>
    <row r="3114" spans="1:18" x14ac:dyDescent="0.25">
      <c r="A3114">
        <v>3113</v>
      </c>
      <c r="B3114">
        <v>94</v>
      </c>
      <c r="C3114" t="e">
        <f>-Ip-WtPLFaLf0zHEG8FLyk</f>
        <v>#NAME?</v>
      </c>
      <c r="D3114" t="s">
        <v>319</v>
      </c>
      <c r="E3114">
        <v>36.61</v>
      </c>
      <c r="F3114" t="s">
        <v>21</v>
      </c>
      <c r="G3114" t="s">
        <v>26</v>
      </c>
      <c r="H3114" t="s">
        <v>21</v>
      </c>
      <c r="I3114" t="s">
        <v>20</v>
      </c>
      <c r="J3114" t="s">
        <v>20</v>
      </c>
      <c r="K3114" t="s">
        <v>27</v>
      </c>
      <c r="L3114" t="s">
        <v>162</v>
      </c>
      <c r="M3114" t="s">
        <v>55</v>
      </c>
      <c r="N3114">
        <v>37.660935000000002</v>
      </c>
      <c r="O3114">
        <v>-113.461645</v>
      </c>
      <c r="P3114">
        <v>5837.9140539999999</v>
      </c>
      <c r="Q3114">
        <v>314</v>
      </c>
      <c r="R3114">
        <v>0</v>
      </c>
    </row>
    <row r="3115" spans="1:18" x14ac:dyDescent="0.25">
      <c r="A3115">
        <v>3114</v>
      </c>
      <c r="B3115">
        <v>94</v>
      </c>
      <c r="C3115" t="s">
        <v>544</v>
      </c>
      <c r="D3115" t="s">
        <v>288</v>
      </c>
      <c r="E3115">
        <v>36.619</v>
      </c>
      <c r="F3115" t="s">
        <v>21</v>
      </c>
      <c r="G3115" t="s">
        <v>20</v>
      </c>
      <c r="H3115" t="s">
        <v>21</v>
      </c>
      <c r="I3115" t="s">
        <v>20</v>
      </c>
      <c r="J3115" t="s">
        <v>20</v>
      </c>
      <c r="K3115" t="s">
        <v>27</v>
      </c>
      <c r="L3115" t="s">
        <v>327</v>
      </c>
      <c r="M3115" t="s">
        <v>212</v>
      </c>
      <c r="N3115">
        <v>37.425542</v>
      </c>
      <c r="O3115">
        <v>-109.47254700000001</v>
      </c>
      <c r="P3115">
        <v>4929.8686619999999</v>
      </c>
      <c r="Q3115">
        <v>350</v>
      </c>
      <c r="R3115">
        <v>0</v>
      </c>
    </row>
    <row r="3116" spans="1:18" x14ac:dyDescent="0.25">
      <c r="A3116">
        <v>3115</v>
      </c>
      <c r="B3116">
        <v>94</v>
      </c>
      <c r="C3116">
        <v>31397205</v>
      </c>
      <c r="D3116" t="s">
        <v>124</v>
      </c>
      <c r="E3116">
        <v>36.625999999999998</v>
      </c>
      <c r="F3116" t="s">
        <v>21</v>
      </c>
      <c r="G3116" t="s">
        <v>26</v>
      </c>
      <c r="H3116" t="s">
        <v>21</v>
      </c>
      <c r="I3116" t="s">
        <v>20</v>
      </c>
      <c r="J3116" t="s">
        <v>20</v>
      </c>
      <c r="K3116" t="s">
        <v>31</v>
      </c>
      <c r="L3116" t="s">
        <v>89</v>
      </c>
      <c r="M3116" t="s">
        <v>125</v>
      </c>
      <c r="N3116">
        <v>40.442413000000002</v>
      </c>
      <c r="O3116">
        <v>-111.933353</v>
      </c>
      <c r="P3116">
        <v>4716.883006</v>
      </c>
      <c r="Q3116">
        <v>1368</v>
      </c>
      <c r="R3116">
        <v>0</v>
      </c>
    </row>
    <row r="3117" spans="1:18" x14ac:dyDescent="0.25">
      <c r="A3117">
        <v>3116</v>
      </c>
      <c r="B3117">
        <v>94</v>
      </c>
      <c r="C3117">
        <v>31478459</v>
      </c>
      <c r="D3117" t="s">
        <v>213</v>
      </c>
      <c r="E3117">
        <v>36.628999999999998</v>
      </c>
      <c r="F3117" t="s">
        <v>21</v>
      </c>
      <c r="G3117" t="s">
        <v>26</v>
      </c>
      <c r="H3117" t="s">
        <v>21</v>
      </c>
      <c r="I3117" t="s">
        <v>20</v>
      </c>
      <c r="J3117" t="s">
        <v>20</v>
      </c>
      <c r="K3117" t="s">
        <v>27</v>
      </c>
      <c r="L3117" t="s">
        <v>173</v>
      </c>
      <c r="M3117" t="s">
        <v>214</v>
      </c>
      <c r="N3117">
        <v>39.042096000000001</v>
      </c>
      <c r="O3117">
        <v>-113.403577</v>
      </c>
      <c r="P3117">
        <v>4624.3515090000001</v>
      </c>
      <c r="Q3117">
        <v>1332</v>
      </c>
      <c r="R3117">
        <v>0</v>
      </c>
    </row>
    <row r="3118" spans="1:18" x14ac:dyDescent="0.25">
      <c r="A3118">
        <v>3117</v>
      </c>
      <c r="B3118">
        <v>94</v>
      </c>
      <c r="C3118">
        <v>31301195</v>
      </c>
      <c r="D3118" t="s">
        <v>316</v>
      </c>
      <c r="E3118">
        <v>36.667999999999999</v>
      </c>
      <c r="F3118" t="s">
        <v>21</v>
      </c>
      <c r="G3118" t="s">
        <v>26</v>
      </c>
      <c r="H3118" t="s">
        <v>21</v>
      </c>
      <c r="I3118" t="s">
        <v>20</v>
      </c>
      <c r="J3118" t="s">
        <v>20</v>
      </c>
      <c r="K3118" t="s">
        <v>22</v>
      </c>
      <c r="L3118" t="s">
        <v>168</v>
      </c>
      <c r="M3118" t="s">
        <v>302</v>
      </c>
      <c r="N3118">
        <v>40.414290999999999</v>
      </c>
      <c r="O3118">
        <v>-110.78018</v>
      </c>
      <c r="P3118">
        <v>6785.3713230000003</v>
      </c>
      <c r="Q3118">
        <v>1346</v>
      </c>
      <c r="R3118">
        <v>0</v>
      </c>
    </row>
    <row r="3119" spans="1:18" x14ac:dyDescent="0.25">
      <c r="A3119">
        <v>3118</v>
      </c>
      <c r="B3119">
        <v>94</v>
      </c>
      <c r="C3119">
        <v>31615578</v>
      </c>
      <c r="D3119" t="s">
        <v>271</v>
      </c>
      <c r="E3119">
        <v>36.673000000000002</v>
      </c>
      <c r="F3119" t="s">
        <v>21</v>
      </c>
      <c r="G3119" t="s">
        <v>26</v>
      </c>
      <c r="H3119" t="s">
        <v>21</v>
      </c>
      <c r="I3119" t="s">
        <v>20</v>
      </c>
      <c r="J3119" t="s">
        <v>20</v>
      </c>
      <c r="K3119" t="s">
        <v>22</v>
      </c>
      <c r="L3119" t="s">
        <v>84</v>
      </c>
      <c r="M3119" t="s">
        <v>24</v>
      </c>
      <c r="N3119">
        <v>40.388347000000003</v>
      </c>
      <c r="O3119">
        <v>-111.830634</v>
      </c>
      <c r="P3119">
        <v>4491.7600730000004</v>
      </c>
      <c r="Q3119">
        <v>1372</v>
      </c>
      <c r="R3119">
        <v>0</v>
      </c>
    </row>
    <row r="3120" spans="1:18" x14ac:dyDescent="0.25">
      <c r="A3120">
        <v>3119</v>
      </c>
      <c r="B3120">
        <v>94</v>
      </c>
      <c r="C3120">
        <v>31292429</v>
      </c>
      <c r="D3120" t="s">
        <v>308</v>
      </c>
      <c r="E3120">
        <v>36.74</v>
      </c>
      <c r="F3120" t="s">
        <v>21</v>
      </c>
      <c r="G3120" t="s">
        <v>20</v>
      </c>
      <c r="H3120" t="s">
        <v>21</v>
      </c>
      <c r="I3120" t="s">
        <v>20</v>
      </c>
      <c r="J3120" t="s">
        <v>20</v>
      </c>
      <c r="K3120" t="s">
        <v>27</v>
      </c>
      <c r="L3120" t="s">
        <v>111</v>
      </c>
      <c r="M3120" t="s">
        <v>82</v>
      </c>
      <c r="N3120">
        <v>39.415813</v>
      </c>
      <c r="O3120">
        <v>-111.121003</v>
      </c>
      <c r="P3120">
        <v>6884.6682849999997</v>
      </c>
      <c r="Q3120">
        <v>1344</v>
      </c>
      <c r="R3120">
        <v>0</v>
      </c>
    </row>
    <row r="3121" spans="1:18" x14ac:dyDescent="0.25">
      <c r="A3121">
        <v>3120</v>
      </c>
      <c r="B3121">
        <v>94</v>
      </c>
      <c r="C3121" t="s">
        <v>545</v>
      </c>
      <c r="D3121" t="s">
        <v>63</v>
      </c>
      <c r="E3121">
        <v>36.752000000000002</v>
      </c>
      <c r="F3121" t="s">
        <v>21</v>
      </c>
      <c r="G3121" t="s">
        <v>26</v>
      </c>
      <c r="H3121" t="s">
        <v>21</v>
      </c>
      <c r="I3121" t="s">
        <v>20</v>
      </c>
      <c r="J3121" t="s">
        <v>20</v>
      </c>
      <c r="K3121" t="s">
        <v>27</v>
      </c>
      <c r="L3121" t="s">
        <v>266</v>
      </c>
      <c r="M3121" t="s">
        <v>29</v>
      </c>
      <c r="N3121">
        <v>38.494405999999998</v>
      </c>
      <c r="O3121">
        <v>-111.881581</v>
      </c>
      <c r="P3121">
        <v>6773.5777660000003</v>
      </c>
      <c r="Q3121">
        <v>1365</v>
      </c>
      <c r="R3121">
        <v>0</v>
      </c>
    </row>
    <row r="3122" spans="1:18" x14ac:dyDescent="0.25">
      <c r="A3122">
        <v>3121</v>
      </c>
      <c r="B3122">
        <v>94</v>
      </c>
      <c r="C3122">
        <v>31615589</v>
      </c>
      <c r="D3122" t="s">
        <v>271</v>
      </c>
      <c r="E3122">
        <v>36.765999999999998</v>
      </c>
      <c r="F3122" t="s">
        <v>21</v>
      </c>
      <c r="G3122" t="s">
        <v>26</v>
      </c>
      <c r="H3122" t="s">
        <v>21</v>
      </c>
      <c r="I3122" t="s">
        <v>20</v>
      </c>
      <c r="J3122" t="s">
        <v>20</v>
      </c>
      <c r="K3122" t="s">
        <v>22</v>
      </c>
      <c r="L3122" t="s">
        <v>84</v>
      </c>
      <c r="M3122" t="s">
        <v>24</v>
      </c>
      <c r="N3122">
        <v>40.388410999999998</v>
      </c>
      <c r="O3122">
        <v>-111.828926</v>
      </c>
      <c r="P3122">
        <v>4494.1933829999998</v>
      </c>
      <c r="Q3122">
        <v>1372</v>
      </c>
      <c r="R3122">
        <v>0</v>
      </c>
    </row>
    <row r="3123" spans="1:18" x14ac:dyDescent="0.25">
      <c r="A3123">
        <v>3122</v>
      </c>
      <c r="B3123">
        <v>94</v>
      </c>
      <c r="C3123">
        <v>31518644</v>
      </c>
      <c r="D3123" t="s">
        <v>292</v>
      </c>
      <c r="E3123">
        <v>36.777999999999999</v>
      </c>
      <c r="F3123" t="s">
        <v>21</v>
      </c>
      <c r="G3123" t="s">
        <v>26</v>
      </c>
      <c r="H3123" t="s">
        <v>21</v>
      </c>
      <c r="I3123" t="s">
        <v>20</v>
      </c>
      <c r="J3123" t="s">
        <v>20</v>
      </c>
      <c r="K3123" t="s">
        <v>22</v>
      </c>
      <c r="L3123" t="s">
        <v>133</v>
      </c>
      <c r="M3123" t="s">
        <v>134</v>
      </c>
      <c r="N3123">
        <v>40.258560000000003</v>
      </c>
      <c r="O3123">
        <v>-110.086302</v>
      </c>
      <c r="P3123">
        <v>5201.9789179999998</v>
      </c>
      <c r="Q3123">
        <v>323</v>
      </c>
      <c r="R3123">
        <v>0</v>
      </c>
    </row>
    <row r="3124" spans="1:18" x14ac:dyDescent="0.25">
      <c r="A3124">
        <v>3123</v>
      </c>
      <c r="B3124">
        <v>94</v>
      </c>
      <c r="C3124">
        <v>31284046</v>
      </c>
      <c r="D3124" t="s">
        <v>241</v>
      </c>
      <c r="E3124">
        <v>36.779000000000003</v>
      </c>
      <c r="F3124" t="s">
        <v>21</v>
      </c>
      <c r="G3124" t="s">
        <v>26</v>
      </c>
      <c r="H3124" t="s">
        <v>21</v>
      </c>
      <c r="I3124" t="s">
        <v>20</v>
      </c>
      <c r="J3124" t="s">
        <v>20</v>
      </c>
      <c r="K3124" t="s">
        <v>27</v>
      </c>
      <c r="L3124" t="s">
        <v>111</v>
      </c>
      <c r="M3124" t="s">
        <v>243</v>
      </c>
      <c r="N3124">
        <v>39.198315999999998</v>
      </c>
      <c r="O3124">
        <v>-111.024193</v>
      </c>
      <c r="P3124">
        <v>5623.3622219999997</v>
      </c>
      <c r="Q3124">
        <v>1327</v>
      </c>
      <c r="R3124">
        <v>0</v>
      </c>
    </row>
    <row r="3125" spans="1:18" x14ac:dyDescent="0.25">
      <c r="A3125">
        <v>3124</v>
      </c>
      <c r="B3125">
        <v>94</v>
      </c>
      <c r="C3125">
        <v>31326622</v>
      </c>
      <c r="D3125" t="s">
        <v>278</v>
      </c>
      <c r="E3125">
        <v>36.786999999999999</v>
      </c>
      <c r="F3125" t="s">
        <v>21</v>
      </c>
      <c r="G3125" t="s">
        <v>20</v>
      </c>
      <c r="H3125" t="s">
        <v>21</v>
      </c>
      <c r="I3125" t="s">
        <v>20</v>
      </c>
      <c r="J3125" t="s">
        <v>20</v>
      </c>
      <c r="K3125" t="s">
        <v>27</v>
      </c>
      <c r="L3125" t="s">
        <v>279</v>
      </c>
      <c r="M3125" t="s">
        <v>280</v>
      </c>
      <c r="N3125">
        <v>37.493248999999999</v>
      </c>
      <c r="O3125">
        <v>-112.57473400000001</v>
      </c>
      <c r="P3125">
        <v>7713.4105890000001</v>
      </c>
      <c r="Q3125">
        <v>1330</v>
      </c>
      <c r="R3125">
        <v>0</v>
      </c>
    </row>
    <row r="3126" spans="1:18" x14ac:dyDescent="0.25">
      <c r="A3126">
        <v>3125</v>
      </c>
      <c r="B3126">
        <v>94</v>
      </c>
      <c r="C3126">
        <v>31520997</v>
      </c>
      <c r="D3126" t="s">
        <v>132</v>
      </c>
      <c r="E3126">
        <v>36.792000000000002</v>
      </c>
      <c r="F3126" t="s">
        <v>21</v>
      </c>
      <c r="G3126" t="s">
        <v>26</v>
      </c>
      <c r="H3126" t="s">
        <v>21</v>
      </c>
      <c r="I3126" t="s">
        <v>20</v>
      </c>
      <c r="J3126" t="s">
        <v>20</v>
      </c>
      <c r="K3126" t="s">
        <v>22</v>
      </c>
      <c r="L3126" t="s">
        <v>234</v>
      </c>
      <c r="M3126" t="s">
        <v>277</v>
      </c>
      <c r="N3126">
        <v>40.462715000000003</v>
      </c>
      <c r="O3126">
        <v>-109.595533</v>
      </c>
      <c r="P3126">
        <v>5585.6414119999999</v>
      </c>
      <c r="Q3126">
        <v>1405</v>
      </c>
      <c r="R3126">
        <v>0</v>
      </c>
    </row>
    <row r="3127" spans="1:18" x14ac:dyDescent="0.25">
      <c r="A3127">
        <v>3126</v>
      </c>
      <c r="B3127">
        <v>94</v>
      </c>
      <c r="C3127" t="s">
        <v>546</v>
      </c>
      <c r="D3127" t="s">
        <v>272</v>
      </c>
      <c r="E3127">
        <v>285.74900000000002</v>
      </c>
      <c r="F3127" t="s">
        <v>21</v>
      </c>
      <c r="G3127" t="s">
        <v>26</v>
      </c>
      <c r="H3127" t="s">
        <v>21</v>
      </c>
      <c r="I3127" t="s">
        <v>20</v>
      </c>
      <c r="J3127" t="s">
        <v>20</v>
      </c>
      <c r="K3127" t="s">
        <v>27</v>
      </c>
      <c r="L3127" t="s">
        <v>230</v>
      </c>
      <c r="M3127" t="s">
        <v>174</v>
      </c>
      <c r="N3127">
        <v>39.655368000000003</v>
      </c>
      <c r="O3127">
        <v>-111.450379</v>
      </c>
      <c r="P3127">
        <v>6009.1575329999996</v>
      </c>
      <c r="Q3127">
        <v>1384</v>
      </c>
      <c r="R3127">
        <v>0</v>
      </c>
    </row>
    <row r="3128" spans="1:18" x14ac:dyDescent="0.25">
      <c r="A3128">
        <v>3127</v>
      </c>
      <c r="B3128">
        <v>94</v>
      </c>
      <c r="C3128" t="e">
        <f>-IoN5kSZFvDFBwbvePxASF</f>
        <v>#NAME?</v>
      </c>
      <c r="D3128" t="s">
        <v>272</v>
      </c>
      <c r="E3128">
        <v>289.50400000000002</v>
      </c>
      <c r="F3128" t="s">
        <v>21</v>
      </c>
      <c r="G3128" t="s">
        <v>26</v>
      </c>
      <c r="H3128" t="s">
        <v>21</v>
      </c>
      <c r="I3128" t="s">
        <v>20</v>
      </c>
      <c r="J3128" t="s">
        <v>20</v>
      </c>
      <c r="K3128" t="s">
        <v>27</v>
      </c>
      <c r="L3128" t="s">
        <v>230</v>
      </c>
      <c r="M3128" t="s">
        <v>174</v>
      </c>
      <c r="N3128">
        <v>39.707267999999999</v>
      </c>
      <c r="O3128">
        <v>-111.470088</v>
      </c>
      <c r="P3128">
        <v>6363.5007679999999</v>
      </c>
      <c r="Q3128">
        <v>1384</v>
      </c>
      <c r="R3128">
        <v>0</v>
      </c>
    </row>
    <row r="3129" spans="1:18" x14ac:dyDescent="0.25">
      <c r="A3129">
        <v>3128</v>
      </c>
      <c r="B3129">
        <v>94</v>
      </c>
      <c r="C3129">
        <v>31722200</v>
      </c>
      <c r="D3129" t="s">
        <v>213</v>
      </c>
      <c r="E3129">
        <v>289.73099999999999</v>
      </c>
      <c r="F3129" t="s">
        <v>21</v>
      </c>
      <c r="G3129" t="s">
        <v>20</v>
      </c>
      <c r="H3129" t="s">
        <v>21</v>
      </c>
      <c r="I3129" t="s">
        <v>20</v>
      </c>
      <c r="J3129" t="s">
        <v>20</v>
      </c>
      <c r="K3129" t="s">
        <v>27</v>
      </c>
      <c r="L3129" t="s">
        <v>158</v>
      </c>
      <c r="M3129" t="s">
        <v>422</v>
      </c>
      <c r="N3129">
        <v>39.102629</v>
      </c>
      <c r="O3129">
        <v>-110.324303</v>
      </c>
      <c r="P3129">
        <v>4458.2946279999996</v>
      </c>
      <c r="Q3129">
        <v>1332</v>
      </c>
      <c r="R3129">
        <v>0</v>
      </c>
    </row>
    <row r="3130" spans="1:18" x14ac:dyDescent="0.25">
      <c r="A3130">
        <v>3129</v>
      </c>
      <c r="B3130">
        <v>94</v>
      </c>
      <c r="C3130">
        <v>31462617</v>
      </c>
      <c r="D3130" t="s">
        <v>91</v>
      </c>
      <c r="E3130">
        <v>29.021000000000001</v>
      </c>
      <c r="F3130" t="s">
        <v>21</v>
      </c>
      <c r="G3130" t="s">
        <v>26</v>
      </c>
      <c r="H3130" t="s">
        <v>21</v>
      </c>
      <c r="I3130" t="s">
        <v>20</v>
      </c>
      <c r="J3130" t="s">
        <v>20</v>
      </c>
      <c r="K3130" t="s">
        <v>41</v>
      </c>
      <c r="L3130" t="s">
        <v>95</v>
      </c>
      <c r="M3130" t="s">
        <v>73</v>
      </c>
      <c r="N3130">
        <v>41.985998000000002</v>
      </c>
      <c r="O3130">
        <v>-111.95458499999999</v>
      </c>
      <c r="P3130">
        <v>4453.608072</v>
      </c>
      <c r="Q3130">
        <v>1339</v>
      </c>
      <c r="R3130">
        <v>0</v>
      </c>
    </row>
    <row r="3131" spans="1:18" x14ac:dyDescent="0.25">
      <c r="A3131">
        <v>3130</v>
      </c>
      <c r="B3131">
        <v>94</v>
      </c>
      <c r="C3131">
        <v>31299617</v>
      </c>
      <c r="D3131" t="s">
        <v>338</v>
      </c>
      <c r="E3131">
        <v>22.001000000000001</v>
      </c>
      <c r="F3131" t="s">
        <v>21</v>
      </c>
      <c r="G3131" t="s">
        <v>26</v>
      </c>
      <c r="H3131" t="s">
        <v>21</v>
      </c>
      <c r="I3131" t="s">
        <v>20</v>
      </c>
      <c r="J3131" t="s">
        <v>20</v>
      </c>
      <c r="K3131" t="s">
        <v>27</v>
      </c>
      <c r="L3131" t="s">
        <v>72</v>
      </c>
      <c r="M3131" t="s">
        <v>73</v>
      </c>
      <c r="N3131">
        <v>37.175131</v>
      </c>
      <c r="O3131">
        <v>-113.28624600000001</v>
      </c>
      <c r="P3131">
        <v>3163.0807340000001</v>
      </c>
      <c r="Q3131">
        <v>315</v>
      </c>
      <c r="R3131">
        <v>0</v>
      </c>
    </row>
    <row r="3132" spans="1:18" x14ac:dyDescent="0.25">
      <c r="A3132">
        <v>3131</v>
      </c>
      <c r="B3132">
        <v>94</v>
      </c>
      <c r="C3132" t="e">
        <f>-JMlxBQlFXH9bIN6aW08ak</f>
        <v>#NAME?</v>
      </c>
      <c r="D3132" t="s">
        <v>221</v>
      </c>
      <c r="E3132">
        <v>22.001000000000001</v>
      </c>
      <c r="F3132" t="s">
        <v>21</v>
      </c>
      <c r="G3132" t="s">
        <v>20</v>
      </c>
      <c r="H3132" t="s">
        <v>21</v>
      </c>
      <c r="I3132" t="s">
        <v>20</v>
      </c>
      <c r="J3132" t="s">
        <v>20</v>
      </c>
      <c r="K3132" t="s">
        <v>22</v>
      </c>
      <c r="L3132" t="s">
        <v>155</v>
      </c>
      <c r="M3132" t="s">
        <v>174</v>
      </c>
      <c r="N3132">
        <v>39.451453000000001</v>
      </c>
      <c r="O3132">
        <v>-111.909147</v>
      </c>
      <c r="P3132">
        <v>5238.8593570000003</v>
      </c>
      <c r="Q3132">
        <v>1342</v>
      </c>
      <c r="R3132">
        <v>0</v>
      </c>
    </row>
    <row r="3133" spans="1:18" x14ac:dyDescent="0.25">
      <c r="A3133">
        <v>3132</v>
      </c>
      <c r="B3133">
        <v>94</v>
      </c>
      <c r="C3133">
        <v>31739773</v>
      </c>
      <c r="D3133" t="s">
        <v>290</v>
      </c>
      <c r="E3133">
        <v>22.021000000000001</v>
      </c>
      <c r="F3133" t="s">
        <v>21</v>
      </c>
      <c r="G3133" t="s">
        <v>20</v>
      </c>
      <c r="H3133" t="s">
        <v>21</v>
      </c>
      <c r="I3133" t="s">
        <v>20</v>
      </c>
      <c r="J3133" t="s">
        <v>20</v>
      </c>
      <c r="K3133" t="s">
        <v>41</v>
      </c>
      <c r="L3133" t="s">
        <v>291</v>
      </c>
      <c r="M3133" t="s">
        <v>238</v>
      </c>
      <c r="N3133">
        <v>41.465912000000003</v>
      </c>
      <c r="O3133">
        <v>-113.645931</v>
      </c>
      <c r="P3133">
        <v>4431.959468</v>
      </c>
      <c r="Q3133">
        <v>1343</v>
      </c>
      <c r="R3133">
        <v>0</v>
      </c>
    </row>
    <row r="3134" spans="1:18" x14ac:dyDescent="0.25">
      <c r="A3134">
        <v>3133</v>
      </c>
      <c r="B3134">
        <v>94</v>
      </c>
      <c r="C3134">
        <v>1570804</v>
      </c>
      <c r="D3134" t="s">
        <v>88</v>
      </c>
      <c r="E3134">
        <v>22.021999999999998</v>
      </c>
      <c r="F3134" t="s">
        <v>21</v>
      </c>
      <c r="G3134" t="s">
        <v>26</v>
      </c>
      <c r="H3134" t="s">
        <v>21</v>
      </c>
      <c r="I3134" t="s">
        <v>20</v>
      </c>
      <c r="J3134" t="s">
        <v>20</v>
      </c>
      <c r="K3134" t="s">
        <v>31</v>
      </c>
      <c r="L3134" t="s">
        <v>66</v>
      </c>
      <c r="M3134" t="s">
        <v>90</v>
      </c>
      <c r="N3134">
        <v>40.754139000000002</v>
      </c>
      <c r="O3134">
        <v>-111.871054</v>
      </c>
      <c r="P3134">
        <v>4230.9963280000002</v>
      </c>
      <c r="Q3134">
        <v>318</v>
      </c>
      <c r="R3134">
        <v>0</v>
      </c>
    </row>
    <row r="3135" spans="1:18" x14ac:dyDescent="0.25">
      <c r="A3135">
        <v>3134</v>
      </c>
      <c r="B3135">
        <v>94</v>
      </c>
      <c r="C3135">
        <v>31432299</v>
      </c>
      <c r="D3135" t="s">
        <v>345</v>
      </c>
      <c r="E3135">
        <v>22.029</v>
      </c>
      <c r="F3135" t="s">
        <v>21</v>
      </c>
      <c r="G3135" t="s">
        <v>26</v>
      </c>
      <c r="H3135" t="s">
        <v>21</v>
      </c>
      <c r="I3135" t="s">
        <v>20</v>
      </c>
      <c r="J3135" t="s">
        <v>20</v>
      </c>
      <c r="K3135" t="s">
        <v>27</v>
      </c>
      <c r="L3135" t="s">
        <v>75</v>
      </c>
      <c r="M3135" t="s">
        <v>76</v>
      </c>
      <c r="N3135">
        <v>38.838645999999997</v>
      </c>
      <c r="O3135">
        <v>-111.983857</v>
      </c>
      <c r="P3135">
        <v>5211.2420819999998</v>
      </c>
      <c r="Q3135">
        <v>1403</v>
      </c>
      <c r="R3135">
        <v>0</v>
      </c>
    </row>
    <row r="3136" spans="1:18" x14ac:dyDescent="0.25">
      <c r="A3136">
        <v>3135</v>
      </c>
      <c r="B3136">
        <v>94</v>
      </c>
      <c r="C3136">
        <v>31789379</v>
      </c>
      <c r="D3136" t="s">
        <v>272</v>
      </c>
      <c r="E3136">
        <v>22.05</v>
      </c>
      <c r="F3136" t="s">
        <v>21</v>
      </c>
      <c r="G3136" t="s">
        <v>20</v>
      </c>
      <c r="H3136" t="s">
        <v>21</v>
      </c>
      <c r="I3136" t="s">
        <v>20</v>
      </c>
      <c r="J3136" t="s">
        <v>20</v>
      </c>
      <c r="K3136" t="s">
        <v>27</v>
      </c>
      <c r="L3136" t="s">
        <v>259</v>
      </c>
      <c r="M3136" t="s">
        <v>214</v>
      </c>
      <c r="N3136">
        <v>37.109929999999999</v>
      </c>
      <c r="O3136">
        <v>-111.922416</v>
      </c>
      <c r="P3136">
        <v>4349.3100119999999</v>
      </c>
      <c r="Q3136">
        <v>1384</v>
      </c>
      <c r="R3136">
        <v>0</v>
      </c>
    </row>
    <row r="3137" spans="1:18" x14ac:dyDescent="0.25">
      <c r="A3137">
        <v>3136</v>
      </c>
      <c r="B3137">
        <v>94</v>
      </c>
      <c r="C3137" t="s">
        <v>547</v>
      </c>
      <c r="D3137" t="s">
        <v>124</v>
      </c>
      <c r="E3137">
        <v>22.052</v>
      </c>
      <c r="F3137" t="s">
        <v>21</v>
      </c>
      <c r="G3137" t="s">
        <v>20</v>
      </c>
      <c r="H3137" t="s">
        <v>21</v>
      </c>
      <c r="I3137" t="s">
        <v>20</v>
      </c>
      <c r="J3137" t="s">
        <v>20</v>
      </c>
      <c r="K3137" t="s">
        <v>22</v>
      </c>
      <c r="L3137" t="s">
        <v>193</v>
      </c>
      <c r="M3137" t="s">
        <v>194</v>
      </c>
      <c r="N3137">
        <v>40.244025000000001</v>
      </c>
      <c r="O3137">
        <v>-111.866398</v>
      </c>
      <c r="P3137">
        <v>4525.705723</v>
      </c>
      <c r="Q3137">
        <v>1368</v>
      </c>
      <c r="R3137">
        <v>0</v>
      </c>
    </row>
    <row r="3138" spans="1:18" x14ac:dyDescent="0.25">
      <c r="A3138">
        <v>3137</v>
      </c>
      <c r="B3138">
        <v>94</v>
      </c>
      <c r="C3138">
        <v>31283752</v>
      </c>
      <c r="D3138" t="s">
        <v>288</v>
      </c>
      <c r="E3138">
        <v>22.056000000000001</v>
      </c>
      <c r="F3138" t="s">
        <v>21</v>
      </c>
      <c r="G3138" t="s">
        <v>26</v>
      </c>
      <c r="H3138" t="s">
        <v>21</v>
      </c>
      <c r="I3138" t="s">
        <v>20</v>
      </c>
      <c r="J3138" t="s">
        <v>20</v>
      </c>
      <c r="K3138" t="s">
        <v>27</v>
      </c>
      <c r="L3138" t="s">
        <v>211</v>
      </c>
      <c r="M3138" t="s">
        <v>318</v>
      </c>
      <c r="N3138">
        <v>37.266950000000001</v>
      </c>
      <c r="O3138">
        <v>-109.61073500000001</v>
      </c>
      <c r="P3138">
        <v>4321.2366599999996</v>
      </c>
      <c r="Q3138">
        <v>350</v>
      </c>
      <c r="R3138">
        <v>0</v>
      </c>
    </row>
    <row r="3139" spans="1:18" x14ac:dyDescent="0.25">
      <c r="A3139">
        <v>3138</v>
      </c>
      <c r="B3139">
        <v>94</v>
      </c>
      <c r="C3139">
        <v>28174527</v>
      </c>
      <c r="D3139" t="s">
        <v>233</v>
      </c>
      <c r="E3139">
        <v>22.085999999999999</v>
      </c>
      <c r="F3139" t="s">
        <v>21</v>
      </c>
      <c r="G3139" t="s">
        <v>20</v>
      </c>
      <c r="H3139" t="s">
        <v>21</v>
      </c>
      <c r="I3139" t="s">
        <v>20</v>
      </c>
      <c r="J3139" t="s">
        <v>20</v>
      </c>
      <c r="K3139" t="s">
        <v>22</v>
      </c>
      <c r="L3139" t="s">
        <v>234</v>
      </c>
      <c r="M3139" t="s">
        <v>235</v>
      </c>
      <c r="N3139">
        <v>40.205967000000001</v>
      </c>
      <c r="O3139">
        <v>-109.35931100000001</v>
      </c>
      <c r="P3139">
        <v>5490.5397409999996</v>
      </c>
      <c r="Q3139">
        <v>1354</v>
      </c>
      <c r="R3139">
        <v>0</v>
      </c>
    </row>
    <row r="3140" spans="1:18" x14ac:dyDescent="0.25">
      <c r="A3140">
        <v>3139</v>
      </c>
      <c r="B3140">
        <v>94</v>
      </c>
      <c r="C3140">
        <v>27873781</v>
      </c>
      <c r="D3140" t="s">
        <v>245</v>
      </c>
      <c r="E3140">
        <v>22.096</v>
      </c>
      <c r="F3140" t="s">
        <v>21</v>
      </c>
      <c r="G3140" t="s">
        <v>26</v>
      </c>
      <c r="H3140" t="s">
        <v>21</v>
      </c>
      <c r="I3140" t="s">
        <v>20</v>
      </c>
      <c r="J3140" t="s">
        <v>20</v>
      </c>
      <c r="K3140" t="s">
        <v>22</v>
      </c>
      <c r="L3140" t="s">
        <v>97</v>
      </c>
      <c r="M3140" t="s">
        <v>98</v>
      </c>
      <c r="N3140">
        <v>40.929189000000001</v>
      </c>
      <c r="O3140">
        <v>-109.72147</v>
      </c>
      <c r="P3140">
        <v>6161.823273</v>
      </c>
      <c r="Q3140">
        <v>1353</v>
      </c>
      <c r="R3140">
        <v>0</v>
      </c>
    </row>
    <row r="3141" spans="1:18" x14ac:dyDescent="0.25">
      <c r="A3141">
        <v>3140</v>
      </c>
      <c r="B3141">
        <v>94</v>
      </c>
      <c r="C3141">
        <v>31299628</v>
      </c>
      <c r="D3141" t="s">
        <v>338</v>
      </c>
      <c r="E3141">
        <v>22.103999999999999</v>
      </c>
      <c r="F3141" t="s">
        <v>21</v>
      </c>
      <c r="G3141" t="s">
        <v>26</v>
      </c>
      <c r="H3141" t="s">
        <v>21</v>
      </c>
      <c r="I3141" t="s">
        <v>20</v>
      </c>
      <c r="J3141" t="s">
        <v>20</v>
      </c>
      <c r="K3141" t="s">
        <v>27</v>
      </c>
      <c r="L3141" t="s">
        <v>72</v>
      </c>
      <c r="M3141" t="s">
        <v>73</v>
      </c>
      <c r="N3141">
        <v>37.175128999999998</v>
      </c>
      <c r="O3141">
        <v>-113.28812499999999</v>
      </c>
      <c r="P3141">
        <v>3163.1224510000002</v>
      </c>
      <c r="Q3141">
        <v>315</v>
      </c>
      <c r="R3141">
        <v>0</v>
      </c>
    </row>
    <row r="3142" spans="1:18" x14ac:dyDescent="0.25">
      <c r="A3142">
        <v>3141</v>
      </c>
      <c r="B3142">
        <v>94</v>
      </c>
      <c r="C3142" t="e">
        <f>-IovA0UQFVPjfQJjXasRZV</f>
        <v>#NAME?</v>
      </c>
      <c r="D3142" t="s">
        <v>176</v>
      </c>
      <c r="E3142">
        <v>22.113</v>
      </c>
      <c r="F3142" t="s">
        <v>21</v>
      </c>
      <c r="G3142" t="s">
        <v>26</v>
      </c>
      <c r="H3142" t="s">
        <v>21</v>
      </c>
      <c r="I3142" t="s">
        <v>20</v>
      </c>
      <c r="J3142" t="s">
        <v>20</v>
      </c>
      <c r="K3142" t="s">
        <v>41</v>
      </c>
      <c r="L3142" t="s">
        <v>223</v>
      </c>
      <c r="M3142" t="s">
        <v>178</v>
      </c>
      <c r="N3142">
        <v>41.740295000000003</v>
      </c>
      <c r="O3142">
        <v>-112.143627</v>
      </c>
      <c r="P3142">
        <v>4272.8084680000002</v>
      </c>
      <c r="Q3142">
        <v>1329</v>
      </c>
      <c r="R3142">
        <v>0</v>
      </c>
    </row>
    <row r="3143" spans="1:18" x14ac:dyDescent="0.25">
      <c r="A3143">
        <v>3142</v>
      </c>
      <c r="B3143">
        <v>94</v>
      </c>
      <c r="C3143">
        <v>27969426</v>
      </c>
      <c r="D3143" t="s">
        <v>281</v>
      </c>
      <c r="E3143">
        <v>22.114999999999998</v>
      </c>
      <c r="F3143" t="s">
        <v>21</v>
      </c>
      <c r="G3143" t="s">
        <v>26</v>
      </c>
      <c r="H3143" t="s">
        <v>21</v>
      </c>
      <c r="I3143" t="s">
        <v>20</v>
      </c>
      <c r="J3143" t="s">
        <v>20</v>
      </c>
      <c r="K3143" t="s">
        <v>31</v>
      </c>
      <c r="L3143" t="s">
        <v>282</v>
      </c>
      <c r="M3143" t="s">
        <v>174</v>
      </c>
      <c r="N3143">
        <v>40.101241999999999</v>
      </c>
      <c r="O3143">
        <v>-112.430815</v>
      </c>
      <c r="P3143">
        <v>5449.8122380000004</v>
      </c>
      <c r="Q3143">
        <v>1347</v>
      </c>
      <c r="R3143">
        <v>0</v>
      </c>
    </row>
    <row r="3144" spans="1:18" x14ac:dyDescent="0.25">
      <c r="A3144">
        <v>3143</v>
      </c>
      <c r="B3144">
        <v>94</v>
      </c>
      <c r="C3144">
        <v>31500355</v>
      </c>
      <c r="D3144" t="s">
        <v>317</v>
      </c>
      <c r="E3144">
        <v>22.138000000000002</v>
      </c>
      <c r="F3144" t="s">
        <v>21</v>
      </c>
      <c r="G3144" t="s">
        <v>20</v>
      </c>
      <c r="H3144" t="s">
        <v>21</v>
      </c>
      <c r="I3144" t="s">
        <v>20</v>
      </c>
      <c r="J3144" t="s">
        <v>20</v>
      </c>
      <c r="K3144" t="s">
        <v>27</v>
      </c>
      <c r="L3144" t="s">
        <v>211</v>
      </c>
      <c r="M3144" t="s">
        <v>212</v>
      </c>
      <c r="N3144">
        <v>37.157341000000002</v>
      </c>
      <c r="O3144">
        <v>-109.857438</v>
      </c>
      <c r="P3144">
        <v>4137.963479</v>
      </c>
      <c r="Q3144">
        <v>1432</v>
      </c>
      <c r="R3144">
        <v>0</v>
      </c>
    </row>
    <row r="3145" spans="1:18" x14ac:dyDescent="0.25">
      <c r="A3145">
        <v>3144</v>
      </c>
      <c r="B3145">
        <v>94</v>
      </c>
      <c r="C3145">
        <v>27873792</v>
      </c>
      <c r="D3145" t="s">
        <v>245</v>
      </c>
      <c r="E3145">
        <v>22.148</v>
      </c>
      <c r="F3145" t="s">
        <v>21</v>
      </c>
      <c r="G3145" t="s">
        <v>26</v>
      </c>
      <c r="H3145" t="s">
        <v>21</v>
      </c>
      <c r="I3145" t="s">
        <v>20</v>
      </c>
      <c r="J3145" t="s">
        <v>20</v>
      </c>
      <c r="K3145" t="s">
        <v>22</v>
      </c>
      <c r="L3145" t="s">
        <v>97</v>
      </c>
      <c r="M3145" t="s">
        <v>98</v>
      </c>
      <c r="N3145">
        <v>40.929943000000002</v>
      </c>
      <c r="O3145">
        <v>-109.721434</v>
      </c>
      <c r="P3145">
        <v>6179.7884480000002</v>
      </c>
      <c r="Q3145">
        <v>1353</v>
      </c>
      <c r="R3145">
        <v>0</v>
      </c>
    </row>
    <row r="3146" spans="1:18" x14ac:dyDescent="0.25">
      <c r="A3146">
        <v>3145</v>
      </c>
      <c r="B3146">
        <v>94</v>
      </c>
      <c r="C3146">
        <v>27879389</v>
      </c>
      <c r="D3146" t="s">
        <v>91</v>
      </c>
      <c r="E3146">
        <v>23.277000000000001</v>
      </c>
      <c r="F3146" t="s">
        <v>21</v>
      </c>
      <c r="G3146" t="s">
        <v>26</v>
      </c>
      <c r="H3146" t="s">
        <v>21</v>
      </c>
      <c r="I3146" t="s">
        <v>20</v>
      </c>
      <c r="J3146" t="s">
        <v>20</v>
      </c>
      <c r="K3146" t="s">
        <v>41</v>
      </c>
      <c r="L3146" t="s">
        <v>95</v>
      </c>
      <c r="M3146" t="s">
        <v>73</v>
      </c>
      <c r="N3146">
        <v>41.902996999999999</v>
      </c>
      <c r="O3146">
        <v>-111.951401</v>
      </c>
      <c r="P3146">
        <v>4447.4542389999997</v>
      </c>
      <c r="Q3146">
        <v>1339</v>
      </c>
      <c r="R3146">
        <v>0</v>
      </c>
    </row>
    <row r="3147" spans="1:18" x14ac:dyDescent="0.25">
      <c r="A3147">
        <v>3146</v>
      </c>
      <c r="B3147">
        <v>94</v>
      </c>
      <c r="C3147">
        <v>31592678</v>
      </c>
      <c r="D3147" t="s">
        <v>271</v>
      </c>
      <c r="E3147">
        <v>23.28</v>
      </c>
      <c r="F3147" t="s">
        <v>21</v>
      </c>
      <c r="G3147" t="s">
        <v>26</v>
      </c>
      <c r="H3147" t="s">
        <v>21</v>
      </c>
      <c r="I3147" t="s">
        <v>20</v>
      </c>
      <c r="J3147" t="s">
        <v>20</v>
      </c>
      <c r="K3147" t="s">
        <v>22</v>
      </c>
      <c r="L3147" t="s">
        <v>263</v>
      </c>
      <c r="M3147" t="s">
        <v>24</v>
      </c>
      <c r="N3147">
        <v>40.298040999999998</v>
      </c>
      <c r="O3147">
        <v>-112.099177</v>
      </c>
      <c r="P3147">
        <v>4948.3399890000001</v>
      </c>
      <c r="Q3147">
        <v>1372</v>
      </c>
      <c r="R3147">
        <v>0</v>
      </c>
    </row>
    <row r="3148" spans="1:18" x14ac:dyDescent="0.25">
      <c r="A3148">
        <v>3147</v>
      </c>
      <c r="B3148">
        <v>94</v>
      </c>
      <c r="C3148" t="e">
        <f>-JMlyq8bGKaGRax9mF8FrV</f>
        <v>#NAME?</v>
      </c>
      <c r="D3148" t="s">
        <v>221</v>
      </c>
      <c r="E3148">
        <v>23.285</v>
      </c>
      <c r="F3148" t="s">
        <v>21</v>
      </c>
      <c r="G3148" t="s">
        <v>20</v>
      </c>
      <c r="H3148" t="s">
        <v>21</v>
      </c>
      <c r="I3148" t="s">
        <v>20</v>
      </c>
      <c r="J3148" t="s">
        <v>20</v>
      </c>
      <c r="K3148" t="s">
        <v>22</v>
      </c>
      <c r="L3148" t="s">
        <v>155</v>
      </c>
      <c r="M3148" t="s">
        <v>174</v>
      </c>
      <c r="N3148">
        <v>39.467936000000002</v>
      </c>
      <c r="O3148">
        <v>-111.89800700000001</v>
      </c>
      <c r="P3148">
        <v>5221.3350549999996</v>
      </c>
      <c r="Q3148">
        <v>1342</v>
      </c>
      <c r="R3148">
        <v>0</v>
      </c>
    </row>
    <row r="3149" spans="1:18" x14ac:dyDescent="0.25">
      <c r="A3149">
        <v>3148</v>
      </c>
      <c r="B3149">
        <v>94</v>
      </c>
      <c r="C3149">
        <v>27718867</v>
      </c>
      <c r="D3149" t="s">
        <v>217</v>
      </c>
      <c r="E3149">
        <v>23.295000000000002</v>
      </c>
      <c r="F3149" t="s">
        <v>21</v>
      </c>
      <c r="G3149" t="s">
        <v>26</v>
      </c>
      <c r="H3149" t="s">
        <v>21</v>
      </c>
      <c r="I3149" t="s">
        <v>20</v>
      </c>
      <c r="J3149" t="s">
        <v>20</v>
      </c>
      <c r="K3149" t="s">
        <v>27</v>
      </c>
      <c r="L3149" t="s">
        <v>162</v>
      </c>
      <c r="M3149" t="s">
        <v>163</v>
      </c>
      <c r="N3149">
        <v>37.372478999999998</v>
      </c>
      <c r="O3149">
        <v>-113.660106</v>
      </c>
      <c r="P3149">
        <v>4859.4132460000001</v>
      </c>
      <c r="Q3149">
        <v>304</v>
      </c>
      <c r="R3149">
        <v>0</v>
      </c>
    </row>
    <row r="3150" spans="1:18" x14ac:dyDescent="0.25">
      <c r="A3150">
        <v>3149</v>
      </c>
      <c r="B3150">
        <v>94</v>
      </c>
      <c r="C3150">
        <v>31305995</v>
      </c>
      <c r="D3150" t="s">
        <v>116</v>
      </c>
      <c r="E3150">
        <v>23.323</v>
      </c>
      <c r="F3150" t="s">
        <v>21</v>
      </c>
      <c r="G3150" t="s">
        <v>26</v>
      </c>
      <c r="H3150" t="s">
        <v>21</v>
      </c>
      <c r="I3150" t="s">
        <v>20</v>
      </c>
      <c r="J3150" t="s">
        <v>20</v>
      </c>
      <c r="K3150" t="s">
        <v>41</v>
      </c>
      <c r="L3150" t="s">
        <v>42</v>
      </c>
      <c r="M3150" t="s">
        <v>43</v>
      </c>
      <c r="N3150">
        <v>41.692819999999998</v>
      </c>
      <c r="O3150">
        <v>-111.865689</v>
      </c>
      <c r="P3150">
        <v>4430.8061749999997</v>
      </c>
      <c r="Q3150">
        <v>324</v>
      </c>
      <c r="R3150">
        <v>0</v>
      </c>
    </row>
    <row r="3151" spans="1:18" x14ac:dyDescent="0.25">
      <c r="A3151">
        <v>3150</v>
      </c>
      <c r="B3151">
        <v>94</v>
      </c>
      <c r="C3151">
        <v>31713374</v>
      </c>
      <c r="D3151" t="s">
        <v>213</v>
      </c>
      <c r="E3151">
        <v>256.07400000000001</v>
      </c>
      <c r="F3151" t="s">
        <v>21</v>
      </c>
      <c r="G3151" t="s">
        <v>26</v>
      </c>
      <c r="H3151" t="s">
        <v>19</v>
      </c>
      <c r="I3151">
        <v>123</v>
      </c>
      <c r="J3151" t="s">
        <v>20</v>
      </c>
      <c r="K3151" t="s">
        <v>27</v>
      </c>
      <c r="L3151" t="s">
        <v>158</v>
      </c>
      <c r="M3151" t="s">
        <v>190</v>
      </c>
      <c r="N3151">
        <v>39.525630999999997</v>
      </c>
      <c r="O3151">
        <v>-110.573082</v>
      </c>
      <c r="P3151">
        <v>5464.783445</v>
      </c>
      <c r="Q3151">
        <v>1332</v>
      </c>
      <c r="R3151">
        <v>0</v>
      </c>
    </row>
    <row r="3152" spans="1:18" x14ac:dyDescent="0.25">
      <c r="A3152">
        <v>3151</v>
      </c>
      <c r="B3152">
        <v>94</v>
      </c>
      <c r="C3152" t="e">
        <f>-IoIKCRHHmLLfA84RZcQeV</f>
        <v>#NAME?</v>
      </c>
      <c r="D3152" t="s">
        <v>272</v>
      </c>
      <c r="E3152">
        <v>256.08600000000001</v>
      </c>
      <c r="F3152" t="s">
        <v>21</v>
      </c>
      <c r="G3152" t="s">
        <v>26</v>
      </c>
      <c r="H3152" t="s">
        <v>21</v>
      </c>
      <c r="I3152" t="s">
        <v>20</v>
      </c>
      <c r="J3152" t="s">
        <v>20</v>
      </c>
      <c r="K3152" t="s">
        <v>27</v>
      </c>
      <c r="L3152" t="s">
        <v>350</v>
      </c>
      <c r="M3152" t="s">
        <v>174</v>
      </c>
      <c r="N3152">
        <v>39.272865000000003</v>
      </c>
      <c r="O3152">
        <v>-111.635718</v>
      </c>
      <c r="P3152">
        <v>5521.6689969999998</v>
      </c>
      <c r="Q3152">
        <v>1384</v>
      </c>
      <c r="R3152">
        <v>0</v>
      </c>
    </row>
    <row r="3153" spans="1:18" x14ac:dyDescent="0.25">
      <c r="A3153">
        <v>3152</v>
      </c>
      <c r="B3153">
        <v>94</v>
      </c>
      <c r="C3153">
        <v>27716979</v>
      </c>
      <c r="D3153" t="s">
        <v>217</v>
      </c>
      <c r="E3153">
        <v>22.387</v>
      </c>
      <c r="F3153" t="s">
        <v>21</v>
      </c>
      <c r="G3153" t="s">
        <v>26</v>
      </c>
      <c r="H3153" t="s">
        <v>21</v>
      </c>
      <c r="I3153" t="s">
        <v>20</v>
      </c>
      <c r="J3153" t="s">
        <v>20</v>
      </c>
      <c r="K3153" t="s">
        <v>27</v>
      </c>
      <c r="L3153" t="s">
        <v>162</v>
      </c>
      <c r="M3153" t="s">
        <v>163</v>
      </c>
      <c r="N3153">
        <v>37.362386000000001</v>
      </c>
      <c r="O3153">
        <v>-113.66994099999999</v>
      </c>
      <c r="P3153">
        <v>4806.940345</v>
      </c>
      <c r="Q3153">
        <v>304</v>
      </c>
      <c r="R3153">
        <v>0</v>
      </c>
    </row>
    <row r="3154" spans="1:18" x14ac:dyDescent="0.25">
      <c r="A3154">
        <v>3153</v>
      </c>
      <c r="B3154">
        <v>94</v>
      </c>
      <c r="C3154" t="e">
        <f>-JXhdOFTIO9UdTt3CJLPoF</f>
        <v>#NAME?</v>
      </c>
      <c r="D3154" t="s">
        <v>390</v>
      </c>
      <c r="E3154">
        <v>22.393999999999998</v>
      </c>
      <c r="F3154" t="s">
        <v>21</v>
      </c>
      <c r="G3154" t="s">
        <v>20</v>
      </c>
      <c r="H3154" t="s">
        <v>21</v>
      </c>
      <c r="I3154" t="s">
        <v>20</v>
      </c>
      <c r="J3154" t="s">
        <v>20</v>
      </c>
      <c r="K3154" t="s">
        <v>22</v>
      </c>
      <c r="L3154" t="s">
        <v>60</v>
      </c>
      <c r="M3154" t="s">
        <v>335</v>
      </c>
      <c r="N3154">
        <v>40.405726000000001</v>
      </c>
      <c r="O3154">
        <v>-111.60645700000001</v>
      </c>
      <c r="P3154">
        <v>6855.1960300000001</v>
      </c>
      <c r="Q3154">
        <v>1386</v>
      </c>
      <c r="R3154">
        <v>0</v>
      </c>
    </row>
    <row r="3155" spans="1:18" x14ac:dyDescent="0.25">
      <c r="A3155">
        <v>3154</v>
      </c>
      <c r="B3155">
        <v>94</v>
      </c>
      <c r="C3155">
        <v>31643872</v>
      </c>
      <c r="D3155" t="s">
        <v>233</v>
      </c>
      <c r="E3155">
        <v>22.405000000000001</v>
      </c>
      <c r="F3155" t="s">
        <v>21</v>
      </c>
      <c r="G3155" t="s">
        <v>20</v>
      </c>
      <c r="H3155" t="s">
        <v>21</v>
      </c>
      <c r="I3155" t="s">
        <v>20</v>
      </c>
      <c r="J3155" t="s">
        <v>20</v>
      </c>
      <c r="K3155" t="s">
        <v>22</v>
      </c>
      <c r="L3155" t="s">
        <v>234</v>
      </c>
      <c r="M3155" t="s">
        <v>235</v>
      </c>
      <c r="N3155">
        <v>40.208598000000002</v>
      </c>
      <c r="O3155">
        <v>-109.36419100000001</v>
      </c>
      <c r="P3155">
        <v>5434.913697</v>
      </c>
      <c r="Q3155">
        <v>1354</v>
      </c>
      <c r="R3155">
        <v>0</v>
      </c>
    </row>
    <row r="3156" spans="1:18" x14ac:dyDescent="0.25">
      <c r="A3156">
        <v>3155</v>
      </c>
      <c r="B3156">
        <v>94</v>
      </c>
      <c r="C3156">
        <v>31316844</v>
      </c>
      <c r="D3156" t="s">
        <v>347</v>
      </c>
      <c r="E3156">
        <v>22.416</v>
      </c>
      <c r="F3156" t="s">
        <v>21</v>
      </c>
      <c r="G3156" t="s">
        <v>26</v>
      </c>
      <c r="H3156" t="s">
        <v>21</v>
      </c>
      <c r="I3156" t="s">
        <v>20</v>
      </c>
      <c r="J3156" t="s">
        <v>20</v>
      </c>
      <c r="K3156" t="s">
        <v>41</v>
      </c>
      <c r="L3156" t="s">
        <v>325</v>
      </c>
      <c r="M3156" t="s">
        <v>204</v>
      </c>
      <c r="N3156">
        <v>41.688223999999998</v>
      </c>
      <c r="O3156">
        <v>-111.17711</v>
      </c>
      <c r="P3156">
        <v>6234.9971830000004</v>
      </c>
      <c r="Q3156">
        <v>1334</v>
      </c>
      <c r="R3156">
        <v>0</v>
      </c>
    </row>
    <row r="3157" spans="1:18" x14ac:dyDescent="0.25">
      <c r="A3157">
        <v>3156</v>
      </c>
      <c r="B3157">
        <v>94</v>
      </c>
      <c r="C3157">
        <v>31767408</v>
      </c>
      <c r="D3157" t="s">
        <v>268</v>
      </c>
      <c r="E3157">
        <v>22.428000000000001</v>
      </c>
      <c r="F3157" t="s">
        <v>21</v>
      </c>
      <c r="G3157" t="s">
        <v>26</v>
      </c>
      <c r="H3157" t="s">
        <v>21</v>
      </c>
      <c r="I3157" t="s">
        <v>20</v>
      </c>
      <c r="J3157" t="s">
        <v>20</v>
      </c>
      <c r="K3157" t="s">
        <v>41</v>
      </c>
      <c r="L3157" t="s">
        <v>181</v>
      </c>
      <c r="M3157" t="s">
        <v>43</v>
      </c>
      <c r="N3157">
        <v>41.715803999999999</v>
      </c>
      <c r="O3157">
        <v>-112.452331</v>
      </c>
      <c r="P3157">
        <v>4445.3937409999999</v>
      </c>
      <c r="Q3157">
        <v>1380</v>
      </c>
      <c r="R3157">
        <v>0</v>
      </c>
    </row>
    <row r="3158" spans="1:18" x14ac:dyDescent="0.25">
      <c r="A3158">
        <v>3157</v>
      </c>
      <c r="B3158">
        <v>94</v>
      </c>
      <c r="C3158">
        <v>31397636</v>
      </c>
      <c r="D3158" t="s">
        <v>124</v>
      </c>
      <c r="E3158">
        <v>38.57</v>
      </c>
      <c r="F3158" t="s">
        <v>21</v>
      </c>
      <c r="G3158" t="s">
        <v>20</v>
      </c>
      <c r="H3158" t="s">
        <v>21</v>
      </c>
      <c r="I3158" t="s">
        <v>20</v>
      </c>
      <c r="J3158" t="s">
        <v>20</v>
      </c>
      <c r="K3158" t="s">
        <v>31</v>
      </c>
      <c r="L3158" t="s">
        <v>89</v>
      </c>
      <c r="M3158" t="s">
        <v>125</v>
      </c>
      <c r="N3158">
        <v>40.468964</v>
      </c>
      <c r="O3158">
        <v>-111.945803</v>
      </c>
      <c r="P3158">
        <v>4579.1387169999998</v>
      </c>
      <c r="Q3158">
        <v>1368</v>
      </c>
      <c r="R3158">
        <v>0</v>
      </c>
    </row>
    <row r="3159" spans="1:18" x14ac:dyDescent="0.25">
      <c r="A3159">
        <v>3158</v>
      </c>
      <c r="B3159">
        <v>94</v>
      </c>
      <c r="C3159" t="e">
        <f>-JNQMTpiG_1t_3yeyZ5ixF</f>
        <v>#NAME?</v>
      </c>
      <c r="D3159" t="s">
        <v>124</v>
      </c>
      <c r="E3159">
        <v>38.597000000000001</v>
      </c>
      <c r="F3159" t="s">
        <v>21</v>
      </c>
      <c r="G3159" t="s">
        <v>20</v>
      </c>
      <c r="H3159" t="s">
        <v>21</v>
      </c>
      <c r="I3159" t="s">
        <v>20</v>
      </c>
      <c r="J3159" t="s">
        <v>20</v>
      </c>
      <c r="K3159" t="s">
        <v>31</v>
      </c>
      <c r="L3159" t="s">
        <v>89</v>
      </c>
      <c r="M3159" t="s">
        <v>125</v>
      </c>
      <c r="N3159">
        <v>40.469338</v>
      </c>
      <c r="O3159">
        <v>-111.94597899999999</v>
      </c>
      <c r="P3159">
        <v>4579.0160939999996</v>
      </c>
      <c r="Q3159">
        <v>1368</v>
      </c>
      <c r="R3159">
        <v>0</v>
      </c>
    </row>
    <row r="3160" spans="1:18" x14ac:dyDescent="0.25">
      <c r="A3160">
        <v>3159</v>
      </c>
      <c r="B3160">
        <v>94</v>
      </c>
      <c r="C3160" t="e">
        <f>-Iouqip5IN1gyAHmxYsKdV</f>
        <v>#NAME?</v>
      </c>
      <c r="D3160" t="s">
        <v>221</v>
      </c>
      <c r="E3160">
        <v>3.4249999999999998</v>
      </c>
      <c r="F3160" t="s">
        <v>21</v>
      </c>
      <c r="G3160" t="s">
        <v>20</v>
      </c>
      <c r="H3160" t="s">
        <v>21</v>
      </c>
      <c r="I3160" t="s">
        <v>20</v>
      </c>
      <c r="J3160" t="s">
        <v>20</v>
      </c>
      <c r="K3160" t="s">
        <v>27</v>
      </c>
      <c r="L3160" t="s">
        <v>350</v>
      </c>
      <c r="M3160" t="s">
        <v>174</v>
      </c>
      <c r="N3160">
        <v>39.200724999999998</v>
      </c>
      <c r="O3160">
        <v>-111.846256</v>
      </c>
      <c r="P3160">
        <v>5038.3205969999999</v>
      </c>
      <c r="Q3160">
        <v>1342</v>
      </c>
      <c r="R3160">
        <v>0</v>
      </c>
    </row>
    <row r="3161" spans="1:18" x14ac:dyDescent="0.25">
      <c r="A3161">
        <v>3160</v>
      </c>
      <c r="B3161">
        <v>94</v>
      </c>
      <c r="C3161">
        <v>31408773</v>
      </c>
      <c r="D3161" t="s">
        <v>74</v>
      </c>
      <c r="E3161">
        <v>3.4260000000000002</v>
      </c>
      <c r="F3161" t="s">
        <v>21</v>
      </c>
      <c r="G3161" t="s">
        <v>26</v>
      </c>
      <c r="H3161" t="s">
        <v>21</v>
      </c>
      <c r="I3161" t="s">
        <v>20</v>
      </c>
      <c r="J3161" t="s">
        <v>20</v>
      </c>
      <c r="K3161" t="s">
        <v>27</v>
      </c>
      <c r="L3161" t="s">
        <v>75</v>
      </c>
      <c r="M3161" t="s">
        <v>76</v>
      </c>
      <c r="N3161">
        <v>38.784191</v>
      </c>
      <c r="O3161">
        <v>-112.08428000000001</v>
      </c>
      <c r="P3161">
        <v>5368.8109009999998</v>
      </c>
      <c r="Q3161">
        <v>332</v>
      </c>
      <c r="R3161">
        <v>0</v>
      </c>
    </row>
    <row r="3162" spans="1:18" x14ac:dyDescent="0.25">
      <c r="A3162">
        <v>3161</v>
      </c>
      <c r="B3162">
        <v>94</v>
      </c>
      <c r="C3162">
        <v>27371275</v>
      </c>
      <c r="D3162" t="s">
        <v>185</v>
      </c>
      <c r="E3162">
        <v>3.4289999999999998</v>
      </c>
      <c r="F3162" t="s">
        <v>21</v>
      </c>
      <c r="G3162" t="s">
        <v>26</v>
      </c>
      <c r="H3162" t="s">
        <v>21</v>
      </c>
      <c r="I3162" t="s">
        <v>20</v>
      </c>
      <c r="J3162" t="s">
        <v>20</v>
      </c>
      <c r="K3162" t="s">
        <v>41</v>
      </c>
      <c r="L3162" t="s">
        <v>57</v>
      </c>
      <c r="M3162" t="s">
        <v>58</v>
      </c>
      <c r="N3162">
        <v>41.139851999999998</v>
      </c>
      <c r="O3162">
        <v>-112.09186699999999</v>
      </c>
      <c r="P3162">
        <v>4215.8850060000004</v>
      </c>
      <c r="Q3162">
        <v>309</v>
      </c>
      <c r="R3162">
        <v>0</v>
      </c>
    </row>
    <row r="3163" spans="1:18" x14ac:dyDescent="0.25">
      <c r="A3163">
        <v>3162</v>
      </c>
      <c r="B3163">
        <v>94</v>
      </c>
      <c r="C3163">
        <v>31797613</v>
      </c>
      <c r="D3163" t="s">
        <v>61</v>
      </c>
      <c r="E3163">
        <v>3.4359999999999999</v>
      </c>
      <c r="F3163" t="s">
        <v>19</v>
      </c>
      <c r="G3163" t="s">
        <v>20</v>
      </c>
      <c r="H3163" t="s">
        <v>19</v>
      </c>
      <c r="I3163">
        <v>265</v>
      </c>
      <c r="J3163" t="s">
        <v>20</v>
      </c>
      <c r="K3163" t="s">
        <v>22</v>
      </c>
      <c r="L3163" t="s">
        <v>23</v>
      </c>
      <c r="M3163" t="s">
        <v>62</v>
      </c>
      <c r="N3163">
        <v>40.255822000000002</v>
      </c>
      <c r="O3163">
        <v>-111.658615</v>
      </c>
      <c r="P3163">
        <v>4566.9581010000002</v>
      </c>
      <c r="Q3163">
        <v>403</v>
      </c>
      <c r="R3163">
        <v>0</v>
      </c>
    </row>
    <row r="3164" spans="1:18" x14ac:dyDescent="0.25">
      <c r="A3164">
        <v>3163</v>
      </c>
      <c r="B3164">
        <v>94</v>
      </c>
      <c r="C3164">
        <v>31520717</v>
      </c>
      <c r="D3164" t="s">
        <v>390</v>
      </c>
      <c r="E3164">
        <v>3.4369999999999998</v>
      </c>
      <c r="F3164" t="s">
        <v>19</v>
      </c>
      <c r="G3164" t="s">
        <v>20</v>
      </c>
      <c r="H3164" t="s">
        <v>21</v>
      </c>
      <c r="I3164" t="s">
        <v>20</v>
      </c>
      <c r="J3164" t="s">
        <v>20</v>
      </c>
      <c r="K3164" t="s">
        <v>22</v>
      </c>
      <c r="L3164" t="s">
        <v>84</v>
      </c>
      <c r="M3164" t="s">
        <v>335</v>
      </c>
      <c r="N3164">
        <v>40.432093999999999</v>
      </c>
      <c r="O3164">
        <v>-111.830619</v>
      </c>
      <c r="P3164">
        <v>4773.9421490000004</v>
      </c>
      <c r="Q3164">
        <v>1386</v>
      </c>
      <c r="R3164">
        <v>0</v>
      </c>
    </row>
    <row r="3165" spans="1:18" x14ac:dyDescent="0.25">
      <c r="A3165">
        <v>3164</v>
      </c>
      <c r="B3165">
        <v>94</v>
      </c>
      <c r="C3165">
        <v>1116120</v>
      </c>
      <c r="D3165" t="s">
        <v>101</v>
      </c>
      <c r="E3165">
        <v>3.4369999999999998</v>
      </c>
      <c r="F3165" t="s">
        <v>21</v>
      </c>
      <c r="G3165" t="s">
        <v>26</v>
      </c>
      <c r="H3165" t="s">
        <v>21</v>
      </c>
      <c r="I3165" t="s">
        <v>20</v>
      </c>
      <c r="J3165" t="s">
        <v>20</v>
      </c>
      <c r="K3165" t="s">
        <v>41</v>
      </c>
      <c r="L3165" t="s">
        <v>57</v>
      </c>
      <c r="M3165" t="s">
        <v>58</v>
      </c>
      <c r="N3165">
        <v>41.118071</v>
      </c>
      <c r="O3165">
        <v>-112.046736</v>
      </c>
      <c r="P3165">
        <v>4362.541768</v>
      </c>
      <c r="Q3165">
        <v>328</v>
      </c>
      <c r="R3165">
        <v>0</v>
      </c>
    </row>
    <row r="3166" spans="1:18" x14ac:dyDescent="0.25">
      <c r="A3166">
        <v>3165</v>
      </c>
      <c r="B3166">
        <v>94</v>
      </c>
      <c r="C3166" t="s">
        <v>548</v>
      </c>
      <c r="D3166" t="s">
        <v>374</v>
      </c>
      <c r="E3166">
        <v>3.4369999999999998</v>
      </c>
      <c r="F3166" t="s">
        <v>21</v>
      </c>
      <c r="G3166" t="s">
        <v>20</v>
      </c>
      <c r="H3166" t="s">
        <v>21</v>
      </c>
      <c r="I3166" t="s">
        <v>20</v>
      </c>
      <c r="J3166" t="s">
        <v>20</v>
      </c>
      <c r="K3166" t="s">
        <v>22</v>
      </c>
      <c r="L3166" t="s">
        <v>234</v>
      </c>
      <c r="M3166" t="s">
        <v>169</v>
      </c>
      <c r="N3166">
        <v>40.418303000000002</v>
      </c>
      <c r="O3166">
        <v>-109.338629</v>
      </c>
      <c r="P3166">
        <v>4729.1328739999999</v>
      </c>
      <c r="Q3166">
        <v>1422</v>
      </c>
      <c r="R3166">
        <v>0</v>
      </c>
    </row>
    <row r="3167" spans="1:18" x14ac:dyDescent="0.25">
      <c r="A3167">
        <v>3166</v>
      </c>
      <c r="B3167">
        <v>94</v>
      </c>
      <c r="C3167">
        <v>31191068</v>
      </c>
      <c r="D3167" t="s">
        <v>309</v>
      </c>
      <c r="E3167">
        <v>2.0390000000000001</v>
      </c>
      <c r="F3167" t="s">
        <v>21</v>
      </c>
      <c r="G3167" t="s">
        <v>26</v>
      </c>
      <c r="H3167" t="s">
        <v>21</v>
      </c>
      <c r="I3167" t="s">
        <v>20</v>
      </c>
      <c r="J3167" t="s">
        <v>20</v>
      </c>
      <c r="K3167" t="s">
        <v>22</v>
      </c>
      <c r="L3167" t="s">
        <v>198</v>
      </c>
      <c r="M3167" t="s">
        <v>125</v>
      </c>
      <c r="N3167">
        <v>40.070476999999997</v>
      </c>
      <c r="O3167">
        <v>-111.78769</v>
      </c>
      <c r="P3167">
        <v>4468.3057310000004</v>
      </c>
      <c r="Q3167">
        <v>339</v>
      </c>
      <c r="R3167">
        <v>0</v>
      </c>
    </row>
    <row r="3168" spans="1:18" x14ac:dyDescent="0.25">
      <c r="A3168">
        <v>3167</v>
      </c>
      <c r="B3168">
        <v>94</v>
      </c>
      <c r="C3168">
        <v>31404125</v>
      </c>
      <c r="D3168" t="s">
        <v>63</v>
      </c>
      <c r="E3168">
        <v>2.04</v>
      </c>
      <c r="F3168" t="s">
        <v>21</v>
      </c>
      <c r="G3168" t="s">
        <v>26</v>
      </c>
      <c r="H3168" t="s">
        <v>21</v>
      </c>
      <c r="I3168" t="s">
        <v>20</v>
      </c>
      <c r="J3168" t="s">
        <v>20</v>
      </c>
      <c r="K3168" t="s">
        <v>27</v>
      </c>
      <c r="L3168" t="s">
        <v>64</v>
      </c>
      <c r="M3168" t="s">
        <v>29</v>
      </c>
      <c r="N3168">
        <v>38.208303000000001</v>
      </c>
      <c r="O3168">
        <v>-112.187344</v>
      </c>
      <c r="P3168">
        <v>5951.6171590000004</v>
      </c>
      <c r="Q3168">
        <v>1365</v>
      </c>
      <c r="R3168">
        <v>0</v>
      </c>
    </row>
    <row r="3169" spans="1:18" x14ac:dyDescent="0.25">
      <c r="A3169">
        <v>3168</v>
      </c>
      <c r="B3169">
        <v>94</v>
      </c>
      <c r="C3169">
        <v>31677301</v>
      </c>
      <c r="D3169" t="s">
        <v>258</v>
      </c>
      <c r="E3169">
        <v>2.0430000000000001</v>
      </c>
      <c r="F3169" t="s">
        <v>21</v>
      </c>
      <c r="G3169" t="s">
        <v>26</v>
      </c>
      <c r="H3169" t="s">
        <v>21</v>
      </c>
      <c r="I3169" t="s">
        <v>20</v>
      </c>
      <c r="J3169" t="s">
        <v>20</v>
      </c>
      <c r="K3169" t="s">
        <v>27</v>
      </c>
      <c r="L3169" t="s">
        <v>259</v>
      </c>
      <c r="M3169" t="s">
        <v>29</v>
      </c>
      <c r="N3169">
        <v>37.029823999999998</v>
      </c>
      <c r="O3169">
        <v>-112.52483700000001</v>
      </c>
      <c r="P3169">
        <v>4830.9066659999999</v>
      </c>
      <c r="Q3169">
        <v>301</v>
      </c>
      <c r="R3169">
        <v>0</v>
      </c>
    </row>
    <row r="3170" spans="1:18" x14ac:dyDescent="0.25">
      <c r="A3170">
        <v>3169</v>
      </c>
      <c r="B3170">
        <v>94</v>
      </c>
      <c r="C3170">
        <v>31515357</v>
      </c>
      <c r="D3170" t="s">
        <v>292</v>
      </c>
      <c r="E3170">
        <v>25.056000000000001</v>
      </c>
      <c r="F3170" t="s">
        <v>21</v>
      </c>
      <c r="G3170" t="s">
        <v>26</v>
      </c>
      <c r="H3170" t="s">
        <v>21</v>
      </c>
      <c r="I3170" t="s">
        <v>20</v>
      </c>
      <c r="J3170" t="s">
        <v>20</v>
      </c>
      <c r="K3170" t="s">
        <v>22</v>
      </c>
      <c r="L3170" t="s">
        <v>253</v>
      </c>
      <c r="M3170" t="s">
        <v>134</v>
      </c>
      <c r="N3170">
        <v>40.3187</v>
      </c>
      <c r="O3170">
        <v>-110.25649300000001</v>
      </c>
      <c r="P3170">
        <v>6037.7585900000004</v>
      </c>
      <c r="Q3170">
        <v>323</v>
      </c>
      <c r="R3170">
        <v>0</v>
      </c>
    </row>
    <row r="3171" spans="1:18" x14ac:dyDescent="0.25">
      <c r="A3171">
        <v>3170</v>
      </c>
      <c r="B3171">
        <v>94</v>
      </c>
      <c r="C3171" t="e">
        <f>-IovBAIaIHqlALc15IXmvk</f>
        <v>#NAME?</v>
      </c>
      <c r="D3171" t="s">
        <v>176</v>
      </c>
      <c r="E3171">
        <v>25.061</v>
      </c>
      <c r="F3171" t="s">
        <v>21</v>
      </c>
      <c r="G3171" t="s">
        <v>26</v>
      </c>
      <c r="H3171" t="s">
        <v>21</v>
      </c>
      <c r="I3171" t="s">
        <v>20</v>
      </c>
      <c r="J3171" t="s">
        <v>20</v>
      </c>
      <c r="K3171" t="s">
        <v>41</v>
      </c>
      <c r="L3171" t="s">
        <v>223</v>
      </c>
      <c r="M3171" t="s">
        <v>178</v>
      </c>
      <c r="N3171">
        <v>41.782169000000003</v>
      </c>
      <c r="O3171">
        <v>-112.149277</v>
      </c>
      <c r="P3171">
        <v>4309.3091439999998</v>
      </c>
      <c r="Q3171">
        <v>1329</v>
      </c>
      <c r="R3171">
        <v>0</v>
      </c>
    </row>
    <row r="3172" spans="1:18" x14ac:dyDescent="0.25">
      <c r="A3172">
        <v>3171</v>
      </c>
      <c r="B3172">
        <v>94</v>
      </c>
      <c r="C3172">
        <v>31594011</v>
      </c>
      <c r="D3172" t="s">
        <v>271</v>
      </c>
      <c r="E3172">
        <v>25.068999999999999</v>
      </c>
      <c r="F3172" t="s">
        <v>21</v>
      </c>
      <c r="G3172" t="s">
        <v>26</v>
      </c>
      <c r="H3172" t="s">
        <v>21</v>
      </c>
      <c r="I3172" t="s">
        <v>20</v>
      </c>
      <c r="J3172" t="s">
        <v>20</v>
      </c>
      <c r="K3172" t="s">
        <v>22</v>
      </c>
      <c r="L3172" t="s">
        <v>263</v>
      </c>
      <c r="M3172" t="s">
        <v>24</v>
      </c>
      <c r="N3172">
        <v>40.323763999999997</v>
      </c>
      <c r="O3172">
        <v>-112.102394</v>
      </c>
      <c r="P3172">
        <v>5026.2854520000001</v>
      </c>
      <c r="Q3172">
        <v>1372</v>
      </c>
      <c r="R3172">
        <v>0</v>
      </c>
    </row>
    <row r="3173" spans="1:18" x14ac:dyDescent="0.25">
      <c r="A3173">
        <v>3172</v>
      </c>
      <c r="B3173">
        <v>94</v>
      </c>
      <c r="C3173">
        <v>31374113</v>
      </c>
      <c r="D3173" t="s">
        <v>199</v>
      </c>
      <c r="E3173">
        <v>25.074999999999999</v>
      </c>
      <c r="F3173" t="s">
        <v>21</v>
      </c>
      <c r="G3173" t="s">
        <v>20</v>
      </c>
      <c r="H3173" t="s">
        <v>21</v>
      </c>
      <c r="I3173" t="s">
        <v>20</v>
      </c>
      <c r="J3173" t="s">
        <v>20</v>
      </c>
      <c r="K3173" t="s">
        <v>27</v>
      </c>
      <c r="L3173" t="s">
        <v>103</v>
      </c>
      <c r="M3173" t="s">
        <v>200</v>
      </c>
      <c r="N3173">
        <v>38.274366000000001</v>
      </c>
      <c r="O3173">
        <v>-112.365292</v>
      </c>
      <c r="P3173">
        <v>10163.099475999999</v>
      </c>
      <c r="Q3173">
        <v>341</v>
      </c>
      <c r="R3173">
        <v>0</v>
      </c>
    </row>
    <row r="3174" spans="1:18" x14ac:dyDescent="0.25">
      <c r="A3174">
        <v>3173</v>
      </c>
      <c r="B3174">
        <v>94</v>
      </c>
      <c r="C3174" t="e">
        <f>-JNZPWQtGP1bPL6_AMq-SV</f>
        <v>#NAME?</v>
      </c>
      <c r="D3174" t="s">
        <v>281</v>
      </c>
      <c r="E3174">
        <v>25.100999999999999</v>
      </c>
      <c r="F3174" t="s">
        <v>21</v>
      </c>
      <c r="G3174" t="s">
        <v>20</v>
      </c>
      <c r="H3174" t="s">
        <v>21</v>
      </c>
      <c r="I3174" t="s">
        <v>20</v>
      </c>
      <c r="J3174" t="s">
        <v>20</v>
      </c>
      <c r="K3174" t="s">
        <v>31</v>
      </c>
      <c r="L3174" t="s">
        <v>282</v>
      </c>
      <c r="M3174" t="s">
        <v>174</v>
      </c>
      <c r="N3174">
        <v>40.144455000000001</v>
      </c>
      <c r="O3174">
        <v>-112.430772</v>
      </c>
      <c r="P3174">
        <v>5284.58212</v>
      </c>
      <c r="Q3174">
        <v>1347</v>
      </c>
      <c r="R3174">
        <v>0</v>
      </c>
    </row>
    <row r="3175" spans="1:18" x14ac:dyDescent="0.25">
      <c r="A3175">
        <v>3174</v>
      </c>
      <c r="B3175">
        <v>94</v>
      </c>
      <c r="C3175" t="e">
        <f>-JODriPwHmyk0VS40aUClF</f>
        <v>#NAME?</v>
      </c>
      <c r="D3175" t="s">
        <v>210</v>
      </c>
      <c r="E3175">
        <v>25.106000000000002</v>
      </c>
      <c r="F3175" t="s">
        <v>21</v>
      </c>
      <c r="G3175" t="s">
        <v>20</v>
      </c>
      <c r="H3175" t="s">
        <v>21</v>
      </c>
      <c r="I3175" t="s">
        <v>20</v>
      </c>
      <c r="J3175" t="s">
        <v>20</v>
      </c>
      <c r="K3175" t="s">
        <v>27</v>
      </c>
      <c r="L3175" t="s">
        <v>211</v>
      </c>
      <c r="M3175" t="s">
        <v>212</v>
      </c>
      <c r="N3175">
        <v>37.194552000000002</v>
      </c>
      <c r="O3175">
        <v>-109.144082</v>
      </c>
      <c r="P3175">
        <v>4588.4207720000004</v>
      </c>
      <c r="Q3175">
        <v>344</v>
      </c>
      <c r="R3175">
        <v>0</v>
      </c>
    </row>
    <row r="3176" spans="1:18" x14ac:dyDescent="0.25">
      <c r="A3176">
        <v>3175</v>
      </c>
      <c r="B3176">
        <v>94</v>
      </c>
      <c r="C3176">
        <v>31435233</v>
      </c>
      <c r="D3176" t="s">
        <v>319</v>
      </c>
      <c r="E3176">
        <v>25.114000000000001</v>
      </c>
      <c r="F3176" t="s">
        <v>21</v>
      </c>
      <c r="G3176" t="s">
        <v>26</v>
      </c>
      <c r="H3176" t="s">
        <v>19</v>
      </c>
      <c r="I3176">
        <v>18</v>
      </c>
      <c r="J3176" t="s">
        <v>20</v>
      </c>
      <c r="K3176" t="s">
        <v>27</v>
      </c>
      <c r="L3176" t="s">
        <v>162</v>
      </c>
      <c r="M3176" t="s">
        <v>55</v>
      </c>
      <c r="N3176">
        <v>37.709422000000004</v>
      </c>
      <c r="O3176">
        <v>-113.65616300000001</v>
      </c>
      <c r="P3176">
        <v>5102.50407</v>
      </c>
      <c r="Q3176">
        <v>314</v>
      </c>
      <c r="R3176">
        <v>0</v>
      </c>
    </row>
    <row r="3177" spans="1:18" x14ac:dyDescent="0.25">
      <c r="A3177">
        <v>3176</v>
      </c>
      <c r="B3177">
        <v>94</v>
      </c>
      <c r="C3177">
        <v>31594022</v>
      </c>
      <c r="D3177" t="s">
        <v>271</v>
      </c>
      <c r="E3177">
        <v>25.134</v>
      </c>
      <c r="F3177" t="s">
        <v>21</v>
      </c>
      <c r="G3177" t="s">
        <v>26</v>
      </c>
      <c r="H3177" t="s">
        <v>21</v>
      </c>
      <c r="I3177" t="s">
        <v>20</v>
      </c>
      <c r="J3177" t="s">
        <v>20</v>
      </c>
      <c r="K3177" t="s">
        <v>22</v>
      </c>
      <c r="L3177" t="s">
        <v>263</v>
      </c>
      <c r="M3177" t="s">
        <v>24</v>
      </c>
      <c r="N3177">
        <v>40.324694000000001</v>
      </c>
      <c r="O3177">
        <v>-112.102378</v>
      </c>
      <c r="P3177">
        <v>5018.9504710000001</v>
      </c>
      <c r="Q3177">
        <v>1372</v>
      </c>
      <c r="R3177">
        <v>0</v>
      </c>
    </row>
    <row r="3178" spans="1:18" x14ac:dyDescent="0.25">
      <c r="A3178">
        <v>3177</v>
      </c>
      <c r="B3178">
        <v>94</v>
      </c>
      <c r="C3178">
        <v>31284342</v>
      </c>
      <c r="D3178" t="s">
        <v>288</v>
      </c>
      <c r="E3178">
        <v>25.152000000000001</v>
      </c>
      <c r="F3178" t="s">
        <v>21</v>
      </c>
      <c r="G3178" t="s">
        <v>20</v>
      </c>
      <c r="H3178" t="s">
        <v>21</v>
      </c>
      <c r="I3178" t="s">
        <v>20</v>
      </c>
      <c r="J3178" t="s">
        <v>20</v>
      </c>
      <c r="K3178" t="s">
        <v>27</v>
      </c>
      <c r="L3178" t="s">
        <v>211</v>
      </c>
      <c r="M3178" t="s">
        <v>318</v>
      </c>
      <c r="N3178">
        <v>37.282960000000003</v>
      </c>
      <c r="O3178">
        <v>-109.558888</v>
      </c>
      <c r="P3178">
        <v>4256.1558660000001</v>
      </c>
      <c r="Q3178">
        <v>350</v>
      </c>
      <c r="R3178">
        <v>0</v>
      </c>
    </row>
    <row r="3179" spans="1:18" x14ac:dyDescent="0.25">
      <c r="A3179">
        <v>3178</v>
      </c>
      <c r="B3179">
        <v>94</v>
      </c>
      <c r="C3179">
        <v>31279870</v>
      </c>
      <c r="D3179" t="s">
        <v>241</v>
      </c>
      <c r="E3179">
        <v>25.163</v>
      </c>
      <c r="F3179" t="s">
        <v>21</v>
      </c>
      <c r="G3179" t="s">
        <v>26</v>
      </c>
      <c r="H3179" t="s">
        <v>21</v>
      </c>
      <c r="I3179" t="s">
        <v>20</v>
      </c>
      <c r="J3179" t="s">
        <v>20</v>
      </c>
      <c r="K3179" t="s">
        <v>27</v>
      </c>
      <c r="L3179" t="s">
        <v>242</v>
      </c>
      <c r="M3179" t="s">
        <v>243</v>
      </c>
      <c r="N3179">
        <v>39.065561000000002</v>
      </c>
      <c r="O3179">
        <v>-111.131439</v>
      </c>
      <c r="P3179">
        <v>5887.591993</v>
      </c>
      <c r="Q3179">
        <v>1327</v>
      </c>
      <c r="R3179">
        <v>0</v>
      </c>
    </row>
    <row r="3180" spans="1:18" x14ac:dyDescent="0.25">
      <c r="A3180">
        <v>3179</v>
      </c>
      <c r="B3180">
        <v>94</v>
      </c>
      <c r="C3180">
        <v>31393159</v>
      </c>
      <c r="D3180" t="s">
        <v>124</v>
      </c>
      <c r="E3180">
        <v>26.076000000000001</v>
      </c>
      <c r="F3180" t="s">
        <v>21</v>
      </c>
      <c r="G3180" t="s">
        <v>26</v>
      </c>
      <c r="H3180" t="s">
        <v>21</v>
      </c>
      <c r="I3180" t="s">
        <v>20</v>
      </c>
      <c r="J3180" t="s">
        <v>20</v>
      </c>
      <c r="K3180" t="s">
        <v>22</v>
      </c>
      <c r="L3180" t="s">
        <v>84</v>
      </c>
      <c r="M3180" t="s">
        <v>194</v>
      </c>
      <c r="N3180">
        <v>40.298972999999997</v>
      </c>
      <c r="O3180">
        <v>-111.88382300000001</v>
      </c>
      <c r="P3180">
        <v>4533.4462020000001</v>
      </c>
      <c r="Q3180">
        <v>1368</v>
      </c>
      <c r="R3180">
        <v>0</v>
      </c>
    </row>
    <row r="3181" spans="1:18" x14ac:dyDescent="0.25">
      <c r="A3181">
        <v>3180</v>
      </c>
      <c r="B3181">
        <v>94</v>
      </c>
      <c r="C3181">
        <v>31307893</v>
      </c>
      <c r="D3181" t="s">
        <v>116</v>
      </c>
      <c r="E3181">
        <v>26.108000000000001</v>
      </c>
      <c r="F3181" t="s">
        <v>21</v>
      </c>
      <c r="G3181" t="s">
        <v>26</v>
      </c>
      <c r="H3181" t="s">
        <v>21</v>
      </c>
      <c r="I3181" t="s">
        <v>20</v>
      </c>
      <c r="J3181" t="s">
        <v>20</v>
      </c>
      <c r="K3181" t="s">
        <v>41</v>
      </c>
      <c r="L3181" t="s">
        <v>95</v>
      </c>
      <c r="M3181" t="s">
        <v>43</v>
      </c>
      <c r="N3181">
        <v>41.724035999999998</v>
      </c>
      <c r="O3181">
        <v>-111.835207</v>
      </c>
      <c r="P3181">
        <v>4462.7824010000004</v>
      </c>
      <c r="Q3181">
        <v>324</v>
      </c>
      <c r="R3181">
        <v>0</v>
      </c>
    </row>
    <row r="3182" spans="1:18" x14ac:dyDescent="0.25">
      <c r="A3182">
        <v>3181</v>
      </c>
      <c r="B3182">
        <v>94</v>
      </c>
      <c r="C3182">
        <v>31280875</v>
      </c>
      <c r="D3182" t="s">
        <v>241</v>
      </c>
      <c r="E3182">
        <v>26.213999999999999</v>
      </c>
      <c r="F3182" t="s">
        <v>21</v>
      </c>
      <c r="G3182" t="s">
        <v>26</v>
      </c>
      <c r="H3182" t="s">
        <v>21</v>
      </c>
      <c r="I3182" t="s">
        <v>20</v>
      </c>
      <c r="J3182" t="s">
        <v>20</v>
      </c>
      <c r="K3182" t="s">
        <v>27</v>
      </c>
      <c r="L3182" t="s">
        <v>242</v>
      </c>
      <c r="M3182" t="s">
        <v>243</v>
      </c>
      <c r="N3182">
        <v>39.080818000000001</v>
      </c>
      <c r="O3182">
        <v>-111.131833</v>
      </c>
      <c r="P3182">
        <v>5837.0651699999999</v>
      </c>
      <c r="Q3182">
        <v>1327</v>
      </c>
      <c r="R3182">
        <v>0</v>
      </c>
    </row>
    <row r="3183" spans="1:18" x14ac:dyDescent="0.25">
      <c r="A3183">
        <v>3182</v>
      </c>
      <c r="B3183">
        <v>94</v>
      </c>
      <c r="C3183">
        <v>31706285</v>
      </c>
      <c r="D3183" t="s">
        <v>323</v>
      </c>
      <c r="E3183">
        <v>26.234000000000002</v>
      </c>
      <c r="F3183" t="s">
        <v>21</v>
      </c>
      <c r="G3183" t="s">
        <v>20</v>
      </c>
      <c r="H3183" t="s">
        <v>21</v>
      </c>
      <c r="I3183" t="s">
        <v>20</v>
      </c>
      <c r="J3183" t="s">
        <v>20</v>
      </c>
      <c r="K3183" t="s">
        <v>31</v>
      </c>
      <c r="L3183" t="s">
        <v>149</v>
      </c>
      <c r="M3183" t="s">
        <v>131</v>
      </c>
      <c r="N3183">
        <v>40.776803999999998</v>
      </c>
      <c r="O3183">
        <v>-111.40866800000001</v>
      </c>
      <c r="P3183">
        <v>6017.4642739999999</v>
      </c>
      <c r="Q3183">
        <v>1345</v>
      </c>
      <c r="R3183">
        <v>0</v>
      </c>
    </row>
    <row r="3184" spans="1:18" x14ac:dyDescent="0.25">
      <c r="A3184">
        <v>3183</v>
      </c>
      <c r="B3184">
        <v>94</v>
      </c>
      <c r="C3184">
        <v>31308004</v>
      </c>
      <c r="D3184" t="s">
        <v>116</v>
      </c>
      <c r="E3184">
        <v>26.24</v>
      </c>
      <c r="F3184" t="s">
        <v>19</v>
      </c>
      <c r="G3184" t="s">
        <v>20</v>
      </c>
      <c r="H3184" t="s">
        <v>21</v>
      </c>
      <c r="I3184" t="s">
        <v>20</v>
      </c>
      <c r="J3184" t="s">
        <v>20</v>
      </c>
      <c r="K3184" t="s">
        <v>41</v>
      </c>
      <c r="L3184" t="s">
        <v>95</v>
      </c>
      <c r="M3184" t="s">
        <v>43</v>
      </c>
      <c r="N3184">
        <v>41.725942000000003</v>
      </c>
      <c r="O3184">
        <v>-111.83515199999999</v>
      </c>
      <c r="P3184">
        <v>4464.9539000000004</v>
      </c>
      <c r="Q3184">
        <v>324</v>
      </c>
      <c r="R3184">
        <v>0</v>
      </c>
    </row>
    <row r="3185" spans="1:18" x14ac:dyDescent="0.25">
      <c r="A3185">
        <v>3184</v>
      </c>
      <c r="B3185">
        <v>94</v>
      </c>
      <c r="C3185" t="s">
        <v>549</v>
      </c>
      <c r="D3185" t="s">
        <v>145</v>
      </c>
      <c r="E3185">
        <v>2.3109999999999999</v>
      </c>
      <c r="F3185" t="s">
        <v>21</v>
      </c>
      <c r="G3185" t="s">
        <v>20</v>
      </c>
      <c r="H3185" t="s">
        <v>21</v>
      </c>
      <c r="I3185" t="s">
        <v>20</v>
      </c>
      <c r="J3185" t="s">
        <v>20</v>
      </c>
      <c r="K3185" t="s">
        <v>27</v>
      </c>
      <c r="L3185" t="s">
        <v>146</v>
      </c>
      <c r="M3185" t="s">
        <v>147</v>
      </c>
      <c r="N3185">
        <v>37.872839999999997</v>
      </c>
      <c r="O3185">
        <v>-109.30051400000001</v>
      </c>
      <c r="P3185">
        <v>6712.6705529999999</v>
      </c>
      <c r="Q3185">
        <v>1291</v>
      </c>
      <c r="R3185">
        <v>0</v>
      </c>
    </row>
    <row r="3186" spans="1:18" x14ac:dyDescent="0.25">
      <c r="A3186">
        <v>3185</v>
      </c>
      <c r="B3186">
        <v>94</v>
      </c>
      <c r="C3186">
        <v>1006082</v>
      </c>
      <c r="D3186" t="s">
        <v>171</v>
      </c>
      <c r="E3186">
        <v>2.3119999999999998</v>
      </c>
      <c r="F3186" t="s">
        <v>21</v>
      </c>
      <c r="G3186" t="s">
        <v>26</v>
      </c>
      <c r="H3186" t="s">
        <v>21</v>
      </c>
      <c r="I3186" t="s">
        <v>20</v>
      </c>
      <c r="J3186" t="s">
        <v>20</v>
      </c>
      <c r="K3186" t="s">
        <v>31</v>
      </c>
      <c r="L3186" t="s">
        <v>78</v>
      </c>
      <c r="M3186" t="s">
        <v>79</v>
      </c>
      <c r="N3186">
        <v>40.696531</v>
      </c>
      <c r="O3186">
        <v>-112.04767</v>
      </c>
      <c r="P3186">
        <v>4262.7954849999996</v>
      </c>
      <c r="Q3186">
        <v>346</v>
      </c>
      <c r="R3186">
        <v>0</v>
      </c>
    </row>
    <row r="3187" spans="1:18" x14ac:dyDescent="0.25">
      <c r="A3187">
        <v>3186</v>
      </c>
      <c r="B3187">
        <v>94</v>
      </c>
      <c r="C3187">
        <v>1138210</v>
      </c>
      <c r="D3187" t="s">
        <v>56</v>
      </c>
      <c r="E3187">
        <v>2.3159999999999998</v>
      </c>
      <c r="F3187" t="s">
        <v>21</v>
      </c>
      <c r="G3187" t="s">
        <v>26</v>
      </c>
      <c r="H3187" t="s">
        <v>21</v>
      </c>
      <c r="I3187" t="s">
        <v>20</v>
      </c>
      <c r="J3187" t="s">
        <v>20</v>
      </c>
      <c r="K3187" t="s">
        <v>41</v>
      </c>
      <c r="L3187" t="s">
        <v>57</v>
      </c>
      <c r="M3187" t="s">
        <v>58</v>
      </c>
      <c r="N3187">
        <v>41.163746000000003</v>
      </c>
      <c r="O3187">
        <v>-112.078388</v>
      </c>
      <c r="P3187">
        <v>4200.6891370000003</v>
      </c>
      <c r="Q3187">
        <v>1459</v>
      </c>
      <c r="R3187">
        <v>0</v>
      </c>
    </row>
    <row r="3188" spans="1:18" x14ac:dyDescent="0.25">
      <c r="A3188">
        <v>3187</v>
      </c>
      <c r="B3188">
        <v>94</v>
      </c>
      <c r="C3188">
        <v>31310570</v>
      </c>
      <c r="D3188" t="s">
        <v>215</v>
      </c>
      <c r="E3188">
        <v>2.3199999999999998</v>
      </c>
      <c r="F3188" t="s">
        <v>19</v>
      </c>
      <c r="G3188" t="s">
        <v>20</v>
      </c>
      <c r="H3188" t="s">
        <v>21</v>
      </c>
      <c r="I3188" t="s">
        <v>20</v>
      </c>
      <c r="J3188" t="s">
        <v>20</v>
      </c>
      <c r="K3188" t="s">
        <v>22</v>
      </c>
      <c r="L3188" t="s">
        <v>23</v>
      </c>
      <c r="M3188" t="s">
        <v>85</v>
      </c>
      <c r="N3188">
        <v>40.244616000000001</v>
      </c>
      <c r="O3188">
        <v>-111.696969</v>
      </c>
      <c r="P3188">
        <v>4477.3919759999999</v>
      </c>
      <c r="Q3188">
        <v>330</v>
      </c>
      <c r="R3188">
        <v>0</v>
      </c>
    </row>
    <row r="3189" spans="1:18" x14ac:dyDescent="0.25">
      <c r="A3189">
        <v>3188</v>
      </c>
      <c r="B3189">
        <v>94</v>
      </c>
      <c r="C3189">
        <v>31391598</v>
      </c>
      <c r="D3189" t="s">
        <v>124</v>
      </c>
      <c r="E3189">
        <v>25.347999999999999</v>
      </c>
      <c r="F3189" t="s">
        <v>21</v>
      </c>
      <c r="G3189" t="s">
        <v>26</v>
      </c>
      <c r="H3189" t="s">
        <v>21</v>
      </c>
      <c r="I3189" t="s">
        <v>20</v>
      </c>
      <c r="J3189" t="s">
        <v>20</v>
      </c>
      <c r="K3189" t="s">
        <v>22</v>
      </c>
      <c r="L3189" t="s">
        <v>84</v>
      </c>
      <c r="M3189" t="s">
        <v>194</v>
      </c>
      <c r="N3189">
        <v>40.289602000000002</v>
      </c>
      <c r="O3189">
        <v>-111.877555</v>
      </c>
      <c r="P3189">
        <v>4532.7125329999999</v>
      </c>
      <c r="Q3189">
        <v>1368</v>
      </c>
      <c r="R3189">
        <v>0</v>
      </c>
    </row>
    <row r="3190" spans="1:18" x14ac:dyDescent="0.25">
      <c r="A3190">
        <v>3189</v>
      </c>
      <c r="B3190">
        <v>94</v>
      </c>
      <c r="C3190" t="s">
        <v>550</v>
      </c>
      <c r="D3190" t="s">
        <v>203</v>
      </c>
      <c r="E3190">
        <v>25.353999999999999</v>
      </c>
      <c r="F3190" t="s">
        <v>21</v>
      </c>
      <c r="G3190" t="s">
        <v>26</v>
      </c>
      <c r="H3190" t="s">
        <v>21</v>
      </c>
      <c r="I3190" t="s">
        <v>20</v>
      </c>
      <c r="J3190" t="s">
        <v>20</v>
      </c>
      <c r="K3190" t="s">
        <v>41</v>
      </c>
      <c r="L3190" t="s">
        <v>255</v>
      </c>
      <c r="M3190" t="s">
        <v>204</v>
      </c>
      <c r="N3190">
        <v>41.279812999999997</v>
      </c>
      <c r="O3190">
        <v>-111.658063</v>
      </c>
      <c r="P3190">
        <v>5239.9555810000002</v>
      </c>
      <c r="Q3190">
        <v>1349</v>
      </c>
      <c r="R3190">
        <v>0</v>
      </c>
    </row>
    <row r="3191" spans="1:18" x14ac:dyDescent="0.25">
      <c r="A3191">
        <v>3190</v>
      </c>
      <c r="B3191">
        <v>94</v>
      </c>
      <c r="C3191" t="s">
        <v>551</v>
      </c>
      <c r="D3191" t="s">
        <v>176</v>
      </c>
      <c r="E3191">
        <v>25.390999999999998</v>
      </c>
      <c r="F3191" t="s">
        <v>21</v>
      </c>
      <c r="G3191" t="s">
        <v>26</v>
      </c>
      <c r="H3191" t="s">
        <v>21</v>
      </c>
      <c r="I3191" t="s">
        <v>20</v>
      </c>
      <c r="J3191" t="s">
        <v>20</v>
      </c>
      <c r="K3191" t="s">
        <v>41</v>
      </c>
      <c r="L3191" t="s">
        <v>223</v>
      </c>
      <c r="M3191" t="s">
        <v>178</v>
      </c>
      <c r="N3191">
        <v>41.786951999999999</v>
      </c>
      <c r="O3191">
        <v>-112.14941</v>
      </c>
      <c r="P3191">
        <v>4311.1262939999997</v>
      </c>
      <c r="Q3191">
        <v>1329</v>
      </c>
      <c r="R3191">
        <v>0</v>
      </c>
    </row>
    <row r="3192" spans="1:18" x14ac:dyDescent="0.25">
      <c r="A3192">
        <v>3191</v>
      </c>
      <c r="B3192">
        <v>94</v>
      </c>
      <c r="C3192">
        <v>31532047</v>
      </c>
      <c r="D3192" t="s">
        <v>390</v>
      </c>
      <c r="E3192">
        <v>25.399000000000001</v>
      </c>
      <c r="F3192" t="s">
        <v>21</v>
      </c>
      <c r="G3192" t="s">
        <v>20</v>
      </c>
      <c r="H3192" t="s">
        <v>21</v>
      </c>
      <c r="I3192" t="s">
        <v>20</v>
      </c>
      <c r="J3192" t="s">
        <v>20</v>
      </c>
      <c r="K3192" t="s">
        <v>22</v>
      </c>
      <c r="L3192" t="s">
        <v>60</v>
      </c>
      <c r="M3192" t="s">
        <v>335</v>
      </c>
      <c r="N3192">
        <v>40.385964999999999</v>
      </c>
      <c r="O3192">
        <v>-111.57371999999999</v>
      </c>
      <c r="P3192">
        <v>5837.9284820000003</v>
      </c>
      <c r="Q3192">
        <v>1386</v>
      </c>
      <c r="R3192">
        <v>0</v>
      </c>
    </row>
    <row r="3193" spans="1:18" x14ac:dyDescent="0.25">
      <c r="A3193">
        <v>3192</v>
      </c>
      <c r="B3193">
        <v>94</v>
      </c>
      <c r="C3193">
        <v>31594555</v>
      </c>
      <c r="D3193" t="s">
        <v>271</v>
      </c>
      <c r="E3193">
        <v>25.411999999999999</v>
      </c>
      <c r="F3193" t="s">
        <v>21</v>
      </c>
      <c r="G3193" t="s">
        <v>26</v>
      </c>
      <c r="H3193" t="s">
        <v>21</v>
      </c>
      <c r="I3193" t="s">
        <v>20</v>
      </c>
      <c r="J3193" t="s">
        <v>20</v>
      </c>
      <c r="K3193" t="s">
        <v>22</v>
      </c>
      <c r="L3193" t="s">
        <v>263</v>
      </c>
      <c r="M3193" t="s">
        <v>24</v>
      </c>
      <c r="N3193">
        <v>40.328722999999997</v>
      </c>
      <c r="O3193">
        <v>-112.102298</v>
      </c>
      <c r="P3193">
        <v>5013.1411639999997</v>
      </c>
      <c r="Q3193">
        <v>1372</v>
      </c>
      <c r="R3193">
        <v>0</v>
      </c>
    </row>
    <row r="3194" spans="1:18" x14ac:dyDescent="0.25">
      <c r="A3194">
        <v>3193</v>
      </c>
      <c r="B3194">
        <v>94</v>
      </c>
      <c r="C3194">
        <v>31594566</v>
      </c>
      <c r="D3194" t="s">
        <v>271</v>
      </c>
      <c r="E3194">
        <v>25.425000000000001</v>
      </c>
      <c r="F3194" t="s">
        <v>21</v>
      </c>
      <c r="G3194" t="s">
        <v>26</v>
      </c>
      <c r="H3194" t="s">
        <v>21</v>
      </c>
      <c r="I3194" t="s">
        <v>20</v>
      </c>
      <c r="J3194" t="s">
        <v>20</v>
      </c>
      <c r="K3194" t="s">
        <v>22</v>
      </c>
      <c r="L3194" t="s">
        <v>263</v>
      </c>
      <c r="M3194" t="s">
        <v>24</v>
      </c>
      <c r="N3194">
        <v>40.328910999999998</v>
      </c>
      <c r="O3194">
        <v>-112.102338</v>
      </c>
      <c r="P3194">
        <v>5014.7831809999998</v>
      </c>
      <c r="Q3194">
        <v>1372</v>
      </c>
      <c r="R3194">
        <v>0</v>
      </c>
    </row>
    <row r="3195" spans="1:18" x14ac:dyDescent="0.25">
      <c r="A3195">
        <v>3194</v>
      </c>
      <c r="B3195">
        <v>94</v>
      </c>
      <c r="C3195">
        <v>31472984</v>
      </c>
      <c r="D3195" t="s">
        <v>348</v>
      </c>
      <c r="E3195">
        <v>25.437999999999999</v>
      </c>
      <c r="F3195" t="s">
        <v>21</v>
      </c>
      <c r="G3195" t="s">
        <v>26</v>
      </c>
      <c r="H3195" t="s">
        <v>21</v>
      </c>
      <c r="I3195" t="s">
        <v>20</v>
      </c>
      <c r="J3195" t="s">
        <v>20</v>
      </c>
      <c r="K3195" t="s">
        <v>27</v>
      </c>
      <c r="L3195" t="s">
        <v>122</v>
      </c>
      <c r="M3195" t="s">
        <v>123</v>
      </c>
      <c r="N3195">
        <v>38.033794</v>
      </c>
      <c r="O3195">
        <v>-110.575137</v>
      </c>
      <c r="P3195">
        <v>4588.7946380000003</v>
      </c>
      <c r="Q3195">
        <v>1388</v>
      </c>
      <c r="R3195">
        <v>0</v>
      </c>
    </row>
    <row r="3196" spans="1:18" x14ac:dyDescent="0.25">
      <c r="A3196">
        <v>3195</v>
      </c>
      <c r="B3196">
        <v>94</v>
      </c>
      <c r="C3196">
        <v>31287207</v>
      </c>
      <c r="D3196" t="s">
        <v>278</v>
      </c>
      <c r="E3196">
        <v>25.712</v>
      </c>
      <c r="F3196" t="s">
        <v>21</v>
      </c>
      <c r="G3196" t="s">
        <v>26</v>
      </c>
      <c r="H3196" t="s">
        <v>21</v>
      </c>
      <c r="I3196" t="s">
        <v>20</v>
      </c>
      <c r="J3196" t="s">
        <v>20</v>
      </c>
      <c r="K3196" t="s">
        <v>27</v>
      </c>
      <c r="L3196" t="s">
        <v>279</v>
      </c>
      <c r="M3196" t="s">
        <v>280</v>
      </c>
      <c r="N3196">
        <v>37.523105999999999</v>
      </c>
      <c r="O3196">
        <v>-112.739283</v>
      </c>
      <c r="P3196">
        <v>9099.9713140000003</v>
      </c>
      <c r="Q3196">
        <v>1330</v>
      </c>
      <c r="R3196">
        <v>0</v>
      </c>
    </row>
    <row r="3197" spans="1:18" x14ac:dyDescent="0.25">
      <c r="A3197">
        <v>3196</v>
      </c>
      <c r="B3197">
        <v>94</v>
      </c>
      <c r="C3197">
        <v>31280853</v>
      </c>
      <c r="D3197" t="s">
        <v>241</v>
      </c>
      <c r="E3197">
        <v>25.713000000000001</v>
      </c>
      <c r="F3197" t="s">
        <v>21</v>
      </c>
      <c r="G3197" t="s">
        <v>26</v>
      </c>
      <c r="H3197" t="s">
        <v>21</v>
      </c>
      <c r="I3197" t="s">
        <v>20</v>
      </c>
      <c r="J3197" t="s">
        <v>20</v>
      </c>
      <c r="K3197" t="s">
        <v>27</v>
      </c>
      <c r="L3197" t="s">
        <v>242</v>
      </c>
      <c r="M3197" t="s">
        <v>243</v>
      </c>
      <c r="N3197">
        <v>39.073548000000002</v>
      </c>
      <c r="O3197">
        <v>-111.13159899999999</v>
      </c>
      <c r="P3197">
        <v>5859.5825180000002</v>
      </c>
      <c r="Q3197">
        <v>1327</v>
      </c>
      <c r="R3197">
        <v>0</v>
      </c>
    </row>
    <row r="3198" spans="1:18" x14ac:dyDescent="0.25">
      <c r="A3198">
        <v>3197</v>
      </c>
      <c r="B3198">
        <v>94</v>
      </c>
      <c r="C3198">
        <v>31533871</v>
      </c>
      <c r="D3198" t="s">
        <v>121</v>
      </c>
      <c r="E3198">
        <v>25.734999999999999</v>
      </c>
      <c r="F3198" t="s">
        <v>21</v>
      </c>
      <c r="G3198" t="s">
        <v>26</v>
      </c>
      <c r="H3198" t="s">
        <v>21</v>
      </c>
      <c r="I3198" t="s">
        <v>20</v>
      </c>
      <c r="J3198" t="s">
        <v>20</v>
      </c>
      <c r="K3198" t="s">
        <v>27</v>
      </c>
      <c r="L3198" t="s">
        <v>122</v>
      </c>
      <c r="M3198" t="s">
        <v>123</v>
      </c>
      <c r="N3198">
        <v>37.694223999999998</v>
      </c>
      <c r="O3198">
        <v>-110.67327</v>
      </c>
      <c r="P3198">
        <v>4395.5400680000002</v>
      </c>
      <c r="Q3198">
        <v>1283</v>
      </c>
      <c r="R3198">
        <v>0</v>
      </c>
    </row>
    <row r="3199" spans="1:18" x14ac:dyDescent="0.25">
      <c r="A3199">
        <v>3198</v>
      </c>
      <c r="B3199">
        <v>94</v>
      </c>
      <c r="C3199">
        <v>1548455</v>
      </c>
      <c r="D3199" t="s">
        <v>92</v>
      </c>
      <c r="E3199">
        <v>2.044</v>
      </c>
      <c r="F3199" t="s">
        <v>21</v>
      </c>
      <c r="G3199" t="s">
        <v>26</v>
      </c>
      <c r="H3199" t="s">
        <v>21</v>
      </c>
      <c r="I3199" t="s">
        <v>20</v>
      </c>
      <c r="J3199" t="s">
        <v>20</v>
      </c>
      <c r="K3199" t="s">
        <v>41</v>
      </c>
      <c r="L3199" t="s">
        <v>87</v>
      </c>
      <c r="M3199" t="s">
        <v>93</v>
      </c>
      <c r="N3199">
        <v>41.100254999999997</v>
      </c>
      <c r="O3199">
        <v>-111.973416</v>
      </c>
      <c r="P3199">
        <v>4632.9122139999999</v>
      </c>
      <c r="Q3199">
        <v>252</v>
      </c>
      <c r="R3199">
        <v>0</v>
      </c>
    </row>
    <row r="3200" spans="1:18" x14ac:dyDescent="0.25">
      <c r="A3200">
        <v>3199</v>
      </c>
      <c r="B3200">
        <v>94</v>
      </c>
      <c r="C3200">
        <v>31684912</v>
      </c>
      <c r="D3200" t="s">
        <v>189</v>
      </c>
      <c r="E3200">
        <v>2.0449999999999999</v>
      </c>
      <c r="F3200" t="s">
        <v>19</v>
      </c>
      <c r="G3200" t="s">
        <v>20</v>
      </c>
      <c r="H3200" t="s">
        <v>21</v>
      </c>
      <c r="I3200" t="s">
        <v>20</v>
      </c>
      <c r="J3200" t="s">
        <v>20</v>
      </c>
      <c r="K3200" t="s">
        <v>41</v>
      </c>
      <c r="L3200" t="s">
        <v>81</v>
      </c>
      <c r="M3200" t="s">
        <v>190</v>
      </c>
      <c r="N3200">
        <v>41.182783999999998</v>
      </c>
      <c r="O3200">
        <v>-111.949102</v>
      </c>
      <c r="P3200">
        <v>4654.0429809999996</v>
      </c>
      <c r="Q3200">
        <v>412</v>
      </c>
      <c r="R3200">
        <v>0</v>
      </c>
    </row>
    <row r="3201" spans="1:18" x14ac:dyDescent="0.25">
      <c r="A3201">
        <v>3200</v>
      </c>
      <c r="B3201">
        <v>94</v>
      </c>
      <c r="C3201">
        <v>31747962</v>
      </c>
      <c r="D3201" t="s">
        <v>156</v>
      </c>
      <c r="E3201">
        <v>2.0459999999999998</v>
      </c>
      <c r="F3201" t="s">
        <v>19</v>
      </c>
      <c r="G3201" t="s">
        <v>20</v>
      </c>
      <c r="H3201" t="s">
        <v>21</v>
      </c>
      <c r="I3201" t="s">
        <v>20</v>
      </c>
      <c r="J3201" t="s">
        <v>20</v>
      </c>
      <c r="K3201" t="s">
        <v>41</v>
      </c>
      <c r="L3201" t="s">
        <v>81</v>
      </c>
      <c r="M3201" t="s">
        <v>93</v>
      </c>
      <c r="N3201">
        <v>41.289029999999997</v>
      </c>
      <c r="O3201">
        <v>-111.969041</v>
      </c>
      <c r="P3201">
        <v>4291.9157709999999</v>
      </c>
      <c r="Q3201">
        <v>424</v>
      </c>
      <c r="R3201">
        <v>0</v>
      </c>
    </row>
    <row r="3202" spans="1:18" x14ac:dyDescent="0.25">
      <c r="A3202">
        <v>3201</v>
      </c>
      <c r="B3202">
        <v>94</v>
      </c>
      <c r="C3202">
        <v>31405896</v>
      </c>
      <c r="D3202" t="s">
        <v>30</v>
      </c>
      <c r="E3202">
        <v>2.052</v>
      </c>
      <c r="F3202" t="s">
        <v>21</v>
      </c>
      <c r="G3202" t="s">
        <v>26</v>
      </c>
      <c r="H3202" t="s">
        <v>21</v>
      </c>
      <c r="I3202" t="s">
        <v>20</v>
      </c>
      <c r="J3202" t="s">
        <v>20</v>
      </c>
      <c r="K3202" t="s">
        <v>31</v>
      </c>
      <c r="L3202" t="s">
        <v>32</v>
      </c>
      <c r="M3202" t="s">
        <v>33</v>
      </c>
      <c r="N3202">
        <v>40.591546000000001</v>
      </c>
      <c r="O3202">
        <v>-111.794737</v>
      </c>
      <c r="P3202">
        <v>5029.1625089999998</v>
      </c>
      <c r="Q3202">
        <v>415</v>
      </c>
      <c r="R3202">
        <v>0</v>
      </c>
    </row>
    <row r="3203" spans="1:18" x14ac:dyDescent="0.25">
      <c r="A3203">
        <v>3202</v>
      </c>
      <c r="B3203">
        <v>94</v>
      </c>
      <c r="C3203">
        <v>31732176</v>
      </c>
      <c r="D3203" t="s">
        <v>336</v>
      </c>
      <c r="E3203">
        <v>2.0529999999999999</v>
      </c>
      <c r="F3203" t="s">
        <v>21</v>
      </c>
      <c r="G3203" t="s">
        <v>26</v>
      </c>
      <c r="H3203" t="s">
        <v>21</v>
      </c>
      <c r="I3203" t="s">
        <v>20</v>
      </c>
      <c r="J3203" t="s">
        <v>20</v>
      </c>
      <c r="K3203" t="s">
        <v>31</v>
      </c>
      <c r="L3203" t="s">
        <v>32</v>
      </c>
      <c r="M3203" t="s">
        <v>33</v>
      </c>
      <c r="N3203">
        <v>40.618879999999997</v>
      </c>
      <c r="O3203">
        <v>-111.78533400000001</v>
      </c>
      <c r="P3203">
        <v>4916.8772449999997</v>
      </c>
      <c r="Q3203">
        <v>404</v>
      </c>
      <c r="R3203">
        <v>0</v>
      </c>
    </row>
    <row r="3204" spans="1:18" x14ac:dyDescent="0.25">
      <c r="A3204">
        <v>3203</v>
      </c>
      <c r="B3204">
        <v>94</v>
      </c>
      <c r="C3204">
        <v>27999397</v>
      </c>
      <c r="D3204" t="s">
        <v>59</v>
      </c>
      <c r="E3204">
        <v>2.0539999999999998</v>
      </c>
      <c r="F3204" t="s">
        <v>19</v>
      </c>
      <c r="G3204" t="s">
        <v>20</v>
      </c>
      <c r="H3204" t="s">
        <v>21</v>
      </c>
      <c r="I3204" t="s">
        <v>20</v>
      </c>
      <c r="J3204" t="s">
        <v>20</v>
      </c>
      <c r="K3204" t="s">
        <v>22</v>
      </c>
      <c r="L3204" t="s">
        <v>60</v>
      </c>
      <c r="M3204" t="s">
        <v>24</v>
      </c>
      <c r="N3204">
        <v>40.311959000000002</v>
      </c>
      <c r="O3204">
        <v>-111.69585600000001</v>
      </c>
      <c r="P3204">
        <v>4728.603239</v>
      </c>
      <c r="Q3204">
        <v>313</v>
      </c>
      <c r="R3204">
        <v>0</v>
      </c>
    </row>
    <row r="3205" spans="1:18" x14ac:dyDescent="0.25">
      <c r="A3205">
        <v>3204</v>
      </c>
      <c r="B3205">
        <v>94</v>
      </c>
      <c r="C3205">
        <v>31386934</v>
      </c>
      <c r="D3205" t="s">
        <v>374</v>
      </c>
      <c r="E3205">
        <v>2.0550000000000002</v>
      </c>
      <c r="F3205" t="s">
        <v>21</v>
      </c>
      <c r="G3205" t="s">
        <v>361</v>
      </c>
      <c r="H3205" t="s">
        <v>21</v>
      </c>
      <c r="I3205" t="s">
        <v>20</v>
      </c>
      <c r="J3205" t="s">
        <v>20</v>
      </c>
      <c r="K3205" t="s">
        <v>22</v>
      </c>
      <c r="L3205" t="s">
        <v>234</v>
      </c>
      <c r="M3205" t="s">
        <v>169</v>
      </c>
      <c r="N3205">
        <v>40.399588999999999</v>
      </c>
      <c r="O3205">
        <v>-109.34602099999999</v>
      </c>
      <c r="P3205">
        <v>4784.532674</v>
      </c>
      <c r="Q3205">
        <v>1422</v>
      </c>
      <c r="R3205">
        <v>0</v>
      </c>
    </row>
    <row r="3206" spans="1:18" x14ac:dyDescent="0.25">
      <c r="A3206">
        <v>3205</v>
      </c>
      <c r="B3206">
        <v>94</v>
      </c>
      <c r="C3206">
        <v>28581733</v>
      </c>
      <c r="D3206" t="s">
        <v>142</v>
      </c>
      <c r="E3206">
        <v>2.0569999999999999</v>
      </c>
      <c r="F3206" t="s">
        <v>21</v>
      </c>
      <c r="G3206" t="s">
        <v>26</v>
      </c>
      <c r="H3206" t="s">
        <v>21</v>
      </c>
      <c r="I3206" t="s">
        <v>20</v>
      </c>
      <c r="J3206" t="s">
        <v>20</v>
      </c>
      <c r="K3206" t="s">
        <v>27</v>
      </c>
      <c r="L3206" t="s">
        <v>143</v>
      </c>
      <c r="M3206" t="s">
        <v>106</v>
      </c>
      <c r="N3206">
        <v>38.925747000000001</v>
      </c>
      <c r="O3206">
        <v>-114.030968</v>
      </c>
      <c r="P3206">
        <v>5209.6529989999999</v>
      </c>
      <c r="Q3206">
        <v>305</v>
      </c>
      <c r="R3206">
        <v>0</v>
      </c>
    </row>
    <row r="3207" spans="1:18" x14ac:dyDescent="0.25">
      <c r="A3207">
        <v>3206</v>
      </c>
      <c r="B3207">
        <v>94</v>
      </c>
      <c r="C3207">
        <v>27528361</v>
      </c>
      <c r="D3207" t="s">
        <v>157</v>
      </c>
      <c r="E3207">
        <v>2.0579999999999998</v>
      </c>
      <c r="F3207" t="s">
        <v>19</v>
      </c>
      <c r="G3207" t="s">
        <v>20</v>
      </c>
      <c r="H3207" t="s">
        <v>21</v>
      </c>
      <c r="I3207" t="s">
        <v>20</v>
      </c>
      <c r="J3207" t="s">
        <v>20</v>
      </c>
      <c r="K3207" t="s">
        <v>27</v>
      </c>
      <c r="L3207" t="s">
        <v>158</v>
      </c>
      <c r="M3207" t="s">
        <v>159</v>
      </c>
      <c r="N3207">
        <v>39.597664999999999</v>
      </c>
      <c r="O3207">
        <v>-110.79221200000001</v>
      </c>
      <c r="P3207">
        <v>5516.7381770000002</v>
      </c>
      <c r="Q3207">
        <v>1360</v>
      </c>
      <c r="R3207">
        <v>0</v>
      </c>
    </row>
    <row r="3208" spans="1:18" x14ac:dyDescent="0.25">
      <c r="A3208">
        <v>3207</v>
      </c>
      <c r="B3208">
        <v>94</v>
      </c>
      <c r="C3208">
        <v>31796395</v>
      </c>
      <c r="D3208" t="s">
        <v>180</v>
      </c>
      <c r="E3208">
        <v>2.0609999999999999</v>
      </c>
      <c r="F3208" t="s">
        <v>21</v>
      </c>
      <c r="G3208" t="s">
        <v>26</v>
      </c>
      <c r="H3208" t="s">
        <v>21</v>
      </c>
      <c r="I3208" t="s">
        <v>20</v>
      </c>
      <c r="J3208" t="s">
        <v>20</v>
      </c>
      <c r="K3208" t="s">
        <v>41</v>
      </c>
      <c r="L3208" t="s">
        <v>181</v>
      </c>
      <c r="M3208" t="s">
        <v>117</v>
      </c>
      <c r="N3208">
        <v>41.741097000000003</v>
      </c>
      <c r="O3208">
        <v>-112.16133000000001</v>
      </c>
      <c r="P3208">
        <v>4286.4290350000001</v>
      </c>
      <c r="Q3208">
        <v>1379</v>
      </c>
      <c r="R3208">
        <v>0</v>
      </c>
    </row>
    <row r="3209" spans="1:18" x14ac:dyDescent="0.25">
      <c r="A3209">
        <v>3208</v>
      </c>
      <c r="B3209">
        <v>94</v>
      </c>
      <c r="C3209">
        <v>31467911</v>
      </c>
      <c r="D3209" t="s">
        <v>264</v>
      </c>
      <c r="E3209">
        <v>2.0630000000000002</v>
      </c>
      <c r="F3209" t="s">
        <v>21</v>
      </c>
      <c r="G3209" t="s">
        <v>26</v>
      </c>
      <c r="H3209" t="s">
        <v>21</v>
      </c>
      <c r="I3209" t="s">
        <v>20</v>
      </c>
      <c r="J3209" t="s">
        <v>20</v>
      </c>
      <c r="K3209" t="s">
        <v>22</v>
      </c>
      <c r="L3209" t="s">
        <v>35</v>
      </c>
      <c r="M3209" t="s">
        <v>36</v>
      </c>
      <c r="N3209">
        <v>40.530062999999998</v>
      </c>
      <c r="O3209">
        <v>-111.487521</v>
      </c>
      <c r="P3209">
        <v>5693.3135119999997</v>
      </c>
      <c r="Q3209">
        <v>420</v>
      </c>
      <c r="R3209">
        <v>0</v>
      </c>
    </row>
    <row r="3210" spans="1:18" x14ac:dyDescent="0.25">
      <c r="A3210">
        <v>3209</v>
      </c>
      <c r="B3210">
        <v>94</v>
      </c>
      <c r="C3210">
        <v>27716968</v>
      </c>
      <c r="D3210" t="s">
        <v>217</v>
      </c>
      <c r="E3210">
        <v>22.17</v>
      </c>
      <c r="F3210" t="s">
        <v>21</v>
      </c>
      <c r="G3210" t="s">
        <v>26</v>
      </c>
      <c r="H3210" t="s">
        <v>21</v>
      </c>
      <c r="I3210" t="s">
        <v>20</v>
      </c>
      <c r="J3210" t="s">
        <v>20</v>
      </c>
      <c r="K3210" t="s">
        <v>27</v>
      </c>
      <c r="L3210" t="s">
        <v>162</v>
      </c>
      <c r="M3210" t="s">
        <v>163</v>
      </c>
      <c r="N3210">
        <v>37.360484999999997</v>
      </c>
      <c r="O3210">
        <v>-113.673069</v>
      </c>
      <c r="P3210">
        <v>4777.6602510000002</v>
      </c>
      <c r="Q3210">
        <v>304</v>
      </c>
      <c r="R3210">
        <v>0</v>
      </c>
    </row>
    <row r="3211" spans="1:18" x14ac:dyDescent="0.25">
      <c r="A3211">
        <v>3210</v>
      </c>
      <c r="B3211">
        <v>94</v>
      </c>
      <c r="C3211">
        <v>1571421</v>
      </c>
      <c r="D3211" t="s">
        <v>88</v>
      </c>
      <c r="E3211">
        <v>22.175000000000001</v>
      </c>
      <c r="F3211" t="s">
        <v>19</v>
      </c>
      <c r="G3211" t="s">
        <v>20</v>
      </c>
      <c r="H3211" t="s">
        <v>21</v>
      </c>
      <c r="I3211" t="s">
        <v>20</v>
      </c>
      <c r="J3211" t="s">
        <v>20</v>
      </c>
      <c r="K3211" t="s">
        <v>31</v>
      </c>
      <c r="L3211" t="s">
        <v>66</v>
      </c>
      <c r="M3211" t="s">
        <v>90</v>
      </c>
      <c r="N3211">
        <v>40.756329000000001</v>
      </c>
      <c r="O3211">
        <v>-111.871071</v>
      </c>
      <c r="P3211">
        <v>4243.110248</v>
      </c>
      <c r="Q3211">
        <v>318</v>
      </c>
      <c r="R3211">
        <v>0</v>
      </c>
    </row>
    <row r="3212" spans="1:18" x14ac:dyDescent="0.25">
      <c r="A3212">
        <v>3211</v>
      </c>
      <c r="B3212">
        <v>94</v>
      </c>
      <c r="C3212">
        <v>31299639</v>
      </c>
      <c r="D3212" t="s">
        <v>338</v>
      </c>
      <c r="E3212">
        <v>22.196999999999999</v>
      </c>
      <c r="F3212" t="s">
        <v>19</v>
      </c>
      <c r="G3212" t="s">
        <v>20</v>
      </c>
      <c r="H3212" t="s">
        <v>19</v>
      </c>
      <c r="I3212">
        <v>9</v>
      </c>
      <c r="J3212" t="s">
        <v>20</v>
      </c>
      <c r="K3212" t="s">
        <v>27</v>
      </c>
      <c r="L3212" t="s">
        <v>72</v>
      </c>
      <c r="M3212" t="s">
        <v>73</v>
      </c>
      <c r="N3212">
        <v>37.176580000000001</v>
      </c>
      <c r="O3212">
        <v>-113.288147</v>
      </c>
      <c r="P3212">
        <v>3161.0901760000002</v>
      </c>
      <c r="Q3212">
        <v>315</v>
      </c>
      <c r="R3212">
        <v>0</v>
      </c>
    </row>
    <row r="3213" spans="1:18" x14ac:dyDescent="0.25">
      <c r="A3213">
        <v>3212</v>
      </c>
      <c r="B3213">
        <v>94</v>
      </c>
      <c r="C3213" t="e">
        <f>-JX_URiqIveqn0XV1swbkk</f>
        <v>#NAME?</v>
      </c>
      <c r="D3213" t="s">
        <v>265</v>
      </c>
      <c r="E3213">
        <v>22.219000000000001</v>
      </c>
      <c r="F3213" t="s">
        <v>21</v>
      </c>
      <c r="G3213" t="s">
        <v>20</v>
      </c>
      <c r="H3213" t="s">
        <v>21</v>
      </c>
      <c r="I3213" t="s">
        <v>20</v>
      </c>
      <c r="J3213" t="s">
        <v>20</v>
      </c>
      <c r="K3213" t="s">
        <v>27</v>
      </c>
      <c r="L3213" t="s">
        <v>183</v>
      </c>
      <c r="M3213" t="s">
        <v>267</v>
      </c>
      <c r="N3213">
        <v>38.636141000000002</v>
      </c>
      <c r="O3213">
        <v>-111.4374</v>
      </c>
      <c r="P3213">
        <v>7865.722788</v>
      </c>
      <c r="Q3213">
        <v>1371</v>
      </c>
      <c r="R3213">
        <v>0</v>
      </c>
    </row>
    <row r="3214" spans="1:18" x14ac:dyDescent="0.25">
      <c r="A3214">
        <v>3213</v>
      </c>
      <c r="B3214">
        <v>94</v>
      </c>
      <c r="C3214">
        <v>31512652</v>
      </c>
      <c r="D3214" t="s">
        <v>292</v>
      </c>
      <c r="E3214">
        <v>22.231999999999999</v>
      </c>
      <c r="F3214" t="s">
        <v>21</v>
      </c>
      <c r="G3214" t="s">
        <v>20</v>
      </c>
      <c r="H3214" t="s">
        <v>21</v>
      </c>
      <c r="I3214" t="s">
        <v>20</v>
      </c>
      <c r="J3214" t="s">
        <v>20</v>
      </c>
      <c r="K3214" t="s">
        <v>22</v>
      </c>
      <c r="L3214" t="s">
        <v>253</v>
      </c>
      <c r="M3214" t="s">
        <v>134</v>
      </c>
      <c r="N3214">
        <v>40.354340999999998</v>
      </c>
      <c r="O3214">
        <v>-110.275223</v>
      </c>
      <c r="P3214">
        <v>6282.0755639999998</v>
      </c>
      <c r="Q3214">
        <v>323</v>
      </c>
      <c r="R3214">
        <v>0</v>
      </c>
    </row>
    <row r="3215" spans="1:18" x14ac:dyDescent="0.25">
      <c r="A3215">
        <v>3214</v>
      </c>
      <c r="B3215">
        <v>94</v>
      </c>
      <c r="C3215" t="e">
        <f>-IoMQSBAHSi5Htwh6wLZ-k</f>
        <v>#NAME?</v>
      </c>
      <c r="D3215" t="s">
        <v>272</v>
      </c>
      <c r="E3215">
        <v>249.691</v>
      </c>
      <c r="F3215" t="s">
        <v>21</v>
      </c>
      <c r="G3215" t="s">
        <v>26</v>
      </c>
      <c r="H3215" t="s">
        <v>21</v>
      </c>
      <c r="I3215" t="s">
        <v>20</v>
      </c>
      <c r="J3215" t="s">
        <v>20</v>
      </c>
      <c r="K3215" t="s">
        <v>27</v>
      </c>
      <c r="L3215" t="s">
        <v>350</v>
      </c>
      <c r="M3215" t="s">
        <v>174</v>
      </c>
      <c r="N3215">
        <v>39.196362000000001</v>
      </c>
      <c r="O3215">
        <v>-111.692573</v>
      </c>
      <c r="P3215">
        <v>5496.1302409999998</v>
      </c>
      <c r="Q3215">
        <v>1384</v>
      </c>
      <c r="R3215">
        <v>0</v>
      </c>
    </row>
    <row r="3216" spans="1:18" x14ac:dyDescent="0.25">
      <c r="A3216">
        <v>3215</v>
      </c>
      <c r="B3216">
        <v>94</v>
      </c>
      <c r="C3216" t="s">
        <v>552</v>
      </c>
      <c r="D3216" t="s">
        <v>272</v>
      </c>
      <c r="E3216">
        <v>249.85599999999999</v>
      </c>
      <c r="F3216" t="s">
        <v>21</v>
      </c>
      <c r="G3216" t="s">
        <v>26</v>
      </c>
      <c r="H3216" t="s">
        <v>21</v>
      </c>
      <c r="I3216" t="s">
        <v>20</v>
      </c>
      <c r="J3216" t="s">
        <v>20</v>
      </c>
      <c r="K3216" t="s">
        <v>27</v>
      </c>
      <c r="L3216" t="s">
        <v>350</v>
      </c>
      <c r="M3216" t="s">
        <v>174</v>
      </c>
      <c r="N3216">
        <v>39.198763999999997</v>
      </c>
      <c r="O3216">
        <v>-111.69253500000001</v>
      </c>
      <c r="P3216">
        <v>5490.5158609999999</v>
      </c>
      <c r="Q3216">
        <v>1384</v>
      </c>
      <c r="R3216">
        <v>0</v>
      </c>
    </row>
    <row r="3217" spans="1:18" x14ac:dyDescent="0.25">
      <c r="A3217">
        <v>3216</v>
      </c>
      <c r="B3217">
        <v>94</v>
      </c>
      <c r="C3217" t="e">
        <f>-IoHzi5AI4a2BNt8MMqoHV</f>
        <v>#NAME?</v>
      </c>
      <c r="D3217" t="s">
        <v>272</v>
      </c>
      <c r="E3217">
        <v>249.946</v>
      </c>
      <c r="F3217" t="s">
        <v>21</v>
      </c>
      <c r="G3217" t="s">
        <v>26</v>
      </c>
      <c r="H3217" t="s">
        <v>21</v>
      </c>
      <c r="I3217" t="s">
        <v>20</v>
      </c>
      <c r="J3217" t="s">
        <v>20</v>
      </c>
      <c r="K3217" t="s">
        <v>27</v>
      </c>
      <c r="L3217" t="s">
        <v>350</v>
      </c>
      <c r="M3217" t="s">
        <v>174</v>
      </c>
      <c r="N3217">
        <v>39.200052999999997</v>
      </c>
      <c r="O3217">
        <v>-111.692222</v>
      </c>
      <c r="P3217">
        <v>5483.5041620000002</v>
      </c>
      <c r="Q3217">
        <v>1384</v>
      </c>
      <c r="R3217">
        <v>0</v>
      </c>
    </row>
    <row r="3218" spans="1:18" x14ac:dyDescent="0.25">
      <c r="A3218">
        <v>3217</v>
      </c>
      <c r="B3218">
        <v>94</v>
      </c>
      <c r="C3218" t="s">
        <v>553</v>
      </c>
      <c r="D3218" t="s">
        <v>272</v>
      </c>
      <c r="E3218">
        <v>241.001</v>
      </c>
      <c r="F3218" t="s">
        <v>21</v>
      </c>
      <c r="G3218" t="s">
        <v>26</v>
      </c>
      <c r="H3218" t="s">
        <v>21</v>
      </c>
      <c r="I3218" t="s">
        <v>20</v>
      </c>
      <c r="J3218" t="s">
        <v>20</v>
      </c>
      <c r="K3218" t="s">
        <v>27</v>
      </c>
      <c r="L3218" t="s">
        <v>350</v>
      </c>
      <c r="M3218" t="s">
        <v>174</v>
      </c>
      <c r="N3218">
        <v>39.153655000000001</v>
      </c>
      <c r="O3218">
        <v>-111.81831699999999</v>
      </c>
      <c r="P3218">
        <v>5065.3908490000003</v>
      </c>
      <c r="Q3218">
        <v>1384</v>
      </c>
      <c r="R3218">
        <v>0</v>
      </c>
    </row>
    <row r="3219" spans="1:18" x14ac:dyDescent="0.25">
      <c r="A3219">
        <v>3218</v>
      </c>
      <c r="B3219">
        <v>94</v>
      </c>
      <c r="C3219" t="e">
        <f>-IoMJAeAHCetCODOtNeWAF</f>
        <v>#NAME?</v>
      </c>
      <c r="D3219" t="s">
        <v>272</v>
      </c>
      <c r="E3219">
        <v>241.10400000000001</v>
      </c>
      <c r="F3219" t="s">
        <v>21</v>
      </c>
      <c r="G3219" t="s">
        <v>26</v>
      </c>
      <c r="H3219" t="s">
        <v>21</v>
      </c>
      <c r="I3219" t="s">
        <v>20</v>
      </c>
      <c r="J3219" t="s">
        <v>20</v>
      </c>
      <c r="K3219" t="s">
        <v>27</v>
      </c>
      <c r="L3219" t="s">
        <v>350</v>
      </c>
      <c r="M3219" t="s">
        <v>174</v>
      </c>
      <c r="N3219">
        <v>39.155138000000001</v>
      </c>
      <c r="O3219">
        <v>-111.818287</v>
      </c>
      <c r="P3219">
        <v>5072.1986109999998</v>
      </c>
      <c r="Q3219">
        <v>1384</v>
      </c>
      <c r="R3219">
        <v>0</v>
      </c>
    </row>
    <row r="3220" spans="1:18" x14ac:dyDescent="0.25">
      <c r="A3220">
        <v>3219</v>
      </c>
      <c r="B3220">
        <v>94</v>
      </c>
      <c r="C3220" t="s">
        <v>554</v>
      </c>
      <c r="D3220" t="s">
        <v>272</v>
      </c>
      <c r="E3220">
        <v>241.209</v>
      </c>
      <c r="F3220" t="s">
        <v>21</v>
      </c>
      <c r="G3220" t="s">
        <v>26</v>
      </c>
      <c r="H3220" t="s">
        <v>21</v>
      </c>
      <c r="I3220" t="s">
        <v>20</v>
      </c>
      <c r="J3220" t="s">
        <v>20</v>
      </c>
      <c r="K3220" t="s">
        <v>27</v>
      </c>
      <c r="L3220" t="s">
        <v>350</v>
      </c>
      <c r="M3220" t="s">
        <v>174</v>
      </c>
      <c r="N3220">
        <v>39.156672999999998</v>
      </c>
      <c r="O3220">
        <v>-111.818263</v>
      </c>
      <c r="P3220">
        <v>5083.8209900000002</v>
      </c>
      <c r="Q3220">
        <v>1384</v>
      </c>
      <c r="R3220">
        <v>0</v>
      </c>
    </row>
    <row r="3221" spans="1:18" x14ac:dyDescent="0.25">
      <c r="A3221">
        <v>3220</v>
      </c>
      <c r="B3221">
        <v>94</v>
      </c>
      <c r="C3221" t="s">
        <v>555</v>
      </c>
      <c r="D3221" t="s">
        <v>272</v>
      </c>
      <c r="E3221">
        <v>241.333</v>
      </c>
      <c r="F3221" t="s">
        <v>21</v>
      </c>
      <c r="G3221" t="s">
        <v>26</v>
      </c>
      <c r="H3221" t="s">
        <v>21</v>
      </c>
      <c r="I3221" t="s">
        <v>20</v>
      </c>
      <c r="J3221" t="s">
        <v>20</v>
      </c>
      <c r="K3221" t="s">
        <v>27</v>
      </c>
      <c r="L3221" t="s">
        <v>350</v>
      </c>
      <c r="M3221" t="s">
        <v>174</v>
      </c>
      <c r="N3221">
        <v>39.158470000000001</v>
      </c>
      <c r="O3221">
        <v>-111.818212</v>
      </c>
      <c r="P3221">
        <v>5090.6240299999999</v>
      </c>
      <c r="Q3221">
        <v>1384</v>
      </c>
      <c r="R3221">
        <v>0</v>
      </c>
    </row>
    <row r="3222" spans="1:18" x14ac:dyDescent="0.25">
      <c r="A3222">
        <v>3221</v>
      </c>
      <c r="B3222">
        <v>94</v>
      </c>
      <c r="C3222" t="e">
        <f>-IoMJpRuF3TpcMbWfxRGLF</f>
        <v>#NAME?</v>
      </c>
      <c r="D3222" t="s">
        <v>272</v>
      </c>
      <c r="E3222">
        <v>241.43</v>
      </c>
      <c r="F3222" t="s">
        <v>21</v>
      </c>
      <c r="G3222" t="s">
        <v>26</v>
      </c>
      <c r="H3222" t="s">
        <v>19</v>
      </c>
      <c r="I3222">
        <v>28</v>
      </c>
      <c r="J3222" t="s">
        <v>20</v>
      </c>
      <c r="K3222" t="s">
        <v>27</v>
      </c>
      <c r="L3222" t="s">
        <v>350</v>
      </c>
      <c r="M3222" t="s">
        <v>174</v>
      </c>
      <c r="N3222">
        <v>39.159956999999999</v>
      </c>
      <c r="O3222">
        <v>-111.818214</v>
      </c>
      <c r="P3222">
        <v>5102.1988739999997</v>
      </c>
      <c r="Q3222">
        <v>1384</v>
      </c>
      <c r="R3222">
        <v>0</v>
      </c>
    </row>
    <row r="3223" spans="1:18" x14ac:dyDescent="0.25">
      <c r="A3223">
        <v>3222</v>
      </c>
      <c r="B3223">
        <v>94</v>
      </c>
      <c r="C3223" t="e">
        <f>-IoMKnRzHcTxobCSYopX9F</f>
        <v>#NAME?</v>
      </c>
      <c r="D3223" t="s">
        <v>272</v>
      </c>
      <c r="E3223">
        <v>241.596</v>
      </c>
      <c r="F3223" t="s">
        <v>21</v>
      </c>
      <c r="G3223" t="s">
        <v>26</v>
      </c>
      <c r="H3223" t="s">
        <v>21</v>
      </c>
      <c r="I3223" t="s">
        <v>20</v>
      </c>
      <c r="J3223" t="s">
        <v>20</v>
      </c>
      <c r="K3223" t="s">
        <v>27</v>
      </c>
      <c r="L3223" t="s">
        <v>350</v>
      </c>
      <c r="M3223" t="s">
        <v>174</v>
      </c>
      <c r="N3223">
        <v>39.159973999999998</v>
      </c>
      <c r="O3223">
        <v>-111.815135</v>
      </c>
      <c r="P3223">
        <v>5109.804271</v>
      </c>
      <c r="Q3223">
        <v>1384</v>
      </c>
      <c r="R3223">
        <v>0</v>
      </c>
    </row>
    <row r="3224" spans="1:18" x14ac:dyDescent="0.25">
      <c r="A3224">
        <v>3223</v>
      </c>
      <c r="B3224">
        <v>94</v>
      </c>
      <c r="C3224" t="e">
        <f>-IoMKyucFnyHVgfsJ0TkxF</f>
        <v>#NAME?</v>
      </c>
      <c r="D3224" t="s">
        <v>272</v>
      </c>
      <c r="E3224">
        <v>241.76900000000001</v>
      </c>
      <c r="F3224" t="s">
        <v>21</v>
      </c>
      <c r="G3224" t="s">
        <v>26</v>
      </c>
      <c r="H3224" t="s">
        <v>21</v>
      </c>
      <c r="I3224" t="s">
        <v>20</v>
      </c>
      <c r="J3224" t="s">
        <v>20</v>
      </c>
      <c r="K3224" t="s">
        <v>27</v>
      </c>
      <c r="L3224" t="s">
        <v>350</v>
      </c>
      <c r="M3224" t="s">
        <v>174</v>
      </c>
      <c r="N3224">
        <v>39.159972000000003</v>
      </c>
      <c r="O3224">
        <v>-111.811925</v>
      </c>
      <c r="P3224">
        <v>5120.9732839999997</v>
      </c>
      <c r="Q3224">
        <v>1384</v>
      </c>
      <c r="R3224">
        <v>0</v>
      </c>
    </row>
    <row r="3225" spans="1:18" x14ac:dyDescent="0.25">
      <c r="A3225">
        <v>3224</v>
      </c>
      <c r="B3225">
        <v>94</v>
      </c>
      <c r="C3225">
        <v>31532519</v>
      </c>
      <c r="D3225" t="s">
        <v>390</v>
      </c>
      <c r="E3225">
        <v>22.471</v>
      </c>
      <c r="F3225" t="s">
        <v>21</v>
      </c>
      <c r="G3225" t="s">
        <v>20</v>
      </c>
      <c r="H3225" t="s">
        <v>21</v>
      </c>
      <c r="I3225" t="s">
        <v>20</v>
      </c>
      <c r="J3225" t="s">
        <v>20</v>
      </c>
      <c r="K3225" t="s">
        <v>22</v>
      </c>
      <c r="L3225" t="s">
        <v>60</v>
      </c>
      <c r="M3225" t="s">
        <v>335</v>
      </c>
      <c r="N3225">
        <v>40.405253000000002</v>
      </c>
      <c r="O3225">
        <v>-111.605215</v>
      </c>
      <c r="P3225">
        <v>6828.078931</v>
      </c>
      <c r="Q3225">
        <v>1386</v>
      </c>
      <c r="R3225">
        <v>0</v>
      </c>
    </row>
    <row r="3226" spans="1:18" x14ac:dyDescent="0.25">
      <c r="A3226">
        <v>3225</v>
      </c>
      <c r="B3226">
        <v>94</v>
      </c>
      <c r="C3226">
        <v>31676211</v>
      </c>
      <c r="D3226" t="s">
        <v>217</v>
      </c>
      <c r="E3226">
        <v>22.48</v>
      </c>
      <c r="F3226" t="s">
        <v>21</v>
      </c>
      <c r="G3226" t="s">
        <v>20</v>
      </c>
      <c r="H3226" t="s">
        <v>21</v>
      </c>
      <c r="I3226" t="s">
        <v>20</v>
      </c>
      <c r="J3226" t="s">
        <v>20</v>
      </c>
      <c r="K3226" t="s">
        <v>27</v>
      </c>
      <c r="L3226" t="s">
        <v>162</v>
      </c>
      <c r="M3226" t="s">
        <v>163</v>
      </c>
      <c r="N3226">
        <v>37.363401000000003</v>
      </c>
      <c r="O3226">
        <v>-113.668829</v>
      </c>
      <c r="P3226">
        <v>4819.0303620000004</v>
      </c>
      <c r="Q3226">
        <v>304</v>
      </c>
      <c r="R3226">
        <v>0</v>
      </c>
    </row>
    <row r="3227" spans="1:18" x14ac:dyDescent="0.25">
      <c r="A3227">
        <v>3226</v>
      </c>
      <c r="B3227">
        <v>94</v>
      </c>
      <c r="C3227">
        <v>31517044</v>
      </c>
      <c r="D3227" t="s">
        <v>132</v>
      </c>
      <c r="E3227">
        <v>22.484999999999999</v>
      </c>
      <c r="F3227" t="s">
        <v>21</v>
      </c>
      <c r="G3227" t="s">
        <v>26</v>
      </c>
      <c r="H3227" t="s">
        <v>21</v>
      </c>
      <c r="I3227" t="s">
        <v>20</v>
      </c>
      <c r="J3227" t="s">
        <v>20</v>
      </c>
      <c r="K3227" t="s">
        <v>22</v>
      </c>
      <c r="L3227" t="s">
        <v>133</v>
      </c>
      <c r="M3227" t="s">
        <v>134</v>
      </c>
      <c r="N3227">
        <v>40.403682000000003</v>
      </c>
      <c r="O3227">
        <v>-109.821642</v>
      </c>
      <c r="P3227">
        <v>5404.9784900000004</v>
      </c>
      <c r="Q3227">
        <v>1405</v>
      </c>
      <c r="R3227">
        <v>0</v>
      </c>
    </row>
    <row r="3228" spans="1:18" x14ac:dyDescent="0.25">
      <c r="A3228">
        <v>3227</v>
      </c>
      <c r="B3228">
        <v>94</v>
      </c>
      <c r="C3228">
        <v>28004564</v>
      </c>
      <c r="D3228" t="s">
        <v>346</v>
      </c>
      <c r="E3228">
        <v>22.49</v>
      </c>
      <c r="F3228" t="s">
        <v>21</v>
      </c>
      <c r="G3228" t="s">
        <v>20</v>
      </c>
      <c r="H3228" t="s">
        <v>21</v>
      </c>
      <c r="I3228" t="s">
        <v>20</v>
      </c>
      <c r="J3228" t="s">
        <v>20</v>
      </c>
      <c r="K3228" t="s">
        <v>27</v>
      </c>
      <c r="L3228" t="s">
        <v>307</v>
      </c>
      <c r="M3228" t="s">
        <v>159</v>
      </c>
      <c r="N3228">
        <v>39.860522000000003</v>
      </c>
      <c r="O3228">
        <v>-111.03157899999999</v>
      </c>
      <c r="P3228">
        <v>7205.5508330000002</v>
      </c>
      <c r="Q3228">
        <v>1389</v>
      </c>
      <c r="R3228">
        <v>0</v>
      </c>
    </row>
    <row r="3229" spans="1:18" x14ac:dyDescent="0.25">
      <c r="A3229">
        <v>3228</v>
      </c>
      <c r="B3229">
        <v>94</v>
      </c>
      <c r="C3229">
        <v>31519531</v>
      </c>
      <c r="D3229" t="s">
        <v>494</v>
      </c>
      <c r="E3229">
        <v>22.495999999999999</v>
      </c>
      <c r="F3229" t="s">
        <v>21</v>
      </c>
      <c r="G3229" t="s">
        <v>26</v>
      </c>
      <c r="H3229" t="s">
        <v>19</v>
      </c>
      <c r="I3229">
        <v>191</v>
      </c>
      <c r="J3229" t="s">
        <v>20</v>
      </c>
      <c r="K3229" t="s">
        <v>27</v>
      </c>
      <c r="L3229" t="s">
        <v>38</v>
      </c>
      <c r="M3229" t="s">
        <v>152</v>
      </c>
      <c r="N3229">
        <v>38.672502999999999</v>
      </c>
      <c r="O3229">
        <v>-109.68641</v>
      </c>
      <c r="P3229">
        <v>4429.6715780000004</v>
      </c>
      <c r="Q3229">
        <v>1289</v>
      </c>
      <c r="R3229">
        <v>0</v>
      </c>
    </row>
    <row r="3230" spans="1:18" x14ac:dyDescent="0.25">
      <c r="A3230">
        <v>3229</v>
      </c>
      <c r="B3230">
        <v>94</v>
      </c>
      <c r="C3230">
        <v>31652134</v>
      </c>
      <c r="D3230" t="s">
        <v>418</v>
      </c>
      <c r="E3230">
        <v>22.509</v>
      </c>
      <c r="F3230" t="s">
        <v>21</v>
      </c>
      <c r="G3230" t="s">
        <v>26</v>
      </c>
      <c r="H3230" t="s">
        <v>21</v>
      </c>
      <c r="I3230" t="s">
        <v>20</v>
      </c>
      <c r="J3230" t="s">
        <v>20</v>
      </c>
      <c r="K3230" t="s">
        <v>27</v>
      </c>
      <c r="L3230" t="s">
        <v>211</v>
      </c>
      <c r="M3230" t="s">
        <v>212</v>
      </c>
      <c r="N3230">
        <v>37.263672999999997</v>
      </c>
      <c r="O3230">
        <v>-109.305001</v>
      </c>
      <c r="P3230">
        <v>4395.0005220000003</v>
      </c>
      <c r="Q3230">
        <v>361</v>
      </c>
      <c r="R3230">
        <v>0</v>
      </c>
    </row>
    <row r="3231" spans="1:18" x14ac:dyDescent="0.25">
      <c r="A3231">
        <v>3230</v>
      </c>
      <c r="B3231">
        <v>94</v>
      </c>
      <c r="C3231">
        <v>2613303</v>
      </c>
      <c r="D3231" t="s">
        <v>176</v>
      </c>
      <c r="E3231">
        <v>25.25</v>
      </c>
      <c r="F3231" t="s">
        <v>21</v>
      </c>
      <c r="G3231" t="s">
        <v>26</v>
      </c>
      <c r="H3231" t="s">
        <v>19</v>
      </c>
      <c r="I3231">
        <v>30</v>
      </c>
      <c r="J3231" t="s">
        <v>20</v>
      </c>
      <c r="K3231" t="s">
        <v>41</v>
      </c>
      <c r="L3231" t="s">
        <v>223</v>
      </c>
      <c r="M3231" t="s">
        <v>178</v>
      </c>
      <c r="N3231">
        <v>41.784914999999998</v>
      </c>
      <c r="O3231">
        <v>-112.149333</v>
      </c>
      <c r="P3231">
        <v>4311.1103620000004</v>
      </c>
      <c r="Q3231">
        <v>1329</v>
      </c>
      <c r="R3231">
        <v>0</v>
      </c>
    </row>
    <row r="3232" spans="1:18" x14ac:dyDescent="0.25">
      <c r="A3232">
        <v>3231</v>
      </c>
      <c r="B3232">
        <v>94</v>
      </c>
      <c r="C3232">
        <v>31284753</v>
      </c>
      <c r="D3232" t="s">
        <v>288</v>
      </c>
      <c r="E3232">
        <v>25.254000000000001</v>
      </c>
      <c r="F3232" t="s">
        <v>21</v>
      </c>
      <c r="G3232" t="s">
        <v>26</v>
      </c>
      <c r="H3232" t="s">
        <v>21</v>
      </c>
      <c r="I3232" t="s">
        <v>20</v>
      </c>
      <c r="J3232" t="s">
        <v>20</v>
      </c>
      <c r="K3232" t="s">
        <v>27</v>
      </c>
      <c r="L3232" t="s">
        <v>211</v>
      </c>
      <c r="M3232" t="s">
        <v>318</v>
      </c>
      <c r="N3232">
        <v>37.282981999999997</v>
      </c>
      <c r="O3232">
        <v>-109.557034</v>
      </c>
      <c r="P3232">
        <v>4251.424696</v>
      </c>
      <c r="Q3232">
        <v>350</v>
      </c>
      <c r="R3232">
        <v>0</v>
      </c>
    </row>
    <row r="3233" spans="1:18" x14ac:dyDescent="0.25">
      <c r="A3233">
        <v>3232</v>
      </c>
      <c r="B3233">
        <v>94</v>
      </c>
      <c r="C3233">
        <v>27880810</v>
      </c>
      <c r="D3233" t="s">
        <v>91</v>
      </c>
      <c r="E3233">
        <v>25.285</v>
      </c>
      <c r="F3233" t="s">
        <v>21</v>
      </c>
      <c r="G3233" t="s">
        <v>26</v>
      </c>
      <c r="H3233" t="s">
        <v>21</v>
      </c>
      <c r="I3233" t="s">
        <v>20</v>
      </c>
      <c r="J3233" t="s">
        <v>20</v>
      </c>
      <c r="K3233" t="s">
        <v>41</v>
      </c>
      <c r="L3233" t="s">
        <v>95</v>
      </c>
      <c r="M3233" t="s">
        <v>73</v>
      </c>
      <c r="N3233">
        <v>41.931958999999999</v>
      </c>
      <c r="O3233">
        <v>-111.953298</v>
      </c>
      <c r="P3233">
        <v>4423.5783890000002</v>
      </c>
      <c r="Q3233">
        <v>1339</v>
      </c>
      <c r="R3233">
        <v>0</v>
      </c>
    </row>
    <row r="3234" spans="1:18" x14ac:dyDescent="0.25">
      <c r="A3234">
        <v>3233</v>
      </c>
      <c r="B3234">
        <v>94</v>
      </c>
      <c r="C3234">
        <v>31537017</v>
      </c>
      <c r="D3234" t="s">
        <v>244</v>
      </c>
      <c r="E3234">
        <v>25.288</v>
      </c>
      <c r="F3234" t="s">
        <v>21</v>
      </c>
      <c r="G3234" t="s">
        <v>26</v>
      </c>
      <c r="H3234" t="s">
        <v>21</v>
      </c>
      <c r="I3234" t="s">
        <v>20</v>
      </c>
      <c r="J3234" t="s">
        <v>20</v>
      </c>
      <c r="K3234" t="s">
        <v>27</v>
      </c>
      <c r="L3234" t="s">
        <v>266</v>
      </c>
      <c r="M3234" t="s">
        <v>58</v>
      </c>
      <c r="N3234">
        <v>38.66619</v>
      </c>
      <c r="O3234">
        <v>-111.836192</v>
      </c>
      <c r="P3234">
        <v>7033.9062999999996</v>
      </c>
      <c r="Q3234">
        <v>1340</v>
      </c>
      <c r="R3234">
        <v>0</v>
      </c>
    </row>
    <row r="3235" spans="1:18" x14ac:dyDescent="0.25">
      <c r="A3235">
        <v>3234</v>
      </c>
      <c r="B3235">
        <v>94</v>
      </c>
      <c r="C3235">
        <v>31518515</v>
      </c>
      <c r="D3235" t="s">
        <v>132</v>
      </c>
      <c r="E3235">
        <v>25.294</v>
      </c>
      <c r="F3235" t="s">
        <v>21</v>
      </c>
      <c r="G3235" t="s">
        <v>26</v>
      </c>
      <c r="H3235" t="s">
        <v>21</v>
      </c>
      <c r="I3235" t="s">
        <v>20</v>
      </c>
      <c r="J3235" t="s">
        <v>20</v>
      </c>
      <c r="K3235" t="s">
        <v>22</v>
      </c>
      <c r="L3235" t="s">
        <v>133</v>
      </c>
      <c r="M3235" t="s">
        <v>134</v>
      </c>
      <c r="N3235">
        <v>40.402070000000002</v>
      </c>
      <c r="O3235">
        <v>-109.769255</v>
      </c>
      <c r="P3235">
        <v>5729.5363020000004</v>
      </c>
      <c r="Q3235">
        <v>1405</v>
      </c>
      <c r="R3235">
        <v>0</v>
      </c>
    </row>
    <row r="3236" spans="1:18" x14ac:dyDescent="0.25">
      <c r="A3236">
        <v>3235</v>
      </c>
      <c r="B3236">
        <v>94</v>
      </c>
      <c r="C3236">
        <v>31279881</v>
      </c>
      <c r="D3236" t="s">
        <v>241</v>
      </c>
      <c r="E3236">
        <v>25.302</v>
      </c>
      <c r="F3236" t="s">
        <v>21</v>
      </c>
      <c r="G3236" t="s">
        <v>26</v>
      </c>
      <c r="H3236" t="s">
        <v>21</v>
      </c>
      <c r="I3236" t="s">
        <v>20</v>
      </c>
      <c r="J3236" t="s">
        <v>20</v>
      </c>
      <c r="K3236" t="s">
        <v>27</v>
      </c>
      <c r="L3236" t="s">
        <v>242</v>
      </c>
      <c r="M3236" t="s">
        <v>243</v>
      </c>
      <c r="N3236">
        <v>39.067579000000002</v>
      </c>
      <c r="O3236">
        <v>-111.131477</v>
      </c>
      <c r="P3236">
        <v>5876.1376250000003</v>
      </c>
      <c r="Q3236">
        <v>1327</v>
      </c>
      <c r="R3236">
        <v>0</v>
      </c>
    </row>
    <row r="3237" spans="1:18" x14ac:dyDescent="0.25">
      <c r="A3237">
        <v>3236</v>
      </c>
      <c r="B3237">
        <v>94</v>
      </c>
      <c r="C3237">
        <v>31594044</v>
      </c>
      <c r="D3237" t="s">
        <v>271</v>
      </c>
      <c r="E3237">
        <v>25.308</v>
      </c>
      <c r="F3237" t="s">
        <v>21</v>
      </c>
      <c r="G3237" t="s">
        <v>26</v>
      </c>
      <c r="H3237" t="s">
        <v>21</v>
      </c>
      <c r="I3237" t="s">
        <v>20</v>
      </c>
      <c r="J3237" t="s">
        <v>20</v>
      </c>
      <c r="K3237" t="s">
        <v>22</v>
      </c>
      <c r="L3237" t="s">
        <v>263</v>
      </c>
      <c r="M3237" t="s">
        <v>24</v>
      </c>
      <c r="N3237">
        <v>40.327213999999998</v>
      </c>
      <c r="O3237">
        <v>-112.10234800000001</v>
      </c>
      <c r="P3237">
        <v>5007.5810609999999</v>
      </c>
      <c r="Q3237">
        <v>1372</v>
      </c>
      <c r="R3237">
        <v>0</v>
      </c>
    </row>
    <row r="3238" spans="1:18" x14ac:dyDescent="0.25">
      <c r="A3238">
        <v>3237</v>
      </c>
      <c r="B3238">
        <v>94</v>
      </c>
      <c r="C3238">
        <v>31284764</v>
      </c>
      <c r="D3238" t="s">
        <v>288</v>
      </c>
      <c r="E3238">
        <v>25.344999999999999</v>
      </c>
      <c r="F3238" t="s">
        <v>21</v>
      </c>
      <c r="G3238" t="s">
        <v>26</v>
      </c>
      <c r="H3238" t="s">
        <v>21</v>
      </c>
      <c r="I3238" t="s">
        <v>20</v>
      </c>
      <c r="J3238" t="s">
        <v>20</v>
      </c>
      <c r="K3238" t="s">
        <v>27</v>
      </c>
      <c r="L3238" t="s">
        <v>211</v>
      </c>
      <c r="M3238" t="s">
        <v>318</v>
      </c>
      <c r="N3238">
        <v>37.283006</v>
      </c>
      <c r="O3238">
        <v>-109.55537200000001</v>
      </c>
      <c r="P3238">
        <v>4250.4776810000003</v>
      </c>
      <c r="Q3238">
        <v>350</v>
      </c>
      <c r="R3238">
        <v>0</v>
      </c>
    </row>
    <row r="3239" spans="1:18" x14ac:dyDescent="0.25">
      <c r="A3239">
        <v>3238</v>
      </c>
      <c r="B3239">
        <v>94</v>
      </c>
      <c r="C3239">
        <v>31515368</v>
      </c>
      <c r="D3239" t="s">
        <v>292</v>
      </c>
      <c r="E3239">
        <v>25.346</v>
      </c>
      <c r="F3239" t="s">
        <v>21</v>
      </c>
      <c r="G3239" t="s">
        <v>20</v>
      </c>
      <c r="H3239" t="s">
        <v>21</v>
      </c>
      <c r="I3239" t="s">
        <v>20</v>
      </c>
      <c r="J3239" t="s">
        <v>20</v>
      </c>
      <c r="K3239" t="s">
        <v>22</v>
      </c>
      <c r="L3239" t="s">
        <v>253</v>
      </c>
      <c r="M3239" t="s">
        <v>134</v>
      </c>
      <c r="N3239">
        <v>40.315564999999999</v>
      </c>
      <c r="O3239">
        <v>-110.252852</v>
      </c>
      <c r="P3239">
        <v>6013.4976580000002</v>
      </c>
      <c r="Q3239">
        <v>323</v>
      </c>
      <c r="R3239">
        <v>0</v>
      </c>
    </row>
    <row r="3240" spans="1:18" x14ac:dyDescent="0.25">
      <c r="A3240">
        <v>3239</v>
      </c>
      <c r="B3240">
        <v>94</v>
      </c>
      <c r="C3240">
        <v>31444924</v>
      </c>
      <c r="D3240" t="s">
        <v>91</v>
      </c>
      <c r="E3240">
        <v>3.6059999999999999</v>
      </c>
      <c r="F3240" t="s">
        <v>21</v>
      </c>
      <c r="G3240" t="s">
        <v>20</v>
      </c>
      <c r="H3240" t="s">
        <v>21</v>
      </c>
      <c r="I3240" t="s">
        <v>20</v>
      </c>
      <c r="J3240" t="s">
        <v>20</v>
      </c>
      <c r="K3240" t="s">
        <v>41</v>
      </c>
      <c r="L3240" t="s">
        <v>42</v>
      </c>
      <c r="M3240" t="s">
        <v>73</v>
      </c>
      <c r="N3240">
        <v>41.663533999999999</v>
      </c>
      <c r="O3240">
        <v>-111.948443</v>
      </c>
      <c r="P3240">
        <v>4511.4202459999997</v>
      </c>
      <c r="Q3240">
        <v>1339</v>
      </c>
      <c r="R3240">
        <v>0</v>
      </c>
    </row>
    <row r="3241" spans="1:18" x14ac:dyDescent="0.25">
      <c r="A3241">
        <v>3240</v>
      </c>
      <c r="B3241">
        <v>94</v>
      </c>
      <c r="C3241" t="e">
        <f>-JPdm4F4Ipa_opjqYaT4kV</f>
        <v>#NAME?</v>
      </c>
      <c r="D3241" t="s">
        <v>74</v>
      </c>
      <c r="E3241">
        <v>3.6070000000000002</v>
      </c>
      <c r="F3241" t="s">
        <v>21</v>
      </c>
      <c r="G3241" t="s">
        <v>26</v>
      </c>
      <c r="H3241" t="s">
        <v>21</v>
      </c>
      <c r="I3241" t="s">
        <v>20</v>
      </c>
      <c r="J3241" t="s">
        <v>20</v>
      </c>
      <c r="K3241" t="s">
        <v>27</v>
      </c>
      <c r="L3241" t="s">
        <v>75</v>
      </c>
      <c r="M3241" t="s">
        <v>76</v>
      </c>
      <c r="N3241">
        <v>38.786638000000004</v>
      </c>
      <c r="O3241">
        <v>-112.08313200000001</v>
      </c>
      <c r="P3241">
        <v>5370.3004680000004</v>
      </c>
      <c r="Q3241">
        <v>332</v>
      </c>
      <c r="R3241">
        <v>0</v>
      </c>
    </row>
    <row r="3242" spans="1:18" x14ac:dyDescent="0.25">
      <c r="A3242">
        <v>3241</v>
      </c>
      <c r="B3242">
        <v>94</v>
      </c>
      <c r="C3242">
        <v>31192721</v>
      </c>
      <c r="D3242" t="s">
        <v>153</v>
      </c>
      <c r="E3242">
        <v>3.6070000000000002</v>
      </c>
      <c r="F3242" t="s">
        <v>21</v>
      </c>
      <c r="G3242" t="s">
        <v>26</v>
      </c>
      <c r="H3242" t="s">
        <v>21</v>
      </c>
      <c r="I3242" t="s">
        <v>20</v>
      </c>
      <c r="J3242" t="s">
        <v>20</v>
      </c>
      <c r="K3242" t="s">
        <v>22</v>
      </c>
      <c r="L3242" t="s">
        <v>84</v>
      </c>
      <c r="M3242" t="s">
        <v>85</v>
      </c>
      <c r="N3242">
        <v>40.408020999999998</v>
      </c>
      <c r="O3242">
        <v>-111.750231</v>
      </c>
      <c r="P3242">
        <v>4909.3699459999998</v>
      </c>
      <c r="R3242">
        <v>0</v>
      </c>
    </row>
    <row r="3243" spans="1:18" x14ac:dyDescent="0.25">
      <c r="A3243">
        <v>3242</v>
      </c>
      <c r="B3243">
        <v>94</v>
      </c>
      <c r="C3243">
        <v>31477176</v>
      </c>
      <c r="D3243" t="s">
        <v>244</v>
      </c>
      <c r="E3243">
        <v>3.6110000000000002</v>
      </c>
      <c r="F3243" t="s">
        <v>21</v>
      </c>
      <c r="G3243" t="s">
        <v>26</v>
      </c>
      <c r="H3243" t="s">
        <v>21</v>
      </c>
      <c r="I3243" t="s">
        <v>20</v>
      </c>
      <c r="J3243" t="s">
        <v>20</v>
      </c>
      <c r="K3243" t="s">
        <v>27</v>
      </c>
      <c r="L3243" t="s">
        <v>183</v>
      </c>
      <c r="M3243" t="s">
        <v>58</v>
      </c>
      <c r="N3243">
        <v>38.920797999999998</v>
      </c>
      <c r="O3243">
        <v>-111.92179400000001</v>
      </c>
      <c r="P3243">
        <v>5092.5467479999998</v>
      </c>
      <c r="Q3243">
        <v>1340</v>
      </c>
      <c r="R3243">
        <v>0</v>
      </c>
    </row>
    <row r="3244" spans="1:18" x14ac:dyDescent="0.25">
      <c r="A3244">
        <v>3243</v>
      </c>
      <c r="B3244">
        <v>94</v>
      </c>
      <c r="C3244">
        <v>28336038</v>
      </c>
      <c r="D3244" t="s">
        <v>160</v>
      </c>
      <c r="E3244">
        <v>3.613</v>
      </c>
      <c r="F3244" t="s">
        <v>21</v>
      </c>
      <c r="G3244" t="s">
        <v>20</v>
      </c>
      <c r="H3244" t="s">
        <v>21</v>
      </c>
      <c r="I3244" t="s">
        <v>20</v>
      </c>
      <c r="J3244" t="s">
        <v>20</v>
      </c>
      <c r="K3244" t="s">
        <v>27</v>
      </c>
      <c r="L3244" t="s">
        <v>72</v>
      </c>
      <c r="M3244" t="s">
        <v>73</v>
      </c>
      <c r="N3244">
        <v>37.259580999999997</v>
      </c>
      <c r="O3244">
        <v>-113.286716</v>
      </c>
      <c r="P3244">
        <v>3320.4351809999998</v>
      </c>
      <c r="Q3244">
        <v>1335</v>
      </c>
      <c r="R3244">
        <v>0</v>
      </c>
    </row>
    <row r="3245" spans="1:18" x14ac:dyDescent="0.25">
      <c r="A3245">
        <v>3244</v>
      </c>
      <c r="B3245">
        <v>94</v>
      </c>
      <c r="C3245" t="e">
        <f>-IovGTK2I8ud5q0HAMmb5V</f>
        <v>#NAME?</v>
      </c>
      <c r="D3245" t="s">
        <v>272</v>
      </c>
      <c r="E3245">
        <v>367.04399999999998</v>
      </c>
      <c r="F3245" t="s">
        <v>21</v>
      </c>
      <c r="G3245" t="s">
        <v>26</v>
      </c>
      <c r="H3245" t="s">
        <v>21</v>
      </c>
      <c r="I3245" t="s">
        <v>20</v>
      </c>
      <c r="J3245" t="s">
        <v>20</v>
      </c>
      <c r="K3245" t="s">
        <v>31</v>
      </c>
      <c r="L3245" t="s">
        <v>69</v>
      </c>
      <c r="M3245" t="s">
        <v>49</v>
      </c>
      <c r="N3245">
        <v>40.591717000000003</v>
      </c>
      <c r="O3245">
        <v>-111.890856</v>
      </c>
      <c r="P3245">
        <v>4355.1653809999998</v>
      </c>
      <c r="Q3245">
        <v>1384</v>
      </c>
      <c r="R3245">
        <v>0</v>
      </c>
    </row>
    <row r="3246" spans="1:18" x14ac:dyDescent="0.25">
      <c r="A3246">
        <v>3245</v>
      </c>
      <c r="B3246">
        <v>94</v>
      </c>
      <c r="C3246" t="e">
        <f>-IovGbwHHSiQyghZAowSJF</f>
        <v>#NAME?</v>
      </c>
      <c r="D3246" t="s">
        <v>272</v>
      </c>
      <c r="E3246">
        <v>367.08</v>
      </c>
      <c r="F3246" t="s">
        <v>21</v>
      </c>
      <c r="G3246" t="s">
        <v>26</v>
      </c>
      <c r="H3246" t="s">
        <v>21</v>
      </c>
      <c r="I3246" t="s">
        <v>20</v>
      </c>
      <c r="J3246" t="s">
        <v>20</v>
      </c>
      <c r="K3246" t="s">
        <v>31</v>
      </c>
      <c r="L3246" t="s">
        <v>69</v>
      </c>
      <c r="M3246" t="s">
        <v>49</v>
      </c>
      <c r="N3246">
        <v>40.592236999999997</v>
      </c>
      <c r="O3246">
        <v>-111.890877</v>
      </c>
      <c r="P3246">
        <v>4356.0465199999999</v>
      </c>
      <c r="Q3246">
        <v>1384</v>
      </c>
      <c r="R3246">
        <v>0</v>
      </c>
    </row>
    <row r="3247" spans="1:18" x14ac:dyDescent="0.25">
      <c r="A3247">
        <v>3246</v>
      </c>
      <c r="B3247">
        <v>94</v>
      </c>
      <c r="C3247" t="e">
        <f>-IovGh7HGUy-H7lgplc_5V</f>
        <v>#NAME?</v>
      </c>
      <c r="D3247" t="s">
        <v>272</v>
      </c>
      <c r="E3247">
        <v>367.09399999999999</v>
      </c>
      <c r="F3247" t="s">
        <v>21</v>
      </c>
      <c r="G3247" t="s">
        <v>26</v>
      </c>
      <c r="H3247" t="s">
        <v>21</v>
      </c>
      <c r="I3247" t="s">
        <v>20</v>
      </c>
      <c r="J3247" t="s">
        <v>20</v>
      </c>
      <c r="K3247" t="s">
        <v>31</v>
      </c>
      <c r="L3247" t="s">
        <v>69</v>
      </c>
      <c r="M3247" t="s">
        <v>49</v>
      </c>
      <c r="N3247">
        <v>40.592449000000002</v>
      </c>
      <c r="O3247">
        <v>-111.890882</v>
      </c>
      <c r="P3247">
        <v>4356.4036560000004</v>
      </c>
      <c r="Q3247">
        <v>1384</v>
      </c>
      <c r="R3247">
        <v>0</v>
      </c>
    </row>
    <row r="3248" spans="1:18" x14ac:dyDescent="0.25">
      <c r="A3248">
        <v>3247</v>
      </c>
      <c r="B3248">
        <v>94</v>
      </c>
      <c r="C3248" t="s">
        <v>556</v>
      </c>
      <c r="D3248" t="s">
        <v>272</v>
      </c>
      <c r="E3248">
        <v>367.14100000000002</v>
      </c>
      <c r="F3248" t="s">
        <v>19</v>
      </c>
      <c r="G3248" t="s">
        <v>20</v>
      </c>
      <c r="H3248" t="s">
        <v>21</v>
      </c>
      <c r="I3248" t="s">
        <v>20</v>
      </c>
      <c r="J3248" t="s">
        <v>20</v>
      </c>
      <c r="K3248" t="s">
        <v>31</v>
      </c>
      <c r="L3248" t="s">
        <v>69</v>
      </c>
      <c r="M3248" t="s">
        <v>49</v>
      </c>
      <c r="N3248">
        <v>40.593136000000001</v>
      </c>
      <c r="O3248">
        <v>-111.890846</v>
      </c>
      <c r="P3248">
        <v>4357.5924349999996</v>
      </c>
      <c r="Q3248">
        <v>1384</v>
      </c>
      <c r="R3248">
        <v>0</v>
      </c>
    </row>
    <row r="3249" spans="1:18" x14ac:dyDescent="0.25">
      <c r="A3249">
        <v>3248</v>
      </c>
      <c r="B3249">
        <v>94</v>
      </c>
      <c r="C3249" t="s">
        <v>557</v>
      </c>
      <c r="D3249" t="s">
        <v>272</v>
      </c>
      <c r="E3249">
        <v>367.19099999999997</v>
      </c>
      <c r="F3249" t="s">
        <v>21</v>
      </c>
      <c r="G3249" t="s">
        <v>26</v>
      </c>
      <c r="H3249" t="s">
        <v>21</v>
      </c>
      <c r="I3249" t="s">
        <v>20</v>
      </c>
      <c r="J3249" t="s">
        <v>20</v>
      </c>
      <c r="K3249" t="s">
        <v>31</v>
      </c>
      <c r="L3249" t="s">
        <v>69</v>
      </c>
      <c r="M3249" t="s">
        <v>49</v>
      </c>
      <c r="N3249">
        <v>40.593868000000001</v>
      </c>
      <c r="O3249">
        <v>-111.89087000000001</v>
      </c>
      <c r="P3249">
        <v>4357.8423940000002</v>
      </c>
      <c r="Q3249">
        <v>1384</v>
      </c>
      <c r="R3249">
        <v>0</v>
      </c>
    </row>
    <row r="3250" spans="1:18" x14ac:dyDescent="0.25">
      <c r="A3250">
        <v>3249</v>
      </c>
      <c r="B3250">
        <v>94</v>
      </c>
      <c r="C3250" t="e">
        <f>-IovLN-DHA5XQJByIa8MuV</f>
        <v>#NAME?</v>
      </c>
      <c r="D3250" t="s">
        <v>272</v>
      </c>
      <c r="E3250">
        <v>367.24</v>
      </c>
      <c r="F3250" t="s">
        <v>21</v>
      </c>
      <c r="G3250" t="s">
        <v>26</v>
      </c>
      <c r="H3250" t="s">
        <v>21</v>
      </c>
      <c r="I3250" t="s">
        <v>20</v>
      </c>
      <c r="J3250" t="s">
        <v>20</v>
      </c>
      <c r="K3250" t="s">
        <v>31</v>
      </c>
      <c r="L3250" t="s">
        <v>69</v>
      </c>
      <c r="M3250" t="s">
        <v>49</v>
      </c>
      <c r="N3250">
        <v>40.594583</v>
      </c>
      <c r="O3250">
        <v>-111.89085799999999</v>
      </c>
      <c r="P3250">
        <v>4358.6102490000003</v>
      </c>
      <c r="Q3250">
        <v>1384</v>
      </c>
      <c r="R3250">
        <v>0</v>
      </c>
    </row>
    <row r="3251" spans="1:18" x14ac:dyDescent="0.25">
      <c r="A3251">
        <v>3250</v>
      </c>
      <c r="B3251">
        <v>94</v>
      </c>
      <c r="C3251" t="s">
        <v>558</v>
      </c>
      <c r="D3251" t="s">
        <v>272</v>
      </c>
      <c r="E3251">
        <v>367.27100000000002</v>
      </c>
      <c r="F3251" t="s">
        <v>21</v>
      </c>
      <c r="G3251" t="s">
        <v>26</v>
      </c>
      <c r="H3251" t="s">
        <v>21</v>
      </c>
      <c r="I3251" t="s">
        <v>20</v>
      </c>
      <c r="J3251" t="s">
        <v>20</v>
      </c>
      <c r="K3251" t="s">
        <v>31</v>
      </c>
      <c r="L3251" t="s">
        <v>69</v>
      </c>
      <c r="M3251" t="s">
        <v>49</v>
      </c>
      <c r="N3251">
        <v>40.595035000000003</v>
      </c>
      <c r="O3251">
        <v>-111.890857</v>
      </c>
      <c r="P3251">
        <v>4358.9375289999998</v>
      </c>
      <c r="Q3251">
        <v>1384</v>
      </c>
      <c r="R3251">
        <v>0</v>
      </c>
    </row>
    <row r="3252" spans="1:18" x14ac:dyDescent="0.25">
      <c r="A3252">
        <v>3251</v>
      </c>
      <c r="B3252">
        <v>94</v>
      </c>
      <c r="C3252" t="e">
        <f>-IovLogDHtuZu14ol5nq7V</f>
        <v>#NAME?</v>
      </c>
      <c r="D3252" t="s">
        <v>272</v>
      </c>
      <c r="E3252">
        <v>367.35899999999998</v>
      </c>
      <c r="F3252" t="s">
        <v>21</v>
      </c>
      <c r="G3252" t="s">
        <v>26</v>
      </c>
      <c r="H3252" t="s">
        <v>21</v>
      </c>
      <c r="I3252" t="s">
        <v>20</v>
      </c>
      <c r="J3252" t="s">
        <v>20</v>
      </c>
      <c r="K3252" t="s">
        <v>31</v>
      </c>
      <c r="L3252" t="s">
        <v>69</v>
      </c>
      <c r="M3252" t="s">
        <v>49</v>
      </c>
      <c r="N3252">
        <v>40.596321000000003</v>
      </c>
      <c r="O3252">
        <v>-111.890844</v>
      </c>
      <c r="P3252">
        <v>4358.7491259999997</v>
      </c>
      <c r="Q3252">
        <v>1384</v>
      </c>
      <c r="R3252">
        <v>0</v>
      </c>
    </row>
    <row r="3253" spans="1:18" x14ac:dyDescent="0.25">
      <c r="A3253">
        <v>3252</v>
      </c>
      <c r="B3253">
        <v>94</v>
      </c>
      <c r="C3253" t="s">
        <v>559</v>
      </c>
      <c r="D3253" t="s">
        <v>272</v>
      </c>
      <c r="E3253">
        <v>367.45100000000002</v>
      </c>
      <c r="F3253" t="s">
        <v>21</v>
      </c>
      <c r="G3253" t="s">
        <v>26</v>
      </c>
      <c r="H3253" t="s">
        <v>21</v>
      </c>
      <c r="I3253" t="s">
        <v>20</v>
      </c>
      <c r="J3253" t="s">
        <v>20</v>
      </c>
      <c r="K3253" t="s">
        <v>31</v>
      </c>
      <c r="L3253" t="s">
        <v>69</v>
      </c>
      <c r="M3253" t="s">
        <v>49</v>
      </c>
      <c r="N3253">
        <v>40.597659999999998</v>
      </c>
      <c r="O3253">
        <v>-111.890835</v>
      </c>
      <c r="P3253">
        <v>4356.5297799999998</v>
      </c>
      <c r="Q3253">
        <v>1384</v>
      </c>
      <c r="R3253">
        <v>0</v>
      </c>
    </row>
    <row r="3254" spans="1:18" x14ac:dyDescent="0.25">
      <c r="A3254">
        <v>3253</v>
      </c>
      <c r="B3254">
        <v>94</v>
      </c>
      <c r="C3254" t="s">
        <v>560</v>
      </c>
      <c r="D3254" t="s">
        <v>272</v>
      </c>
      <c r="E3254">
        <v>367.46600000000001</v>
      </c>
      <c r="F3254" t="s">
        <v>21</v>
      </c>
      <c r="G3254" t="s">
        <v>26</v>
      </c>
      <c r="H3254" t="s">
        <v>21</v>
      </c>
      <c r="I3254" t="s">
        <v>20</v>
      </c>
      <c r="J3254" t="s">
        <v>20</v>
      </c>
      <c r="K3254" t="s">
        <v>31</v>
      </c>
      <c r="L3254" t="s">
        <v>69</v>
      </c>
      <c r="M3254" t="s">
        <v>49</v>
      </c>
      <c r="N3254">
        <v>40.597875000000002</v>
      </c>
      <c r="O3254">
        <v>-111.890834</v>
      </c>
      <c r="P3254">
        <v>4356.1429170000001</v>
      </c>
      <c r="Q3254">
        <v>1384</v>
      </c>
      <c r="R3254">
        <v>0</v>
      </c>
    </row>
    <row r="3255" spans="1:18" x14ac:dyDescent="0.25">
      <c r="A3255">
        <v>3254</v>
      </c>
      <c r="B3255">
        <v>94</v>
      </c>
      <c r="C3255" t="e">
        <f>-IovMxOoHOXa-qmfdu6QFk</f>
        <v>#NAME?</v>
      </c>
      <c r="D3255" t="s">
        <v>272</v>
      </c>
      <c r="E3255">
        <v>367.54300000000001</v>
      </c>
      <c r="F3255" t="s">
        <v>21</v>
      </c>
      <c r="G3255" t="s">
        <v>26</v>
      </c>
      <c r="H3255" t="s">
        <v>21</v>
      </c>
      <c r="I3255" t="s">
        <v>20</v>
      </c>
      <c r="J3255" t="s">
        <v>20</v>
      </c>
      <c r="K3255" t="s">
        <v>31</v>
      </c>
      <c r="L3255" t="s">
        <v>69</v>
      </c>
      <c r="M3255" t="s">
        <v>49</v>
      </c>
      <c r="N3255">
        <v>40.599012999999999</v>
      </c>
      <c r="O3255">
        <v>-111.890826</v>
      </c>
      <c r="P3255">
        <v>4354.6598400000003</v>
      </c>
      <c r="Q3255">
        <v>1384</v>
      </c>
      <c r="R3255">
        <v>0</v>
      </c>
    </row>
    <row r="3256" spans="1:18" x14ac:dyDescent="0.25">
      <c r="A3256">
        <v>3255</v>
      </c>
      <c r="B3256">
        <v>94</v>
      </c>
      <c r="C3256" t="s">
        <v>561</v>
      </c>
      <c r="D3256" t="s">
        <v>272</v>
      </c>
      <c r="E3256">
        <v>367.63200000000001</v>
      </c>
      <c r="F3256" t="s">
        <v>21</v>
      </c>
      <c r="G3256" t="s">
        <v>26</v>
      </c>
      <c r="H3256" t="s">
        <v>21</v>
      </c>
      <c r="I3256" t="s">
        <v>20</v>
      </c>
      <c r="J3256" t="s">
        <v>20</v>
      </c>
      <c r="K3256" t="s">
        <v>31</v>
      </c>
      <c r="L3256" t="s">
        <v>69</v>
      </c>
      <c r="M3256" t="s">
        <v>49</v>
      </c>
      <c r="N3256">
        <v>40.600313</v>
      </c>
      <c r="O3256">
        <v>-111.89081899999999</v>
      </c>
      <c r="P3256">
        <v>4353.5495030000002</v>
      </c>
      <c r="Q3256">
        <v>1384</v>
      </c>
      <c r="R3256">
        <v>0</v>
      </c>
    </row>
    <row r="3257" spans="1:18" x14ac:dyDescent="0.25">
      <c r="A3257">
        <v>3256</v>
      </c>
      <c r="B3257">
        <v>94</v>
      </c>
      <c r="C3257" t="e">
        <f>-IovNWyrGo9ZXqsIhlv3FV</f>
        <v>#NAME?</v>
      </c>
      <c r="D3257" t="s">
        <v>272</v>
      </c>
      <c r="E3257">
        <v>367.71600000000001</v>
      </c>
      <c r="F3257" t="s">
        <v>21</v>
      </c>
      <c r="G3257" t="s">
        <v>26</v>
      </c>
      <c r="H3257" t="s">
        <v>21</v>
      </c>
      <c r="I3257" t="s">
        <v>20</v>
      </c>
      <c r="J3257" t="s">
        <v>20</v>
      </c>
      <c r="K3257" t="s">
        <v>31</v>
      </c>
      <c r="L3257" t="s">
        <v>69</v>
      </c>
      <c r="M3257" t="s">
        <v>49</v>
      </c>
      <c r="N3257">
        <v>40.601536000000003</v>
      </c>
      <c r="O3257">
        <v>-111.890809</v>
      </c>
      <c r="P3257">
        <v>4353.5215459999999</v>
      </c>
      <c r="Q3257">
        <v>1384</v>
      </c>
      <c r="R3257">
        <v>0</v>
      </c>
    </row>
    <row r="3258" spans="1:18" x14ac:dyDescent="0.25">
      <c r="A3258">
        <v>3257</v>
      </c>
      <c r="B3258">
        <v>94</v>
      </c>
      <c r="C3258" t="e">
        <f>-IpjRQzOGkX5JQ5BtRDySV</f>
        <v>#NAME?</v>
      </c>
      <c r="D3258" t="s">
        <v>272</v>
      </c>
      <c r="E3258">
        <v>367.90800000000002</v>
      </c>
      <c r="F3258" t="s">
        <v>21</v>
      </c>
      <c r="G3258" t="s">
        <v>26</v>
      </c>
      <c r="H3258" t="s">
        <v>21</v>
      </c>
      <c r="I3258" t="s">
        <v>20</v>
      </c>
      <c r="J3258" t="s">
        <v>20</v>
      </c>
      <c r="K3258" t="s">
        <v>31</v>
      </c>
      <c r="L3258" t="s">
        <v>69</v>
      </c>
      <c r="M3258" t="s">
        <v>49</v>
      </c>
      <c r="N3258">
        <v>40.604336000000004</v>
      </c>
      <c r="O3258">
        <v>-111.890788</v>
      </c>
      <c r="P3258">
        <v>4343.2475670000003</v>
      </c>
      <c r="Q3258">
        <v>1384</v>
      </c>
      <c r="R3258">
        <v>0</v>
      </c>
    </row>
    <row r="3259" spans="1:18" x14ac:dyDescent="0.25">
      <c r="A3259">
        <v>3258</v>
      </c>
      <c r="B3259">
        <v>94</v>
      </c>
      <c r="C3259" t="s">
        <v>562</v>
      </c>
      <c r="D3259" t="s">
        <v>272</v>
      </c>
      <c r="E3259">
        <v>368.01400000000001</v>
      </c>
      <c r="F3259" t="s">
        <v>19</v>
      </c>
      <c r="G3259" t="s">
        <v>20</v>
      </c>
      <c r="H3259" t="s">
        <v>21</v>
      </c>
      <c r="I3259" t="s">
        <v>20</v>
      </c>
      <c r="J3259" t="s">
        <v>20</v>
      </c>
      <c r="K3259" t="s">
        <v>31</v>
      </c>
      <c r="L3259" t="s">
        <v>69</v>
      </c>
      <c r="M3259" t="s">
        <v>49</v>
      </c>
      <c r="N3259">
        <v>40.605882000000001</v>
      </c>
      <c r="O3259">
        <v>-111.890765</v>
      </c>
      <c r="P3259">
        <v>4341.5800300000001</v>
      </c>
      <c r="Q3259">
        <v>1384</v>
      </c>
      <c r="R3259">
        <v>0</v>
      </c>
    </row>
    <row r="3260" spans="1:18" x14ac:dyDescent="0.25">
      <c r="A3260">
        <v>3259</v>
      </c>
      <c r="B3260">
        <v>94</v>
      </c>
      <c r="C3260" t="s">
        <v>563</v>
      </c>
      <c r="D3260" t="s">
        <v>272</v>
      </c>
      <c r="E3260">
        <v>368.26499999999999</v>
      </c>
      <c r="F3260" t="s">
        <v>19</v>
      </c>
      <c r="G3260" t="s">
        <v>20</v>
      </c>
      <c r="H3260" t="s">
        <v>21</v>
      </c>
      <c r="I3260" t="s">
        <v>20</v>
      </c>
      <c r="J3260" t="s">
        <v>20</v>
      </c>
      <c r="K3260" t="s">
        <v>31</v>
      </c>
      <c r="L3260" t="s">
        <v>69</v>
      </c>
      <c r="M3260" t="s">
        <v>49</v>
      </c>
      <c r="N3260">
        <v>40.609552999999998</v>
      </c>
      <c r="O3260">
        <v>-111.890705</v>
      </c>
      <c r="P3260">
        <v>4337.4351809999998</v>
      </c>
      <c r="Q3260">
        <v>1384</v>
      </c>
      <c r="R3260">
        <v>0</v>
      </c>
    </row>
    <row r="3261" spans="1:18" x14ac:dyDescent="0.25">
      <c r="A3261">
        <v>3260</v>
      </c>
      <c r="B3261">
        <v>94</v>
      </c>
      <c r="C3261">
        <v>28161356</v>
      </c>
      <c r="D3261" t="s">
        <v>220</v>
      </c>
      <c r="E3261">
        <v>29.026</v>
      </c>
      <c r="F3261" t="s">
        <v>21</v>
      </c>
      <c r="G3261" t="s">
        <v>26</v>
      </c>
      <c r="H3261" t="s">
        <v>21</v>
      </c>
      <c r="I3261" t="s">
        <v>20</v>
      </c>
      <c r="J3261" t="s">
        <v>20</v>
      </c>
      <c r="K3261" t="s">
        <v>27</v>
      </c>
      <c r="L3261" t="s">
        <v>28</v>
      </c>
      <c r="M3261" t="s">
        <v>29</v>
      </c>
      <c r="N3261">
        <v>37.562553000000001</v>
      </c>
      <c r="O3261">
        <v>-111.99632699999999</v>
      </c>
      <c r="P3261">
        <v>5915.1022849999999</v>
      </c>
      <c r="Q3261">
        <v>1328</v>
      </c>
      <c r="R3261">
        <v>0</v>
      </c>
    </row>
    <row r="3262" spans="1:18" x14ac:dyDescent="0.25">
      <c r="A3262">
        <v>3261</v>
      </c>
      <c r="B3262">
        <v>94</v>
      </c>
      <c r="C3262">
        <v>31516695</v>
      </c>
      <c r="D3262" t="s">
        <v>292</v>
      </c>
      <c r="E3262">
        <v>29.030999999999999</v>
      </c>
      <c r="F3262" t="s">
        <v>21</v>
      </c>
      <c r="G3262" t="s">
        <v>26</v>
      </c>
      <c r="H3262" t="s">
        <v>21</v>
      </c>
      <c r="I3262" t="s">
        <v>20</v>
      </c>
      <c r="J3262" t="s">
        <v>20</v>
      </c>
      <c r="K3262" t="s">
        <v>22</v>
      </c>
      <c r="L3262" t="s">
        <v>253</v>
      </c>
      <c r="M3262" t="s">
        <v>134</v>
      </c>
      <c r="N3262">
        <v>40.272458999999998</v>
      </c>
      <c r="O3262">
        <v>-110.21865</v>
      </c>
      <c r="P3262">
        <v>5681.641995</v>
      </c>
      <c r="Q3262">
        <v>323</v>
      </c>
      <c r="R3262">
        <v>0</v>
      </c>
    </row>
    <row r="3263" spans="1:18" x14ac:dyDescent="0.25">
      <c r="A3263">
        <v>3262</v>
      </c>
      <c r="B3263">
        <v>94</v>
      </c>
      <c r="C3263">
        <v>28161367</v>
      </c>
      <c r="D3263" t="s">
        <v>220</v>
      </c>
      <c r="E3263">
        <v>29.123000000000001</v>
      </c>
      <c r="F3263" t="s">
        <v>21</v>
      </c>
      <c r="G3263" t="s">
        <v>26</v>
      </c>
      <c r="H3263" t="s">
        <v>21</v>
      </c>
      <c r="I3263" t="s">
        <v>20</v>
      </c>
      <c r="J3263" t="s">
        <v>20</v>
      </c>
      <c r="K3263" t="s">
        <v>27</v>
      </c>
      <c r="L3263" t="s">
        <v>28</v>
      </c>
      <c r="M3263" t="s">
        <v>29</v>
      </c>
      <c r="N3263">
        <v>37.562528999999998</v>
      </c>
      <c r="O3263">
        <v>-111.99453800000001</v>
      </c>
      <c r="P3263">
        <v>5922.3158640000001</v>
      </c>
      <c r="Q3263">
        <v>1328</v>
      </c>
      <c r="R3263">
        <v>0</v>
      </c>
    </row>
    <row r="3264" spans="1:18" x14ac:dyDescent="0.25">
      <c r="A3264">
        <v>3263</v>
      </c>
      <c r="B3264">
        <v>94</v>
      </c>
      <c r="C3264">
        <v>31380002</v>
      </c>
      <c r="D3264" t="s">
        <v>116</v>
      </c>
      <c r="E3264">
        <v>29.134</v>
      </c>
      <c r="F3264" t="s">
        <v>21</v>
      </c>
      <c r="G3264" t="s">
        <v>26</v>
      </c>
      <c r="H3264" t="s">
        <v>21</v>
      </c>
      <c r="I3264" t="s">
        <v>20</v>
      </c>
      <c r="J3264" t="s">
        <v>20</v>
      </c>
      <c r="K3264" t="s">
        <v>41</v>
      </c>
      <c r="L3264" t="s">
        <v>95</v>
      </c>
      <c r="M3264" t="s">
        <v>117</v>
      </c>
      <c r="N3264">
        <v>41.767825999999999</v>
      </c>
      <c r="O3264">
        <v>-111.834182</v>
      </c>
      <c r="P3264">
        <v>4449.7188809999998</v>
      </c>
      <c r="Q3264">
        <v>324</v>
      </c>
      <c r="R3264">
        <v>0</v>
      </c>
    </row>
    <row r="3265" spans="1:18" x14ac:dyDescent="0.25">
      <c r="A3265">
        <v>3264</v>
      </c>
      <c r="B3265">
        <v>94</v>
      </c>
      <c r="C3265">
        <v>31283103</v>
      </c>
      <c r="D3265" t="s">
        <v>241</v>
      </c>
      <c r="E3265">
        <v>29.141999999999999</v>
      </c>
      <c r="F3265" t="s">
        <v>21</v>
      </c>
      <c r="G3265" t="s">
        <v>26</v>
      </c>
      <c r="H3265" t="s">
        <v>21</v>
      </c>
      <c r="I3265" t="s">
        <v>20</v>
      </c>
      <c r="J3265" t="s">
        <v>20</v>
      </c>
      <c r="K3265" t="s">
        <v>27</v>
      </c>
      <c r="L3265" t="s">
        <v>111</v>
      </c>
      <c r="M3265" t="s">
        <v>243</v>
      </c>
      <c r="N3265">
        <v>39.119667</v>
      </c>
      <c r="O3265">
        <v>-111.11707800000001</v>
      </c>
      <c r="P3265">
        <v>5964.6260670000001</v>
      </c>
      <c r="Q3265">
        <v>1327</v>
      </c>
      <c r="R3265">
        <v>0</v>
      </c>
    </row>
    <row r="3266" spans="1:18" x14ac:dyDescent="0.25">
      <c r="A3266">
        <v>3265</v>
      </c>
      <c r="B3266">
        <v>94</v>
      </c>
      <c r="C3266">
        <v>31318754</v>
      </c>
      <c r="D3266" t="s">
        <v>347</v>
      </c>
      <c r="E3266">
        <v>29.143999999999998</v>
      </c>
      <c r="F3266" t="s">
        <v>21</v>
      </c>
      <c r="G3266" t="s">
        <v>20</v>
      </c>
      <c r="H3266" t="s">
        <v>21</v>
      </c>
      <c r="I3266" t="s">
        <v>20</v>
      </c>
      <c r="J3266" t="s">
        <v>20</v>
      </c>
      <c r="K3266" t="s">
        <v>41</v>
      </c>
      <c r="L3266" t="s">
        <v>325</v>
      </c>
      <c r="M3266" t="s">
        <v>204</v>
      </c>
      <c r="N3266">
        <v>41.769668000000003</v>
      </c>
      <c r="O3266">
        <v>-111.122889</v>
      </c>
      <c r="P3266">
        <v>6208.826642</v>
      </c>
      <c r="Q3266">
        <v>1334</v>
      </c>
      <c r="R3266">
        <v>0</v>
      </c>
    </row>
    <row r="3267" spans="1:18" x14ac:dyDescent="0.25">
      <c r="A3267">
        <v>3266</v>
      </c>
      <c r="B3267">
        <v>94</v>
      </c>
      <c r="C3267">
        <v>31311550</v>
      </c>
      <c r="D3267" t="s">
        <v>268</v>
      </c>
      <c r="E3267">
        <v>29.145</v>
      </c>
      <c r="F3267" t="s">
        <v>21</v>
      </c>
      <c r="G3267" t="s">
        <v>26</v>
      </c>
      <c r="H3267" t="s">
        <v>21</v>
      </c>
      <c r="I3267" t="s">
        <v>20</v>
      </c>
      <c r="J3267" t="s">
        <v>20</v>
      </c>
      <c r="K3267" t="s">
        <v>41</v>
      </c>
      <c r="L3267" t="s">
        <v>181</v>
      </c>
      <c r="M3267" t="s">
        <v>43</v>
      </c>
      <c r="N3267">
        <v>41.795487000000001</v>
      </c>
      <c r="O3267">
        <v>-112.41663800000001</v>
      </c>
      <c r="P3267">
        <v>4647.3097470000002</v>
      </c>
      <c r="Q3267">
        <v>1380</v>
      </c>
      <c r="R3267">
        <v>0</v>
      </c>
    </row>
    <row r="3268" spans="1:18" x14ac:dyDescent="0.25">
      <c r="A3268">
        <v>3267</v>
      </c>
      <c r="B3268">
        <v>94</v>
      </c>
      <c r="C3268">
        <v>31330569</v>
      </c>
      <c r="D3268" t="s">
        <v>303</v>
      </c>
      <c r="E3268">
        <v>29.170999999999999</v>
      </c>
      <c r="F3268" t="s">
        <v>21</v>
      </c>
      <c r="G3268" t="s">
        <v>20</v>
      </c>
      <c r="H3268" t="s">
        <v>21</v>
      </c>
      <c r="I3268" t="s">
        <v>20</v>
      </c>
      <c r="J3268" t="s">
        <v>20</v>
      </c>
      <c r="K3268" t="s">
        <v>27</v>
      </c>
      <c r="L3268" t="s">
        <v>72</v>
      </c>
      <c r="M3268" t="s">
        <v>73</v>
      </c>
      <c r="N3268">
        <v>37.160862000000002</v>
      </c>
      <c r="O3268">
        <v>-113.021024</v>
      </c>
      <c r="P3268">
        <v>3701.606362</v>
      </c>
      <c r="Q3268">
        <v>1326</v>
      </c>
      <c r="R3268">
        <v>0</v>
      </c>
    </row>
    <row r="3269" spans="1:18" x14ac:dyDescent="0.25">
      <c r="A3269">
        <v>3268</v>
      </c>
      <c r="B3269">
        <v>94</v>
      </c>
      <c r="C3269" t="e">
        <f>-Ip57w9iGSmhsXRH-IXLkF</f>
        <v>#NAME?</v>
      </c>
      <c r="D3269" t="s">
        <v>124</v>
      </c>
      <c r="E3269">
        <v>29.193000000000001</v>
      </c>
      <c r="F3269" t="s">
        <v>21</v>
      </c>
      <c r="G3269" t="s">
        <v>20</v>
      </c>
      <c r="H3269" t="s">
        <v>21</v>
      </c>
      <c r="I3269" t="s">
        <v>20</v>
      </c>
      <c r="J3269" t="s">
        <v>20</v>
      </c>
      <c r="K3269" t="s">
        <v>22</v>
      </c>
      <c r="L3269" t="s">
        <v>84</v>
      </c>
      <c r="M3269" t="s">
        <v>194</v>
      </c>
      <c r="N3269">
        <v>40.336170000000003</v>
      </c>
      <c r="O3269">
        <v>-111.91568100000001</v>
      </c>
      <c r="P3269">
        <v>4504.3344960000004</v>
      </c>
      <c r="Q3269">
        <v>1368</v>
      </c>
      <c r="R3269">
        <v>0</v>
      </c>
    </row>
    <row r="3270" spans="1:18" x14ac:dyDescent="0.25">
      <c r="A3270">
        <v>3269</v>
      </c>
      <c r="B3270">
        <v>94</v>
      </c>
      <c r="C3270">
        <v>31499538</v>
      </c>
      <c r="D3270" t="s">
        <v>129</v>
      </c>
      <c r="E3270">
        <v>29.202000000000002</v>
      </c>
      <c r="F3270" t="s">
        <v>21</v>
      </c>
      <c r="G3270" t="s">
        <v>20</v>
      </c>
      <c r="H3270" t="s">
        <v>21</v>
      </c>
      <c r="I3270" t="s">
        <v>20</v>
      </c>
      <c r="J3270" t="s">
        <v>20</v>
      </c>
      <c r="K3270" t="s">
        <v>31</v>
      </c>
      <c r="L3270" t="s">
        <v>130</v>
      </c>
      <c r="M3270" t="s">
        <v>328</v>
      </c>
      <c r="N3270">
        <v>40.687342000000001</v>
      </c>
      <c r="O3270">
        <v>-110.90441800000001</v>
      </c>
      <c r="P3270">
        <v>10673.741099999999</v>
      </c>
      <c r="Q3270">
        <v>340</v>
      </c>
      <c r="R3270">
        <v>0</v>
      </c>
    </row>
    <row r="3271" spans="1:18" x14ac:dyDescent="0.25">
      <c r="A3271">
        <v>3270</v>
      </c>
      <c r="B3271">
        <v>94</v>
      </c>
      <c r="C3271">
        <v>31380013</v>
      </c>
      <c r="D3271" t="s">
        <v>116</v>
      </c>
      <c r="E3271">
        <v>29.206</v>
      </c>
      <c r="F3271" t="s">
        <v>21</v>
      </c>
      <c r="G3271" t="s">
        <v>26</v>
      </c>
      <c r="H3271" t="s">
        <v>21</v>
      </c>
      <c r="I3271" t="s">
        <v>20</v>
      </c>
      <c r="J3271" t="s">
        <v>20</v>
      </c>
      <c r="K3271" t="s">
        <v>41</v>
      </c>
      <c r="L3271" t="s">
        <v>95</v>
      </c>
      <c r="M3271" t="s">
        <v>117</v>
      </c>
      <c r="N3271">
        <v>41.768869000000002</v>
      </c>
      <c r="O3271">
        <v>-111.834158</v>
      </c>
      <c r="P3271">
        <v>4445.7249179999999</v>
      </c>
      <c r="Q3271">
        <v>324</v>
      </c>
      <c r="R3271">
        <v>0</v>
      </c>
    </row>
    <row r="3272" spans="1:18" x14ac:dyDescent="0.25">
      <c r="A3272">
        <v>3271</v>
      </c>
      <c r="B3272">
        <v>94</v>
      </c>
      <c r="C3272">
        <v>28161863</v>
      </c>
      <c r="D3272" t="s">
        <v>220</v>
      </c>
      <c r="E3272">
        <v>29.218</v>
      </c>
      <c r="F3272" t="s">
        <v>21</v>
      </c>
      <c r="G3272" t="s">
        <v>26</v>
      </c>
      <c r="H3272" t="s">
        <v>21</v>
      </c>
      <c r="I3272" t="s">
        <v>20</v>
      </c>
      <c r="J3272" t="s">
        <v>20</v>
      </c>
      <c r="K3272" t="s">
        <v>27</v>
      </c>
      <c r="L3272" t="s">
        <v>28</v>
      </c>
      <c r="M3272" t="s">
        <v>29</v>
      </c>
      <c r="N3272">
        <v>37.562587000000001</v>
      </c>
      <c r="O3272">
        <v>-111.992814</v>
      </c>
      <c r="P3272">
        <v>5951.9846900000002</v>
      </c>
      <c r="Q3272">
        <v>1328</v>
      </c>
      <c r="R3272">
        <v>0</v>
      </c>
    </row>
    <row r="3273" spans="1:18" x14ac:dyDescent="0.25">
      <c r="A3273">
        <v>3272</v>
      </c>
      <c r="B3273">
        <v>94</v>
      </c>
      <c r="C3273">
        <v>31441175</v>
      </c>
      <c r="D3273" t="s">
        <v>319</v>
      </c>
      <c r="E3273">
        <v>29.23</v>
      </c>
      <c r="F3273" t="s">
        <v>21</v>
      </c>
      <c r="G3273" t="s">
        <v>20</v>
      </c>
      <c r="H3273" t="s">
        <v>21</v>
      </c>
      <c r="I3273" t="s">
        <v>20</v>
      </c>
      <c r="J3273" t="s">
        <v>20</v>
      </c>
      <c r="K3273" t="s">
        <v>27</v>
      </c>
      <c r="L3273" t="s">
        <v>162</v>
      </c>
      <c r="M3273" t="s">
        <v>55</v>
      </c>
      <c r="N3273">
        <v>37.684829000000001</v>
      </c>
      <c r="O3273">
        <v>-113.587711</v>
      </c>
      <c r="P3273">
        <v>5132.0502239999996</v>
      </c>
      <c r="Q3273">
        <v>314</v>
      </c>
      <c r="R3273">
        <v>0</v>
      </c>
    </row>
    <row r="3274" spans="1:18" x14ac:dyDescent="0.25">
      <c r="A3274">
        <v>3273</v>
      </c>
      <c r="B3274">
        <v>94</v>
      </c>
      <c r="C3274">
        <v>31393347</v>
      </c>
      <c r="D3274" t="s">
        <v>124</v>
      </c>
      <c r="E3274">
        <v>29.253</v>
      </c>
      <c r="F3274" t="s">
        <v>19</v>
      </c>
      <c r="G3274" t="s">
        <v>20</v>
      </c>
      <c r="H3274" t="s">
        <v>21</v>
      </c>
      <c r="I3274" t="s">
        <v>20</v>
      </c>
      <c r="J3274" t="s">
        <v>20</v>
      </c>
      <c r="K3274" t="s">
        <v>22</v>
      </c>
      <c r="L3274" t="s">
        <v>84</v>
      </c>
      <c r="M3274" t="s">
        <v>194</v>
      </c>
      <c r="N3274">
        <v>40.337049999999998</v>
      </c>
      <c r="O3274">
        <v>-111.915824</v>
      </c>
      <c r="P3274">
        <v>4504.4326629999996</v>
      </c>
      <c r="Q3274">
        <v>1368</v>
      </c>
      <c r="R3274">
        <v>0</v>
      </c>
    </row>
    <row r="3275" spans="1:18" x14ac:dyDescent="0.25">
      <c r="A3275">
        <v>3274</v>
      </c>
      <c r="B3275">
        <v>94</v>
      </c>
      <c r="C3275">
        <v>31644399</v>
      </c>
      <c r="D3275" t="s">
        <v>233</v>
      </c>
      <c r="E3275">
        <v>29.265000000000001</v>
      </c>
      <c r="F3275" t="s">
        <v>21</v>
      </c>
      <c r="G3275" t="s">
        <v>20</v>
      </c>
      <c r="H3275" t="s">
        <v>21</v>
      </c>
      <c r="I3275" t="s">
        <v>20</v>
      </c>
      <c r="J3275" t="s">
        <v>20</v>
      </c>
      <c r="K3275" t="s">
        <v>22</v>
      </c>
      <c r="L3275" t="s">
        <v>234</v>
      </c>
      <c r="M3275" t="s">
        <v>235</v>
      </c>
      <c r="N3275">
        <v>40.268774000000001</v>
      </c>
      <c r="O3275">
        <v>-109.458084</v>
      </c>
      <c r="P3275">
        <v>5121.8850540000003</v>
      </c>
      <c r="Q3275">
        <v>1354</v>
      </c>
      <c r="R3275">
        <v>0</v>
      </c>
    </row>
    <row r="3276" spans="1:18" x14ac:dyDescent="0.25">
      <c r="A3276">
        <v>3275</v>
      </c>
      <c r="B3276">
        <v>94</v>
      </c>
      <c r="C3276" t="s">
        <v>564</v>
      </c>
      <c r="D3276" t="s">
        <v>272</v>
      </c>
      <c r="E3276">
        <v>263.27499999999998</v>
      </c>
      <c r="F3276" t="s">
        <v>21</v>
      </c>
      <c r="G3276" t="s">
        <v>26</v>
      </c>
      <c r="H3276" t="s">
        <v>21</v>
      </c>
      <c r="I3276" t="s">
        <v>20</v>
      </c>
      <c r="J3276" t="s">
        <v>20</v>
      </c>
      <c r="K3276" t="s">
        <v>27</v>
      </c>
      <c r="L3276" t="s">
        <v>350</v>
      </c>
      <c r="M3276" t="s">
        <v>174</v>
      </c>
      <c r="N3276">
        <v>39.368609999999997</v>
      </c>
      <c r="O3276">
        <v>-111.587064</v>
      </c>
      <c r="P3276">
        <v>5457.5777760000001</v>
      </c>
      <c r="Q3276">
        <v>1384</v>
      </c>
      <c r="R3276">
        <v>0</v>
      </c>
    </row>
    <row r="3277" spans="1:18" x14ac:dyDescent="0.25">
      <c r="A3277">
        <v>3276</v>
      </c>
      <c r="B3277">
        <v>94</v>
      </c>
      <c r="C3277">
        <v>31497533</v>
      </c>
      <c r="D3277" t="s">
        <v>129</v>
      </c>
      <c r="E3277">
        <v>21.51</v>
      </c>
      <c r="F3277" t="s">
        <v>21</v>
      </c>
      <c r="G3277" t="s">
        <v>26</v>
      </c>
      <c r="H3277" t="s">
        <v>21</v>
      </c>
      <c r="I3277" t="s">
        <v>20</v>
      </c>
      <c r="J3277" t="s">
        <v>20</v>
      </c>
      <c r="K3277" t="s">
        <v>31</v>
      </c>
      <c r="L3277" t="s">
        <v>130</v>
      </c>
      <c r="M3277" t="s">
        <v>328</v>
      </c>
      <c r="N3277">
        <v>40.626432000000001</v>
      </c>
      <c r="O3277">
        <v>-110.96028699999999</v>
      </c>
      <c r="P3277">
        <v>8759.4076459999997</v>
      </c>
      <c r="Q3277">
        <v>340</v>
      </c>
      <c r="R3277">
        <v>0</v>
      </c>
    </row>
    <row r="3278" spans="1:18" x14ac:dyDescent="0.25">
      <c r="A3278">
        <v>3277</v>
      </c>
      <c r="B3278">
        <v>94</v>
      </c>
      <c r="C3278">
        <v>31494336</v>
      </c>
      <c r="D3278" t="s">
        <v>353</v>
      </c>
      <c r="E3278">
        <v>21.518000000000001</v>
      </c>
      <c r="F3278" t="s">
        <v>21</v>
      </c>
      <c r="G3278" t="s">
        <v>20</v>
      </c>
      <c r="H3278" t="s">
        <v>21</v>
      </c>
      <c r="I3278" t="s">
        <v>20</v>
      </c>
      <c r="J3278" t="s">
        <v>20</v>
      </c>
      <c r="K3278" t="s">
        <v>41</v>
      </c>
      <c r="L3278" t="s">
        <v>137</v>
      </c>
      <c r="M3278" t="s">
        <v>138</v>
      </c>
      <c r="N3278">
        <v>40.950428000000002</v>
      </c>
      <c r="O3278">
        <v>-111.54991</v>
      </c>
      <c r="P3278">
        <v>6200.5881669999999</v>
      </c>
      <c r="Q3278">
        <v>1367</v>
      </c>
      <c r="R3278">
        <v>0</v>
      </c>
    </row>
    <row r="3279" spans="1:18" x14ac:dyDescent="0.25">
      <c r="A3279">
        <v>3278</v>
      </c>
      <c r="B3279">
        <v>94</v>
      </c>
      <c r="C3279">
        <v>31500011</v>
      </c>
      <c r="D3279" t="s">
        <v>317</v>
      </c>
      <c r="E3279">
        <v>21.54</v>
      </c>
      <c r="F3279" t="s">
        <v>21</v>
      </c>
      <c r="G3279" t="s">
        <v>26</v>
      </c>
      <c r="H3279" t="s">
        <v>21</v>
      </c>
      <c r="I3279" t="s">
        <v>20</v>
      </c>
      <c r="J3279" t="s">
        <v>20</v>
      </c>
      <c r="K3279" t="s">
        <v>27</v>
      </c>
      <c r="L3279" t="s">
        <v>211</v>
      </c>
      <c r="M3279" t="s">
        <v>212</v>
      </c>
      <c r="N3279">
        <v>37.149399000000003</v>
      </c>
      <c r="O3279">
        <v>-109.858727</v>
      </c>
      <c r="P3279">
        <v>4110.0610210000004</v>
      </c>
      <c r="Q3279">
        <v>1432</v>
      </c>
      <c r="R3279">
        <v>0</v>
      </c>
    </row>
    <row r="3280" spans="1:18" x14ac:dyDescent="0.25">
      <c r="A3280">
        <v>3279</v>
      </c>
      <c r="B3280">
        <v>94</v>
      </c>
      <c r="C3280" t="s">
        <v>565</v>
      </c>
      <c r="D3280" t="s">
        <v>272</v>
      </c>
      <c r="E3280">
        <v>369.18599999999998</v>
      </c>
      <c r="F3280" t="s">
        <v>21</v>
      </c>
      <c r="G3280" t="s">
        <v>26</v>
      </c>
      <c r="H3280" t="s">
        <v>21</v>
      </c>
      <c r="I3280" t="s">
        <v>20</v>
      </c>
      <c r="J3280" t="s">
        <v>20</v>
      </c>
      <c r="K3280" t="s">
        <v>31</v>
      </c>
      <c r="L3280" t="s">
        <v>69</v>
      </c>
      <c r="M3280" t="s">
        <v>49</v>
      </c>
      <c r="N3280">
        <v>40.622990000000001</v>
      </c>
      <c r="O3280">
        <v>-111.890381</v>
      </c>
      <c r="P3280">
        <v>4318.9202530000002</v>
      </c>
      <c r="Q3280">
        <v>1384</v>
      </c>
      <c r="R3280">
        <v>0</v>
      </c>
    </row>
    <row r="3281" spans="1:18" x14ac:dyDescent="0.25">
      <c r="A3281">
        <v>3280</v>
      </c>
      <c r="B3281">
        <v>94</v>
      </c>
      <c r="C3281" t="e">
        <f>-IovvuzWI7q0C8yUunuOGF</f>
        <v>#NAME?</v>
      </c>
      <c r="D3281" t="s">
        <v>272</v>
      </c>
      <c r="E3281">
        <v>369.24299999999999</v>
      </c>
      <c r="F3281" t="s">
        <v>21</v>
      </c>
      <c r="G3281" t="s">
        <v>26</v>
      </c>
      <c r="H3281" t="s">
        <v>21</v>
      </c>
      <c r="I3281" t="s">
        <v>20</v>
      </c>
      <c r="J3281" t="s">
        <v>20</v>
      </c>
      <c r="K3281" t="s">
        <v>31</v>
      </c>
      <c r="L3281" t="s">
        <v>69</v>
      </c>
      <c r="M3281" t="s">
        <v>49</v>
      </c>
      <c r="N3281">
        <v>40.623818</v>
      </c>
      <c r="O3281">
        <v>-111.890289</v>
      </c>
      <c r="P3281">
        <v>4316.6780660000004</v>
      </c>
      <c r="Q3281">
        <v>1384</v>
      </c>
      <c r="R3281">
        <v>0</v>
      </c>
    </row>
    <row r="3282" spans="1:18" x14ac:dyDescent="0.25">
      <c r="A3282">
        <v>3281</v>
      </c>
      <c r="B3282">
        <v>94</v>
      </c>
      <c r="C3282" t="e">
        <f>-Iow-pGXG5y3vu-WLHiaRF</f>
        <v>#NAME?</v>
      </c>
      <c r="D3282" t="s">
        <v>272</v>
      </c>
      <c r="E3282">
        <v>369.28300000000002</v>
      </c>
      <c r="F3282" t="s">
        <v>21</v>
      </c>
      <c r="G3282" t="s">
        <v>26</v>
      </c>
      <c r="H3282" t="s">
        <v>21</v>
      </c>
      <c r="I3282" t="s">
        <v>20</v>
      </c>
      <c r="J3282" t="s">
        <v>20</v>
      </c>
      <c r="K3282" t="s">
        <v>31</v>
      </c>
      <c r="L3282" t="s">
        <v>69</v>
      </c>
      <c r="M3282" t="s">
        <v>49</v>
      </c>
      <c r="N3282">
        <v>40.624391000000003</v>
      </c>
      <c r="O3282">
        <v>-111.89023299999999</v>
      </c>
      <c r="P3282">
        <v>4314.4677270000002</v>
      </c>
      <c r="Q3282">
        <v>1384</v>
      </c>
      <c r="R3282">
        <v>0</v>
      </c>
    </row>
    <row r="3283" spans="1:18" x14ac:dyDescent="0.25">
      <c r="A3283">
        <v>3282</v>
      </c>
      <c r="B3283">
        <v>94</v>
      </c>
      <c r="C3283" t="e">
        <f>-Iow01pTF6PTIlhn_zQt6F</f>
        <v>#NAME?</v>
      </c>
      <c r="D3283" t="s">
        <v>272</v>
      </c>
      <c r="E3283">
        <v>369.31900000000002</v>
      </c>
      <c r="F3283" t="s">
        <v>21</v>
      </c>
      <c r="G3283" t="s">
        <v>26</v>
      </c>
      <c r="H3283" t="s">
        <v>21</v>
      </c>
      <c r="I3283" t="s">
        <v>20</v>
      </c>
      <c r="J3283" t="s">
        <v>20</v>
      </c>
      <c r="K3283" t="s">
        <v>31</v>
      </c>
      <c r="L3283" t="s">
        <v>69</v>
      </c>
      <c r="M3283" t="s">
        <v>49</v>
      </c>
      <c r="N3283">
        <v>40.624923000000003</v>
      </c>
      <c r="O3283">
        <v>-111.89018299999999</v>
      </c>
      <c r="P3283">
        <v>4312.2381459999997</v>
      </c>
      <c r="Q3283">
        <v>1384</v>
      </c>
      <c r="R3283">
        <v>0</v>
      </c>
    </row>
    <row r="3284" spans="1:18" x14ac:dyDescent="0.25">
      <c r="A3284">
        <v>3283</v>
      </c>
      <c r="B3284">
        <v>94</v>
      </c>
      <c r="C3284" t="e">
        <f>-Iow0AmrFR5TWeXLxQjZLF</f>
        <v>#NAME?</v>
      </c>
      <c r="D3284" t="s">
        <v>272</v>
      </c>
      <c r="E3284">
        <v>369.38299999999998</v>
      </c>
      <c r="F3284" t="s">
        <v>21</v>
      </c>
      <c r="G3284" t="s">
        <v>20</v>
      </c>
      <c r="H3284" t="s">
        <v>21</v>
      </c>
      <c r="I3284" t="s">
        <v>20</v>
      </c>
      <c r="J3284" t="s">
        <v>20</v>
      </c>
      <c r="K3284" t="s">
        <v>31</v>
      </c>
      <c r="L3284" t="s">
        <v>69</v>
      </c>
      <c r="M3284" t="s">
        <v>49</v>
      </c>
      <c r="N3284">
        <v>40.625849000000002</v>
      </c>
      <c r="O3284">
        <v>-111.89009799999999</v>
      </c>
      <c r="P3284">
        <v>4308.5081890000001</v>
      </c>
      <c r="Q3284">
        <v>1384</v>
      </c>
      <c r="R3284">
        <v>0</v>
      </c>
    </row>
    <row r="3285" spans="1:18" x14ac:dyDescent="0.25">
      <c r="A3285">
        <v>3284</v>
      </c>
      <c r="B3285">
        <v>94</v>
      </c>
      <c r="C3285" t="e">
        <f>-Iow0sLnIRuD3TiV4QsydV</f>
        <v>#NAME?</v>
      </c>
      <c r="D3285" t="s">
        <v>272</v>
      </c>
      <c r="E3285">
        <v>369.45800000000003</v>
      </c>
      <c r="F3285" t="s">
        <v>21</v>
      </c>
      <c r="G3285" t="s">
        <v>26</v>
      </c>
      <c r="H3285" t="s">
        <v>21</v>
      </c>
      <c r="I3285" t="s">
        <v>20</v>
      </c>
      <c r="J3285" t="s">
        <v>20</v>
      </c>
      <c r="K3285" t="s">
        <v>31</v>
      </c>
      <c r="L3285" t="s">
        <v>69</v>
      </c>
      <c r="M3285" t="s">
        <v>49</v>
      </c>
      <c r="N3285">
        <v>40.626922999999998</v>
      </c>
      <c r="O3285">
        <v>-111.89001</v>
      </c>
      <c r="P3285">
        <v>4304.4739829999999</v>
      </c>
      <c r="Q3285">
        <v>1384</v>
      </c>
      <c r="R3285">
        <v>0</v>
      </c>
    </row>
    <row r="3286" spans="1:18" x14ac:dyDescent="0.25">
      <c r="A3286">
        <v>3285</v>
      </c>
      <c r="B3286">
        <v>94</v>
      </c>
      <c r="C3286" t="e">
        <f>-Iow1idgFPagMH017PqNXF</f>
        <v>#NAME?</v>
      </c>
      <c r="D3286" t="s">
        <v>272</v>
      </c>
      <c r="E3286">
        <v>369.53300000000002</v>
      </c>
      <c r="F3286" t="s">
        <v>19</v>
      </c>
      <c r="G3286" t="s">
        <v>20</v>
      </c>
      <c r="H3286" t="s">
        <v>21</v>
      </c>
      <c r="I3286" t="s">
        <v>20</v>
      </c>
      <c r="J3286" t="s">
        <v>20</v>
      </c>
      <c r="K3286" t="s">
        <v>31</v>
      </c>
      <c r="L3286" t="s">
        <v>69</v>
      </c>
      <c r="M3286" t="s">
        <v>49</v>
      </c>
      <c r="N3286">
        <v>40.628011000000001</v>
      </c>
      <c r="O3286">
        <v>-111.88990200000001</v>
      </c>
      <c r="P3286">
        <v>4302.1716859999997</v>
      </c>
      <c r="Q3286">
        <v>1384</v>
      </c>
      <c r="R3286">
        <v>0</v>
      </c>
    </row>
    <row r="3287" spans="1:18" x14ac:dyDescent="0.25">
      <c r="A3287">
        <v>3286</v>
      </c>
      <c r="B3287">
        <v>94</v>
      </c>
      <c r="C3287" t="e">
        <f>-Iow3Qr8InHECuRq20-CPV</f>
        <v>#NAME?</v>
      </c>
      <c r="D3287" t="s">
        <v>272</v>
      </c>
      <c r="E3287">
        <v>369.637</v>
      </c>
      <c r="F3287" t="s">
        <v>19</v>
      </c>
      <c r="G3287" t="s">
        <v>20</v>
      </c>
      <c r="H3287" t="s">
        <v>21</v>
      </c>
      <c r="I3287" t="s">
        <v>20</v>
      </c>
      <c r="J3287" t="s">
        <v>20</v>
      </c>
      <c r="K3287" t="s">
        <v>31</v>
      </c>
      <c r="L3287" t="s">
        <v>69</v>
      </c>
      <c r="M3287" t="s">
        <v>49</v>
      </c>
      <c r="N3287">
        <v>40.629517</v>
      </c>
      <c r="O3287">
        <v>-111.889742</v>
      </c>
      <c r="P3287">
        <v>4303.4331510000002</v>
      </c>
      <c r="Q3287">
        <v>1384</v>
      </c>
      <c r="R3287">
        <v>0</v>
      </c>
    </row>
    <row r="3288" spans="1:18" x14ac:dyDescent="0.25">
      <c r="A3288">
        <v>3287</v>
      </c>
      <c r="B3288">
        <v>94</v>
      </c>
      <c r="C3288" t="e">
        <f>-Iow7QfCHxLFeg-I6YDFik</f>
        <v>#NAME?</v>
      </c>
      <c r="D3288" t="s">
        <v>272</v>
      </c>
      <c r="E3288">
        <v>369.75900000000001</v>
      </c>
      <c r="F3288" t="s">
        <v>19</v>
      </c>
      <c r="G3288" t="s">
        <v>20</v>
      </c>
      <c r="H3288" t="s">
        <v>21</v>
      </c>
      <c r="I3288" t="s">
        <v>20</v>
      </c>
      <c r="J3288" t="s">
        <v>20</v>
      </c>
      <c r="K3288" t="s">
        <v>31</v>
      </c>
      <c r="L3288" t="s">
        <v>69</v>
      </c>
      <c r="M3288" t="s">
        <v>49</v>
      </c>
      <c r="N3288">
        <v>40.631267000000001</v>
      </c>
      <c r="O3288">
        <v>-111.88960899999999</v>
      </c>
      <c r="P3288">
        <v>4303.3004440000004</v>
      </c>
      <c r="Q3288">
        <v>1384</v>
      </c>
      <c r="R3288">
        <v>0</v>
      </c>
    </row>
    <row r="3289" spans="1:18" x14ac:dyDescent="0.25">
      <c r="A3289">
        <v>3288</v>
      </c>
      <c r="B3289">
        <v>94</v>
      </c>
      <c r="C3289" t="e">
        <f>-IowGu1IIiPwJTFUhYY9TV</f>
        <v>#NAME?</v>
      </c>
      <c r="D3289" t="s">
        <v>272</v>
      </c>
      <c r="E3289">
        <v>369.9</v>
      </c>
      <c r="F3289" t="s">
        <v>19</v>
      </c>
      <c r="G3289" t="s">
        <v>20</v>
      </c>
      <c r="H3289" t="s">
        <v>21</v>
      </c>
      <c r="I3289" t="s">
        <v>20</v>
      </c>
      <c r="J3289" t="s">
        <v>20</v>
      </c>
      <c r="K3289" t="s">
        <v>31</v>
      </c>
      <c r="L3289" t="s">
        <v>69</v>
      </c>
      <c r="M3289" t="s">
        <v>49</v>
      </c>
      <c r="N3289">
        <v>40.633319</v>
      </c>
      <c r="O3289">
        <v>-111.88942400000001</v>
      </c>
      <c r="P3289">
        <v>4299.3069740000001</v>
      </c>
      <c r="Q3289">
        <v>1384</v>
      </c>
      <c r="R3289">
        <v>0</v>
      </c>
    </row>
    <row r="3290" spans="1:18" x14ac:dyDescent="0.25">
      <c r="A3290">
        <v>3289</v>
      </c>
      <c r="B3290">
        <v>94</v>
      </c>
      <c r="C3290" t="e">
        <f>-IowN5FWFXHqAVYeH4nHgF</f>
        <v>#NAME?</v>
      </c>
      <c r="D3290" t="s">
        <v>272</v>
      </c>
      <c r="E3290">
        <v>369.99</v>
      </c>
      <c r="F3290" t="s">
        <v>21</v>
      </c>
      <c r="G3290" t="s">
        <v>26</v>
      </c>
      <c r="H3290" t="s">
        <v>21</v>
      </c>
      <c r="I3290" t="s">
        <v>20</v>
      </c>
      <c r="J3290" t="s">
        <v>20</v>
      </c>
      <c r="K3290" t="s">
        <v>31</v>
      </c>
      <c r="L3290" t="s">
        <v>69</v>
      </c>
      <c r="M3290" t="s">
        <v>49</v>
      </c>
      <c r="N3290">
        <v>40.634618000000003</v>
      </c>
      <c r="O3290">
        <v>-111.889216</v>
      </c>
      <c r="P3290">
        <v>4297.0203320000001</v>
      </c>
      <c r="Q3290">
        <v>1384</v>
      </c>
      <c r="R3290">
        <v>0</v>
      </c>
    </row>
    <row r="3291" spans="1:18" x14ac:dyDescent="0.25">
      <c r="A3291">
        <v>3290</v>
      </c>
      <c r="B3291">
        <v>94</v>
      </c>
      <c r="C3291">
        <v>28192203</v>
      </c>
      <c r="D3291" t="s">
        <v>233</v>
      </c>
      <c r="E3291">
        <v>37.006</v>
      </c>
      <c r="F3291" t="s">
        <v>21</v>
      </c>
      <c r="G3291" t="s">
        <v>26</v>
      </c>
      <c r="H3291" t="s">
        <v>21</v>
      </c>
      <c r="I3291" t="s">
        <v>20</v>
      </c>
      <c r="J3291" t="s">
        <v>20</v>
      </c>
      <c r="K3291" t="s">
        <v>22</v>
      </c>
      <c r="L3291" t="s">
        <v>234</v>
      </c>
      <c r="M3291" t="s">
        <v>235</v>
      </c>
      <c r="N3291">
        <v>40.370843000000001</v>
      </c>
      <c r="O3291">
        <v>-109.498341</v>
      </c>
      <c r="P3291">
        <v>5289.1036469999999</v>
      </c>
      <c r="Q3291">
        <v>1354</v>
      </c>
      <c r="R3291">
        <v>0</v>
      </c>
    </row>
    <row r="3292" spans="1:18" x14ac:dyDescent="0.25">
      <c r="A3292">
        <v>3291</v>
      </c>
      <c r="B3292">
        <v>94</v>
      </c>
      <c r="C3292" t="e">
        <f>-JYr0ztoGSiT1pmnkQzPMV</f>
        <v>#NAME?</v>
      </c>
      <c r="D3292" t="s">
        <v>199</v>
      </c>
      <c r="E3292">
        <v>37.024999999999999</v>
      </c>
      <c r="F3292" t="s">
        <v>21</v>
      </c>
      <c r="G3292" t="s">
        <v>20</v>
      </c>
      <c r="H3292" t="s">
        <v>21</v>
      </c>
      <c r="I3292" t="s">
        <v>20</v>
      </c>
      <c r="J3292" t="s">
        <v>20</v>
      </c>
      <c r="K3292" t="s">
        <v>27</v>
      </c>
      <c r="L3292" t="s">
        <v>64</v>
      </c>
      <c r="M3292" t="s">
        <v>200</v>
      </c>
      <c r="N3292">
        <v>38.257944999999999</v>
      </c>
      <c r="O3292">
        <v>-112.268807</v>
      </c>
      <c r="P3292">
        <v>6565.6547200000005</v>
      </c>
      <c r="Q3292">
        <v>341</v>
      </c>
      <c r="R3292">
        <v>0</v>
      </c>
    </row>
    <row r="3293" spans="1:18" x14ac:dyDescent="0.25">
      <c r="A3293">
        <v>3292</v>
      </c>
      <c r="B3293">
        <v>94</v>
      </c>
      <c r="C3293">
        <v>31411931</v>
      </c>
      <c r="D3293" t="s">
        <v>63</v>
      </c>
      <c r="E3293">
        <v>37.027000000000001</v>
      </c>
      <c r="F3293" t="s">
        <v>21</v>
      </c>
      <c r="G3293" t="s">
        <v>26</v>
      </c>
      <c r="H3293" t="s">
        <v>21</v>
      </c>
      <c r="I3293" t="s">
        <v>20</v>
      </c>
      <c r="J3293" t="s">
        <v>20</v>
      </c>
      <c r="K3293" t="s">
        <v>27</v>
      </c>
      <c r="L3293" t="s">
        <v>266</v>
      </c>
      <c r="M3293" t="s">
        <v>29</v>
      </c>
      <c r="N3293">
        <v>38.498384000000001</v>
      </c>
      <c r="O3293">
        <v>-111.881321</v>
      </c>
      <c r="P3293">
        <v>6789.5519240000003</v>
      </c>
      <c r="Q3293">
        <v>1365</v>
      </c>
      <c r="R3293">
        <v>0</v>
      </c>
    </row>
    <row r="3294" spans="1:18" x14ac:dyDescent="0.25">
      <c r="A3294">
        <v>3293</v>
      </c>
      <c r="B3294">
        <v>94</v>
      </c>
      <c r="C3294">
        <v>31519093</v>
      </c>
      <c r="D3294" t="s">
        <v>231</v>
      </c>
      <c r="E3294">
        <v>3.01</v>
      </c>
      <c r="F3294" t="s">
        <v>21</v>
      </c>
      <c r="G3294" t="s">
        <v>26</v>
      </c>
      <c r="H3294" t="s">
        <v>21</v>
      </c>
      <c r="I3294" t="s">
        <v>20</v>
      </c>
      <c r="J3294" t="s">
        <v>20</v>
      </c>
      <c r="K3294" t="s">
        <v>41</v>
      </c>
      <c r="L3294" t="s">
        <v>57</v>
      </c>
      <c r="M3294" t="s">
        <v>93</v>
      </c>
      <c r="N3294">
        <v>41.085521999999997</v>
      </c>
      <c r="O3294">
        <v>-111.99741</v>
      </c>
      <c r="P3294">
        <v>4395.3283469999997</v>
      </c>
      <c r="Q3294">
        <v>1409</v>
      </c>
      <c r="R3294">
        <v>0</v>
      </c>
    </row>
    <row r="3295" spans="1:18" x14ac:dyDescent="0.25">
      <c r="A3295">
        <v>3294</v>
      </c>
      <c r="B3295">
        <v>94</v>
      </c>
      <c r="C3295">
        <v>31557729</v>
      </c>
      <c r="D3295" t="s">
        <v>102</v>
      </c>
      <c r="E3295">
        <v>3.01</v>
      </c>
      <c r="F3295" t="s">
        <v>21</v>
      </c>
      <c r="G3295" t="s">
        <v>20</v>
      </c>
      <c r="H3295" t="s">
        <v>21</v>
      </c>
      <c r="I3295" t="s">
        <v>20</v>
      </c>
      <c r="J3295" t="s">
        <v>20</v>
      </c>
      <c r="K3295" t="s">
        <v>27</v>
      </c>
      <c r="L3295" t="s">
        <v>103</v>
      </c>
      <c r="M3295" t="s">
        <v>104</v>
      </c>
      <c r="N3295">
        <v>38.288707000000002</v>
      </c>
      <c r="O3295">
        <v>-112.64141600000001</v>
      </c>
      <c r="P3295">
        <v>5883.8978500000003</v>
      </c>
      <c r="Q3295">
        <v>1430</v>
      </c>
      <c r="R3295">
        <v>0</v>
      </c>
    </row>
    <row r="3296" spans="1:18" x14ac:dyDescent="0.25">
      <c r="A3296">
        <v>3295</v>
      </c>
      <c r="B3296">
        <v>94</v>
      </c>
      <c r="C3296">
        <v>733612</v>
      </c>
      <c r="D3296" t="s">
        <v>236</v>
      </c>
      <c r="E3296">
        <v>2.3210000000000002</v>
      </c>
      <c r="F3296" t="s">
        <v>19</v>
      </c>
      <c r="G3296" t="s">
        <v>20</v>
      </c>
      <c r="H3296" t="s">
        <v>21</v>
      </c>
      <c r="I3296" t="s">
        <v>20</v>
      </c>
      <c r="J3296" t="s">
        <v>20</v>
      </c>
      <c r="K3296" t="s">
        <v>31</v>
      </c>
      <c r="L3296" t="s">
        <v>48</v>
      </c>
      <c r="M3296" t="s">
        <v>79</v>
      </c>
      <c r="N3296">
        <v>40.609405000000002</v>
      </c>
      <c r="O3296">
        <v>-112.055575</v>
      </c>
      <c r="P3296">
        <v>4975.8018050000001</v>
      </c>
      <c r="Q3296">
        <v>1398</v>
      </c>
      <c r="R3296">
        <v>0</v>
      </c>
    </row>
    <row r="3297" spans="1:18" x14ac:dyDescent="0.25">
      <c r="A3297">
        <v>3296</v>
      </c>
      <c r="B3297">
        <v>94</v>
      </c>
      <c r="C3297">
        <v>31732187</v>
      </c>
      <c r="D3297" t="s">
        <v>336</v>
      </c>
      <c r="E3297">
        <v>2.3210000000000002</v>
      </c>
      <c r="F3297" t="s">
        <v>21</v>
      </c>
      <c r="G3297" t="s">
        <v>26</v>
      </c>
      <c r="H3297" t="s">
        <v>21</v>
      </c>
      <c r="I3297" t="s">
        <v>20</v>
      </c>
      <c r="J3297" t="s">
        <v>20</v>
      </c>
      <c r="K3297" t="s">
        <v>31</v>
      </c>
      <c r="L3297" t="s">
        <v>32</v>
      </c>
      <c r="M3297" t="s">
        <v>33</v>
      </c>
      <c r="N3297">
        <v>40.618560000000002</v>
      </c>
      <c r="O3297">
        <v>-111.78030699999999</v>
      </c>
      <c r="P3297">
        <v>4968.0732479999997</v>
      </c>
      <c r="Q3297">
        <v>404</v>
      </c>
      <c r="R3297">
        <v>0</v>
      </c>
    </row>
    <row r="3298" spans="1:18" x14ac:dyDescent="0.25">
      <c r="A3298">
        <v>3297</v>
      </c>
      <c r="B3298">
        <v>94</v>
      </c>
      <c r="C3298">
        <v>31660213</v>
      </c>
      <c r="D3298" t="s">
        <v>187</v>
      </c>
      <c r="E3298">
        <v>2.3260000000000001</v>
      </c>
      <c r="F3298" t="s">
        <v>21</v>
      </c>
      <c r="G3298" t="s">
        <v>26</v>
      </c>
      <c r="H3298" t="s">
        <v>21</v>
      </c>
      <c r="I3298" t="s">
        <v>20</v>
      </c>
      <c r="J3298" t="s">
        <v>20</v>
      </c>
      <c r="K3298" t="s">
        <v>31</v>
      </c>
      <c r="L3298" t="s">
        <v>188</v>
      </c>
      <c r="M3298" t="s">
        <v>90</v>
      </c>
      <c r="N3298">
        <v>40.772761000000003</v>
      </c>
      <c r="O3298">
        <v>-111.84208599999999</v>
      </c>
      <c r="P3298">
        <v>4814.8854959999999</v>
      </c>
      <c r="Q3298">
        <v>435</v>
      </c>
      <c r="R3298">
        <v>0</v>
      </c>
    </row>
    <row r="3299" spans="1:18" x14ac:dyDescent="0.25">
      <c r="A3299">
        <v>3298</v>
      </c>
      <c r="B3299">
        <v>94</v>
      </c>
      <c r="C3299">
        <v>755443</v>
      </c>
      <c r="D3299" t="s">
        <v>86</v>
      </c>
      <c r="E3299">
        <v>2.3260000000000001</v>
      </c>
      <c r="F3299" t="s">
        <v>21</v>
      </c>
      <c r="G3299" t="s">
        <v>26</v>
      </c>
      <c r="H3299" t="s">
        <v>21</v>
      </c>
      <c r="I3299" t="s">
        <v>20</v>
      </c>
      <c r="J3299" t="s">
        <v>20</v>
      </c>
      <c r="K3299" t="s">
        <v>41</v>
      </c>
      <c r="L3299" t="s">
        <v>87</v>
      </c>
      <c r="M3299" t="s">
        <v>58</v>
      </c>
      <c r="N3299">
        <v>41.036462</v>
      </c>
      <c r="O3299">
        <v>-111.938596</v>
      </c>
      <c r="P3299">
        <v>4303.2850950000002</v>
      </c>
      <c r="Q3299">
        <v>258</v>
      </c>
      <c r="R3299">
        <v>0</v>
      </c>
    </row>
    <row r="3300" spans="1:18" x14ac:dyDescent="0.25">
      <c r="A3300">
        <v>3299</v>
      </c>
      <c r="B3300">
        <v>94</v>
      </c>
      <c r="C3300">
        <v>508120</v>
      </c>
      <c r="D3300" t="s">
        <v>135</v>
      </c>
      <c r="E3300">
        <v>2.327</v>
      </c>
      <c r="F3300" t="s">
        <v>21</v>
      </c>
      <c r="G3300" t="s">
        <v>26</v>
      </c>
      <c r="H3300" t="s">
        <v>21</v>
      </c>
      <c r="I3300" t="s">
        <v>20</v>
      </c>
      <c r="J3300" t="s">
        <v>20</v>
      </c>
      <c r="K3300" t="s">
        <v>31</v>
      </c>
      <c r="L3300" t="s">
        <v>89</v>
      </c>
      <c r="M3300" t="s">
        <v>144</v>
      </c>
      <c r="N3300">
        <v>40.562275</v>
      </c>
      <c r="O3300">
        <v>-111.932468</v>
      </c>
      <c r="P3300">
        <v>4392.4624160000003</v>
      </c>
      <c r="Q3300">
        <v>1423</v>
      </c>
      <c r="R3300">
        <v>0</v>
      </c>
    </row>
    <row r="3301" spans="1:18" x14ac:dyDescent="0.25">
      <c r="A3301">
        <v>3300</v>
      </c>
      <c r="B3301">
        <v>94</v>
      </c>
      <c r="C3301">
        <v>484765</v>
      </c>
      <c r="D3301" t="s">
        <v>83</v>
      </c>
      <c r="E3301">
        <v>2.33</v>
      </c>
      <c r="F3301" t="s">
        <v>21</v>
      </c>
      <c r="G3301" t="s">
        <v>26</v>
      </c>
      <c r="H3301" t="s">
        <v>21</v>
      </c>
      <c r="I3301" t="s">
        <v>20</v>
      </c>
      <c r="J3301" t="s">
        <v>20</v>
      </c>
      <c r="K3301" t="s">
        <v>22</v>
      </c>
      <c r="L3301" t="s">
        <v>84</v>
      </c>
      <c r="M3301" t="s">
        <v>85</v>
      </c>
      <c r="N3301">
        <v>40.409475999999998</v>
      </c>
      <c r="O3301">
        <v>-111.789005</v>
      </c>
      <c r="P3301">
        <v>4766.4928190000001</v>
      </c>
      <c r="Q3301">
        <v>319</v>
      </c>
      <c r="R3301">
        <v>0</v>
      </c>
    </row>
    <row r="3302" spans="1:18" x14ac:dyDescent="0.25">
      <c r="A3302">
        <v>3301</v>
      </c>
      <c r="B3302">
        <v>94</v>
      </c>
      <c r="C3302">
        <v>521453</v>
      </c>
      <c r="D3302" t="s">
        <v>44</v>
      </c>
      <c r="E3302">
        <v>2.3330000000000002</v>
      </c>
      <c r="F3302" t="s">
        <v>21</v>
      </c>
      <c r="G3302" t="s">
        <v>26</v>
      </c>
      <c r="H3302" t="s">
        <v>21</v>
      </c>
      <c r="I3302" t="s">
        <v>20</v>
      </c>
      <c r="J3302" t="s">
        <v>20</v>
      </c>
      <c r="K3302" t="s">
        <v>41</v>
      </c>
      <c r="L3302" t="s">
        <v>45</v>
      </c>
      <c r="M3302" t="s">
        <v>46</v>
      </c>
      <c r="N3302">
        <v>40.911214000000001</v>
      </c>
      <c r="O3302">
        <v>-111.878981</v>
      </c>
      <c r="P3302">
        <v>4234.6909519999999</v>
      </c>
      <c r="Q3302">
        <v>1395</v>
      </c>
      <c r="R3302">
        <v>0</v>
      </c>
    </row>
    <row r="3303" spans="1:18" x14ac:dyDescent="0.25">
      <c r="A3303">
        <v>3302</v>
      </c>
      <c r="B3303">
        <v>94</v>
      </c>
      <c r="C3303">
        <v>1681360</v>
      </c>
      <c r="D3303" t="s">
        <v>180</v>
      </c>
      <c r="E3303">
        <v>2.3340000000000001</v>
      </c>
      <c r="F3303" t="s">
        <v>21</v>
      </c>
      <c r="G3303" t="s">
        <v>26</v>
      </c>
      <c r="H3303" t="s">
        <v>21</v>
      </c>
      <c r="I3303" t="s">
        <v>20</v>
      </c>
      <c r="J3303" t="s">
        <v>20</v>
      </c>
      <c r="K3303" t="s">
        <v>41</v>
      </c>
      <c r="L3303" t="s">
        <v>181</v>
      </c>
      <c r="M3303" t="s">
        <v>117</v>
      </c>
      <c r="N3303">
        <v>41.741278000000001</v>
      </c>
      <c r="O3303">
        <v>-112.156004</v>
      </c>
      <c r="P3303">
        <v>4284.9607100000003</v>
      </c>
      <c r="Q3303">
        <v>1379</v>
      </c>
      <c r="R3303">
        <v>0</v>
      </c>
    </row>
    <row r="3304" spans="1:18" x14ac:dyDescent="0.25">
      <c r="A3304">
        <v>3303</v>
      </c>
      <c r="B3304">
        <v>94</v>
      </c>
      <c r="C3304" t="e">
        <f>-JXdOaKOI0HcY3cJ9RXtgV</f>
        <v>#NAME?</v>
      </c>
      <c r="D3304" t="s">
        <v>25</v>
      </c>
      <c r="E3304">
        <v>2.3370000000000002</v>
      </c>
      <c r="F3304" t="s">
        <v>21</v>
      </c>
      <c r="G3304" t="s">
        <v>20</v>
      </c>
      <c r="H3304" t="s">
        <v>21</v>
      </c>
      <c r="I3304" t="s">
        <v>20</v>
      </c>
      <c r="J3304" t="s">
        <v>20</v>
      </c>
      <c r="K3304" t="s">
        <v>27</v>
      </c>
      <c r="L3304" t="s">
        <v>28</v>
      </c>
      <c r="M3304" t="s">
        <v>29</v>
      </c>
      <c r="N3304">
        <v>37.688259000000002</v>
      </c>
      <c r="O3304">
        <v>-112.15267799999999</v>
      </c>
      <c r="P3304">
        <v>7549.2141600000004</v>
      </c>
      <c r="Q3304">
        <v>316</v>
      </c>
      <c r="R3304">
        <v>0</v>
      </c>
    </row>
    <row r="3305" spans="1:18" x14ac:dyDescent="0.25">
      <c r="A3305">
        <v>3304</v>
      </c>
      <c r="B3305">
        <v>94</v>
      </c>
      <c r="C3305">
        <v>31486990</v>
      </c>
      <c r="D3305" t="s">
        <v>164</v>
      </c>
      <c r="E3305">
        <v>2.3380000000000001</v>
      </c>
      <c r="F3305" t="s">
        <v>21</v>
      </c>
      <c r="G3305" t="s">
        <v>26</v>
      </c>
      <c r="H3305" t="s">
        <v>21</v>
      </c>
      <c r="I3305" t="s">
        <v>20</v>
      </c>
      <c r="J3305" t="s">
        <v>20</v>
      </c>
      <c r="K3305" t="s">
        <v>27</v>
      </c>
      <c r="L3305" t="s">
        <v>165</v>
      </c>
      <c r="M3305" t="s">
        <v>166</v>
      </c>
      <c r="N3305">
        <v>38.966729999999998</v>
      </c>
      <c r="O3305">
        <v>-112.32369</v>
      </c>
      <c r="P3305">
        <v>5080.1020179999996</v>
      </c>
      <c r="Q3305">
        <v>1390</v>
      </c>
      <c r="R3305">
        <v>0</v>
      </c>
    </row>
    <row r="3306" spans="1:18" x14ac:dyDescent="0.25">
      <c r="A3306">
        <v>3305</v>
      </c>
      <c r="B3306">
        <v>94</v>
      </c>
      <c r="C3306" t="e">
        <f>-JN-IW2bI15JQ5lXHbgSbV</f>
        <v>#NAME?</v>
      </c>
      <c r="D3306" t="s">
        <v>184</v>
      </c>
      <c r="E3306">
        <v>2.3380000000000001</v>
      </c>
      <c r="F3306" t="s">
        <v>21</v>
      </c>
      <c r="G3306" t="s">
        <v>26</v>
      </c>
      <c r="H3306" t="s">
        <v>21</v>
      </c>
      <c r="I3306" t="s">
        <v>20</v>
      </c>
      <c r="J3306" t="s">
        <v>20</v>
      </c>
      <c r="K3306" t="s">
        <v>27</v>
      </c>
      <c r="L3306" t="s">
        <v>54</v>
      </c>
      <c r="M3306" t="s">
        <v>55</v>
      </c>
      <c r="N3306">
        <v>37.678567000000001</v>
      </c>
      <c r="O3306">
        <v>-113.06177700000001</v>
      </c>
      <c r="P3306">
        <v>5762.8878009999999</v>
      </c>
      <c r="Q3306">
        <v>1410</v>
      </c>
      <c r="R3306">
        <v>0</v>
      </c>
    </row>
    <row r="3307" spans="1:18" x14ac:dyDescent="0.25">
      <c r="A3307">
        <v>3306</v>
      </c>
      <c r="B3307">
        <v>94</v>
      </c>
      <c r="C3307">
        <v>28582617</v>
      </c>
      <c r="D3307" t="s">
        <v>142</v>
      </c>
      <c r="E3307">
        <v>2.339</v>
      </c>
      <c r="F3307" t="s">
        <v>21</v>
      </c>
      <c r="G3307" t="s">
        <v>20</v>
      </c>
      <c r="H3307" t="s">
        <v>21</v>
      </c>
      <c r="I3307" t="s">
        <v>20</v>
      </c>
      <c r="J3307" t="s">
        <v>20</v>
      </c>
      <c r="K3307" t="s">
        <v>27</v>
      </c>
      <c r="L3307" t="s">
        <v>143</v>
      </c>
      <c r="M3307" t="s">
        <v>106</v>
      </c>
      <c r="N3307">
        <v>38.921768</v>
      </c>
      <c r="O3307">
        <v>-114.029754</v>
      </c>
      <c r="P3307">
        <v>5217.7772679999998</v>
      </c>
      <c r="Q3307">
        <v>305</v>
      </c>
      <c r="R3307">
        <v>0</v>
      </c>
    </row>
    <row r="3308" spans="1:18" x14ac:dyDescent="0.25">
      <c r="A3308">
        <v>3307</v>
      </c>
      <c r="B3308">
        <v>94</v>
      </c>
      <c r="C3308" t="e">
        <f>-IpUPvlvFq1c4ODp9I9i2V</f>
        <v>#NAME?</v>
      </c>
      <c r="D3308" t="s">
        <v>272</v>
      </c>
      <c r="E3308">
        <v>414.63299999999998</v>
      </c>
      <c r="F3308" t="s">
        <v>21</v>
      </c>
      <c r="G3308" t="s">
        <v>26</v>
      </c>
      <c r="H3308" t="s">
        <v>21</v>
      </c>
      <c r="I3308" t="s">
        <v>20</v>
      </c>
      <c r="J3308" t="s">
        <v>20</v>
      </c>
      <c r="K3308" t="s">
        <v>41</v>
      </c>
      <c r="L3308" t="s">
        <v>81</v>
      </c>
      <c r="M3308" t="s">
        <v>46</v>
      </c>
      <c r="N3308">
        <v>41.232895999999997</v>
      </c>
      <c r="O3308">
        <v>-111.970202</v>
      </c>
      <c r="P3308">
        <v>4244.8993030000001</v>
      </c>
      <c r="Q3308">
        <v>1384</v>
      </c>
      <c r="R3308">
        <v>0</v>
      </c>
    </row>
    <row r="3309" spans="1:18" x14ac:dyDescent="0.25">
      <c r="A3309">
        <v>3308</v>
      </c>
      <c r="B3309">
        <v>94</v>
      </c>
      <c r="C3309" t="e">
        <f>-IpUQ0zNIuybP6dGDA-pEV</f>
        <v>#NAME?</v>
      </c>
      <c r="D3309" t="s">
        <v>272</v>
      </c>
      <c r="E3309">
        <v>414.67700000000002</v>
      </c>
      <c r="F3309" t="s">
        <v>21</v>
      </c>
      <c r="G3309" t="s">
        <v>26</v>
      </c>
      <c r="H3309" t="s">
        <v>21</v>
      </c>
      <c r="I3309" t="s">
        <v>20</v>
      </c>
      <c r="J3309" t="s">
        <v>20</v>
      </c>
      <c r="K3309" t="s">
        <v>41</v>
      </c>
      <c r="L3309" t="s">
        <v>81</v>
      </c>
      <c r="M3309" t="s">
        <v>46</v>
      </c>
      <c r="N3309">
        <v>41.233539999999998</v>
      </c>
      <c r="O3309">
        <v>-111.970162</v>
      </c>
      <c r="P3309">
        <v>4247.7821640000002</v>
      </c>
      <c r="Q3309">
        <v>1384</v>
      </c>
      <c r="R3309">
        <v>0</v>
      </c>
    </row>
    <row r="3310" spans="1:18" x14ac:dyDescent="0.25">
      <c r="A3310">
        <v>3309</v>
      </c>
      <c r="B3310">
        <v>94</v>
      </c>
      <c r="C3310" t="e">
        <f>-JST63ZgIhiEAtKKzFtHOF</f>
        <v>#NAME?</v>
      </c>
      <c r="D3310" t="s">
        <v>118</v>
      </c>
      <c r="E3310">
        <v>46.496000000000002</v>
      </c>
      <c r="F3310" t="s">
        <v>21</v>
      </c>
      <c r="G3310" t="s">
        <v>20</v>
      </c>
      <c r="H3310" t="s">
        <v>21</v>
      </c>
      <c r="I3310" t="s">
        <v>20</v>
      </c>
      <c r="J3310" t="s">
        <v>20</v>
      </c>
      <c r="K3310" t="s">
        <v>22</v>
      </c>
      <c r="L3310" t="s">
        <v>119</v>
      </c>
      <c r="M3310" t="s">
        <v>120</v>
      </c>
      <c r="N3310">
        <v>40.198953000000003</v>
      </c>
      <c r="O3310">
        <v>-111.103708</v>
      </c>
      <c r="P3310">
        <v>7617.7346360000001</v>
      </c>
      <c r="Q3310">
        <v>310</v>
      </c>
      <c r="R3310">
        <v>0</v>
      </c>
    </row>
    <row r="3311" spans="1:18" x14ac:dyDescent="0.25">
      <c r="A3311">
        <v>3310</v>
      </c>
      <c r="B3311">
        <v>94</v>
      </c>
      <c r="C3311">
        <v>31337525</v>
      </c>
      <c r="D3311" t="s">
        <v>303</v>
      </c>
      <c r="E3311">
        <v>46.503999999999998</v>
      </c>
      <c r="F3311" t="s">
        <v>21</v>
      </c>
      <c r="G3311" t="s">
        <v>26</v>
      </c>
      <c r="H3311" t="s">
        <v>21</v>
      </c>
      <c r="I3311" t="s">
        <v>20</v>
      </c>
      <c r="J3311" t="s">
        <v>20</v>
      </c>
      <c r="K3311" t="s">
        <v>27</v>
      </c>
      <c r="L3311" t="s">
        <v>279</v>
      </c>
      <c r="M3311" t="s">
        <v>29</v>
      </c>
      <c r="N3311">
        <v>37.239156999999999</v>
      </c>
      <c r="O3311">
        <v>-112.83235999999999</v>
      </c>
      <c r="P3311">
        <v>5929.4417020000001</v>
      </c>
      <c r="Q3311">
        <v>1326</v>
      </c>
      <c r="R3311">
        <v>0</v>
      </c>
    </row>
    <row r="3312" spans="1:18" x14ac:dyDescent="0.25">
      <c r="A3312">
        <v>3311</v>
      </c>
      <c r="B3312">
        <v>94</v>
      </c>
      <c r="C3312">
        <v>31287683</v>
      </c>
      <c r="D3312" t="s">
        <v>241</v>
      </c>
      <c r="E3312">
        <v>46.545999999999999</v>
      </c>
      <c r="F3312" t="s">
        <v>21</v>
      </c>
      <c r="G3312" t="s">
        <v>26</v>
      </c>
      <c r="H3312" t="s">
        <v>21</v>
      </c>
      <c r="I3312" t="s">
        <v>20</v>
      </c>
      <c r="J3312" t="s">
        <v>20</v>
      </c>
      <c r="K3312" t="s">
        <v>27</v>
      </c>
      <c r="L3312" t="s">
        <v>111</v>
      </c>
      <c r="M3312" t="s">
        <v>243</v>
      </c>
      <c r="N3312">
        <v>39.319338999999999</v>
      </c>
      <c r="O3312">
        <v>-110.964445</v>
      </c>
      <c r="P3312">
        <v>5723.8425889999999</v>
      </c>
      <c r="Q3312">
        <v>1327</v>
      </c>
      <c r="R3312">
        <v>0</v>
      </c>
    </row>
    <row r="3313" spans="1:18" x14ac:dyDescent="0.25">
      <c r="A3313">
        <v>3312</v>
      </c>
      <c r="B3313">
        <v>94</v>
      </c>
      <c r="C3313" t="e">
        <f>-JST69OkHZ1ZFqKAjD1SHk</f>
        <v>#NAME?</v>
      </c>
      <c r="D3313" t="s">
        <v>118</v>
      </c>
      <c r="E3313">
        <v>46.56</v>
      </c>
      <c r="F3313" t="s">
        <v>21</v>
      </c>
      <c r="G3313" t="s">
        <v>20</v>
      </c>
      <c r="H3313" t="s">
        <v>21</v>
      </c>
      <c r="I3313" t="s">
        <v>20</v>
      </c>
      <c r="J3313" t="s">
        <v>20</v>
      </c>
      <c r="K3313" t="s">
        <v>22</v>
      </c>
      <c r="L3313" t="s">
        <v>119</v>
      </c>
      <c r="M3313" t="s">
        <v>120</v>
      </c>
      <c r="N3313">
        <v>40.198265999999997</v>
      </c>
      <c r="O3313">
        <v>-111.102906</v>
      </c>
      <c r="P3313">
        <v>7624.9548029999996</v>
      </c>
      <c r="Q3313">
        <v>310</v>
      </c>
      <c r="R3313">
        <v>0</v>
      </c>
    </row>
    <row r="3314" spans="1:18" x14ac:dyDescent="0.25">
      <c r="A3314">
        <v>3313</v>
      </c>
      <c r="B3314">
        <v>94</v>
      </c>
      <c r="C3314" t="e">
        <f>-IpVJHCRFHDy9kmBUiR8Yk</f>
        <v>#NAME?</v>
      </c>
      <c r="D3314" t="s">
        <v>272</v>
      </c>
      <c r="E3314">
        <v>428.77</v>
      </c>
      <c r="F3314" t="s">
        <v>21</v>
      </c>
      <c r="G3314" t="s">
        <v>26</v>
      </c>
      <c r="H3314" t="s">
        <v>19</v>
      </c>
      <c r="I3314">
        <v>315</v>
      </c>
      <c r="J3314" t="s">
        <v>20</v>
      </c>
      <c r="K3314" t="s">
        <v>41</v>
      </c>
      <c r="L3314" t="s">
        <v>177</v>
      </c>
      <c r="M3314" t="s">
        <v>46</v>
      </c>
      <c r="N3314">
        <v>41.422378999999999</v>
      </c>
      <c r="O3314">
        <v>-112.035819</v>
      </c>
      <c r="P3314">
        <v>4265.1279729999997</v>
      </c>
      <c r="Q3314">
        <v>1384</v>
      </c>
      <c r="R3314">
        <v>0</v>
      </c>
    </row>
    <row r="3315" spans="1:18" x14ac:dyDescent="0.25">
      <c r="A3315">
        <v>3314</v>
      </c>
      <c r="B3315">
        <v>94</v>
      </c>
      <c r="C3315" t="s">
        <v>566</v>
      </c>
      <c r="D3315" t="s">
        <v>272</v>
      </c>
      <c r="E3315">
        <v>428.86500000000001</v>
      </c>
      <c r="F3315" t="s">
        <v>21</v>
      </c>
      <c r="G3315" t="s">
        <v>20</v>
      </c>
      <c r="H3315" t="s">
        <v>21</v>
      </c>
      <c r="I3315" t="s">
        <v>20</v>
      </c>
      <c r="J3315" t="s">
        <v>20</v>
      </c>
      <c r="K3315" t="s">
        <v>41</v>
      </c>
      <c r="L3315" t="s">
        <v>177</v>
      </c>
      <c r="M3315" t="s">
        <v>46</v>
      </c>
      <c r="N3315">
        <v>41.423740000000002</v>
      </c>
      <c r="O3315">
        <v>-112.035763</v>
      </c>
      <c r="P3315">
        <v>4259.4719080000004</v>
      </c>
      <c r="Q3315">
        <v>1384</v>
      </c>
      <c r="R3315">
        <v>0</v>
      </c>
    </row>
    <row r="3316" spans="1:18" x14ac:dyDescent="0.25">
      <c r="A3316">
        <v>3315</v>
      </c>
      <c r="B3316">
        <v>94</v>
      </c>
      <c r="C3316" t="s">
        <v>567</v>
      </c>
      <c r="D3316" t="s">
        <v>272</v>
      </c>
      <c r="E3316">
        <v>429.07799999999997</v>
      </c>
      <c r="F3316" t="s">
        <v>21</v>
      </c>
      <c r="G3316" t="s">
        <v>20</v>
      </c>
      <c r="H3316" t="s">
        <v>21</v>
      </c>
      <c r="I3316" t="s">
        <v>20</v>
      </c>
      <c r="J3316" t="s">
        <v>20</v>
      </c>
      <c r="K3316" t="s">
        <v>41</v>
      </c>
      <c r="L3316" t="s">
        <v>177</v>
      </c>
      <c r="M3316" t="s">
        <v>46</v>
      </c>
      <c r="N3316">
        <v>41.426802000000002</v>
      </c>
      <c r="O3316">
        <v>-112.035652</v>
      </c>
      <c r="P3316">
        <v>4255.7579910000004</v>
      </c>
      <c r="Q3316">
        <v>1384</v>
      </c>
      <c r="R3316">
        <v>0</v>
      </c>
    </row>
    <row r="3317" spans="1:18" x14ac:dyDescent="0.25">
      <c r="A3317">
        <v>3316</v>
      </c>
      <c r="B3317">
        <v>94</v>
      </c>
      <c r="C3317" t="e">
        <f>-IpVK2EWHMHHA144PDcPok</f>
        <v>#NAME?</v>
      </c>
      <c r="D3317" t="s">
        <v>272</v>
      </c>
      <c r="E3317">
        <v>429.13799999999998</v>
      </c>
      <c r="F3317" t="s">
        <v>21</v>
      </c>
      <c r="G3317" t="s">
        <v>26</v>
      </c>
      <c r="H3317" t="s">
        <v>21</v>
      </c>
      <c r="I3317" t="s">
        <v>20</v>
      </c>
      <c r="J3317" t="s">
        <v>20</v>
      </c>
      <c r="K3317" t="s">
        <v>41</v>
      </c>
      <c r="L3317" t="s">
        <v>177</v>
      </c>
      <c r="M3317" t="s">
        <v>46</v>
      </c>
      <c r="N3317">
        <v>41.427667</v>
      </c>
      <c r="O3317">
        <v>-112.03561500000001</v>
      </c>
      <c r="P3317">
        <v>4256.6404210000001</v>
      </c>
      <c r="Q3317">
        <v>1384</v>
      </c>
      <c r="R3317">
        <v>0</v>
      </c>
    </row>
    <row r="3318" spans="1:18" x14ac:dyDescent="0.25">
      <c r="A3318">
        <v>3317</v>
      </c>
      <c r="B3318">
        <v>94</v>
      </c>
      <c r="C3318" t="e">
        <f>-IpVKIKOHE57pRF3kmr0QF</f>
        <v>#NAME?</v>
      </c>
      <c r="D3318" t="s">
        <v>272</v>
      </c>
      <c r="E3318">
        <v>429.19400000000002</v>
      </c>
      <c r="F3318" t="s">
        <v>21</v>
      </c>
      <c r="G3318" t="s">
        <v>20</v>
      </c>
      <c r="H3318" t="s">
        <v>21</v>
      </c>
      <c r="I3318" t="s">
        <v>20</v>
      </c>
      <c r="J3318" t="s">
        <v>20</v>
      </c>
      <c r="K3318" t="s">
        <v>41</v>
      </c>
      <c r="L3318" t="s">
        <v>177</v>
      </c>
      <c r="M3318" t="s">
        <v>46</v>
      </c>
      <c r="N3318">
        <v>41.428469</v>
      </c>
      <c r="O3318">
        <v>-112.035594</v>
      </c>
      <c r="P3318">
        <v>4257.6809290000001</v>
      </c>
      <c r="Q3318">
        <v>1384</v>
      </c>
      <c r="R3318">
        <v>0</v>
      </c>
    </row>
    <row r="3319" spans="1:18" x14ac:dyDescent="0.25">
      <c r="A3319">
        <v>3318</v>
      </c>
      <c r="B3319">
        <v>94</v>
      </c>
      <c r="C3319" t="e">
        <f>-IpVNYe2GjyX6SJxPRF9RF</f>
        <v>#NAME?</v>
      </c>
      <c r="D3319" t="s">
        <v>272</v>
      </c>
      <c r="E3319">
        <v>429.65800000000002</v>
      </c>
      <c r="F3319" t="s">
        <v>21</v>
      </c>
      <c r="G3319" t="s">
        <v>26</v>
      </c>
      <c r="H3319" t="s">
        <v>21</v>
      </c>
      <c r="I3319" t="s">
        <v>20</v>
      </c>
      <c r="J3319" t="s">
        <v>20</v>
      </c>
      <c r="K3319" t="s">
        <v>41</v>
      </c>
      <c r="L3319" t="s">
        <v>177</v>
      </c>
      <c r="M3319" t="s">
        <v>46</v>
      </c>
      <c r="N3319">
        <v>41.435133999999998</v>
      </c>
      <c r="O3319">
        <v>-112.035906</v>
      </c>
      <c r="P3319">
        <v>4265.3028800000002</v>
      </c>
      <c r="Q3319">
        <v>1384</v>
      </c>
      <c r="R3319">
        <v>0</v>
      </c>
    </row>
    <row r="3320" spans="1:18" x14ac:dyDescent="0.25">
      <c r="A3320">
        <v>3319</v>
      </c>
      <c r="B3320">
        <v>94</v>
      </c>
      <c r="C3320">
        <v>28869758</v>
      </c>
      <c r="D3320" t="s">
        <v>18</v>
      </c>
      <c r="E3320">
        <v>2.7280000000000002</v>
      </c>
      <c r="F3320" t="s">
        <v>19</v>
      </c>
      <c r="G3320" t="s">
        <v>20</v>
      </c>
      <c r="H3320" t="s">
        <v>21</v>
      </c>
      <c r="I3320" t="s">
        <v>20</v>
      </c>
      <c r="J3320" t="s">
        <v>20</v>
      </c>
      <c r="K3320" t="s">
        <v>22</v>
      </c>
      <c r="L3320" t="s">
        <v>23</v>
      </c>
      <c r="M3320" t="s">
        <v>24</v>
      </c>
      <c r="N3320">
        <v>40.273007</v>
      </c>
      <c r="O3320">
        <v>-111.676045</v>
      </c>
      <c r="P3320">
        <v>4701.4426350000003</v>
      </c>
      <c r="Q3320">
        <v>1281</v>
      </c>
      <c r="R3320">
        <v>0</v>
      </c>
    </row>
    <row r="3321" spans="1:18" x14ac:dyDescent="0.25">
      <c r="A3321">
        <v>3320</v>
      </c>
      <c r="B3321">
        <v>94</v>
      </c>
      <c r="C3321">
        <v>764996</v>
      </c>
      <c r="D3321" t="s">
        <v>86</v>
      </c>
      <c r="E3321">
        <v>2.73</v>
      </c>
      <c r="F3321" t="s">
        <v>21</v>
      </c>
      <c r="G3321" t="s">
        <v>26</v>
      </c>
      <c r="H3321" t="s">
        <v>21</v>
      </c>
      <c r="I3321" t="s">
        <v>20</v>
      </c>
      <c r="J3321" t="s">
        <v>20</v>
      </c>
      <c r="K3321" t="s">
        <v>41</v>
      </c>
      <c r="L3321" t="s">
        <v>87</v>
      </c>
      <c r="M3321" t="s">
        <v>58</v>
      </c>
      <c r="N3321">
        <v>41.038128999999998</v>
      </c>
      <c r="O3321">
        <v>-111.944087</v>
      </c>
      <c r="P3321">
        <v>4277.1731049999999</v>
      </c>
      <c r="Q3321">
        <v>258</v>
      </c>
      <c r="R3321">
        <v>0</v>
      </c>
    </row>
    <row r="3322" spans="1:18" x14ac:dyDescent="0.25">
      <c r="A3322">
        <v>3321</v>
      </c>
      <c r="B3322">
        <v>94</v>
      </c>
      <c r="C3322">
        <v>27998534</v>
      </c>
      <c r="D3322" t="s">
        <v>346</v>
      </c>
      <c r="E3322">
        <v>2.73</v>
      </c>
      <c r="F3322" t="s">
        <v>21</v>
      </c>
      <c r="G3322" t="s">
        <v>26</v>
      </c>
      <c r="H3322" t="s">
        <v>21</v>
      </c>
      <c r="I3322" t="s">
        <v>20</v>
      </c>
      <c r="J3322" t="s">
        <v>20</v>
      </c>
      <c r="K3322" t="s">
        <v>27</v>
      </c>
      <c r="L3322" t="s">
        <v>307</v>
      </c>
      <c r="M3322" t="s">
        <v>159</v>
      </c>
      <c r="N3322">
        <v>39.682099000000001</v>
      </c>
      <c r="O3322">
        <v>-111.158671</v>
      </c>
      <c r="P3322">
        <v>7890.4342630000001</v>
      </c>
      <c r="Q3322">
        <v>1389</v>
      </c>
      <c r="R3322">
        <v>0</v>
      </c>
    </row>
    <row r="3323" spans="1:18" x14ac:dyDescent="0.25">
      <c r="A3323">
        <v>3322</v>
      </c>
      <c r="B3323">
        <v>94</v>
      </c>
      <c r="C3323">
        <v>31305168</v>
      </c>
      <c r="D3323" t="s">
        <v>116</v>
      </c>
      <c r="E3323">
        <v>21.82</v>
      </c>
      <c r="F3323" t="s">
        <v>21</v>
      </c>
      <c r="G3323" t="s">
        <v>26</v>
      </c>
      <c r="H3323" t="s">
        <v>21</v>
      </c>
      <c r="I3323" t="s">
        <v>20</v>
      </c>
      <c r="J3323" t="s">
        <v>20</v>
      </c>
      <c r="K3323" t="s">
        <v>41</v>
      </c>
      <c r="L3323" t="s">
        <v>42</v>
      </c>
      <c r="M3323" t="s">
        <v>43</v>
      </c>
      <c r="N3323">
        <v>41.675372000000003</v>
      </c>
      <c r="O3323">
        <v>-111.883123</v>
      </c>
      <c r="P3323">
        <v>4441.7252239999998</v>
      </c>
      <c r="Q3323">
        <v>324</v>
      </c>
      <c r="R3323">
        <v>0</v>
      </c>
    </row>
    <row r="3324" spans="1:18" x14ac:dyDescent="0.25">
      <c r="A3324">
        <v>3323</v>
      </c>
      <c r="B3324">
        <v>94</v>
      </c>
      <c r="C3324" t="s">
        <v>568</v>
      </c>
      <c r="D3324" t="s">
        <v>221</v>
      </c>
      <c r="E3324">
        <v>21.827999999999999</v>
      </c>
      <c r="F3324" t="s">
        <v>21</v>
      </c>
      <c r="G3324" t="s">
        <v>20</v>
      </c>
      <c r="H3324" t="s">
        <v>21</v>
      </c>
      <c r="I3324" t="s">
        <v>20</v>
      </c>
      <c r="J3324" t="s">
        <v>20</v>
      </c>
      <c r="K3324" t="s">
        <v>22</v>
      </c>
      <c r="L3324" t="s">
        <v>155</v>
      </c>
      <c r="M3324" t="s">
        <v>174</v>
      </c>
      <c r="N3324">
        <v>39.449218999999999</v>
      </c>
      <c r="O3324">
        <v>-111.91064</v>
      </c>
      <c r="P3324">
        <v>5241.6108489999997</v>
      </c>
      <c r="Q3324">
        <v>1342</v>
      </c>
      <c r="R3324">
        <v>0</v>
      </c>
    </row>
    <row r="3325" spans="1:18" x14ac:dyDescent="0.25">
      <c r="A3325">
        <v>3324</v>
      </c>
      <c r="B3325">
        <v>94</v>
      </c>
      <c r="C3325">
        <v>31500044</v>
      </c>
      <c r="D3325" t="s">
        <v>317</v>
      </c>
      <c r="E3325">
        <v>21.834</v>
      </c>
      <c r="F3325" t="s">
        <v>21</v>
      </c>
      <c r="G3325" t="s">
        <v>26</v>
      </c>
      <c r="H3325" t="s">
        <v>21</v>
      </c>
      <c r="I3325" t="s">
        <v>20</v>
      </c>
      <c r="J3325" t="s">
        <v>20</v>
      </c>
      <c r="K3325" t="s">
        <v>27</v>
      </c>
      <c r="L3325" t="s">
        <v>211</v>
      </c>
      <c r="M3325" t="s">
        <v>212</v>
      </c>
      <c r="N3325">
        <v>37.152980999999997</v>
      </c>
      <c r="O3325">
        <v>-109.85673300000001</v>
      </c>
      <c r="P3325">
        <v>4105.772653</v>
      </c>
      <c r="Q3325">
        <v>1432</v>
      </c>
      <c r="R3325">
        <v>0</v>
      </c>
    </row>
    <row r="3326" spans="1:18" x14ac:dyDescent="0.25">
      <c r="A3326">
        <v>3325</v>
      </c>
      <c r="B3326">
        <v>94</v>
      </c>
      <c r="C3326">
        <v>31535370</v>
      </c>
      <c r="D3326" t="s">
        <v>412</v>
      </c>
      <c r="E3326">
        <v>21.847000000000001</v>
      </c>
      <c r="F3326" t="s">
        <v>21</v>
      </c>
      <c r="G3326" t="s">
        <v>26</v>
      </c>
      <c r="H3326" t="s">
        <v>19</v>
      </c>
      <c r="I3326">
        <v>132</v>
      </c>
      <c r="J3326" t="s">
        <v>20</v>
      </c>
      <c r="K3326" t="s">
        <v>27</v>
      </c>
      <c r="L3326" t="s">
        <v>173</v>
      </c>
      <c r="M3326" t="s">
        <v>267</v>
      </c>
      <c r="N3326">
        <v>39.536096999999998</v>
      </c>
      <c r="O3326">
        <v>-112.273375</v>
      </c>
      <c r="P3326">
        <v>4670.0346069999996</v>
      </c>
      <c r="Q3326">
        <v>1408</v>
      </c>
      <c r="R3326">
        <v>0</v>
      </c>
    </row>
    <row r="3327" spans="1:18" x14ac:dyDescent="0.25">
      <c r="A3327">
        <v>3326</v>
      </c>
      <c r="B3327">
        <v>94</v>
      </c>
      <c r="C3327">
        <v>31512069</v>
      </c>
      <c r="D3327" t="s">
        <v>292</v>
      </c>
      <c r="E3327">
        <v>21.864999999999998</v>
      </c>
      <c r="F3327" t="s">
        <v>21</v>
      </c>
      <c r="G3327" t="s">
        <v>26</v>
      </c>
      <c r="H3327" t="s">
        <v>21</v>
      </c>
      <c r="I3327" t="s">
        <v>20</v>
      </c>
      <c r="J3327" t="s">
        <v>20</v>
      </c>
      <c r="K3327" t="s">
        <v>22</v>
      </c>
      <c r="L3327" t="s">
        <v>253</v>
      </c>
      <c r="M3327" t="s">
        <v>134</v>
      </c>
      <c r="N3327">
        <v>40.359189999999998</v>
      </c>
      <c r="O3327">
        <v>-110.276723</v>
      </c>
      <c r="P3327">
        <v>6312.621486</v>
      </c>
      <c r="Q3327">
        <v>323</v>
      </c>
      <c r="R3327">
        <v>0</v>
      </c>
    </row>
    <row r="3328" spans="1:18" x14ac:dyDescent="0.25">
      <c r="A3328">
        <v>3327</v>
      </c>
      <c r="B3328">
        <v>94</v>
      </c>
      <c r="C3328">
        <v>1569414</v>
      </c>
      <c r="D3328" t="s">
        <v>88</v>
      </c>
      <c r="E3328">
        <v>21.872</v>
      </c>
      <c r="F3328" t="s">
        <v>19</v>
      </c>
      <c r="G3328" t="s">
        <v>20</v>
      </c>
      <c r="H3328" t="s">
        <v>21</v>
      </c>
      <c r="I3328" t="s">
        <v>20</v>
      </c>
      <c r="J3328" t="s">
        <v>20</v>
      </c>
      <c r="K3328" t="s">
        <v>31</v>
      </c>
      <c r="L3328" t="s">
        <v>66</v>
      </c>
      <c r="M3328" t="s">
        <v>90</v>
      </c>
      <c r="N3328">
        <v>40.751983000000003</v>
      </c>
      <c r="O3328">
        <v>-111.871061</v>
      </c>
      <c r="P3328">
        <v>4223.8586459999997</v>
      </c>
      <c r="Q3328">
        <v>318</v>
      </c>
      <c r="R3328">
        <v>0</v>
      </c>
    </row>
    <row r="3329" spans="1:18" x14ac:dyDescent="0.25">
      <c r="A3329">
        <v>3328</v>
      </c>
      <c r="B3329">
        <v>94</v>
      </c>
      <c r="C3329">
        <v>31643861</v>
      </c>
      <c r="D3329" t="s">
        <v>233</v>
      </c>
      <c r="E3329">
        <v>21.885999999999999</v>
      </c>
      <c r="F3329" t="s">
        <v>21</v>
      </c>
      <c r="G3329" t="s">
        <v>20</v>
      </c>
      <c r="H3329" t="s">
        <v>21</v>
      </c>
      <c r="I3329" t="s">
        <v>20</v>
      </c>
      <c r="J3329" t="s">
        <v>20</v>
      </c>
      <c r="K3329" t="s">
        <v>22</v>
      </c>
      <c r="L3329" t="s">
        <v>234</v>
      </c>
      <c r="M3329" t="s">
        <v>235</v>
      </c>
      <c r="N3329">
        <v>40.203986</v>
      </c>
      <c r="O3329">
        <v>-109.356544</v>
      </c>
      <c r="P3329">
        <v>5517.8679570000004</v>
      </c>
      <c r="Q3329">
        <v>1354</v>
      </c>
      <c r="R3329">
        <v>0</v>
      </c>
    </row>
    <row r="3330" spans="1:18" x14ac:dyDescent="0.25">
      <c r="A3330">
        <v>3329</v>
      </c>
      <c r="B3330">
        <v>94</v>
      </c>
      <c r="C3330" t="s">
        <v>569</v>
      </c>
      <c r="D3330" t="s">
        <v>176</v>
      </c>
      <c r="E3330">
        <v>21.893999999999998</v>
      </c>
      <c r="F3330" t="s">
        <v>21</v>
      </c>
      <c r="G3330" t="s">
        <v>26</v>
      </c>
      <c r="H3330" t="s">
        <v>21</v>
      </c>
      <c r="I3330" t="s">
        <v>20</v>
      </c>
      <c r="J3330" t="s">
        <v>20</v>
      </c>
      <c r="K3330" t="s">
        <v>41</v>
      </c>
      <c r="L3330" t="s">
        <v>223</v>
      </c>
      <c r="M3330" t="s">
        <v>178</v>
      </c>
      <c r="N3330">
        <v>41.737133</v>
      </c>
      <c r="O3330">
        <v>-112.143452</v>
      </c>
      <c r="P3330">
        <v>4286.8629780000001</v>
      </c>
      <c r="Q3330">
        <v>1329</v>
      </c>
      <c r="R3330">
        <v>0</v>
      </c>
    </row>
    <row r="3331" spans="1:18" x14ac:dyDescent="0.25">
      <c r="A3331">
        <v>3330</v>
      </c>
      <c r="B3331">
        <v>94</v>
      </c>
      <c r="C3331" t="e">
        <f>-JLGrudcFr5q9mQ4odAdCF</f>
        <v>#NAME?</v>
      </c>
      <c r="D3331" t="s">
        <v>271</v>
      </c>
      <c r="E3331">
        <v>21.901</v>
      </c>
      <c r="F3331" t="s">
        <v>21</v>
      </c>
      <c r="G3331" t="s">
        <v>26</v>
      </c>
      <c r="H3331" t="s">
        <v>21</v>
      </c>
      <c r="I3331" t="s">
        <v>20</v>
      </c>
      <c r="J3331" t="s">
        <v>20</v>
      </c>
      <c r="K3331" t="s">
        <v>22</v>
      </c>
      <c r="L3331" t="s">
        <v>263</v>
      </c>
      <c r="M3331" t="s">
        <v>24</v>
      </c>
      <c r="N3331">
        <v>40.278329999999997</v>
      </c>
      <c r="O3331">
        <v>-112.095006</v>
      </c>
      <c r="P3331">
        <v>4841.3291740000004</v>
      </c>
      <c r="Q3331">
        <v>1372</v>
      </c>
      <c r="R3331">
        <v>0</v>
      </c>
    </row>
    <row r="3332" spans="1:18" x14ac:dyDescent="0.25">
      <c r="A3332">
        <v>3331</v>
      </c>
      <c r="B3332">
        <v>94</v>
      </c>
      <c r="C3332">
        <v>28566482</v>
      </c>
      <c r="D3332" t="s">
        <v>323</v>
      </c>
      <c r="E3332">
        <v>21.928999999999998</v>
      </c>
      <c r="F3332" t="s">
        <v>21</v>
      </c>
      <c r="G3332" t="s">
        <v>26</v>
      </c>
      <c r="H3332" t="s">
        <v>21</v>
      </c>
      <c r="I3332" t="s">
        <v>20</v>
      </c>
      <c r="J3332" t="s">
        <v>20</v>
      </c>
      <c r="K3332" t="s">
        <v>31</v>
      </c>
      <c r="L3332" t="s">
        <v>149</v>
      </c>
      <c r="M3332" t="s">
        <v>131</v>
      </c>
      <c r="N3332">
        <v>40.737606</v>
      </c>
      <c r="O3332">
        <v>-111.349988</v>
      </c>
      <c r="P3332">
        <v>6090.6748150000003</v>
      </c>
      <c r="Q3332">
        <v>1345</v>
      </c>
      <c r="R3332">
        <v>0</v>
      </c>
    </row>
    <row r="3333" spans="1:18" x14ac:dyDescent="0.25">
      <c r="A3333">
        <v>3332</v>
      </c>
      <c r="B3333">
        <v>94</v>
      </c>
      <c r="C3333">
        <v>28148482</v>
      </c>
      <c r="D3333" t="s">
        <v>220</v>
      </c>
      <c r="E3333">
        <v>22.431000000000001</v>
      </c>
      <c r="F3333" t="s">
        <v>21</v>
      </c>
      <c r="G3333" t="s">
        <v>26</v>
      </c>
      <c r="H3333" t="s">
        <v>21</v>
      </c>
      <c r="I3333" t="s">
        <v>20</v>
      </c>
      <c r="J3333" t="s">
        <v>20</v>
      </c>
      <c r="K3333" t="s">
        <v>27</v>
      </c>
      <c r="L3333" t="s">
        <v>28</v>
      </c>
      <c r="M3333" t="s">
        <v>29</v>
      </c>
      <c r="N3333">
        <v>37.612445999999998</v>
      </c>
      <c r="O3333">
        <v>-112.064696</v>
      </c>
      <c r="P3333">
        <v>6103.0592230000002</v>
      </c>
      <c r="Q3333">
        <v>1328</v>
      </c>
      <c r="R3333">
        <v>0</v>
      </c>
    </row>
    <row r="3334" spans="1:18" x14ac:dyDescent="0.25">
      <c r="A3334">
        <v>3333</v>
      </c>
      <c r="B3334">
        <v>94</v>
      </c>
      <c r="C3334" t="e">
        <f>-JX_Ua12FCaYHAgiL1_rSk</f>
        <v>#NAME?</v>
      </c>
      <c r="D3334" t="s">
        <v>265</v>
      </c>
      <c r="E3334">
        <v>22.448</v>
      </c>
      <c r="F3334" t="s">
        <v>21</v>
      </c>
      <c r="G3334" t="s">
        <v>20</v>
      </c>
      <c r="H3334" t="s">
        <v>21</v>
      </c>
      <c r="I3334" t="s">
        <v>20</v>
      </c>
      <c r="J3334" t="s">
        <v>20</v>
      </c>
      <c r="K3334" t="s">
        <v>27</v>
      </c>
      <c r="L3334" t="s">
        <v>183</v>
      </c>
      <c r="M3334" t="s">
        <v>267</v>
      </c>
      <c r="N3334">
        <v>38.637614999999997</v>
      </c>
      <c r="O3334">
        <v>-111.43386099999999</v>
      </c>
      <c r="P3334">
        <v>7864.2698149999997</v>
      </c>
      <c r="Q3334">
        <v>1371</v>
      </c>
      <c r="R3334">
        <v>0</v>
      </c>
    </row>
    <row r="3335" spans="1:18" x14ac:dyDescent="0.25">
      <c r="A3335">
        <v>3334</v>
      </c>
      <c r="B3335">
        <v>94</v>
      </c>
      <c r="C3335">
        <v>1576064</v>
      </c>
      <c r="D3335" t="s">
        <v>88</v>
      </c>
      <c r="E3335">
        <v>22.452000000000002</v>
      </c>
      <c r="F3335" t="s">
        <v>19</v>
      </c>
      <c r="G3335" t="s">
        <v>20</v>
      </c>
      <c r="H3335" t="s">
        <v>19</v>
      </c>
      <c r="I3335">
        <v>186</v>
      </c>
      <c r="J3335" t="s">
        <v>20</v>
      </c>
      <c r="K3335" t="s">
        <v>31</v>
      </c>
      <c r="L3335" t="s">
        <v>66</v>
      </c>
      <c r="M3335" t="s">
        <v>90</v>
      </c>
      <c r="N3335">
        <v>40.760680999999998</v>
      </c>
      <c r="O3335">
        <v>-111.871045</v>
      </c>
      <c r="P3335">
        <v>4271.7084320000004</v>
      </c>
      <c r="Q3335">
        <v>318</v>
      </c>
      <c r="R3335">
        <v>0</v>
      </c>
    </row>
    <row r="3336" spans="1:18" x14ac:dyDescent="0.25">
      <c r="A3336">
        <v>3335</v>
      </c>
      <c r="B3336">
        <v>94</v>
      </c>
      <c r="C3336" t="s">
        <v>570</v>
      </c>
      <c r="D3336" t="s">
        <v>203</v>
      </c>
      <c r="E3336">
        <v>22.463999999999999</v>
      </c>
      <c r="F3336" t="s">
        <v>21</v>
      </c>
      <c r="G3336" t="s">
        <v>20</v>
      </c>
      <c r="H3336" t="s">
        <v>21</v>
      </c>
      <c r="I3336" t="s">
        <v>20</v>
      </c>
      <c r="J3336" t="s">
        <v>20</v>
      </c>
      <c r="K3336" t="s">
        <v>41</v>
      </c>
      <c r="L3336" t="s">
        <v>255</v>
      </c>
      <c r="M3336" t="s">
        <v>204</v>
      </c>
      <c r="N3336">
        <v>41.261454999999998</v>
      </c>
      <c r="O3336">
        <v>-111.701194</v>
      </c>
      <c r="P3336">
        <v>5037.7402439999996</v>
      </c>
      <c r="Q3336">
        <v>1349</v>
      </c>
      <c r="R3336">
        <v>0</v>
      </c>
    </row>
    <row r="3337" spans="1:18" x14ac:dyDescent="0.25">
      <c r="A3337">
        <v>3336</v>
      </c>
      <c r="B3337">
        <v>94</v>
      </c>
      <c r="C3337">
        <v>31517627</v>
      </c>
      <c r="D3337" t="s">
        <v>132</v>
      </c>
      <c r="E3337">
        <v>23.643999999999998</v>
      </c>
      <c r="F3337" t="s">
        <v>21</v>
      </c>
      <c r="G3337" t="s">
        <v>26</v>
      </c>
      <c r="H3337" t="s">
        <v>21</v>
      </c>
      <c r="I3337" t="s">
        <v>20</v>
      </c>
      <c r="J3337" t="s">
        <v>20</v>
      </c>
      <c r="K3337" t="s">
        <v>22</v>
      </c>
      <c r="L3337" t="s">
        <v>133</v>
      </c>
      <c r="M3337" t="s">
        <v>134</v>
      </c>
      <c r="N3337">
        <v>40.40372</v>
      </c>
      <c r="O3337">
        <v>-109.799707</v>
      </c>
      <c r="P3337">
        <v>5483.3260319999999</v>
      </c>
      <c r="Q3337">
        <v>1405</v>
      </c>
      <c r="R3337">
        <v>0</v>
      </c>
    </row>
    <row r="3338" spans="1:18" x14ac:dyDescent="0.25">
      <c r="A3338">
        <v>3337</v>
      </c>
      <c r="B3338">
        <v>94</v>
      </c>
      <c r="C3338">
        <v>31391576</v>
      </c>
      <c r="D3338" t="s">
        <v>124</v>
      </c>
      <c r="E3338">
        <v>23.655000000000001</v>
      </c>
      <c r="F3338" t="s">
        <v>21</v>
      </c>
      <c r="G3338" t="s">
        <v>20</v>
      </c>
      <c r="H3338" t="s">
        <v>21</v>
      </c>
      <c r="I3338" t="s">
        <v>20</v>
      </c>
      <c r="J3338" t="s">
        <v>20</v>
      </c>
      <c r="K3338" t="s">
        <v>22</v>
      </c>
      <c r="L3338" t="s">
        <v>84</v>
      </c>
      <c r="M3338" t="s">
        <v>194</v>
      </c>
      <c r="N3338">
        <v>40.267178999999999</v>
      </c>
      <c r="O3338">
        <v>-111.867003</v>
      </c>
      <c r="P3338">
        <v>4555.9695890000003</v>
      </c>
      <c r="Q3338">
        <v>1368</v>
      </c>
      <c r="R3338">
        <v>0</v>
      </c>
    </row>
    <row r="3339" spans="1:18" x14ac:dyDescent="0.25">
      <c r="A3339">
        <v>3338</v>
      </c>
      <c r="B3339">
        <v>94</v>
      </c>
      <c r="C3339" t="e">
        <f>-JODqk6FIyitmk1H57BDXk</f>
        <v>#NAME?</v>
      </c>
      <c r="D3339" t="s">
        <v>210</v>
      </c>
      <c r="E3339">
        <v>23.667000000000002</v>
      </c>
      <c r="F3339" t="s">
        <v>21</v>
      </c>
      <c r="G3339" t="s">
        <v>26</v>
      </c>
      <c r="H3339" t="s">
        <v>21</v>
      </c>
      <c r="I3339" t="s">
        <v>20</v>
      </c>
      <c r="J3339" t="s">
        <v>20</v>
      </c>
      <c r="K3339" t="s">
        <v>27</v>
      </c>
      <c r="L3339" t="s">
        <v>211</v>
      </c>
      <c r="M3339" t="s">
        <v>212</v>
      </c>
      <c r="N3339">
        <v>37.2072</v>
      </c>
      <c r="O3339">
        <v>-109.16475199999999</v>
      </c>
      <c r="P3339">
        <v>4535.5069979999998</v>
      </c>
      <c r="Q3339">
        <v>344</v>
      </c>
      <c r="R3339">
        <v>0</v>
      </c>
    </row>
    <row r="3340" spans="1:18" x14ac:dyDescent="0.25">
      <c r="A3340">
        <v>3339</v>
      </c>
      <c r="B3340">
        <v>94</v>
      </c>
      <c r="C3340">
        <v>27875703</v>
      </c>
      <c r="D3340" t="s">
        <v>245</v>
      </c>
      <c r="E3340">
        <v>23.678000000000001</v>
      </c>
      <c r="F3340" t="s">
        <v>21</v>
      </c>
      <c r="G3340" t="s">
        <v>26</v>
      </c>
      <c r="H3340" t="s">
        <v>21</v>
      </c>
      <c r="I3340" t="s">
        <v>20</v>
      </c>
      <c r="J3340" t="s">
        <v>20</v>
      </c>
      <c r="K3340" t="s">
        <v>22</v>
      </c>
      <c r="L3340" t="s">
        <v>97</v>
      </c>
      <c r="M3340" t="s">
        <v>98</v>
      </c>
      <c r="N3340">
        <v>40.937229000000002</v>
      </c>
      <c r="O3340">
        <v>-109.701228</v>
      </c>
      <c r="P3340">
        <v>6633.9932449999997</v>
      </c>
      <c r="Q3340">
        <v>1353</v>
      </c>
      <c r="R3340">
        <v>0</v>
      </c>
    </row>
    <row r="3341" spans="1:18" x14ac:dyDescent="0.25">
      <c r="A3341">
        <v>3340</v>
      </c>
      <c r="B3341">
        <v>94</v>
      </c>
      <c r="C3341">
        <v>31307284</v>
      </c>
      <c r="D3341" t="s">
        <v>268</v>
      </c>
      <c r="E3341">
        <v>23.686</v>
      </c>
      <c r="F3341" t="s">
        <v>21</v>
      </c>
      <c r="G3341" t="s">
        <v>26</v>
      </c>
      <c r="H3341" t="s">
        <v>21</v>
      </c>
      <c r="I3341" t="s">
        <v>20</v>
      </c>
      <c r="J3341" t="s">
        <v>20</v>
      </c>
      <c r="K3341" t="s">
        <v>41</v>
      </c>
      <c r="L3341" t="s">
        <v>181</v>
      </c>
      <c r="M3341" t="s">
        <v>43</v>
      </c>
      <c r="N3341">
        <v>41.722481000000002</v>
      </c>
      <c r="O3341">
        <v>-112.433682</v>
      </c>
      <c r="P3341">
        <v>4436.0437449999999</v>
      </c>
      <c r="Q3341">
        <v>1380</v>
      </c>
      <c r="R3341">
        <v>0</v>
      </c>
    </row>
    <row r="3342" spans="1:18" x14ac:dyDescent="0.25">
      <c r="A3342">
        <v>3341</v>
      </c>
      <c r="B3342">
        <v>94</v>
      </c>
      <c r="C3342">
        <v>31299718</v>
      </c>
      <c r="D3342" t="s">
        <v>316</v>
      </c>
      <c r="E3342">
        <v>26.283000000000001</v>
      </c>
      <c r="F3342" t="s">
        <v>21</v>
      </c>
      <c r="G3342" t="s">
        <v>26</v>
      </c>
      <c r="H3342" t="s">
        <v>21</v>
      </c>
      <c r="I3342" t="s">
        <v>20</v>
      </c>
      <c r="J3342" t="s">
        <v>20</v>
      </c>
      <c r="K3342" t="s">
        <v>22</v>
      </c>
      <c r="L3342" t="s">
        <v>168</v>
      </c>
      <c r="M3342" t="s">
        <v>302</v>
      </c>
      <c r="N3342">
        <v>40.472506000000003</v>
      </c>
      <c r="O3342">
        <v>-110.923688</v>
      </c>
      <c r="P3342">
        <v>7824.8088040000002</v>
      </c>
      <c r="Q3342">
        <v>1346</v>
      </c>
      <c r="R3342">
        <v>0</v>
      </c>
    </row>
    <row r="3343" spans="1:18" x14ac:dyDescent="0.25">
      <c r="A3343">
        <v>3342</v>
      </c>
      <c r="B3343">
        <v>94</v>
      </c>
      <c r="C3343">
        <v>31515379</v>
      </c>
      <c r="D3343" t="s">
        <v>292</v>
      </c>
      <c r="E3343">
        <v>26.294</v>
      </c>
      <c r="F3343" t="s">
        <v>21</v>
      </c>
      <c r="G3343" t="s">
        <v>26</v>
      </c>
      <c r="H3343" t="s">
        <v>21</v>
      </c>
      <c r="I3343" t="s">
        <v>20</v>
      </c>
      <c r="J3343" t="s">
        <v>20</v>
      </c>
      <c r="K3343" t="s">
        <v>22</v>
      </c>
      <c r="L3343" t="s">
        <v>253</v>
      </c>
      <c r="M3343" t="s">
        <v>134</v>
      </c>
      <c r="N3343">
        <v>40.305104</v>
      </c>
      <c r="O3343">
        <v>-110.241274</v>
      </c>
      <c r="P3343">
        <v>5912.841512</v>
      </c>
      <c r="Q3343">
        <v>323</v>
      </c>
      <c r="R3343">
        <v>0</v>
      </c>
    </row>
    <row r="3344" spans="1:18" x14ac:dyDescent="0.25">
      <c r="A3344">
        <v>3343</v>
      </c>
      <c r="B3344">
        <v>94</v>
      </c>
      <c r="C3344">
        <v>31421934</v>
      </c>
      <c r="D3344" t="s">
        <v>221</v>
      </c>
      <c r="E3344">
        <v>26.302</v>
      </c>
      <c r="F3344" t="s">
        <v>21</v>
      </c>
      <c r="G3344" t="s">
        <v>26</v>
      </c>
      <c r="H3344" t="s">
        <v>21</v>
      </c>
      <c r="I3344" t="s">
        <v>20</v>
      </c>
      <c r="J3344" t="s">
        <v>20</v>
      </c>
      <c r="K3344" t="s">
        <v>22</v>
      </c>
      <c r="L3344" t="s">
        <v>155</v>
      </c>
      <c r="M3344" t="s">
        <v>174</v>
      </c>
      <c r="N3344">
        <v>39.506695000000001</v>
      </c>
      <c r="O3344">
        <v>-111.87180499999999</v>
      </c>
      <c r="P3344">
        <v>5298.4130510000005</v>
      </c>
      <c r="Q3344">
        <v>1342</v>
      </c>
      <c r="R3344">
        <v>0</v>
      </c>
    </row>
    <row r="3345" spans="1:18" x14ac:dyDescent="0.25">
      <c r="A3345">
        <v>3344</v>
      </c>
      <c r="B3345">
        <v>94</v>
      </c>
      <c r="C3345" t="e">
        <f>-JNOUM73GBDHsJDh629ssk</f>
        <v>#NAME?</v>
      </c>
      <c r="D3345" t="s">
        <v>124</v>
      </c>
      <c r="E3345">
        <v>26.306999999999999</v>
      </c>
      <c r="F3345" t="s">
        <v>21</v>
      </c>
      <c r="G3345" t="s">
        <v>20</v>
      </c>
      <c r="H3345" t="s">
        <v>21</v>
      </c>
      <c r="I3345" t="s">
        <v>20</v>
      </c>
      <c r="J3345" t="s">
        <v>20</v>
      </c>
      <c r="K3345" t="s">
        <v>22</v>
      </c>
      <c r="L3345" t="s">
        <v>84</v>
      </c>
      <c r="M3345" t="s">
        <v>194</v>
      </c>
      <c r="N3345">
        <v>40.302176000000003</v>
      </c>
      <c r="O3345">
        <v>-111.885149</v>
      </c>
      <c r="P3345">
        <v>4533.236954</v>
      </c>
      <c r="Q3345">
        <v>1368</v>
      </c>
      <c r="R3345">
        <v>0</v>
      </c>
    </row>
    <row r="3346" spans="1:18" x14ac:dyDescent="0.25">
      <c r="A3346">
        <v>3345</v>
      </c>
      <c r="B3346">
        <v>94</v>
      </c>
      <c r="C3346" t="e">
        <f>-IovCsDFIW5WVtpc5hMPWk</f>
        <v>#NAME?</v>
      </c>
      <c r="D3346" t="s">
        <v>176</v>
      </c>
      <c r="E3346">
        <v>26.311</v>
      </c>
      <c r="F3346" t="s">
        <v>21</v>
      </c>
      <c r="G3346" t="s">
        <v>26</v>
      </c>
      <c r="H3346" t="s">
        <v>21</v>
      </c>
      <c r="I3346" t="s">
        <v>20</v>
      </c>
      <c r="J3346" t="s">
        <v>20</v>
      </c>
      <c r="K3346" t="s">
        <v>41</v>
      </c>
      <c r="L3346" t="s">
        <v>223</v>
      </c>
      <c r="M3346" t="s">
        <v>178</v>
      </c>
      <c r="N3346">
        <v>41.799526999999998</v>
      </c>
      <c r="O3346">
        <v>-112.145201</v>
      </c>
      <c r="P3346">
        <v>4318.1358499999997</v>
      </c>
      <c r="Q3346">
        <v>1329</v>
      </c>
      <c r="R3346">
        <v>0</v>
      </c>
    </row>
    <row r="3347" spans="1:18" x14ac:dyDescent="0.25">
      <c r="A3347">
        <v>3346</v>
      </c>
      <c r="B3347">
        <v>94</v>
      </c>
      <c r="C3347" t="e">
        <f>-JOYqPMMGda6JeyXT1nKRF</f>
        <v>#NAME?</v>
      </c>
      <c r="D3347" t="s">
        <v>241</v>
      </c>
      <c r="E3347">
        <v>26.324999999999999</v>
      </c>
      <c r="F3347" t="s">
        <v>21</v>
      </c>
      <c r="G3347" t="s">
        <v>26</v>
      </c>
      <c r="H3347" t="s">
        <v>21</v>
      </c>
      <c r="I3347" t="s">
        <v>20</v>
      </c>
      <c r="J3347" t="s">
        <v>20</v>
      </c>
      <c r="K3347" t="s">
        <v>27</v>
      </c>
      <c r="L3347" t="s">
        <v>242</v>
      </c>
      <c r="M3347" t="s">
        <v>243</v>
      </c>
      <c r="N3347">
        <v>39.082425999999998</v>
      </c>
      <c r="O3347">
        <v>-111.13186899999999</v>
      </c>
      <c r="P3347">
        <v>5835.5369460000002</v>
      </c>
      <c r="Q3347">
        <v>1327</v>
      </c>
      <c r="R3347">
        <v>0</v>
      </c>
    </row>
    <row r="3348" spans="1:18" x14ac:dyDescent="0.25">
      <c r="A3348">
        <v>3347</v>
      </c>
      <c r="B3348">
        <v>94</v>
      </c>
      <c r="C3348">
        <v>31308187</v>
      </c>
      <c r="D3348" t="s">
        <v>116</v>
      </c>
      <c r="E3348">
        <v>26.364999999999998</v>
      </c>
      <c r="F3348" t="s">
        <v>21</v>
      </c>
      <c r="G3348" t="s">
        <v>26</v>
      </c>
      <c r="H3348" t="s">
        <v>21</v>
      </c>
      <c r="I3348" t="s">
        <v>20</v>
      </c>
      <c r="J3348" t="s">
        <v>20</v>
      </c>
      <c r="K3348" t="s">
        <v>41</v>
      </c>
      <c r="L3348" t="s">
        <v>95</v>
      </c>
      <c r="M3348" t="s">
        <v>43</v>
      </c>
      <c r="N3348">
        <v>41.727730000000001</v>
      </c>
      <c r="O3348">
        <v>-111.83509599999999</v>
      </c>
      <c r="P3348">
        <v>4468.9865499999996</v>
      </c>
      <c r="Q3348">
        <v>324</v>
      </c>
      <c r="R3348">
        <v>0</v>
      </c>
    </row>
    <row r="3349" spans="1:18" x14ac:dyDescent="0.25">
      <c r="A3349">
        <v>3348</v>
      </c>
      <c r="B3349">
        <v>94</v>
      </c>
      <c r="C3349" t="e">
        <f>-IovCxqRI3mU2Z3FU-VJJF</f>
        <v>#NAME?</v>
      </c>
      <c r="D3349" t="s">
        <v>176</v>
      </c>
      <c r="E3349">
        <v>26.405000000000001</v>
      </c>
      <c r="F3349" t="s">
        <v>21</v>
      </c>
      <c r="G3349" t="s">
        <v>26</v>
      </c>
      <c r="H3349" t="s">
        <v>21</v>
      </c>
      <c r="I3349" t="s">
        <v>20</v>
      </c>
      <c r="J3349" t="s">
        <v>20</v>
      </c>
      <c r="K3349" t="s">
        <v>41</v>
      </c>
      <c r="L3349" t="s">
        <v>223</v>
      </c>
      <c r="M3349" t="s">
        <v>178</v>
      </c>
      <c r="N3349">
        <v>41.800865000000002</v>
      </c>
      <c r="O3349">
        <v>-112.14487800000001</v>
      </c>
      <c r="P3349">
        <v>4317.3798820000002</v>
      </c>
      <c r="Q3349">
        <v>1329</v>
      </c>
      <c r="R3349">
        <v>0</v>
      </c>
    </row>
    <row r="3350" spans="1:18" x14ac:dyDescent="0.25">
      <c r="A3350">
        <v>3349</v>
      </c>
      <c r="B3350">
        <v>94</v>
      </c>
      <c r="C3350">
        <v>27717001</v>
      </c>
      <c r="D3350" t="s">
        <v>217</v>
      </c>
      <c r="E3350">
        <v>22.655000000000001</v>
      </c>
      <c r="F3350" t="s">
        <v>21</v>
      </c>
      <c r="G3350" t="s">
        <v>26</v>
      </c>
      <c r="H3350" t="s">
        <v>21</v>
      </c>
      <c r="I3350" t="s">
        <v>20</v>
      </c>
      <c r="J3350" t="s">
        <v>20</v>
      </c>
      <c r="K3350" t="s">
        <v>27</v>
      </c>
      <c r="L3350" t="s">
        <v>162</v>
      </c>
      <c r="M3350" t="s">
        <v>163</v>
      </c>
      <c r="N3350">
        <v>37.365653000000002</v>
      </c>
      <c r="O3350">
        <v>-113.66738599999999</v>
      </c>
      <c r="P3350">
        <v>4834.2692580000003</v>
      </c>
      <c r="Q3350">
        <v>304</v>
      </c>
      <c r="R3350">
        <v>0</v>
      </c>
    </row>
    <row r="3351" spans="1:18" x14ac:dyDescent="0.25">
      <c r="A3351">
        <v>3350</v>
      </c>
      <c r="B3351">
        <v>94</v>
      </c>
      <c r="C3351">
        <v>31306575</v>
      </c>
      <c r="D3351" t="s">
        <v>203</v>
      </c>
      <c r="E3351">
        <v>22.66</v>
      </c>
      <c r="F3351" t="s">
        <v>21</v>
      </c>
      <c r="G3351" t="s">
        <v>26</v>
      </c>
      <c r="H3351" t="s">
        <v>21</v>
      </c>
      <c r="I3351" t="s">
        <v>20</v>
      </c>
      <c r="J3351" t="s">
        <v>20</v>
      </c>
      <c r="K3351" t="s">
        <v>41</v>
      </c>
      <c r="L3351" t="s">
        <v>255</v>
      </c>
      <c r="M3351" t="s">
        <v>204</v>
      </c>
      <c r="N3351">
        <v>41.263271000000003</v>
      </c>
      <c r="O3351">
        <v>-111.69829900000001</v>
      </c>
      <c r="P3351">
        <v>5059.36967</v>
      </c>
      <c r="Q3351">
        <v>1349</v>
      </c>
      <c r="R3351">
        <v>0</v>
      </c>
    </row>
    <row r="3352" spans="1:18" x14ac:dyDescent="0.25">
      <c r="A3352">
        <v>3351</v>
      </c>
      <c r="B3352">
        <v>94</v>
      </c>
      <c r="C3352">
        <v>31324888</v>
      </c>
      <c r="D3352" t="s">
        <v>303</v>
      </c>
      <c r="E3352">
        <v>22.664999999999999</v>
      </c>
      <c r="F3352" t="s">
        <v>21</v>
      </c>
      <c r="G3352" t="s">
        <v>20</v>
      </c>
      <c r="H3352" t="s">
        <v>21</v>
      </c>
      <c r="I3352" t="s">
        <v>20</v>
      </c>
      <c r="J3352" t="s">
        <v>20</v>
      </c>
      <c r="K3352" t="s">
        <v>27</v>
      </c>
      <c r="L3352" t="s">
        <v>72</v>
      </c>
      <c r="M3352" t="s">
        <v>73</v>
      </c>
      <c r="N3352">
        <v>37.179932000000001</v>
      </c>
      <c r="O3352">
        <v>-113.124717</v>
      </c>
      <c r="P3352">
        <v>3526.53584</v>
      </c>
      <c r="Q3352">
        <v>1326</v>
      </c>
      <c r="R3352">
        <v>0</v>
      </c>
    </row>
    <row r="3353" spans="1:18" x14ac:dyDescent="0.25">
      <c r="A3353">
        <v>3352</v>
      </c>
      <c r="B3353">
        <v>94</v>
      </c>
      <c r="C3353">
        <v>31512663</v>
      </c>
      <c r="D3353" t="s">
        <v>292</v>
      </c>
      <c r="E3353">
        <v>22.678999999999998</v>
      </c>
      <c r="F3353" t="s">
        <v>21</v>
      </c>
      <c r="G3353" t="s">
        <v>26</v>
      </c>
      <c r="H3353" t="s">
        <v>21</v>
      </c>
      <c r="I3353" t="s">
        <v>20</v>
      </c>
      <c r="J3353" t="s">
        <v>20</v>
      </c>
      <c r="K3353" t="s">
        <v>22</v>
      </c>
      <c r="L3353" t="s">
        <v>253</v>
      </c>
      <c r="M3353" t="s">
        <v>134</v>
      </c>
      <c r="N3353">
        <v>40.347828</v>
      </c>
      <c r="O3353">
        <v>-110.275183</v>
      </c>
      <c r="P3353">
        <v>6237.2950899999996</v>
      </c>
      <c r="Q3353">
        <v>323</v>
      </c>
      <c r="R3353">
        <v>0</v>
      </c>
    </row>
    <row r="3354" spans="1:18" x14ac:dyDescent="0.25">
      <c r="A3354">
        <v>3353</v>
      </c>
      <c r="B3354">
        <v>94</v>
      </c>
      <c r="C3354">
        <v>31305962</v>
      </c>
      <c r="D3354" t="s">
        <v>116</v>
      </c>
      <c r="E3354">
        <v>22.7</v>
      </c>
      <c r="F3354" t="s">
        <v>21</v>
      </c>
      <c r="G3354" t="s">
        <v>26</v>
      </c>
      <c r="H3354" t="s">
        <v>21</v>
      </c>
      <c r="I3354" t="s">
        <v>20</v>
      </c>
      <c r="J3354" t="s">
        <v>20</v>
      </c>
      <c r="K3354" t="s">
        <v>41</v>
      </c>
      <c r="L3354" t="s">
        <v>42</v>
      </c>
      <c r="M3354" t="s">
        <v>43</v>
      </c>
      <c r="N3354">
        <v>41.685578999999997</v>
      </c>
      <c r="O3354">
        <v>-111.87293699999999</v>
      </c>
      <c r="P3354">
        <v>4430.9211750000004</v>
      </c>
      <c r="Q3354">
        <v>324</v>
      </c>
      <c r="R3354">
        <v>0</v>
      </c>
    </row>
    <row r="3355" spans="1:18" x14ac:dyDescent="0.25">
      <c r="A3355">
        <v>3354</v>
      </c>
      <c r="B3355">
        <v>94</v>
      </c>
      <c r="C3355" t="e">
        <f>-IovACwxH6uZMfpOK0mNCF</f>
        <v>#NAME?</v>
      </c>
      <c r="D3355" t="s">
        <v>176</v>
      </c>
      <c r="E3355">
        <v>22.704000000000001</v>
      </c>
      <c r="F3355" t="s">
        <v>21</v>
      </c>
      <c r="G3355" t="s">
        <v>26</v>
      </c>
      <c r="H3355" t="s">
        <v>19</v>
      </c>
      <c r="I3355">
        <v>82</v>
      </c>
      <c r="J3355" t="s">
        <v>20</v>
      </c>
      <c r="K3355" t="s">
        <v>41</v>
      </c>
      <c r="L3355" t="s">
        <v>223</v>
      </c>
      <c r="M3355" t="s">
        <v>178</v>
      </c>
      <c r="N3355">
        <v>41.747951999999998</v>
      </c>
      <c r="O3355">
        <v>-112.147965</v>
      </c>
      <c r="P3355">
        <v>4293.7157559999996</v>
      </c>
      <c r="Q3355">
        <v>1329</v>
      </c>
      <c r="R3355">
        <v>0</v>
      </c>
    </row>
    <row r="3356" spans="1:18" x14ac:dyDescent="0.25">
      <c r="A3356">
        <v>3355</v>
      </c>
      <c r="B3356">
        <v>94</v>
      </c>
      <c r="C3356">
        <v>31284013</v>
      </c>
      <c r="D3356" t="s">
        <v>241</v>
      </c>
      <c r="E3356">
        <v>34.497999999999998</v>
      </c>
      <c r="F3356" t="s">
        <v>21</v>
      </c>
      <c r="G3356" t="s">
        <v>26</v>
      </c>
      <c r="H3356" t="s">
        <v>21</v>
      </c>
      <c r="I3356" t="s">
        <v>20</v>
      </c>
      <c r="J3356" t="s">
        <v>20</v>
      </c>
      <c r="K3356" t="s">
        <v>27</v>
      </c>
      <c r="L3356" t="s">
        <v>111</v>
      </c>
      <c r="M3356" t="s">
        <v>243</v>
      </c>
      <c r="N3356">
        <v>39.174334999999999</v>
      </c>
      <c r="O3356">
        <v>-111.04987800000001</v>
      </c>
      <c r="P3356">
        <v>5640.3859320000001</v>
      </c>
      <c r="Q3356">
        <v>1327</v>
      </c>
      <c r="R3356">
        <v>0</v>
      </c>
    </row>
    <row r="3357" spans="1:18" x14ac:dyDescent="0.25">
      <c r="A3357">
        <v>3356</v>
      </c>
      <c r="B3357">
        <v>94</v>
      </c>
      <c r="C3357">
        <v>31396260</v>
      </c>
      <c r="D3357" t="s">
        <v>124</v>
      </c>
      <c r="E3357">
        <v>34.524999999999999</v>
      </c>
      <c r="F3357" t="s">
        <v>19</v>
      </c>
      <c r="G3357" t="s">
        <v>20</v>
      </c>
      <c r="H3357" t="s">
        <v>19</v>
      </c>
      <c r="I3357">
        <v>85</v>
      </c>
      <c r="J3357" t="s">
        <v>20</v>
      </c>
      <c r="K3357" t="s">
        <v>22</v>
      </c>
      <c r="L3357" t="s">
        <v>84</v>
      </c>
      <c r="M3357" t="s">
        <v>125</v>
      </c>
      <c r="N3357">
        <v>40.413017000000004</v>
      </c>
      <c r="O3357">
        <v>-111.923106</v>
      </c>
      <c r="P3357">
        <v>4613.2538930000001</v>
      </c>
      <c r="Q3357">
        <v>1368</v>
      </c>
      <c r="R3357">
        <v>0</v>
      </c>
    </row>
    <row r="3358" spans="1:18" x14ac:dyDescent="0.25">
      <c r="A3358">
        <v>3357</v>
      </c>
      <c r="B3358">
        <v>94</v>
      </c>
      <c r="C3358">
        <v>31383313</v>
      </c>
      <c r="D3358" t="s">
        <v>116</v>
      </c>
      <c r="E3358">
        <v>34.595999999999997</v>
      </c>
      <c r="F3358" t="s">
        <v>21</v>
      </c>
      <c r="G3358" t="s">
        <v>26</v>
      </c>
      <c r="H3358" t="s">
        <v>21</v>
      </c>
      <c r="I3358" t="s">
        <v>20</v>
      </c>
      <c r="J3358" t="s">
        <v>20</v>
      </c>
      <c r="K3358" t="s">
        <v>41</v>
      </c>
      <c r="L3358" t="s">
        <v>95</v>
      </c>
      <c r="M3358" t="s">
        <v>117</v>
      </c>
      <c r="N3358">
        <v>41.846908999999997</v>
      </c>
      <c r="O3358">
        <v>-111.83237</v>
      </c>
      <c r="P3358">
        <v>4566.3473860000004</v>
      </c>
      <c r="Q3358">
        <v>324</v>
      </c>
      <c r="R3358">
        <v>0</v>
      </c>
    </row>
    <row r="3359" spans="1:18" x14ac:dyDescent="0.25">
      <c r="A3359">
        <v>3358</v>
      </c>
      <c r="B3359">
        <v>94</v>
      </c>
      <c r="C3359" t="e">
        <f>-JOiK7CcItHI5AncThYjhF</f>
        <v>#NAME?</v>
      </c>
      <c r="D3359" t="s">
        <v>244</v>
      </c>
      <c r="E3359">
        <v>34.627000000000002</v>
      </c>
      <c r="F3359" t="s">
        <v>21</v>
      </c>
      <c r="G3359" t="s">
        <v>26</v>
      </c>
      <c r="H3359" t="s">
        <v>21</v>
      </c>
      <c r="I3359" t="s">
        <v>20</v>
      </c>
      <c r="J3359" t="s">
        <v>20</v>
      </c>
      <c r="K3359" t="s">
        <v>27</v>
      </c>
      <c r="L3359" t="s">
        <v>266</v>
      </c>
      <c r="M3359" t="s">
        <v>58</v>
      </c>
      <c r="N3359">
        <v>38.535345</v>
      </c>
      <c r="O3359">
        <v>-111.836541</v>
      </c>
      <c r="P3359">
        <v>7190.1100130000004</v>
      </c>
      <c r="Q3359">
        <v>1340</v>
      </c>
      <c r="R3359">
        <v>0</v>
      </c>
    </row>
    <row r="3360" spans="1:18" x14ac:dyDescent="0.25">
      <c r="A3360">
        <v>3359</v>
      </c>
      <c r="B3360">
        <v>94</v>
      </c>
      <c r="C3360">
        <v>31608234</v>
      </c>
      <c r="D3360" t="s">
        <v>271</v>
      </c>
      <c r="E3360">
        <v>34.628999999999998</v>
      </c>
      <c r="F3360" t="s">
        <v>21</v>
      </c>
      <c r="G3360" t="s">
        <v>20</v>
      </c>
      <c r="H3360" t="s">
        <v>21</v>
      </c>
      <c r="I3360" t="s">
        <v>20</v>
      </c>
      <c r="J3360" t="s">
        <v>20</v>
      </c>
      <c r="K3360" t="s">
        <v>22</v>
      </c>
      <c r="L3360" t="s">
        <v>263</v>
      </c>
      <c r="M3360" t="s">
        <v>24</v>
      </c>
      <c r="N3360">
        <v>40.384599000000001</v>
      </c>
      <c r="O3360">
        <v>-111.950155</v>
      </c>
      <c r="P3360">
        <v>4761.7191650000004</v>
      </c>
      <c r="Q3360">
        <v>1372</v>
      </c>
      <c r="R3360">
        <v>0</v>
      </c>
    </row>
    <row r="3361" spans="1:18" x14ac:dyDescent="0.25">
      <c r="A3361">
        <v>3360</v>
      </c>
      <c r="B3361">
        <v>94</v>
      </c>
      <c r="C3361">
        <v>31608245</v>
      </c>
      <c r="D3361" t="s">
        <v>271</v>
      </c>
      <c r="E3361">
        <v>34.695999999999998</v>
      </c>
      <c r="F3361" t="s">
        <v>21</v>
      </c>
      <c r="G3361" t="s">
        <v>20</v>
      </c>
      <c r="H3361" t="s">
        <v>21</v>
      </c>
      <c r="I3361" t="s">
        <v>20</v>
      </c>
      <c r="J3361" t="s">
        <v>20</v>
      </c>
      <c r="K3361" t="s">
        <v>22</v>
      </c>
      <c r="L3361" t="s">
        <v>263</v>
      </c>
      <c r="M3361" t="s">
        <v>24</v>
      </c>
      <c r="N3361">
        <v>40.384815000000003</v>
      </c>
      <c r="O3361">
        <v>-111.94889999999999</v>
      </c>
      <c r="P3361">
        <v>4748.6911899999996</v>
      </c>
      <c r="Q3361">
        <v>1372</v>
      </c>
      <c r="R3361">
        <v>0</v>
      </c>
    </row>
    <row r="3362" spans="1:18" x14ac:dyDescent="0.25">
      <c r="A3362">
        <v>3361</v>
      </c>
      <c r="B3362">
        <v>94</v>
      </c>
      <c r="C3362">
        <v>31518611</v>
      </c>
      <c r="D3362" t="s">
        <v>292</v>
      </c>
      <c r="E3362">
        <v>34.768999999999998</v>
      </c>
      <c r="F3362" t="s">
        <v>21</v>
      </c>
      <c r="G3362" t="s">
        <v>26</v>
      </c>
      <c r="H3362" t="s">
        <v>21</v>
      </c>
      <c r="I3362" t="s">
        <v>20</v>
      </c>
      <c r="J3362" t="s">
        <v>20</v>
      </c>
      <c r="K3362" t="s">
        <v>22</v>
      </c>
      <c r="L3362" t="s">
        <v>133</v>
      </c>
      <c r="M3362" t="s">
        <v>134</v>
      </c>
      <c r="N3362">
        <v>40.258172999999999</v>
      </c>
      <c r="O3362">
        <v>-110.124286</v>
      </c>
      <c r="P3362">
        <v>5331.529579</v>
      </c>
      <c r="Q3362">
        <v>323</v>
      </c>
      <c r="R3362">
        <v>0</v>
      </c>
    </row>
    <row r="3363" spans="1:18" x14ac:dyDescent="0.25">
      <c r="A3363">
        <v>3362</v>
      </c>
      <c r="B3363">
        <v>94</v>
      </c>
      <c r="C3363">
        <v>31411026</v>
      </c>
      <c r="D3363" t="s">
        <v>63</v>
      </c>
      <c r="E3363">
        <v>34.768999999999998</v>
      </c>
      <c r="F3363" t="s">
        <v>21</v>
      </c>
      <c r="G3363" t="s">
        <v>26</v>
      </c>
      <c r="H3363" t="s">
        <v>21</v>
      </c>
      <c r="I3363" t="s">
        <v>20</v>
      </c>
      <c r="J3363" t="s">
        <v>20</v>
      </c>
      <c r="K3363" t="s">
        <v>27</v>
      </c>
      <c r="L3363" t="s">
        <v>266</v>
      </c>
      <c r="M3363" t="s">
        <v>29</v>
      </c>
      <c r="N3363">
        <v>38.472408999999999</v>
      </c>
      <c r="O3363">
        <v>-111.904421</v>
      </c>
      <c r="P3363">
        <v>6784.361159</v>
      </c>
      <c r="Q3363">
        <v>1365</v>
      </c>
      <c r="R3363">
        <v>0</v>
      </c>
    </row>
    <row r="3364" spans="1:18" x14ac:dyDescent="0.25">
      <c r="A3364">
        <v>3363</v>
      </c>
      <c r="B3364">
        <v>94</v>
      </c>
      <c r="C3364">
        <v>31576565</v>
      </c>
      <c r="D3364" t="s">
        <v>172</v>
      </c>
      <c r="E3364">
        <v>34.777000000000001</v>
      </c>
      <c r="F3364" t="s">
        <v>21</v>
      </c>
      <c r="G3364" t="s">
        <v>26</v>
      </c>
      <c r="H3364" t="s">
        <v>21</v>
      </c>
      <c r="I3364" t="s">
        <v>20</v>
      </c>
      <c r="J3364" t="s">
        <v>20</v>
      </c>
      <c r="K3364" t="s">
        <v>22</v>
      </c>
      <c r="L3364" t="s">
        <v>155</v>
      </c>
      <c r="M3364" t="s">
        <v>174</v>
      </c>
      <c r="N3364">
        <v>39.713287000000001</v>
      </c>
      <c r="O3364">
        <v>-111.807677</v>
      </c>
      <c r="P3364">
        <v>5206.6948249999996</v>
      </c>
      <c r="Q3364">
        <v>1411</v>
      </c>
      <c r="R3364">
        <v>0</v>
      </c>
    </row>
    <row r="3365" spans="1:18" x14ac:dyDescent="0.25">
      <c r="A3365">
        <v>3364</v>
      </c>
      <c r="B3365">
        <v>94</v>
      </c>
      <c r="C3365">
        <v>31383324</v>
      </c>
      <c r="D3365" t="s">
        <v>116</v>
      </c>
      <c r="E3365">
        <v>34.795000000000002</v>
      </c>
      <c r="F3365" t="s">
        <v>21</v>
      </c>
      <c r="G3365" t="s">
        <v>26</v>
      </c>
      <c r="H3365" t="s">
        <v>21</v>
      </c>
      <c r="I3365" t="s">
        <v>20</v>
      </c>
      <c r="J3365" t="s">
        <v>20</v>
      </c>
      <c r="K3365" t="s">
        <v>41</v>
      </c>
      <c r="L3365" t="s">
        <v>95</v>
      </c>
      <c r="M3365" t="s">
        <v>117</v>
      </c>
      <c r="N3365">
        <v>41.849770999999997</v>
      </c>
      <c r="O3365">
        <v>-111.83210800000001</v>
      </c>
      <c r="P3365">
        <v>4568.6152990000001</v>
      </c>
      <c r="Q3365">
        <v>324</v>
      </c>
      <c r="R3365">
        <v>0</v>
      </c>
    </row>
    <row r="3366" spans="1:18" x14ac:dyDescent="0.25">
      <c r="A3366">
        <v>3365</v>
      </c>
      <c r="B3366">
        <v>94</v>
      </c>
      <c r="C3366">
        <v>31534748</v>
      </c>
      <c r="D3366" t="s">
        <v>121</v>
      </c>
      <c r="E3366">
        <v>34.847000000000001</v>
      </c>
      <c r="F3366" t="s">
        <v>21</v>
      </c>
      <c r="G3366" t="s">
        <v>26</v>
      </c>
      <c r="H3366" t="s">
        <v>21</v>
      </c>
      <c r="I3366" t="s">
        <v>20</v>
      </c>
      <c r="J3366" t="s">
        <v>20</v>
      </c>
      <c r="K3366" t="s">
        <v>27</v>
      </c>
      <c r="L3366" t="s">
        <v>122</v>
      </c>
      <c r="M3366" t="s">
        <v>123</v>
      </c>
      <c r="N3366">
        <v>37.575608000000003</v>
      </c>
      <c r="O3366">
        <v>-110.71198</v>
      </c>
      <c r="P3366">
        <v>3889.1985239999999</v>
      </c>
      <c r="Q3366">
        <v>1283</v>
      </c>
      <c r="R3366">
        <v>0</v>
      </c>
    </row>
    <row r="3367" spans="1:18" x14ac:dyDescent="0.25">
      <c r="A3367">
        <v>3366</v>
      </c>
      <c r="B3367">
        <v>94</v>
      </c>
      <c r="C3367">
        <v>31411037</v>
      </c>
      <c r="D3367" t="s">
        <v>63</v>
      </c>
      <c r="E3367">
        <v>34.860999999999997</v>
      </c>
      <c r="F3367" t="s">
        <v>21</v>
      </c>
      <c r="G3367" t="s">
        <v>20</v>
      </c>
      <c r="H3367" t="s">
        <v>21</v>
      </c>
      <c r="I3367" t="s">
        <v>20</v>
      </c>
      <c r="J3367" t="s">
        <v>20</v>
      </c>
      <c r="K3367" t="s">
        <v>27</v>
      </c>
      <c r="L3367" t="s">
        <v>266</v>
      </c>
      <c r="M3367" t="s">
        <v>29</v>
      </c>
      <c r="N3367">
        <v>38.473590000000002</v>
      </c>
      <c r="O3367">
        <v>-111.903648</v>
      </c>
      <c r="P3367">
        <v>6787.0913899999996</v>
      </c>
      <c r="Q3367">
        <v>1365</v>
      </c>
      <c r="R3367">
        <v>0</v>
      </c>
    </row>
    <row r="3368" spans="1:18" x14ac:dyDescent="0.25">
      <c r="A3368">
        <v>3367</v>
      </c>
      <c r="B3368">
        <v>94</v>
      </c>
      <c r="C3368">
        <v>31374690</v>
      </c>
      <c r="D3368" t="s">
        <v>199</v>
      </c>
      <c r="E3368">
        <v>34.863999999999997</v>
      </c>
      <c r="F3368" t="s">
        <v>21</v>
      </c>
      <c r="G3368" t="s">
        <v>26</v>
      </c>
      <c r="H3368" t="s">
        <v>21</v>
      </c>
      <c r="I3368" t="s">
        <v>20</v>
      </c>
      <c r="J3368" t="s">
        <v>20</v>
      </c>
      <c r="K3368" t="s">
        <v>27</v>
      </c>
      <c r="L3368" t="s">
        <v>64</v>
      </c>
      <c r="M3368" t="s">
        <v>200</v>
      </c>
      <c r="N3368">
        <v>38.265222999999999</v>
      </c>
      <c r="O3368">
        <v>-112.304833</v>
      </c>
      <c r="P3368">
        <v>7252.4612150000003</v>
      </c>
      <c r="Q3368">
        <v>341</v>
      </c>
      <c r="R3368">
        <v>0</v>
      </c>
    </row>
    <row r="3369" spans="1:18" x14ac:dyDescent="0.25">
      <c r="A3369">
        <v>3368</v>
      </c>
      <c r="B3369">
        <v>94</v>
      </c>
      <c r="C3369">
        <v>31374701</v>
      </c>
      <c r="D3369" t="s">
        <v>199</v>
      </c>
      <c r="E3369">
        <v>34.893000000000001</v>
      </c>
      <c r="F3369" t="s">
        <v>21</v>
      </c>
      <c r="G3369" t="s">
        <v>26</v>
      </c>
      <c r="H3369" t="s">
        <v>21</v>
      </c>
      <c r="I3369" t="s">
        <v>20</v>
      </c>
      <c r="J3369" t="s">
        <v>20</v>
      </c>
      <c r="K3369" t="s">
        <v>27</v>
      </c>
      <c r="L3369" t="s">
        <v>64</v>
      </c>
      <c r="M3369" t="s">
        <v>200</v>
      </c>
      <c r="N3369">
        <v>38.265318000000001</v>
      </c>
      <c r="O3369">
        <v>-112.304311</v>
      </c>
      <c r="P3369">
        <v>7235.8995139999997</v>
      </c>
      <c r="Q3369">
        <v>341</v>
      </c>
      <c r="R3369">
        <v>0</v>
      </c>
    </row>
    <row r="3370" spans="1:18" x14ac:dyDescent="0.25">
      <c r="A3370">
        <v>3369</v>
      </c>
      <c r="B3370">
        <v>94</v>
      </c>
      <c r="C3370">
        <v>31608906</v>
      </c>
      <c r="D3370" t="s">
        <v>271</v>
      </c>
      <c r="E3370">
        <v>34.909999999999997</v>
      </c>
      <c r="F3370" t="s">
        <v>21</v>
      </c>
      <c r="G3370" t="s">
        <v>26</v>
      </c>
      <c r="H3370" t="s">
        <v>21</v>
      </c>
      <c r="I3370" t="s">
        <v>20</v>
      </c>
      <c r="J3370" t="s">
        <v>20</v>
      </c>
      <c r="K3370" t="s">
        <v>22</v>
      </c>
      <c r="L3370" t="s">
        <v>263</v>
      </c>
      <c r="M3370" t="s">
        <v>24</v>
      </c>
      <c r="N3370">
        <v>40.385455</v>
      </c>
      <c r="O3370">
        <v>-111.94494</v>
      </c>
      <c r="P3370">
        <v>4705.6726079999999</v>
      </c>
      <c r="Q3370">
        <v>1372</v>
      </c>
      <c r="R3370">
        <v>0</v>
      </c>
    </row>
    <row r="3371" spans="1:18" x14ac:dyDescent="0.25">
      <c r="A3371">
        <v>3370</v>
      </c>
      <c r="B3371">
        <v>94</v>
      </c>
      <c r="C3371">
        <v>31728955</v>
      </c>
      <c r="D3371" t="s">
        <v>118</v>
      </c>
      <c r="E3371">
        <v>34.927999999999997</v>
      </c>
      <c r="F3371" t="s">
        <v>21</v>
      </c>
      <c r="G3371" t="s">
        <v>26</v>
      </c>
      <c r="H3371" t="s">
        <v>21</v>
      </c>
      <c r="I3371" t="s">
        <v>20</v>
      </c>
      <c r="J3371" t="s">
        <v>20</v>
      </c>
      <c r="K3371" t="s">
        <v>22</v>
      </c>
      <c r="L3371" t="s">
        <v>119</v>
      </c>
      <c r="M3371" t="s">
        <v>120</v>
      </c>
      <c r="N3371">
        <v>40.294131</v>
      </c>
      <c r="O3371">
        <v>-111.250641</v>
      </c>
      <c r="P3371">
        <v>7880.0571319999999</v>
      </c>
      <c r="Q3371">
        <v>310</v>
      </c>
      <c r="R3371">
        <v>0</v>
      </c>
    </row>
    <row r="3372" spans="1:18" x14ac:dyDescent="0.25">
      <c r="A3372">
        <v>3371</v>
      </c>
      <c r="B3372">
        <v>94</v>
      </c>
      <c r="C3372" t="e">
        <f>-IoS-ltfFtefd18RzldsZk</f>
        <v>#NAME?</v>
      </c>
      <c r="D3372" t="s">
        <v>272</v>
      </c>
      <c r="E3372">
        <v>334.29700000000003</v>
      </c>
      <c r="F3372" t="s">
        <v>19</v>
      </c>
      <c r="G3372" t="s">
        <v>20</v>
      </c>
      <c r="H3372" t="s">
        <v>21</v>
      </c>
      <c r="I3372" t="s">
        <v>20</v>
      </c>
      <c r="J3372" t="s">
        <v>20</v>
      </c>
      <c r="K3372" t="s">
        <v>22</v>
      </c>
      <c r="L3372" t="s">
        <v>23</v>
      </c>
      <c r="M3372" t="s">
        <v>125</v>
      </c>
      <c r="N3372">
        <v>40.229722000000002</v>
      </c>
      <c r="O3372">
        <v>-111.662257</v>
      </c>
      <c r="P3372">
        <v>4473.7121859999997</v>
      </c>
      <c r="Q3372">
        <v>1384</v>
      </c>
      <c r="R3372">
        <v>0</v>
      </c>
    </row>
    <row r="3373" spans="1:18" x14ac:dyDescent="0.25">
      <c r="A3373">
        <v>3372</v>
      </c>
      <c r="B3373">
        <v>94</v>
      </c>
      <c r="C3373" t="e">
        <f>-IoS03EfH75SsqHvxzAk_k</f>
        <v>#NAME?</v>
      </c>
      <c r="D3373" t="s">
        <v>272</v>
      </c>
      <c r="E3373">
        <v>334.38600000000002</v>
      </c>
      <c r="F3373" t="s">
        <v>21</v>
      </c>
      <c r="G3373" t="s">
        <v>26</v>
      </c>
      <c r="H3373" t="s">
        <v>21</v>
      </c>
      <c r="I3373" t="s">
        <v>20</v>
      </c>
      <c r="J3373" t="s">
        <v>20</v>
      </c>
      <c r="K3373" t="s">
        <v>22</v>
      </c>
      <c r="L3373" t="s">
        <v>23</v>
      </c>
      <c r="M3373" t="s">
        <v>125</v>
      </c>
      <c r="N3373">
        <v>40.229733000000003</v>
      </c>
      <c r="O3373">
        <v>-111.663944</v>
      </c>
      <c r="P3373">
        <v>4472.45892</v>
      </c>
      <c r="Q3373">
        <v>1384</v>
      </c>
      <c r="R3373">
        <v>0</v>
      </c>
    </row>
    <row r="3374" spans="1:18" x14ac:dyDescent="0.25">
      <c r="A3374">
        <v>3373</v>
      </c>
      <c r="B3374">
        <v>94</v>
      </c>
      <c r="C3374" t="e">
        <f>-IoS0PCzIfakL4EKTmT42k</f>
        <v>#NAME?</v>
      </c>
      <c r="D3374" t="s">
        <v>272</v>
      </c>
      <c r="E3374">
        <v>334.48</v>
      </c>
      <c r="F3374" t="s">
        <v>21</v>
      </c>
      <c r="G3374" t="s">
        <v>26</v>
      </c>
      <c r="H3374" t="s">
        <v>21</v>
      </c>
      <c r="I3374" t="s">
        <v>20</v>
      </c>
      <c r="J3374" t="s">
        <v>20</v>
      </c>
      <c r="K3374" t="s">
        <v>22</v>
      </c>
      <c r="L3374" t="s">
        <v>23</v>
      </c>
      <c r="M3374" t="s">
        <v>125</v>
      </c>
      <c r="N3374">
        <v>40.229737999999998</v>
      </c>
      <c r="O3374">
        <v>-111.665711</v>
      </c>
      <c r="P3374">
        <v>4473.5192429999997</v>
      </c>
      <c r="Q3374">
        <v>1384</v>
      </c>
      <c r="R3374">
        <v>0</v>
      </c>
    </row>
    <row r="3375" spans="1:18" x14ac:dyDescent="0.25">
      <c r="A3375">
        <v>3374</v>
      </c>
      <c r="B3375">
        <v>94</v>
      </c>
      <c r="C3375" t="s">
        <v>571</v>
      </c>
      <c r="D3375" t="s">
        <v>272</v>
      </c>
      <c r="E3375">
        <v>334.565</v>
      </c>
      <c r="F3375" t="s">
        <v>19</v>
      </c>
      <c r="G3375" t="s">
        <v>20</v>
      </c>
      <c r="H3375" t="s">
        <v>21</v>
      </c>
      <c r="I3375" t="s">
        <v>20</v>
      </c>
      <c r="J3375" t="s">
        <v>20</v>
      </c>
      <c r="K3375" t="s">
        <v>22</v>
      </c>
      <c r="L3375" t="s">
        <v>23</v>
      </c>
      <c r="M3375" t="s">
        <v>125</v>
      </c>
      <c r="N3375">
        <v>40.229731000000001</v>
      </c>
      <c r="O3375">
        <v>-111.667456</v>
      </c>
      <c r="P3375">
        <v>4473.9060840000002</v>
      </c>
      <c r="Q3375">
        <v>1384</v>
      </c>
      <c r="R3375">
        <v>0</v>
      </c>
    </row>
    <row r="3376" spans="1:18" x14ac:dyDescent="0.25">
      <c r="A3376">
        <v>3375</v>
      </c>
      <c r="B3376">
        <v>94</v>
      </c>
      <c r="C3376" t="e">
        <f>-IoS2np7F5X2mIHt-TUqNV</f>
        <v>#NAME?</v>
      </c>
      <c r="D3376" t="s">
        <v>272</v>
      </c>
      <c r="E3376">
        <v>334.66699999999997</v>
      </c>
      <c r="F3376" t="s">
        <v>21</v>
      </c>
      <c r="G3376" t="s">
        <v>26</v>
      </c>
      <c r="H3376" t="s">
        <v>21</v>
      </c>
      <c r="I3376" t="s">
        <v>20</v>
      </c>
      <c r="J3376" t="s">
        <v>20</v>
      </c>
      <c r="K3376" t="s">
        <v>22</v>
      </c>
      <c r="L3376" t="s">
        <v>23</v>
      </c>
      <c r="M3376" t="s">
        <v>125</v>
      </c>
      <c r="N3376">
        <v>40.231043999999997</v>
      </c>
      <c r="O3376">
        <v>-111.667514</v>
      </c>
      <c r="P3376">
        <v>4477.1658319999997</v>
      </c>
      <c r="Q3376">
        <v>1384</v>
      </c>
      <c r="R3376">
        <v>0</v>
      </c>
    </row>
    <row r="3377" spans="1:18" x14ac:dyDescent="0.25">
      <c r="A3377">
        <v>3376</v>
      </c>
      <c r="B3377">
        <v>94</v>
      </c>
      <c r="C3377" t="e">
        <f>-IoS3c6yHtit46Nuh3kfFV</f>
        <v>#NAME?</v>
      </c>
      <c r="D3377" t="s">
        <v>272</v>
      </c>
      <c r="E3377">
        <v>334.76</v>
      </c>
      <c r="F3377" t="s">
        <v>21</v>
      </c>
      <c r="G3377" t="s">
        <v>26</v>
      </c>
      <c r="H3377" t="s">
        <v>21</v>
      </c>
      <c r="I3377" t="s">
        <v>20</v>
      </c>
      <c r="J3377" t="s">
        <v>20</v>
      </c>
      <c r="K3377" t="s">
        <v>22</v>
      </c>
      <c r="L3377" t="s">
        <v>23</v>
      </c>
      <c r="M3377" t="s">
        <v>125</v>
      </c>
      <c r="N3377">
        <v>40.232377999999997</v>
      </c>
      <c r="O3377">
        <v>-111.66748800000001</v>
      </c>
      <c r="P3377">
        <v>4480.9575910000003</v>
      </c>
      <c r="Q3377">
        <v>1384</v>
      </c>
      <c r="R3377">
        <v>0</v>
      </c>
    </row>
    <row r="3378" spans="1:18" x14ac:dyDescent="0.25">
      <c r="A3378">
        <v>3377</v>
      </c>
      <c r="B3378">
        <v>94</v>
      </c>
      <c r="C3378" t="e">
        <f>-IoS6uNsHYDEcDh2a3mHfk</f>
        <v>#NAME?</v>
      </c>
      <c r="D3378" t="s">
        <v>272</v>
      </c>
      <c r="E3378">
        <v>334.85500000000002</v>
      </c>
      <c r="F3378" t="s">
        <v>19</v>
      </c>
      <c r="G3378" t="s">
        <v>20</v>
      </c>
      <c r="H3378" t="s">
        <v>19</v>
      </c>
      <c r="I3378">
        <v>114</v>
      </c>
      <c r="J3378" t="s">
        <v>20</v>
      </c>
      <c r="K3378" t="s">
        <v>22</v>
      </c>
      <c r="L3378" t="s">
        <v>23</v>
      </c>
      <c r="M3378" t="s">
        <v>125</v>
      </c>
      <c r="N3378">
        <v>40.233755000000002</v>
      </c>
      <c r="O3378">
        <v>-111.667489</v>
      </c>
      <c r="P3378">
        <v>4485.0600930000001</v>
      </c>
      <c r="Q3378">
        <v>1384</v>
      </c>
      <c r="R3378">
        <v>0</v>
      </c>
    </row>
    <row r="3379" spans="1:18" x14ac:dyDescent="0.25">
      <c r="A3379">
        <v>3378</v>
      </c>
      <c r="B3379">
        <v>94</v>
      </c>
      <c r="C3379" t="e">
        <f>-IoS9GKDIOuy6FoD7Mb1wk</f>
        <v>#NAME?</v>
      </c>
      <c r="D3379" t="s">
        <v>272</v>
      </c>
      <c r="E3379">
        <v>334.95100000000002</v>
      </c>
      <c r="F3379" t="s">
        <v>19</v>
      </c>
      <c r="G3379" t="s">
        <v>20</v>
      </c>
      <c r="H3379" t="s">
        <v>21</v>
      </c>
      <c r="I3379" t="s">
        <v>20</v>
      </c>
      <c r="J3379" t="s">
        <v>20</v>
      </c>
      <c r="K3379" t="s">
        <v>22</v>
      </c>
      <c r="L3379" t="s">
        <v>23</v>
      </c>
      <c r="M3379" t="s">
        <v>125</v>
      </c>
      <c r="N3379">
        <v>40.235129999999998</v>
      </c>
      <c r="O3379">
        <v>-111.667467</v>
      </c>
      <c r="P3379">
        <v>4489.9223959999999</v>
      </c>
      <c r="Q3379">
        <v>1384</v>
      </c>
      <c r="R3379">
        <v>0</v>
      </c>
    </row>
    <row r="3380" spans="1:18" x14ac:dyDescent="0.25">
      <c r="A3380">
        <v>3379</v>
      </c>
      <c r="B3380">
        <v>94</v>
      </c>
      <c r="C3380" t="e">
        <f>-IoSAmreGQ5a4lkeiQsfZk</f>
        <v>#NAME?</v>
      </c>
      <c r="D3380" t="s">
        <v>272</v>
      </c>
      <c r="E3380">
        <v>335.04300000000001</v>
      </c>
      <c r="F3380" t="s">
        <v>21</v>
      </c>
      <c r="G3380" t="s">
        <v>26</v>
      </c>
      <c r="H3380" t="s">
        <v>21</v>
      </c>
      <c r="I3380" t="s">
        <v>20</v>
      </c>
      <c r="J3380" t="s">
        <v>20</v>
      </c>
      <c r="K3380" t="s">
        <v>22</v>
      </c>
      <c r="L3380" t="s">
        <v>23</v>
      </c>
      <c r="M3380" t="s">
        <v>125</v>
      </c>
      <c r="N3380">
        <v>40.236452</v>
      </c>
      <c r="O3380">
        <v>-111.667458</v>
      </c>
      <c r="P3380">
        <v>4493.2565249999998</v>
      </c>
      <c r="Q3380">
        <v>1384</v>
      </c>
      <c r="R3380">
        <v>0</v>
      </c>
    </row>
    <row r="3381" spans="1:18" x14ac:dyDescent="0.25">
      <c r="A3381">
        <v>3380</v>
      </c>
      <c r="B3381">
        <v>94</v>
      </c>
      <c r="C3381" t="s">
        <v>572</v>
      </c>
      <c r="D3381" t="s">
        <v>272</v>
      </c>
      <c r="E3381">
        <v>335.13600000000002</v>
      </c>
      <c r="F3381" t="s">
        <v>21</v>
      </c>
      <c r="G3381" t="s">
        <v>26</v>
      </c>
      <c r="H3381" t="s">
        <v>21</v>
      </c>
      <c r="I3381" t="s">
        <v>20</v>
      </c>
      <c r="J3381" t="s">
        <v>20</v>
      </c>
      <c r="K3381" t="s">
        <v>22</v>
      </c>
      <c r="L3381" t="s">
        <v>23</v>
      </c>
      <c r="M3381" t="s">
        <v>125</v>
      </c>
      <c r="N3381">
        <v>40.237791999999999</v>
      </c>
      <c r="O3381">
        <v>-111.667464</v>
      </c>
      <c r="P3381">
        <v>4498.0682550000001</v>
      </c>
      <c r="Q3381">
        <v>1384</v>
      </c>
      <c r="R3381">
        <v>0</v>
      </c>
    </row>
    <row r="3382" spans="1:18" x14ac:dyDescent="0.25">
      <c r="A3382">
        <v>3381</v>
      </c>
      <c r="B3382">
        <v>94</v>
      </c>
      <c r="C3382" t="s">
        <v>573</v>
      </c>
      <c r="D3382" t="s">
        <v>272</v>
      </c>
      <c r="E3382">
        <v>335.22800000000001</v>
      </c>
      <c r="F3382" t="s">
        <v>21</v>
      </c>
      <c r="G3382" t="s">
        <v>26</v>
      </c>
      <c r="H3382" t="s">
        <v>21</v>
      </c>
      <c r="I3382" t="s">
        <v>20</v>
      </c>
      <c r="J3382" t="s">
        <v>20</v>
      </c>
      <c r="K3382" t="s">
        <v>22</v>
      </c>
      <c r="L3382" t="s">
        <v>23</v>
      </c>
      <c r="M3382" t="s">
        <v>125</v>
      </c>
      <c r="N3382">
        <v>40.239108999999999</v>
      </c>
      <c r="O3382">
        <v>-111.667438</v>
      </c>
      <c r="P3382">
        <v>4500.8481460000003</v>
      </c>
      <c r="Q3382">
        <v>1384</v>
      </c>
      <c r="R3382">
        <v>0</v>
      </c>
    </row>
    <row r="3383" spans="1:18" x14ac:dyDescent="0.25">
      <c r="A3383">
        <v>3382</v>
      </c>
      <c r="B3383">
        <v>94</v>
      </c>
      <c r="C3383" t="e">
        <f>-IoSD_YcInetfmwOvDfBik</f>
        <v>#NAME?</v>
      </c>
      <c r="D3383" t="s">
        <v>272</v>
      </c>
      <c r="E3383">
        <v>335.32100000000003</v>
      </c>
      <c r="F3383" t="s">
        <v>19</v>
      </c>
      <c r="G3383" t="s">
        <v>20</v>
      </c>
      <c r="H3383" t="s">
        <v>21</v>
      </c>
      <c r="I3383" t="s">
        <v>20</v>
      </c>
      <c r="J3383" t="s">
        <v>20</v>
      </c>
      <c r="K3383" t="s">
        <v>22</v>
      </c>
      <c r="L3383" t="s">
        <v>23</v>
      </c>
      <c r="M3383" t="s">
        <v>125</v>
      </c>
      <c r="N3383">
        <v>40.240442999999999</v>
      </c>
      <c r="O3383">
        <v>-111.667434</v>
      </c>
      <c r="P3383">
        <v>4504.5964240000003</v>
      </c>
      <c r="Q3383">
        <v>1384</v>
      </c>
      <c r="R3383">
        <v>0</v>
      </c>
    </row>
    <row r="3384" spans="1:18" x14ac:dyDescent="0.25">
      <c r="A3384">
        <v>3383</v>
      </c>
      <c r="B3384">
        <v>94</v>
      </c>
      <c r="C3384" t="e">
        <f>-IoSELoqF1aZY6N-rGy8wV</f>
        <v>#NAME?</v>
      </c>
      <c r="D3384" t="s">
        <v>272</v>
      </c>
      <c r="E3384">
        <v>335.411</v>
      </c>
      <c r="F3384" t="s">
        <v>21</v>
      </c>
      <c r="G3384" t="s">
        <v>26</v>
      </c>
      <c r="H3384" t="s">
        <v>21</v>
      </c>
      <c r="I3384" t="s">
        <v>20</v>
      </c>
      <c r="J3384" t="s">
        <v>20</v>
      </c>
      <c r="K3384" t="s">
        <v>22</v>
      </c>
      <c r="L3384" t="s">
        <v>23</v>
      </c>
      <c r="M3384" t="s">
        <v>125</v>
      </c>
      <c r="N3384">
        <v>40.241737999999998</v>
      </c>
      <c r="O3384">
        <v>-111.667445</v>
      </c>
      <c r="P3384">
        <v>4508.8499069999998</v>
      </c>
      <c r="Q3384">
        <v>1384</v>
      </c>
      <c r="R3384">
        <v>0</v>
      </c>
    </row>
    <row r="3385" spans="1:18" x14ac:dyDescent="0.25">
      <c r="A3385">
        <v>3384</v>
      </c>
      <c r="B3385">
        <v>94</v>
      </c>
      <c r="C3385" t="s">
        <v>574</v>
      </c>
      <c r="D3385" t="s">
        <v>272</v>
      </c>
      <c r="E3385">
        <v>335.505</v>
      </c>
      <c r="F3385" t="s">
        <v>21</v>
      </c>
      <c r="G3385" t="s">
        <v>26</v>
      </c>
      <c r="H3385" t="s">
        <v>21</v>
      </c>
      <c r="I3385" t="s">
        <v>20</v>
      </c>
      <c r="J3385" t="s">
        <v>20</v>
      </c>
      <c r="K3385" t="s">
        <v>22</v>
      </c>
      <c r="L3385" t="s">
        <v>23</v>
      </c>
      <c r="M3385" t="s">
        <v>125</v>
      </c>
      <c r="N3385">
        <v>40.243071999999998</v>
      </c>
      <c r="O3385">
        <v>-111.66743099999999</v>
      </c>
      <c r="P3385">
        <v>4514.5431079999998</v>
      </c>
      <c r="Q3385">
        <v>1384</v>
      </c>
      <c r="R3385">
        <v>0</v>
      </c>
    </row>
    <row r="3386" spans="1:18" x14ac:dyDescent="0.25">
      <c r="A3386">
        <v>3385</v>
      </c>
      <c r="B3386">
        <v>94</v>
      </c>
      <c r="C3386" t="e">
        <f>-IoSIgiWFZu4fyCjBT_xuV</f>
        <v>#NAME?</v>
      </c>
      <c r="D3386" t="s">
        <v>272</v>
      </c>
      <c r="E3386">
        <v>335.59199999999998</v>
      </c>
      <c r="F3386" t="s">
        <v>19</v>
      </c>
      <c r="G3386" t="s">
        <v>20</v>
      </c>
      <c r="H3386" t="s">
        <v>21</v>
      </c>
      <c r="I3386" t="s">
        <v>20</v>
      </c>
      <c r="J3386" t="s">
        <v>20</v>
      </c>
      <c r="K3386" t="s">
        <v>22</v>
      </c>
      <c r="L3386" t="s">
        <v>23</v>
      </c>
      <c r="M3386" t="s">
        <v>125</v>
      </c>
      <c r="N3386">
        <v>40.244329999999998</v>
      </c>
      <c r="O3386">
        <v>-111.667429</v>
      </c>
      <c r="P3386">
        <v>4515.951607</v>
      </c>
      <c r="Q3386">
        <v>1384</v>
      </c>
      <c r="R3386">
        <v>0</v>
      </c>
    </row>
    <row r="3387" spans="1:18" x14ac:dyDescent="0.25">
      <c r="A3387">
        <v>3386</v>
      </c>
      <c r="B3387">
        <v>94</v>
      </c>
      <c r="C3387" t="e">
        <f>-IoSJzIuGWTotA5OPdsCzk</f>
        <v>#NAME?</v>
      </c>
      <c r="D3387" t="s">
        <v>272</v>
      </c>
      <c r="E3387">
        <v>335.73700000000002</v>
      </c>
      <c r="F3387" t="s">
        <v>19</v>
      </c>
      <c r="G3387" t="s">
        <v>20</v>
      </c>
      <c r="H3387" t="s">
        <v>21</v>
      </c>
      <c r="I3387" t="s">
        <v>20</v>
      </c>
      <c r="J3387" t="s">
        <v>20</v>
      </c>
      <c r="K3387" t="s">
        <v>22</v>
      </c>
      <c r="L3387" t="s">
        <v>23</v>
      </c>
      <c r="M3387" t="s">
        <v>125</v>
      </c>
      <c r="N3387">
        <v>40.246409</v>
      </c>
      <c r="O3387">
        <v>-111.667405</v>
      </c>
      <c r="P3387">
        <v>4518.5349550000001</v>
      </c>
      <c r="Q3387">
        <v>1384</v>
      </c>
      <c r="R3387">
        <v>0</v>
      </c>
    </row>
    <row r="3388" spans="1:18" x14ac:dyDescent="0.25">
      <c r="A3388">
        <v>3387</v>
      </c>
      <c r="B3388">
        <v>94</v>
      </c>
      <c r="C3388" t="s">
        <v>575</v>
      </c>
      <c r="D3388" t="s">
        <v>272</v>
      </c>
      <c r="E3388">
        <v>336.03100000000001</v>
      </c>
      <c r="F3388" t="s">
        <v>19</v>
      </c>
      <c r="G3388" t="s">
        <v>20</v>
      </c>
      <c r="H3388" t="s">
        <v>21</v>
      </c>
      <c r="I3388" t="s">
        <v>20</v>
      </c>
      <c r="J3388" t="s">
        <v>20</v>
      </c>
      <c r="K3388" t="s">
        <v>22</v>
      </c>
      <c r="L3388" t="s">
        <v>23</v>
      </c>
      <c r="M3388" t="s">
        <v>125</v>
      </c>
      <c r="N3388">
        <v>40.250630999999998</v>
      </c>
      <c r="O3388">
        <v>-111.66750999999999</v>
      </c>
      <c r="P3388">
        <v>4532.5994769999998</v>
      </c>
      <c r="Q3388">
        <v>1384</v>
      </c>
      <c r="R3388">
        <v>0</v>
      </c>
    </row>
    <row r="3389" spans="1:18" x14ac:dyDescent="0.25">
      <c r="A3389">
        <v>3388</v>
      </c>
      <c r="B3389">
        <v>94</v>
      </c>
      <c r="C3389" t="s">
        <v>576</v>
      </c>
      <c r="D3389" t="s">
        <v>272</v>
      </c>
      <c r="E3389">
        <v>336.12799999999999</v>
      </c>
      <c r="F3389" t="s">
        <v>21</v>
      </c>
      <c r="G3389" t="s">
        <v>26</v>
      </c>
      <c r="H3389" t="s">
        <v>21</v>
      </c>
      <c r="I3389" t="s">
        <v>20</v>
      </c>
      <c r="J3389" t="s">
        <v>20</v>
      </c>
      <c r="K3389" t="s">
        <v>22</v>
      </c>
      <c r="L3389" t="s">
        <v>23</v>
      </c>
      <c r="M3389" t="s">
        <v>125</v>
      </c>
      <c r="N3389">
        <v>40.251942999999997</v>
      </c>
      <c r="O3389">
        <v>-111.668138</v>
      </c>
      <c r="P3389">
        <v>4536.3729370000001</v>
      </c>
      <c r="Q3389">
        <v>1384</v>
      </c>
      <c r="R3389">
        <v>0</v>
      </c>
    </row>
    <row r="3390" spans="1:18" x14ac:dyDescent="0.25">
      <c r="A3390">
        <v>3389</v>
      </c>
      <c r="B3390">
        <v>94</v>
      </c>
      <c r="C3390" t="e">
        <f>-IoSVnCxHcDen6Q-zeCAdk</f>
        <v>#NAME?</v>
      </c>
      <c r="D3390" t="s">
        <v>272</v>
      </c>
      <c r="E3390">
        <v>336.27</v>
      </c>
      <c r="F3390" t="s">
        <v>19</v>
      </c>
      <c r="G3390" t="s">
        <v>20</v>
      </c>
      <c r="H3390" t="s">
        <v>21</v>
      </c>
      <c r="I3390" t="s">
        <v>20</v>
      </c>
      <c r="J3390" t="s">
        <v>20</v>
      </c>
      <c r="K3390" t="s">
        <v>22</v>
      </c>
      <c r="L3390" t="s">
        <v>23</v>
      </c>
      <c r="M3390" t="s">
        <v>125</v>
      </c>
      <c r="N3390">
        <v>40.253554999999999</v>
      </c>
      <c r="O3390">
        <v>-111.669759</v>
      </c>
      <c r="P3390">
        <v>4539.3236829999996</v>
      </c>
      <c r="Q3390">
        <v>1384</v>
      </c>
      <c r="R3390">
        <v>0</v>
      </c>
    </row>
    <row r="3391" spans="1:18" x14ac:dyDescent="0.25">
      <c r="A3391">
        <v>3390</v>
      </c>
      <c r="B3391">
        <v>94</v>
      </c>
      <c r="C3391" t="e">
        <f>-IoveEMYFcT-iAwQ5Gu3Nk</f>
        <v>#NAME?</v>
      </c>
      <c r="D3391" t="s">
        <v>272</v>
      </c>
      <c r="E3391">
        <v>368.56200000000001</v>
      </c>
      <c r="F3391" t="s">
        <v>21</v>
      </c>
      <c r="G3391" t="s">
        <v>26</v>
      </c>
      <c r="H3391" t="s">
        <v>21</v>
      </c>
      <c r="I3391" t="s">
        <v>20</v>
      </c>
      <c r="J3391" t="s">
        <v>20</v>
      </c>
      <c r="K3391" t="s">
        <v>31</v>
      </c>
      <c r="L3391" t="s">
        <v>69</v>
      </c>
      <c r="M3391" t="s">
        <v>49</v>
      </c>
      <c r="N3391">
        <v>40.613897999999999</v>
      </c>
      <c r="O3391">
        <v>-111.89067799999999</v>
      </c>
      <c r="P3391">
        <v>4334.2102709999999</v>
      </c>
      <c r="Q3391">
        <v>1384</v>
      </c>
      <c r="R3391">
        <v>0</v>
      </c>
    </row>
    <row r="3392" spans="1:18" x14ac:dyDescent="0.25">
      <c r="A3392">
        <v>3391</v>
      </c>
      <c r="B3392">
        <v>94</v>
      </c>
      <c r="C3392" t="e">
        <f>-IoIKfYnGbyddON3LIgxOk</f>
        <v>#NAME?</v>
      </c>
      <c r="D3392" t="s">
        <v>272</v>
      </c>
      <c r="E3392">
        <v>256.10300000000001</v>
      </c>
      <c r="F3392" t="s">
        <v>21</v>
      </c>
      <c r="G3392" t="s">
        <v>26</v>
      </c>
      <c r="H3392" t="s">
        <v>21</v>
      </c>
      <c r="I3392" t="s">
        <v>20</v>
      </c>
      <c r="J3392" t="s">
        <v>20</v>
      </c>
      <c r="K3392" t="s">
        <v>27</v>
      </c>
      <c r="L3392" t="s">
        <v>350</v>
      </c>
      <c r="M3392" t="s">
        <v>174</v>
      </c>
      <c r="N3392">
        <v>39.273000000000003</v>
      </c>
      <c r="O3392">
        <v>-111.635453</v>
      </c>
      <c r="P3392">
        <v>5522.235968</v>
      </c>
      <c r="Q3392">
        <v>1384</v>
      </c>
      <c r="R3392">
        <v>0</v>
      </c>
    </row>
    <row r="3393" spans="1:18" x14ac:dyDescent="0.25">
      <c r="A3393">
        <v>3392</v>
      </c>
      <c r="B3393">
        <v>94</v>
      </c>
      <c r="C3393" t="e">
        <f>-IpeQAF2H3eNVSpImu1IvF</f>
        <v>#NAME?</v>
      </c>
      <c r="D3393" t="s">
        <v>272</v>
      </c>
      <c r="E3393">
        <v>256.16300000000001</v>
      </c>
      <c r="F3393" t="s">
        <v>21</v>
      </c>
      <c r="G3393" t="s">
        <v>26</v>
      </c>
      <c r="H3393" t="s">
        <v>21</v>
      </c>
      <c r="I3393" t="s">
        <v>20</v>
      </c>
      <c r="J3393" t="s">
        <v>20</v>
      </c>
      <c r="K3393" t="s">
        <v>27</v>
      </c>
      <c r="L3393" t="s">
        <v>350</v>
      </c>
      <c r="M3393" t="s">
        <v>174</v>
      </c>
      <c r="N3393">
        <v>39.273626</v>
      </c>
      <c r="O3393">
        <v>-111.634722</v>
      </c>
      <c r="P3393">
        <v>5521.7714569999998</v>
      </c>
      <c r="Q3393">
        <v>1384</v>
      </c>
      <c r="R3393">
        <v>0</v>
      </c>
    </row>
    <row r="3394" spans="1:18" x14ac:dyDescent="0.25">
      <c r="A3394">
        <v>3393</v>
      </c>
      <c r="B3394">
        <v>94</v>
      </c>
      <c r="C3394">
        <v>31713385</v>
      </c>
      <c r="D3394" t="s">
        <v>213</v>
      </c>
      <c r="E3394">
        <v>256.25099999999998</v>
      </c>
      <c r="F3394" t="s">
        <v>21</v>
      </c>
      <c r="G3394" t="s">
        <v>20</v>
      </c>
      <c r="H3394" t="s">
        <v>21</v>
      </c>
      <c r="I3394" t="s">
        <v>20</v>
      </c>
      <c r="J3394" t="s">
        <v>20</v>
      </c>
      <c r="K3394" t="s">
        <v>27</v>
      </c>
      <c r="L3394" t="s">
        <v>158</v>
      </c>
      <c r="M3394" t="s">
        <v>422</v>
      </c>
      <c r="N3394">
        <v>39.524369999999998</v>
      </c>
      <c r="O3394">
        <v>-110.57017500000001</v>
      </c>
      <c r="P3394">
        <v>5474.7151709999998</v>
      </c>
      <c r="Q3394">
        <v>1332</v>
      </c>
      <c r="R3394">
        <v>0</v>
      </c>
    </row>
    <row r="3395" spans="1:18" x14ac:dyDescent="0.25">
      <c r="A3395">
        <v>3394</v>
      </c>
      <c r="B3395">
        <v>94</v>
      </c>
      <c r="C3395" t="e">
        <f>-IoIM8i_Gkm0rVnNulvzqF</f>
        <v>#NAME?</v>
      </c>
      <c r="D3395" t="s">
        <v>272</v>
      </c>
      <c r="E3395">
        <v>256.52800000000002</v>
      </c>
      <c r="F3395" t="s">
        <v>21</v>
      </c>
      <c r="G3395" t="s">
        <v>26</v>
      </c>
      <c r="H3395" t="s">
        <v>21</v>
      </c>
      <c r="I3395" t="s">
        <v>20</v>
      </c>
      <c r="J3395" t="s">
        <v>20</v>
      </c>
      <c r="K3395" t="s">
        <v>27</v>
      </c>
      <c r="L3395" t="s">
        <v>350</v>
      </c>
      <c r="M3395" t="s">
        <v>174</v>
      </c>
      <c r="N3395">
        <v>39.278387000000002</v>
      </c>
      <c r="O3395">
        <v>-111.631725</v>
      </c>
      <c r="P3395">
        <v>5477.7686990000002</v>
      </c>
      <c r="Q3395">
        <v>1384</v>
      </c>
      <c r="R3395">
        <v>0</v>
      </c>
    </row>
    <row r="3396" spans="1:18" x14ac:dyDescent="0.25">
      <c r="A3396">
        <v>3395</v>
      </c>
      <c r="B3396">
        <v>94</v>
      </c>
      <c r="C3396" t="e">
        <f>-IoISzMFIp9aAhM7DY4Q6k</f>
        <v>#NAME?</v>
      </c>
      <c r="D3396" t="s">
        <v>272</v>
      </c>
      <c r="E3396">
        <v>258.00200000000001</v>
      </c>
      <c r="F3396" t="s">
        <v>21</v>
      </c>
      <c r="G3396" t="s">
        <v>20</v>
      </c>
      <c r="H3396" t="s">
        <v>21</v>
      </c>
      <c r="I3396" t="s">
        <v>20</v>
      </c>
      <c r="J3396" t="s">
        <v>20</v>
      </c>
      <c r="K3396" t="s">
        <v>27</v>
      </c>
      <c r="L3396" t="s">
        <v>350</v>
      </c>
      <c r="M3396" t="s">
        <v>174</v>
      </c>
      <c r="N3396">
        <v>39.297772000000002</v>
      </c>
      <c r="O3396">
        <v>-111.619972</v>
      </c>
      <c r="P3396">
        <v>5434.9794579999998</v>
      </c>
      <c r="Q3396">
        <v>1384</v>
      </c>
      <c r="R3396">
        <v>0</v>
      </c>
    </row>
    <row r="3397" spans="1:18" x14ac:dyDescent="0.25">
      <c r="A3397">
        <v>3396</v>
      </c>
      <c r="B3397">
        <v>94</v>
      </c>
      <c r="C3397">
        <v>31714857</v>
      </c>
      <c r="D3397" t="s">
        <v>213</v>
      </c>
      <c r="E3397">
        <v>258.49299999999999</v>
      </c>
      <c r="F3397" t="s">
        <v>21</v>
      </c>
      <c r="G3397" t="s">
        <v>26</v>
      </c>
      <c r="H3397" t="s">
        <v>21</v>
      </c>
      <c r="I3397" t="s">
        <v>20</v>
      </c>
      <c r="J3397" t="s">
        <v>20</v>
      </c>
      <c r="K3397" t="s">
        <v>27</v>
      </c>
      <c r="L3397" t="s">
        <v>158</v>
      </c>
      <c r="M3397" t="s">
        <v>422</v>
      </c>
      <c r="N3397">
        <v>39.507689999999997</v>
      </c>
      <c r="O3397">
        <v>-110.534175</v>
      </c>
      <c r="P3397">
        <v>5578.6486770000001</v>
      </c>
      <c r="Q3397">
        <v>1332</v>
      </c>
      <c r="R3397">
        <v>0</v>
      </c>
    </row>
    <row r="3398" spans="1:18" x14ac:dyDescent="0.25">
      <c r="A3398">
        <v>3397</v>
      </c>
      <c r="B3398">
        <v>94</v>
      </c>
      <c r="C3398" t="s">
        <v>577</v>
      </c>
      <c r="D3398" t="s">
        <v>272</v>
      </c>
      <c r="E3398">
        <v>258.65699999999998</v>
      </c>
      <c r="F3398" t="s">
        <v>21</v>
      </c>
      <c r="G3398" t="s">
        <v>26</v>
      </c>
      <c r="H3398" t="s">
        <v>21</v>
      </c>
      <c r="I3398" t="s">
        <v>20</v>
      </c>
      <c r="J3398" t="s">
        <v>20</v>
      </c>
      <c r="K3398" t="s">
        <v>27</v>
      </c>
      <c r="L3398" t="s">
        <v>350</v>
      </c>
      <c r="M3398" t="s">
        <v>174</v>
      </c>
      <c r="N3398">
        <v>39.306373999999998</v>
      </c>
      <c r="O3398">
        <v>-111.61474</v>
      </c>
      <c r="P3398">
        <v>5455.8338389999999</v>
      </c>
      <c r="Q3398">
        <v>1384</v>
      </c>
      <c r="R3398">
        <v>0</v>
      </c>
    </row>
    <row r="3399" spans="1:18" x14ac:dyDescent="0.25">
      <c r="A3399">
        <v>3398</v>
      </c>
      <c r="B3399">
        <v>94</v>
      </c>
      <c r="C3399" t="e">
        <f>-IoIQVj_H1it17AguHzf6k</f>
        <v>#NAME?</v>
      </c>
      <c r="D3399" t="s">
        <v>272</v>
      </c>
      <c r="E3399">
        <v>258.70999999999998</v>
      </c>
      <c r="F3399" t="s">
        <v>21</v>
      </c>
      <c r="G3399" t="s">
        <v>20</v>
      </c>
      <c r="H3399" t="s">
        <v>21</v>
      </c>
      <c r="I3399" t="s">
        <v>20</v>
      </c>
      <c r="J3399" t="s">
        <v>20</v>
      </c>
      <c r="K3399" t="s">
        <v>27</v>
      </c>
      <c r="L3399" t="s">
        <v>350</v>
      </c>
      <c r="M3399" t="s">
        <v>174</v>
      </c>
      <c r="N3399">
        <v>39.307074</v>
      </c>
      <c r="O3399">
        <v>-111.614316</v>
      </c>
      <c r="P3399">
        <v>5461.8896299999997</v>
      </c>
      <c r="Q3399">
        <v>1384</v>
      </c>
      <c r="R3399">
        <v>0</v>
      </c>
    </row>
    <row r="3400" spans="1:18" x14ac:dyDescent="0.25">
      <c r="A3400">
        <v>3399</v>
      </c>
      <c r="B3400">
        <v>94</v>
      </c>
      <c r="C3400">
        <v>31539412</v>
      </c>
      <c r="D3400" t="s">
        <v>288</v>
      </c>
      <c r="E3400">
        <v>259.142</v>
      </c>
      <c r="F3400" t="s">
        <v>21</v>
      </c>
      <c r="G3400" t="s">
        <v>361</v>
      </c>
      <c r="H3400" t="s">
        <v>21</v>
      </c>
      <c r="I3400" t="s">
        <v>20</v>
      </c>
      <c r="J3400" t="s">
        <v>20</v>
      </c>
      <c r="K3400" t="s">
        <v>27</v>
      </c>
      <c r="L3400" t="s">
        <v>307</v>
      </c>
      <c r="M3400" t="s">
        <v>120</v>
      </c>
      <c r="N3400">
        <v>39.797629000000001</v>
      </c>
      <c r="O3400">
        <v>-110.78471</v>
      </c>
      <c r="P3400">
        <v>7071.3490940000002</v>
      </c>
      <c r="Q3400">
        <v>350</v>
      </c>
      <c r="R3400">
        <v>0</v>
      </c>
    </row>
    <row r="3401" spans="1:18" x14ac:dyDescent="0.25">
      <c r="A3401">
        <v>3400</v>
      </c>
      <c r="B3401">
        <v>94</v>
      </c>
      <c r="C3401">
        <v>31539423</v>
      </c>
      <c r="D3401" t="s">
        <v>288</v>
      </c>
      <c r="E3401">
        <v>259.214</v>
      </c>
      <c r="F3401" t="s">
        <v>21</v>
      </c>
      <c r="G3401" t="s">
        <v>26</v>
      </c>
      <c r="H3401" t="s">
        <v>21</v>
      </c>
      <c r="I3401" t="s">
        <v>20</v>
      </c>
      <c r="J3401" t="s">
        <v>20</v>
      </c>
      <c r="K3401" t="s">
        <v>27</v>
      </c>
      <c r="L3401" t="s">
        <v>307</v>
      </c>
      <c r="M3401" t="s">
        <v>120</v>
      </c>
      <c r="N3401">
        <v>39.798690999999998</v>
      </c>
      <c r="O3401">
        <v>-110.78452299999999</v>
      </c>
      <c r="P3401">
        <v>7074.734254</v>
      </c>
      <c r="Q3401">
        <v>350</v>
      </c>
      <c r="R3401">
        <v>0</v>
      </c>
    </row>
    <row r="3402" spans="1:18" x14ac:dyDescent="0.25">
      <c r="A3402">
        <v>3401</v>
      </c>
      <c r="B3402">
        <v>94</v>
      </c>
      <c r="C3402" t="e">
        <f>-IoISGMDIYPZWQggK93qvk</f>
        <v>#NAME?</v>
      </c>
      <c r="D3402" t="s">
        <v>272</v>
      </c>
      <c r="E3402">
        <v>259.54700000000003</v>
      </c>
      <c r="F3402" t="s">
        <v>21</v>
      </c>
      <c r="G3402" t="s">
        <v>20</v>
      </c>
      <c r="H3402" t="s">
        <v>21</v>
      </c>
      <c r="I3402" t="s">
        <v>20</v>
      </c>
      <c r="J3402" t="s">
        <v>20</v>
      </c>
      <c r="K3402" t="s">
        <v>27</v>
      </c>
      <c r="L3402" t="s">
        <v>350</v>
      </c>
      <c r="M3402" t="s">
        <v>174</v>
      </c>
      <c r="N3402">
        <v>39.318078999999997</v>
      </c>
      <c r="O3402">
        <v>-111.60767300000001</v>
      </c>
      <c r="P3402">
        <v>5479.0050069999998</v>
      </c>
      <c r="Q3402">
        <v>1384</v>
      </c>
      <c r="R3402">
        <v>0</v>
      </c>
    </row>
    <row r="3403" spans="1:18" x14ac:dyDescent="0.25">
      <c r="A3403">
        <v>3402</v>
      </c>
      <c r="B3403">
        <v>94</v>
      </c>
      <c r="C3403">
        <v>31539446</v>
      </c>
      <c r="D3403" t="s">
        <v>288</v>
      </c>
      <c r="E3403">
        <v>259.92700000000002</v>
      </c>
      <c r="F3403" t="s">
        <v>21</v>
      </c>
      <c r="G3403" t="s">
        <v>26</v>
      </c>
      <c r="H3403" t="s">
        <v>21</v>
      </c>
      <c r="I3403" t="s">
        <v>20</v>
      </c>
      <c r="J3403" t="s">
        <v>20</v>
      </c>
      <c r="K3403" t="s">
        <v>27</v>
      </c>
      <c r="L3403" t="s">
        <v>307</v>
      </c>
      <c r="M3403" t="s">
        <v>120</v>
      </c>
      <c r="N3403">
        <v>39.808115000000001</v>
      </c>
      <c r="O3403">
        <v>-110.778932</v>
      </c>
      <c r="P3403">
        <v>7130.7000379999999</v>
      </c>
      <c r="Q3403">
        <v>350</v>
      </c>
      <c r="R3403">
        <v>0</v>
      </c>
    </row>
    <row r="3404" spans="1:18" x14ac:dyDescent="0.25">
      <c r="A3404">
        <v>3403</v>
      </c>
      <c r="B3404">
        <v>94</v>
      </c>
      <c r="C3404">
        <v>31280864</v>
      </c>
      <c r="D3404" t="s">
        <v>241</v>
      </c>
      <c r="E3404">
        <v>26.047000000000001</v>
      </c>
      <c r="F3404" t="s">
        <v>21</v>
      </c>
      <c r="G3404" t="s">
        <v>26</v>
      </c>
      <c r="H3404" t="s">
        <v>21</v>
      </c>
      <c r="I3404" t="s">
        <v>20</v>
      </c>
      <c r="J3404" t="s">
        <v>20</v>
      </c>
      <c r="K3404" t="s">
        <v>27</v>
      </c>
      <c r="L3404" t="s">
        <v>242</v>
      </c>
      <c r="M3404" t="s">
        <v>243</v>
      </c>
      <c r="N3404">
        <v>39.078403000000002</v>
      </c>
      <c r="O3404">
        <v>-111.13175699999999</v>
      </c>
      <c r="P3404">
        <v>5850.5288170000003</v>
      </c>
      <c r="Q3404">
        <v>1327</v>
      </c>
      <c r="R3404">
        <v>0</v>
      </c>
    </row>
    <row r="3405" spans="1:18" x14ac:dyDescent="0.25">
      <c r="A3405">
        <v>3404</v>
      </c>
      <c r="B3405">
        <v>94</v>
      </c>
      <c r="C3405">
        <v>31475956</v>
      </c>
      <c r="D3405" t="s">
        <v>348</v>
      </c>
      <c r="E3405">
        <v>26.074999999999999</v>
      </c>
      <c r="F3405" t="s">
        <v>21</v>
      </c>
      <c r="G3405" t="s">
        <v>26</v>
      </c>
      <c r="H3405" t="s">
        <v>19</v>
      </c>
      <c r="I3405">
        <v>276</v>
      </c>
      <c r="J3405" t="s">
        <v>20</v>
      </c>
      <c r="K3405" t="s">
        <v>27</v>
      </c>
      <c r="L3405" t="s">
        <v>122</v>
      </c>
      <c r="M3405" t="s">
        <v>123</v>
      </c>
      <c r="N3405">
        <v>38.025331000000001</v>
      </c>
      <c r="O3405">
        <v>-110.570612</v>
      </c>
      <c r="P3405">
        <v>4533.2546620000003</v>
      </c>
      <c r="Q3405">
        <v>1388</v>
      </c>
      <c r="R3405">
        <v>0</v>
      </c>
    </row>
    <row r="3406" spans="1:18" x14ac:dyDescent="0.25">
      <c r="A3406">
        <v>3405</v>
      </c>
      <c r="B3406">
        <v>94</v>
      </c>
      <c r="C3406">
        <v>31694523</v>
      </c>
      <c r="D3406" t="s">
        <v>213</v>
      </c>
      <c r="E3406">
        <v>235.82499999999999</v>
      </c>
      <c r="F3406" t="s">
        <v>21</v>
      </c>
      <c r="G3406" t="s">
        <v>26</v>
      </c>
      <c r="H3406" t="s">
        <v>19</v>
      </c>
      <c r="I3406">
        <v>139</v>
      </c>
      <c r="J3406" t="s">
        <v>20</v>
      </c>
      <c r="K3406" t="s">
        <v>27</v>
      </c>
      <c r="L3406" t="s">
        <v>307</v>
      </c>
      <c r="M3406" t="s">
        <v>190</v>
      </c>
      <c r="N3406">
        <v>39.646856</v>
      </c>
      <c r="O3406">
        <v>-110.86014400000001</v>
      </c>
      <c r="P3406">
        <v>5631.4742509999996</v>
      </c>
      <c r="Q3406">
        <v>1332</v>
      </c>
      <c r="R3406">
        <v>0</v>
      </c>
    </row>
    <row r="3407" spans="1:18" x14ac:dyDescent="0.25">
      <c r="A3407">
        <v>3406</v>
      </c>
      <c r="B3407">
        <v>94</v>
      </c>
      <c r="C3407" t="e">
        <f>-IoMBKPvHYXGPIblXOYAiV</f>
        <v>#NAME?</v>
      </c>
      <c r="D3407" t="s">
        <v>272</v>
      </c>
      <c r="E3407">
        <v>236.10499999999999</v>
      </c>
      <c r="F3407" t="s">
        <v>21</v>
      </c>
      <c r="G3407" t="s">
        <v>20</v>
      </c>
      <c r="H3407" t="s">
        <v>21</v>
      </c>
      <c r="I3407" t="s">
        <v>20</v>
      </c>
      <c r="J3407" t="s">
        <v>20</v>
      </c>
      <c r="K3407" t="s">
        <v>27</v>
      </c>
      <c r="L3407" t="s">
        <v>350</v>
      </c>
      <c r="M3407" t="s">
        <v>174</v>
      </c>
      <c r="N3407">
        <v>39.082439000000001</v>
      </c>
      <c r="O3407">
        <v>-111.820453</v>
      </c>
      <c r="P3407">
        <v>5037.4750800000002</v>
      </c>
      <c r="Q3407">
        <v>1384</v>
      </c>
      <c r="R3407">
        <v>0</v>
      </c>
    </row>
    <row r="3408" spans="1:18" x14ac:dyDescent="0.25">
      <c r="A3408">
        <v>3407</v>
      </c>
      <c r="B3408">
        <v>94</v>
      </c>
      <c r="C3408" t="e">
        <f>-IoMBjHKHFiKxObW3P0J0F</f>
        <v>#NAME?</v>
      </c>
      <c r="D3408" t="s">
        <v>272</v>
      </c>
      <c r="E3408">
        <v>236.233</v>
      </c>
      <c r="F3408" t="s">
        <v>21</v>
      </c>
      <c r="G3408" t="s">
        <v>26</v>
      </c>
      <c r="H3408" t="s">
        <v>21</v>
      </c>
      <c r="I3408" t="s">
        <v>20</v>
      </c>
      <c r="J3408" t="s">
        <v>20</v>
      </c>
      <c r="K3408" t="s">
        <v>27</v>
      </c>
      <c r="L3408" t="s">
        <v>350</v>
      </c>
      <c r="M3408" t="s">
        <v>174</v>
      </c>
      <c r="N3408">
        <v>39.084291999999998</v>
      </c>
      <c r="O3408">
        <v>-111.820195</v>
      </c>
      <c r="P3408">
        <v>5038.2523879999999</v>
      </c>
      <c r="Q3408">
        <v>1384</v>
      </c>
      <c r="R3408">
        <v>0</v>
      </c>
    </row>
    <row r="3409" spans="1:18" x14ac:dyDescent="0.25">
      <c r="A3409">
        <v>3408</v>
      </c>
      <c r="B3409">
        <v>94</v>
      </c>
      <c r="C3409">
        <v>31694534</v>
      </c>
      <c r="D3409" t="s">
        <v>213</v>
      </c>
      <c r="E3409">
        <v>236.31299999999999</v>
      </c>
      <c r="F3409" t="s">
        <v>21</v>
      </c>
      <c r="G3409" t="s">
        <v>26</v>
      </c>
      <c r="H3409" t="s">
        <v>21</v>
      </c>
      <c r="I3409" t="s">
        <v>20</v>
      </c>
      <c r="J3409" t="s">
        <v>20</v>
      </c>
      <c r="K3409" t="s">
        <v>27</v>
      </c>
      <c r="L3409" t="s">
        <v>307</v>
      </c>
      <c r="M3409" t="s">
        <v>190</v>
      </c>
      <c r="N3409">
        <v>39.640729</v>
      </c>
      <c r="O3409">
        <v>-110.859415</v>
      </c>
      <c r="P3409">
        <v>5607.732051</v>
      </c>
      <c r="Q3409">
        <v>1332</v>
      </c>
      <c r="R3409">
        <v>0</v>
      </c>
    </row>
    <row r="3410" spans="1:18" x14ac:dyDescent="0.25">
      <c r="A3410">
        <v>3409</v>
      </c>
      <c r="B3410">
        <v>94</v>
      </c>
      <c r="C3410" t="e">
        <f>-IoMBwFjGdTbBryxTr7vuF</f>
        <v>#NAME?</v>
      </c>
      <c r="D3410" t="s">
        <v>272</v>
      </c>
      <c r="E3410">
        <v>236.35499999999999</v>
      </c>
      <c r="F3410" t="s">
        <v>21</v>
      </c>
      <c r="G3410" t="s">
        <v>20</v>
      </c>
      <c r="H3410" t="s">
        <v>21</v>
      </c>
      <c r="I3410" t="s">
        <v>20</v>
      </c>
      <c r="J3410" t="s">
        <v>20</v>
      </c>
      <c r="K3410" t="s">
        <v>27</v>
      </c>
      <c r="L3410" t="s">
        <v>350</v>
      </c>
      <c r="M3410" t="s">
        <v>174</v>
      </c>
      <c r="N3410">
        <v>39.086078999999998</v>
      </c>
      <c r="O3410">
        <v>-111.820133</v>
      </c>
      <c r="P3410">
        <v>5038.6914939999997</v>
      </c>
      <c r="Q3410">
        <v>1384</v>
      </c>
      <c r="R3410">
        <v>0</v>
      </c>
    </row>
    <row r="3411" spans="1:18" x14ac:dyDescent="0.25">
      <c r="A3411">
        <v>3410</v>
      </c>
      <c r="B3411">
        <v>94</v>
      </c>
      <c r="C3411" t="e">
        <f>-IoMCKjmGgmZlh0d5bjSjF</f>
        <v>#NAME?</v>
      </c>
      <c r="D3411" t="s">
        <v>272</v>
      </c>
      <c r="E3411">
        <v>236.83799999999999</v>
      </c>
      <c r="F3411" t="s">
        <v>21</v>
      </c>
      <c r="G3411" t="s">
        <v>20</v>
      </c>
      <c r="H3411" t="s">
        <v>21</v>
      </c>
      <c r="I3411" t="s">
        <v>20</v>
      </c>
      <c r="J3411" t="s">
        <v>20</v>
      </c>
      <c r="K3411" t="s">
        <v>27</v>
      </c>
      <c r="L3411" t="s">
        <v>350</v>
      </c>
      <c r="M3411" t="s">
        <v>174</v>
      </c>
      <c r="N3411">
        <v>39.093091000000001</v>
      </c>
      <c r="O3411">
        <v>-111.819918</v>
      </c>
      <c r="P3411">
        <v>5050.2541739999997</v>
      </c>
      <c r="Q3411">
        <v>1384</v>
      </c>
      <c r="R3411">
        <v>0</v>
      </c>
    </row>
    <row r="3412" spans="1:18" x14ac:dyDescent="0.25">
      <c r="A3412">
        <v>3411</v>
      </c>
      <c r="B3412">
        <v>94</v>
      </c>
      <c r="C3412">
        <v>31569911</v>
      </c>
      <c r="D3412" t="s">
        <v>172</v>
      </c>
      <c r="E3412">
        <v>26.821000000000002</v>
      </c>
      <c r="F3412" t="s">
        <v>21</v>
      </c>
      <c r="G3412" t="s">
        <v>26</v>
      </c>
      <c r="H3412" t="s">
        <v>21</v>
      </c>
      <c r="I3412" t="s">
        <v>20</v>
      </c>
      <c r="J3412" t="s">
        <v>20</v>
      </c>
      <c r="K3412" t="s">
        <v>22</v>
      </c>
      <c r="L3412" t="s">
        <v>155</v>
      </c>
      <c r="M3412" t="s">
        <v>174</v>
      </c>
      <c r="N3412">
        <v>39.697803999999998</v>
      </c>
      <c r="O3412">
        <v>-111.953292</v>
      </c>
      <c r="P3412">
        <v>5488.2737010000001</v>
      </c>
      <c r="Q3412">
        <v>1411</v>
      </c>
      <c r="R3412">
        <v>0</v>
      </c>
    </row>
    <row r="3413" spans="1:18" x14ac:dyDescent="0.25">
      <c r="A3413">
        <v>3412</v>
      </c>
      <c r="B3413">
        <v>94</v>
      </c>
      <c r="C3413" t="e">
        <f>-JX_WJmAFQerS257_sga0k</f>
        <v>#NAME?</v>
      </c>
      <c r="D3413" t="s">
        <v>265</v>
      </c>
      <c r="E3413">
        <v>26.451000000000001</v>
      </c>
      <c r="F3413" t="s">
        <v>21</v>
      </c>
      <c r="G3413" t="s">
        <v>20</v>
      </c>
      <c r="H3413" t="s">
        <v>21</v>
      </c>
      <c r="I3413" t="s">
        <v>20</v>
      </c>
      <c r="J3413" t="s">
        <v>20</v>
      </c>
      <c r="K3413" t="s">
        <v>27</v>
      </c>
      <c r="L3413" t="s">
        <v>183</v>
      </c>
      <c r="M3413" t="s">
        <v>267</v>
      </c>
      <c r="N3413">
        <v>38.672474999999999</v>
      </c>
      <c r="O3413">
        <v>-111.40848699999999</v>
      </c>
      <c r="P3413">
        <v>7283.138962</v>
      </c>
      <c r="Q3413">
        <v>1371</v>
      </c>
      <c r="R3413">
        <v>0</v>
      </c>
    </row>
    <row r="3414" spans="1:18" x14ac:dyDescent="0.25">
      <c r="A3414">
        <v>3413</v>
      </c>
      <c r="B3414">
        <v>94</v>
      </c>
      <c r="C3414" t="s">
        <v>578</v>
      </c>
      <c r="D3414" t="s">
        <v>124</v>
      </c>
      <c r="E3414">
        <v>26.460999999999999</v>
      </c>
      <c r="F3414" t="s">
        <v>21</v>
      </c>
      <c r="G3414" t="s">
        <v>20</v>
      </c>
      <c r="H3414" t="s">
        <v>21</v>
      </c>
      <c r="I3414" t="s">
        <v>20</v>
      </c>
      <c r="J3414" t="s">
        <v>20</v>
      </c>
      <c r="K3414" t="s">
        <v>22</v>
      </c>
      <c r="L3414" t="s">
        <v>84</v>
      </c>
      <c r="M3414" t="s">
        <v>194</v>
      </c>
      <c r="N3414">
        <v>40.304316999999998</v>
      </c>
      <c r="O3414">
        <v>-111.885966</v>
      </c>
      <c r="P3414">
        <v>4537.7775110000002</v>
      </c>
      <c r="Q3414">
        <v>1368</v>
      </c>
      <c r="R3414">
        <v>0</v>
      </c>
    </row>
    <row r="3415" spans="1:18" x14ac:dyDescent="0.25">
      <c r="A3415">
        <v>3414</v>
      </c>
      <c r="B3415">
        <v>94</v>
      </c>
      <c r="C3415">
        <v>31437771</v>
      </c>
      <c r="D3415" t="s">
        <v>319</v>
      </c>
      <c r="E3415">
        <v>26.475000000000001</v>
      </c>
      <c r="F3415" t="s">
        <v>21</v>
      </c>
      <c r="G3415" t="s">
        <v>26</v>
      </c>
      <c r="H3415" t="s">
        <v>21</v>
      </c>
      <c r="I3415" t="s">
        <v>20</v>
      </c>
      <c r="J3415" t="s">
        <v>20</v>
      </c>
      <c r="K3415" t="s">
        <v>27</v>
      </c>
      <c r="L3415" t="s">
        <v>162</v>
      </c>
      <c r="M3415" t="s">
        <v>55</v>
      </c>
      <c r="N3415">
        <v>37.701310999999997</v>
      </c>
      <c r="O3415">
        <v>-113.633501</v>
      </c>
      <c r="P3415">
        <v>5100.9827660000001</v>
      </c>
      <c r="Q3415">
        <v>314</v>
      </c>
      <c r="R3415">
        <v>0</v>
      </c>
    </row>
    <row r="3416" spans="1:18" x14ac:dyDescent="0.25">
      <c r="A3416">
        <v>3415</v>
      </c>
      <c r="B3416">
        <v>94</v>
      </c>
      <c r="C3416">
        <v>31894431</v>
      </c>
      <c r="D3416" t="s">
        <v>61</v>
      </c>
      <c r="E3416">
        <v>26.498000000000001</v>
      </c>
      <c r="F3416" t="s">
        <v>21</v>
      </c>
      <c r="G3416" t="s">
        <v>26</v>
      </c>
      <c r="H3416" t="s">
        <v>21</v>
      </c>
      <c r="I3416" t="s">
        <v>20</v>
      </c>
      <c r="J3416" t="s">
        <v>20</v>
      </c>
      <c r="K3416" t="s">
        <v>22</v>
      </c>
      <c r="L3416" t="s">
        <v>35</v>
      </c>
      <c r="M3416" t="s">
        <v>328</v>
      </c>
      <c r="N3416">
        <v>40.470731999999998</v>
      </c>
      <c r="O3416">
        <v>-111.44816400000001</v>
      </c>
      <c r="P3416">
        <v>5491.3102230000004</v>
      </c>
      <c r="Q3416">
        <v>403</v>
      </c>
      <c r="R3416">
        <v>0</v>
      </c>
    </row>
    <row r="3417" spans="1:18" x14ac:dyDescent="0.25">
      <c r="A3417">
        <v>3416</v>
      </c>
      <c r="B3417">
        <v>94</v>
      </c>
      <c r="C3417">
        <v>31393170</v>
      </c>
      <c r="D3417" t="s">
        <v>124</v>
      </c>
      <c r="E3417">
        <v>26.498999999999999</v>
      </c>
      <c r="F3417" t="s">
        <v>21</v>
      </c>
      <c r="G3417" t="s">
        <v>26</v>
      </c>
      <c r="H3417" t="s">
        <v>21</v>
      </c>
      <c r="I3417" t="s">
        <v>20</v>
      </c>
      <c r="J3417" t="s">
        <v>20</v>
      </c>
      <c r="K3417" t="s">
        <v>22</v>
      </c>
      <c r="L3417" t="s">
        <v>84</v>
      </c>
      <c r="M3417" t="s">
        <v>194</v>
      </c>
      <c r="N3417">
        <v>40.304808000000001</v>
      </c>
      <c r="O3417">
        <v>-111.886257</v>
      </c>
      <c r="P3417">
        <v>4540.2545890000001</v>
      </c>
      <c r="Q3417">
        <v>1368</v>
      </c>
      <c r="R3417">
        <v>0</v>
      </c>
    </row>
    <row r="3418" spans="1:18" x14ac:dyDescent="0.25">
      <c r="A3418">
        <v>3417</v>
      </c>
      <c r="B3418">
        <v>94</v>
      </c>
      <c r="C3418" t="e">
        <f>-IovoBU4IvTQW4b-JTcCdk</f>
        <v>#NAME?</v>
      </c>
      <c r="D3418" t="s">
        <v>316</v>
      </c>
      <c r="E3418">
        <v>26.504000000000001</v>
      </c>
      <c r="F3418" t="s">
        <v>21</v>
      </c>
      <c r="G3418" t="s">
        <v>26</v>
      </c>
      <c r="H3418" t="s">
        <v>21</v>
      </c>
      <c r="I3418" t="s">
        <v>20</v>
      </c>
      <c r="J3418" t="s">
        <v>20</v>
      </c>
      <c r="K3418" t="s">
        <v>22</v>
      </c>
      <c r="L3418" t="s">
        <v>168</v>
      </c>
      <c r="M3418" t="s">
        <v>302</v>
      </c>
      <c r="N3418">
        <v>40.471420000000002</v>
      </c>
      <c r="O3418">
        <v>-110.919839</v>
      </c>
      <c r="P3418">
        <v>7737.2676579999998</v>
      </c>
      <c r="Q3418">
        <v>1346</v>
      </c>
      <c r="R3418">
        <v>0</v>
      </c>
    </row>
    <row r="3419" spans="1:18" x14ac:dyDescent="0.25">
      <c r="A3419">
        <v>3418</v>
      </c>
      <c r="B3419">
        <v>94</v>
      </c>
      <c r="C3419">
        <v>27881411</v>
      </c>
      <c r="D3419" t="s">
        <v>91</v>
      </c>
      <c r="E3419">
        <v>26.509</v>
      </c>
      <c r="F3419" t="s">
        <v>21</v>
      </c>
      <c r="G3419" t="s">
        <v>26</v>
      </c>
      <c r="H3419" t="s">
        <v>21</v>
      </c>
      <c r="I3419" t="s">
        <v>20</v>
      </c>
      <c r="J3419" t="s">
        <v>20</v>
      </c>
      <c r="K3419" t="s">
        <v>41</v>
      </c>
      <c r="L3419" t="s">
        <v>95</v>
      </c>
      <c r="M3419" t="s">
        <v>73</v>
      </c>
      <c r="N3419">
        <v>41.949655999999997</v>
      </c>
      <c r="O3419">
        <v>-111.953864</v>
      </c>
      <c r="P3419">
        <v>4420.3540030000004</v>
      </c>
      <c r="Q3419">
        <v>1339</v>
      </c>
      <c r="R3419">
        <v>0</v>
      </c>
    </row>
    <row r="3420" spans="1:18" x14ac:dyDescent="0.25">
      <c r="A3420">
        <v>3419</v>
      </c>
      <c r="B3420">
        <v>94</v>
      </c>
      <c r="C3420" t="e">
        <f>-IowcSWoIOHjpSWdhnOuzV</f>
        <v>#NAME?</v>
      </c>
      <c r="D3420" t="s">
        <v>203</v>
      </c>
      <c r="E3420">
        <v>26.513999999999999</v>
      </c>
      <c r="F3420" t="s">
        <v>21</v>
      </c>
      <c r="G3420" t="s">
        <v>26</v>
      </c>
      <c r="H3420" t="s">
        <v>21</v>
      </c>
      <c r="I3420" t="s">
        <v>20</v>
      </c>
      <c r="J3420" t="s">
        <v>20</v>
      </c>
      <c r="K3420" t="s">
        <v>41</v>
      </c>
      <c r="L3420" t="s">
        <v>255</v>
      </c>
      <c r="M3420" t="s">
        <v>204</v>
      </c>
      <c r="N3420">
        <v>41.289780999999998</v>
      </c>
      <c r="O3420">
        <v>-111.640726</v>
      </c>
      <c r="P3420">
        <v>5268.6621779999996</v>
      </c>
      <c r="Q3420">
        <v>1349</v>
      </c>
      <c r="R3420">
        <v>0</v>
      </c>
    </row>
    <row r="3421" spans="1:18" x14ac:dyDescent="0.25">
      <c r="A3421">
        <v>3420</v>
      </c>
      <c r="B3421">
        <v>94</v>
      </c>
      <c r="C3421" t="e">
        <f>-IoMF-viHTH20IoJH1shtV</f>
        <v>#NAME?</v>
      </c>
      <c r="D3421" t="s">
        <v>272</v>
      </c>
      <c r="E3421">
        <v>239.535</v>
      </c>
      <c r="F3421" t="s">
        <v>21</v>
      </c>
      <c r="G3421" t="s">
        <v>26</v>
      </c>
      <c r="H3421" t="s">
        <v>21</v>
      </c>
      <c r="I3421" t="s">
        <v>20</v>
      </c>
      <c r="J3421" t="s">
        <v>20</v>
      </c>
      <c r="K3421" t="s">
        <v>27</v>
      </c>
      <c r="L3421" t="s">
        <v>350</v>
      </c>
      <c r="M3421" t="s">
        <v>174</v>
      </c>
      <c r="N3421">
        <v>39.132342999999999</v>
      </c>
      <c r="O3421">
        <v>-111.81910999999999</v>
      </c>
      <c r="P3421">
        <v>5037.2310049999996</v>
      </c>
      <c r="Q3421">
        <v>1384</v>
      </c>
      <c r="R3421">
        <v>0</v>
      </c>
    </row>
    <row r="3422" spans="1:18" x14ac:dyDescent="0.25">
      <c r="A3422">
        <v>3421</v>
      </c>
      <c r="B3422">
        <v>94</v>
      </c>
      <c r="C3422" t="e">
        <f>-IoMFCijF5u0zy4D1OOQIk</f>
        <v>#NAME?</v>
      </c>
      <c r="D3422" t="s">
        <v>272</v>
      </c>
      <c r="E3422">
        <v>239.666</v>
      </c>
      <c r="F3422" t="s">
        <v>21</v>
      </c>
      <c r="G3422" t="s">
        <v>26</v>
      </c>
      <c r="H3422" t="s">
        <v>21</v>
      </c>
      <c r="I3422" t="s">
        <v>20</v>
      </c>
      <c r="J3422" t="s">
        <v>20</v>
      </c>
      <c r="K3422" t="s">
        <v>27</v>
      </c>
      <c r="L3422" t="s">
        <v>350</v>
      </c>
      <c r="M3422" t="s">
        <v>174</v>
      </c>
      <c r="N3422">
        <v>39.134242</v>
      </c>
      <c r="O3422">
        <v>-111.819067</v>
      </c>
      <c r="P3422">
        <v>5039.5864270000002</v>
      </c>
      <c r="Q3422">
        <v>1384</v>
      </c>
      <c r="R3422">
        <v>0</v>
      </c>
    </row>
    <row r="3423" spans="1:18" x14ac:dyDescent="0.25">
      <c r="A3423">
        <v>3422</v>
      </c>
      <c r="B3423">
        <v>94</v>
      </c>
      <c r="C3423" t="e">
        <f>-IoMFJN-FqqGukzd_3u7CV</f>
        <v>#NAME?</v>
      </c>
      <c r="D3423" t="s">
        <v>272</v>
      </c>
      <c r="E3423">
        <v>239.751</v>
      </c>
      <c r="F3423" t="s">
        <v>21</v>
      </c>
      <c r="G3423" t="s">
        <v>26</v>
      </c>
      <c r="H3423" t="s">
        <v>21</v>
      </c>
      <c r="I3423" t="s">
        <v>20</v>
      </c>
      <c r="J3423" t="s">
        <v>20</v>
      </c>
      <c r="K3423" t="s">
        <v>27</v>
      </c>
      <c r="L3423" t="s">
        <v>350</v>
      </c>
      <c r="M3423" t="s">
        <v>174</v>
      </c>
      <c r="N3423">
        <v>39.135491999999999</v>
      </c>
      <c r="O3423">
        <v>-111.819035</v>
      </c>
      <c r="P3423">
        <v>5038.0931920000003</v>
      </c>
      <c r="Q3423">
        <v>1384</v>
      </c>
      <c r="R3423">
        <v>0</v>
      </c>
    </row>
    <row r="3424" spans="1:18" x14ac:dyDescent="0.25">
      <c r="A3424">
        <v>3423</v>
      </c>
      <c r="B3424">
        <v>94</v>
      </c>
      <c r="C3424" t="e">
        <f>-IoMFUUmF5TOSjT6aIsd2F</f>
        <v>#NAME?</v>
      </c>
      <c r="D3424" t="s">
        <v>272</v>
      </c>
      <c r="E3424">
        <v>239.80799999999999</v>
      </c>
      <c r="F3424" t="s">
        <v>21</v>
      </c>
      <c r="G3424" t="s">
        <v>26</v>
      </c>
      <c r="H3424" t="s">
        <v>21</v>
      </c>
      <c r="I3424" t="s">
        <v>20</v>
      </c>
      <c r="J3424" t="s">
        <v>20</v>
      </c>
      <c r="K3424" t="s">
        <v>27</v>
      </c>
      <c r="L3424" t="s">
        <v>350</v>
      </c>
      <c r="M3424" t="s">
        <v>174</v>
      </c>
      <c r="N3424">
        <v>39.136296000000002</v>
      </c>
      <c r="O3424">
        <v>-111.819018</v>
      </c>
      <c r="P3424">
        <v>5038.2085999999999</v>
      </c>
      <c r="Q3424">
        <v>1384</v>
      </c>
      <c r="R3424">
        <v>0</v>
      </c>
    </row>
    <row r="3425" spans="1:18" x14ac:dyDescent="0.25">
      <c r="A3425">
        <v>3424</v>
      </c>
      <c r="B3425">
        <v>94</v>
      </c>
      <c r="C3425" t="s">
        <v>579</v>
      </c>
      <c r="D3425" t="s">
        <v>272</v>
      </c>
      <c r="E3425">
        <v>239.929</v>
      </c>
      <c r="F3425" t="s">
        <v>21</v>
      </c>
      <c r="G3425" t="s">
        <v>26</v>
      </c>
      <c r="H3425" t="s">
        <v>21</v>
      </c>
      <c r="I3425" t="s">
        <v>20</v>
      </c>
      <c r="J3425" t="s">
        <v>20</v>
      </c>
      <c r="K3425" t="s">
        <v>27</v>
      </c>
      <c r="L3425" t="s">
        <v>350</v>
      </c>
      <c r="M3425" t="s">
        <v>174</v>
      </c>
      <c r="N3425">
        <v>39.138074000000003</v>
      </c>
      <c r="O3425">
        <v>-111.81898</v>
      </c>
      <c r="P3425">
        <v>5037.6398639999998</v>
      </c>
      <c r="Q3425">
        <v>1384</v>
      </c>
      <c r="R3425">
        <v>0</v>
      </c>
    </row>
    <row r="3426" spans="1:18" x14ac:dyDescent="0.25">
      <c r="A3426">
        <v>3425</v>
      </c>
      <c r="B3426">
        <v>94</v>
      </c>
      <c r="C3426">
        <v>31613872</v>
      </c>
      <c r="D3426" t="s">
        <v>50</v>
      </c>
      <c r="E3426">
        <v>24.004999999999999</v>
      </c>
      <c r="F3426" t="s">
        <v>21</v>
      </c>
      <c r="G3426" t="s">
        <v>26</v>
      </c>
      <c r="H3426" t="s">
        <v>21</v>
      </c>
      <c r="I3426" t="s">
        <v>20</v>
      </c>
      <c r="J3426" t="s">
        <v>20</v>
      </c>
      <c r="K3426" t="s">
        <v>27</v>
      </c>
      <c r="L3426" t="s">
        <v>51</v>
      </c>
      <c r="M3426" t="s">
        <v>52</v>
      </c>
      <c r="N3426">
        <v>37.658783999999997</v>
      </c>
      <c r="O3426">
        <v>-112.74514000000001</v>
      </c>
      <c r="P3426">
        <v>9562.7035140000007</v>
      </c>
      <c r="Q3426">
        <v>1418</v>
      </c>
      <c r="R3426">
        <v>0</v>
      </c>
    </row>
    <row r="3427" spans="1:18" x14ac:dyDescent="0.25">
      <c r="A3427">
        <v>3426</v>
      </c>
      <c r="B3427">
        <v>94</v>
      </c>
      <c r="C3427">
        <v>28175189</v>
      </c>
      <c r="D3427" t="s">
        <v>233</v>
      </c>
      <c r="E3427">
        <v>24.007999999999999</v>
      </c>
      <c r="F3427" t="s">
        <v>21</v>
      </c>
      <c r="G3427" t="s">
        <v>26</v>
      </c>
      <c r="H3427" t="s">
        <v>21</v>
      </c>
      <c r="I3427" t="s">
        <v>20</v>
      </c>
      <c r="J3427" t="s">
        <v>20</v>
      </c>
      <c r="K3427" t="s">
        <v>22</v>
      </c>
      <c r="L3427" t="s">
        <v>234</v>
      </c>
      <c r="M3427" t="s">
        <v>235</v>
      </c>
      <c r="N3427">
        <v>40.221319999999999</v>
      </c>
      <c r="O3427">
        <v>-109.387828</v>
      </c>
      <c r="P3427">
        <v>5320.0070740000001</v>
      </c>
      <c r="Q3427">
        <v>1354</v>
      </c>
      <c r="R3427">
        <v>0</v>
      </c>
    </row>
    <row r="3428" spans="1:18" x14ac:dyDescent="0.25">
      <c r="A3428">
        <v>3427</v>
      </c>
      <c r="B3428">
        <v>94</v>
      </c>
      <c r="C3428" t="e">
        <f>-IoLeQZcHmyjHdPtCFJ0ok</f>
        <v>#NAME?</v>
      </c>
      <c r="D3428" t="s">
        <v>272</v>
      </c>
      <c r="E3428">
        <v>261.59199999999998</v>
      </c>
      <c r="F3428" t="s">
        <v>21</v>
      </c>
      <c r="G3428" t="s">
        <v>26</v>
      </c>
      <c r="H3428" t="s">
        <v>21</v>
      </c>
      <c r="I3428" t="s">
        <v>20</v>
      </c>
      <c r="J3428" t="s">
        <v>20</v>
      </c>
      <c r="K3428" t="s">
        <v>27</v>
      </c>
      <c r="L3428" t="s">
        <v>350</v>
      </c>
      <c r="M3428" t="s">
        <v>174</v>
      </c>
      <c r="N3428">
        <v>39.344911000000003</v>
      </c>
      <c r="O3428">
        <v>-111.591323</v>
      </c>
      <c r="P3428">
        <v>5492.6965550000004</v>
      </c>
      <c r="Q3428">
        <v>1384</v>
      </c>
      <c r="R3428">
        <v>0</v>
      </c>
    </row>
    <row r="3429" spans="1:18" x14ac:dyDescent="0.25">
      <c r="A3429">
        <v>3428</v>
      </c>
      <c r="B3429">
        <v>94</v>
      </c>
      <c r="C3429" t="e">
        <f>-IoLelWPFiD-hCt-o061_V</f>
        <v>#NAME?</v>
      </c>
      <c r="D3429" t="s">
        <v>272</v>
      </c>
      <c r="E3429">
        <v>261.786</v>
      </c>
      <c r="F3429" t="s">
        <v>21</v>
      </c>
      <c r="G3429" t="s">
        <v>26</v>
      </c>
      <c r="H3429" t="s">
        <v>21</v>
      </c>
      <c r="I3429" t="s">
        <v>20</v>
      </c>
      <c r="J3429" t="s">
        <v>20</v>
      </c>
      <c r="K3429" t="s">
        <v>27</v>
      </c>
      <c r="L3429" t="s">
        <v>350</v>
      </c>
      <c r="M3429" t="s">
        <v>174</v>
      </c>
      <c r="N3429">
        <v>39.347434999999997</v>
      </c>
      <c r="O3429">
        <v>-111.589738</v>
      </c>
      <c r="P3429">
        <v>5488.3889660000004</v>
      </c>
      <c r="Q3429">
        <v>1384</v>
      </c>
      <c r="R3429">
        <v>0</v>
      </c>
    </row>
    <row r="3430" spans="1:18" x14ac:dyDescent="0.25">
      <c r="A3430">
        <v>3429</v>
      </c>
      <c r="B3430">
        <v>94</v>
      </c>
      <c r="C3430" t="e">
        <f>-IoLfCIfGwaaL81cJ6OyOk</f>
        <v>#NAME?</v>
      </c>
      <c r="D3430" t="s">
        <v>272</v>
      </c>
      <c r="E3430">
        <v>261.87799999999999</v>
      </c>
      <c r="F3430" t="s">
        <v>21</v>
      </c>
      <c r="G3430" t="s">
        <v>26</v>
      </c>
      <c r="H3430" t="s">
        <v>21</v>
      </c>
      <c r="I3430" t="s">
        <v>20</v>
      </c>
      <c r="J3430" t="s">
        <v>20</v>
      </c>
      <c r="K3430" t="s">
        <v>27</v>
      </c>
      <c r="L3430" t="s">
        <v>350</v>
      </c>
      <c r="M3430" t="s">
        <v>174</v>
      </c>
      <c r="N3430">
        <v>39.348643000000003</v>
      </c>
      <c r="O3430">
        <v>-111.589012</v>
      </c>
      <c r="P3430">
        <v>5487.2375970000003</v>
      </c>
      <c r="Q3430">
        <v>1384</v>
      </c>
      <c r="R3430">
        <v>0</v>
      </c>
    </row>
    <row r="3431" spans="1:18" x14ac:dyDescent="0.25">
      <c r="A3431">
        <v>3430</v>
      </c>
      <c r="B3431">
        <v>94</v>
      </c>
      <c r="C3431" t="s">
        <v>580</v>
      </c>
      <c r="D3431" t="s">
        <v>272</v>
      </c>
      <c r="E3431">
        <v>262.17500000000001</v>
      </c>
      <c r="F3431" t="s">
        <v>21</v>
      </c>
      <c r="G3431" t="s">
        <v>26</v>
      </c>
      <c r="H3431" t="s">
        <v>21</v>
      </c>
      <c r="I3431" t="s">
        <v>20</v>
      </c>
      <c r="J3431" t="s">
        <v>20</v>
      </c>
      <c r="K3431" t="s">
        <v>27</v>
      </c>
      <c r="L3431" t="s">
        <v>350</v>
      </c>
      <c r="M3431" t="s">
        <v>174</v>
      </c>
      <c r="N3431">
        <v>39.352632</v>
      </c>
      <c r="O3431">
        <v>-111.587194</v>
      </c>
      <c r="P3431">
        <v>5489.2892979999997</v>
      </c>
      <c r="Q3431">
        <v>1384</v>
      </c>
      <c r="R3431">
        <v>0</v>
      </c>
    </row>
    <row r="3432" spans="1:18" x14ac:dyDescent="0.25">
      <c r="A3432">
        <v>3431</v>
      </c>
      <c r="B3432">
        <v>94</v>
      </c>
      <c r="C3432" t="s">
        <v>581</v>
      </c>
      <c r="D3432" t="s">
        <v>272</v>
      </c>
      <c r="E3432">
        <v>262.3</v>
      </c>
      <c r="F3432" t="s">
        <v>21</v>
      </c>
      <c r="G3432" t="s">
        <v>26</v>
      </c>
      <c r="H3432" t="s">
        <v>21</v>
      </c>
      <c r="I3432" t="s">
        <v>20</v>
      </c>
      <c r="J3432" t="s">
        <v>20</v>
      </c>
      <c r="K3432" t="s">
        <v>27</v>
      </c>
      <c r="L3432" t="s">
        <v>350</v>
      </c>
      <c r="M3432" t="s">
        <v>174</v>
      </c>
      <c r="N3432">
        <v>39.354447</v>
      </c>
      <c r="O3432">
        <v>-111.58718500000001</v>
      </c>
      <c r="P3432">
        <v>5485.7014810000001</v>
      </c>
      <c r="Q3432">
        <v>1384</v>
      </c>
      <c r="R3432">
        <v>0</v>
      </c>
    </row>
    <row r="3433" spans="1:18" x14ac:dyDescent="0.25">
      <c r="A3433">
        <v>3432</v>
      </c>
      <c r="B3433">
        <v>94</v>
      </c>
      <c r="C3433" t="s">
        <v>582</v>
      </c>
      <c r="D3433" t="s">
        <v>272</v>
      </c>
      <c r="E3433">
        <v>262.423</v>
      </c>
      <c r="F3433" t="s">
        <v>21</v>
      </c>
      <c r="G3433" t="s">
        <v>26</v>
      </c>
      <c r="H3433" t="s">
        <v>21</v>
      </c>
      <c r="I3433" t="s">
        <v>20</v>
      </c>
      <c r="J3433" t="s">
        <v>20</v>
      </c>
      <c r="K3433" t="s">
        <v>27</v>
      </c>
      <c r="L3433" t="s">
        <v>350</v>
      </c>
      <c r="M3433" t="s">
        <v>174</v>
      </c>
      <c r="N3433">
        <v>39.356242999999999</v>
      </c>
      <c r="O3433">
        <v>-111.587171</v>
      </c>
      <c r="P3433">
        <v>5483.4943910000002</v>
      </c>
      <c r="Q3433">
        <v>1384</v>
      </c>
      <c r="R3433">
        <v>0</v>
      </c>
    </row>
    <row r="3434" spans="1:18" x14ac:dyDescent="0.25">
      <c r="A3434">
        <v>3433</v>
      </c>
      <c r="B3434">
        <v>94</v>
      </c>
      <c r="C3434">
        <v>28190263</v>
      </c>
      <c r="D3434" t="s">
        <v>233</v>
      </c>
      <c r="E3434">
        <v>34.93</v>
      </c>
      <c r="F3434" t="s">
        <v>21</v>
      </c>
      <c r="G3434" t="s">
        <v>26</v>
      </c>
      <c r="H3434" t="s">
        <v>21</v>
      </c>
      <c r="I3434" t="s">
        <v>20</v>
      </c>
      <c r="J3434" t="s">
        <v>20</v>
      </c>
      <c r="K3434" t="s">
        <v>22</v>
      </c>
      <c r="L3434" t="s">
        <v>234</v>
      </c>
      <c r="M3434" t="s">
        <v>235</v>
      </c>
      <c r="N3434">
        <v>40.344192</v>
      </c>
      <c r="O3434">
        <v>-109.48512700000001</v>
      </c>
      <c r="P3434">
        <v>5219.2068829999998</v>
      </c>
      <c r="Q3434">
        <v>1354</v>
      </c>
      <c r="R3434">
        <v>0</v>
      </c>
    </row>
    <row r="3435" spans="1:18" x14ac:dyDescent="0.25">
      <c r="A3435">
        <v>3434</v>
      </c>
      <c r="B3435">
        <v>94</v>
      </c>
      <c r="C3435">
        <v>31383335</v>
      </c>
      <c r="D3435" t="s">
        <v>116</v>
      </c>
      <c r="E3435">
        <v>34.933999999999997</v>
      </c>
      <c r="F3435" t="s">
        <v>21</v>
      </c>
      <c r="G3435" t="s">
        <v>26</v>
      </c>
      <c r="H3435" t="s">
        <v>21</v>
      </c>
      <c r="I3435" t="s">
        <v>20</v>
      </c>
      <c r="J3435" t="s">
        <v>20</v>
      </c>
      <c r="K3435" t="s">
        <v>41</v>
      </c>
      <c r="L3435" t="s">
        <v>95</v>
      </c>
      <c r="M3435" t="s">
        <v>117</v>
      </c>
      <c r="N3435">
        <v>41.851776999999998</v>
      </c>
      <c r="O3435">
        <v>-111.83193900000001</v>
      </c>
      <c r="P3435">
        <v>4567.0396309999996</v>
      </c>
      <c r="Q3435">
        <v>324</v>
      </c>
      <c r="R3435">
        <v>0</v>
      </c>
    </row>
    <row r="3436" spans="1:18" x14ac:dyDescent="0.25">
      <c r="A3436">
        <v>3435</v>
      </c>
      <c r="B3436">
        <v>94</v>
      </c>
      <c r="C3436">
        <v>31537866</v>
      </c>
      <c r="D3436" t="s">
        <v>244</v>
      </c>
      <c r="E3436">
        <v>34.936</v>
      </c>
      <c r="F3436" t="s">
        <v>21</v>
      </c>
      <c r="G3436" t="s">
        <v>26</v>
      </c>
      <c r="H3436" t="s">
        <v>21</v>
      </c>
      <c r="I3436" t="s">
        <v>20</v>
      </c>
      <c r="J3436" t="s">
        <v>20</v>
      </c>
      <c r="K3436" t="s">
        <v>27</v>
      </c>
      <c r="L3436" t="s">
        <v>266</v>
      </c>
      <c r="M3436" t="s">
        <v>58</v>
      </c>
      <c r="N3436">
        <v>38.530951000000002</v>
      </c>
      <c r="O3436">
        <v>-111.83615500000001</v>
      </c>
      <c r="P3436">
        <v>7251.3731749999997</v>
      </c>
      <c r="Q3436">
        <v>1340</v>
      </c>
      <c r="R3436">
        <v>0</v>
      </c>
    </row>
    <row r="3437" spans="1:18" x14ac:dyDescent="0.25">
      <c r="A3437">
        <v>3436</v>
      </c>
      <c r="B3437">
        <v>94</v>
      </c>
      <c r="C3437" t="e">
        <f>-Ip-MMQtIET0eKUc1192Hk</f>
        <v>#NAME?</v>
      </c>
      <c r="D3437" t="s">
        <v>272</v>
      </c>
      <c r="E3437">
        <v>371.47300000000001</v>
      </c>
      <c r="F3437" t="s">
        <v>19</v>
      </c>
      <c r="G3437" t="s">
        <v>20</v>
      </c>
      <c r="H3437" t="s">
        <v>19</v>
      </c>
      <c r="I3437">
        <v>173</v>
      </c>
      <c r="J3437" t="s">
        <v>20</v>
      </c>
      <c r="K3437" t="s">
        <v>31</v>
      </c>
      <c r="L3437" t="s">
        <v>69</v>
      </c>
      <c r="M3437" t="s">
        <v>49</v>
      </c>
      <c r="N3437">
        <v>40.656084999999997</v>
      </c>
      <c r="O3437">
        <v>-111.888299</v>
      </c>
      <c r="P3437">
        <v>4242.0377330000001</v>
      </c>
      <c r="Q3437">
        <v>1384</v>
      </c>
      <c r="R3437">
        <v>0</v>
      </c>
    </row>
    <row r="3438" spans="1:18" x14ac:dyDescent="0.25">
      <c r="A3438">
        <v>3437</v>
      </c>
      <c r="B3438">
        <v>94</v>
      </c>
      <c r="C3438" t="e">
        <f>-JTCABnsFSLY0oGJhM4L6V</f>
        <v>#NAME?</v>
      </c>
      <c r="D3438" t="s">
        <v>272</v>
      </c>
      <c r="E3438">
        <v>371.65699999999998</v>
      </c>
      <c r="F3438" t="s">
        <v>21</v>
      </c>
      <c r="G3438" t="s">
        <v>26</v>
      </c>
      <c r="H3438" t="s">
        <v>21</v>
      </c>
      <c r="I3438" t="s">
        <v>20</v>
      </c>
      <c r="J3438" t="s">
        <v>20</v>
      </c>
      <c r="K3438" t="s">
        <v>31</v>
      </c>
      <c r="L3438" t="s">
        <v>69</v>
      </c>
      <c r="M3438" t="s">
        <v>49</v>
      </c>
      <c r="N3438">
        <v>40.658785000000002</v>
      </c>
      <c r="O3438">
        <v>-111.888243</v>
      </c>
      <c r="P3438">
        <v>4230.3353710000001</v>
      </c>
      <c r="Q3438">
        <v>1384</v>
      </c>
      <c r="R3438">
        <v>0</v>
      </c>
    </row>
    <row r="3439" spans="1:18" x14ac:dyDescent="0.25">
      <c r="A3439">
        <v>3438</v>
      </c>
      <c r="B3439">
        <v>94</v>
      </c>
      <c r="C3439" t="s">
        <v>583</v>
      </c>
      <c r="D3439" t="s">
        <v>272</v>
      </c>
      <c r="E3439">
        <v>371.697</v>
      </c>
      <c r="F3439" t="s">
        <v>19</v>
      </c>
      <c r="G3439" t="s">
        <v>20</v>
      </c>
      <c r="H3439" t="s">
        <v>21</v>
      </c>
      <c r="I3439" t="s">
        <v>20</v>
      </c>
      <c r="J3439" t="s">
        <v>20</v>
      </c>
      <c r="K3439" t="s">
        <v>31</v>
      </c>
      <c r="L3439" t="s">
        <v>69</v>
      </c>
      <c r="M3439" t="s">
        <v>49</v>
      </c>
      <c r="N3439">
        <v>40.659362999999999</v>
      </c>
      <c r="O3439">
        <v>-111.888313</v>
      </c>
      <c r="P3439">
        <v>4227.0856540000004</v>
      </c>
      <c r="Q3439">
        <v>1384</v>
      </c>
      <c r="R3439">
        <v>0</v>
      </c>
    </row>
    <row r="3440" spans="1:18" x14ac:dyDescent="0.25">
      <c r="A3440">
        <v>3439</v>
      </c>
      <c r="B3440">
        <v>94</v>
      </c>
      <c r="C3440" t="e">
        <f>-Ip5bZokIEDdG5E1YvCtCk</f>
        <v>#NAME?</v>
      </c>
      <c r="D3440" t="s">
        <v>272</v>
      </c>
      <c r="E3440">
        <v>379.96199999999999</v>
      </c>
      <c r="F3440" t="s">
        <v>19</v>
      </c>
      <c r="G3440" t="s">
        <v>20</v>
      </c>
      <c r="H3440" t="s">
        <v>21</v>
      </c>
      <c r="I3440" t="s">
        <v>20</v>
      </c>
      <c r="J3440" t="s">
        <v>20</v>
      </c>
      <c r="K3440" t="s">
        <v>31</v>
      </c>
      <c r="L3440" t="s">
        <v>66</v>
      </c>
      <c r="M3440" t="s">
        <v>49</v>
      </c>
      <c r="N3440">
        <v>40.771529000000001</v>
      </c>
      <c r="O3440">
        <v>-111.899683</v>
      </c>
      <c r="P3440">
        <v>4223.3548199999996</v>
      </c>
      <c r="Q3440">
        <v>1384</v>
      </c>
      <c r="R3440">
        <v>0</v>
      </c>
    </row>
    <row r="3441" spans="1:18" x14ac:dyDescent="0.25">
      <c r="A3441">
        <v>3440</v>
      </c>
      <c r="B3441">
        <v>94</v>
      </c>
      <c r="C3441">
        <v>31324339</v>
      </c>
      <c r="D3441" t="s">
        <v>288</v>
      </c>
      <c r="E3441">
        <v>38.037999999999997</v>
      </c>
      <c r="F3441" t="s">
        <v>21</v>
      </c>
      <c r="G3441" t="s">
        <v>26</v>
      </c>
      <c r="H3441" t="s">
        <v>21</v>
      </c>
      <c r="I3441" t="s">
        <v>20</v>
      </c>
      <c r="J3441" t="s">
        <v>20</v>
      </c>
      <c r="K3441" t="s">
        <v>27</v>
      </c>
      <c r="L3441" t="s">
        <v>327</v>
      </c>
      <c r="M3441" t="s">
        <v>212</v>
      </c>
      <c r="N3441">
        <v>37.445532999999998</v>
      </c>
      <c r="O3441">
        <v>-109.467446</v>
      </c>
      <c r="P3441">
        <v>5206.165508</v>
      </c>
      <c r="Q3441">
        <v>350</v>
      </c>
      <c r="R3441">
        <v>0</v>
      </c>
    </row>
    <row r="3442" spans="1:18" x14ac:dyDescent="0.25">
      <c r="A3442">
        <v>3441</v>
      </c>
      <c r="B3442">
        <v>94</v>
      </c>
      <c r="C3442">
        <v>31286412</v>
      </c>
      <c r="D3442" t="s">
        <v>241</v>
      </c>
      <c r="E3442">
        <v>38.052999999999997</v>
      </c>
      <c r="F3442" t="s">
        <v>21</v>
      </c>
      <c r="G3442" t="s">
        <v>26</v>
      </c>
      <c r="H3442" t="s">
        <v>21</v>
      </c>
      <c r="I3442" t="s">
        <v>20</v>
      </c>
      <c r="J3442" t="s">
        <v>20</v>
      </c>
      <c r="K3442" t="s">
        <v>27</v>
      </c>
      <c r="L3442" t="s">
        <v>111</v>
      </c>
      <c r="M3442" t="s">
        <v>243</v>
      </c>
      <c r="N3442">
        <v>39.211708000000002</v>
      </c>
      <c r="O3442">
        <v>-111.015941</v>
      </c>
      <c r="P3442">
        <v>5596.6224350000002</v>
      </c>
      <c r="Q3442">
        <v>1327</v>
      </c>
      <c r="R3442">
        <v>0</v>
      </c>
    </row>
    <row r="3443" spans="1:18" x14ac:dyDescent="0.25">
      <c r="A3443">
        <v>3442</v>
      </c>
      <c r="B3443">
        <v>94</v>
      </c>
      <c r="C3443">
        <v>31412047</v>
      </c>
      <c r="D3443" t="s">
        <v>63</v>
      </c>
      <c r="E3443">
        <v>38.055</v>
      </c>
      <c r="F3443" t="s">
        <v>21</v>
      </c>
      <c r="G3443" t="s">
        <v>26</v>
      </c>
      <c r="H3443" t="s">
        <v>21</v>
      </c>
      <c r="I3443" t="s">
        <v>20</v>
      </c>
      <c r="J3443" t="s">
        <v>20</v>
      </c>
      <c r="K3443" t="s">
        <v>27</v>
      </c>
      <c r="L3443" t="s">
        <v>266</v>
      </c>
      <c r="M3443" t="s">
        <v>29</v>
      </c>
      <c r="N3443">
        <v>38.513319000000003</v>
      </c>
      <c r="O3443">
        <v>-111.88137</v>
      </c>
      <c r="P3443">
        <v>6873.8302160000003</v>
      </c>
      <c r="Q3443">
        <v>1365</v>
      </c>
      <c r="R3443">
        <v>0</v>
      </c>
    </row>
    <row r="3444" spans="1:18" x14ac:dyDescent="0.25">
      <c r="A3444">
        <v>3443</v>
      </c>
      <c r="B3444">
        <v>94</v>
      </c>
      <c r="C3444">
        <v>31436689</v>
      </c>
      <c r="D3444" t="s">
        <v>220</v>
      </c>
      <c r="E3444">
        <v>38.069000000000003</v>
      </c>
      <c r="F3444" t="s">
        <v>21</v>
      </c>
      <c r="G3444" t="s">
        <v>20</v>
      </c>
      <c r="H3444" t="s">
        <v>21</v>
      </c>
      <c r="I3444" t="s">
        <v>20</v>
      </c>
      <c r="J3444" t="s">
        <v>20</v>
      </c>
      <c r="K3444" t="s">
        <v>27</v>
      </c>
      <c r="L3444" t="s">
        <v>28</v>
      </c>
      <c r="M3444" t="s">
        <v>366</v>
      </c>
      <c r="N3444">
        <v>37.617094000000002</v>
      </c>
      <c r="O3444">
        <v>-111.88152100000001</v>
      </c>
      <c r="P3444">
        <v>6868.1553210000002</v>
      </c>
      <c r="Q3444">
        <v>1328</v>
      </c>
      <c r="R3444">
        <v>0</v>
      </c>
    </row>
    <row r="3445" spans="1:18" x14ac:dyDescent="0.25">
      <c r="A3445">
        <v>3444</v>
      </c>
      <c r="B3445">
        <v>94</v>
      </c>
      <c r="C3445">
        <v>31397227</v>
      </c>
      <c r="D3445" t="s">
        <v>124</v>
      </c>
      <c r="E3445">
        <v>38.110999999999997</v>
      </c>
      <c r="F3445" t="s">
        <v>19</v>
      </c>
      <c r="G3445" t="s">
        <v>20</v>
      </c>
      <c r="H3445" t="s">
        <v>21</v>
      </c>
      <c r="I3445" t="s">
        <v>20</v>
      </c>
      <c r="J3445" t="s">
        <v>20</v>
      </c>
      <c r="K3445" t="s">
        <v>31</v>
      </c>
      <c r="L3445" t="s">
        <v>89</v>
      </c>
      <c r="M3445" t="s">
        <v>125</v>
      </c>
      <c r="N3445">
        <v>40.462688999999997</v>
      </c>
      <c r="O3445">
        <v>-111.94288400000001</v>
      </c>
      <c r="P3445">
        <v>4581.5289229999998</v>
      </c>
      <c r="Q3445">
        <v>1368</v>
      </c>
      <c r="R3445">
        <v>0</v>
      </c>
    </row>
    <row r="3446" spans="1:18" x14ac:dyDescent="0.25">
      <c r="A3446">
        <v>3445</v>
      </c>
      <c r="B3446">
        <v>94</v>
      </c>
      <c r="C3446">
        <v>31302556</v>
      </c>
      <c r="D3446" t="s">
        <v>316</v>
      </c>
      <c r="E3446">
        <v>38.125999999999998</v>
      </c>
      <c r="F3446" t="s">
        <v>21</v>
      </c>
      <c r="G3446" t="s">
        <v>26</v>
      </c>
      <c r="H3446" t="s">
        <v>21</v>
      </c>
      <c r="I3446" t="s">
        <v>20</v>
      </c>
      <c r="J3446" t="s">
        <v>20</v>
      </c>
      <c r="K3446" t="s">
        <v>22</v>
      </c>
      <c r="L3446" t="s">
        <v>168</v>
      </c>
      <c r="M3446" t="s">
        <v>302</v>
      </c>
      <c r="N3446">
        <v>40.400348999999999</v>
      </c>
      <c r="O3446">
        <v>-110.759967</v>
      </c>
      <c r="P3446">
        <v>6680.1159459999999</v>
      </c>
      <c r="Q3446">
        <v>1346</v>
      </c>
      <c r="R3446">
        <v>0</v>
      </c>
    </row>
    <row r="3447" spans="1:18" x14ac:dyDescent="0.25">
      <c r="A3447">
        <v>3446</v>
      </c>
      <c r="B3447">
        <v>94</v>
      </c>
      <c r="C3447">
        <v>31383551</v>
      </c>
      <c r="D3447" t="s">
        <v>116</v>
      </c>
      <c r="E3447">
        <v>38.131</v>
      </c>
      <c r="F3447" t="s">
        <v>21</v>
      </c>
      <c r="G3447" t="s">
        <v>26</v>
      </c>
      <c r="H3447" t="s">
        <v>21</v>
      </c>
      <c r="I3447" t="s">
        <v>20</v>
      </c>
      <c r="J3447" t="s">
        <v>20</v>
      </c>
      <c r="K3447" t="s">
        <v>41</v>
      </c>
      <c r="L3447" t="s">
        <v>95</v>
      </c>
      <c r="M3447" t="s">
        <v>117</v>
      </c>
      <c r="N3447">
        <v>41.895605000000003</v>
      </c>
      <c r="O3447">
        <v>-111.81486099999999</v>
      </c>
      <c r="P3447">
        <v>4550.4090999999999</v>
      </c>
      <c r="Q3447">
        <v>324</v>
      </c>
      <c r="R3447">
        <v>0</v>
      </c>
    </row>
    <row r="3448" spans="1:18" x14ac:dyDescent="0.25">
      <c r="A3448">
        <v>3447</v>
      </c>
      <c r="B3448">
        <v>94</v>
      </c>
      <c r="C3448" t="e">
        <f>-JY7HW7JFKLeTRG0aW6U8V</f>
        <v>#NAME?</v>
      </c>
      <c r="D3448" t="s">
        <v>199</v>
      </c>
      <c r="E3448">
        <v>38.131</v>
      </c>
      <c r="F3448" t="s">
        <v>21</v>
      </c>
      <c r="G3448" t="s">
        <v>26</v>
      </c>
      <c r="H3448" t="s">
        <v>21</v>
      </c>
      <c r="I3448" t="s">
        <v>20</v>
      </c>
      <c r="J3448" t="s">
        <v>20</v>
      </c>
      <c r="K3448" t="s">
        <v>27</v>
      </c>
      <c r="L3448" t="s">
        <v>64</v>
      </c>
      <c r="M3448" t="s">
        <v>200</v>
      </c>
      <c r="N3448">
        <v>38.261197000000003</v>
      </c>
      <c r="O3448">
        <v>-112.249493</v>
      </c>
      <c r="P3448">
        <v>6301.2082250000003</v>
      </c>
      <c r="Q3448">
        <v>341</v>
      </c>
      <c r="R3448">
        <v>0</v>
      </c>
    </row>
    <row r="3449" spans="1:18" x14ac:dyDescent="0.25">
      <c r="A3449">
        <v>3448</v>
      </c>
      <c r="B3449">
        <v>94</v>
      </c>
      <c r="C3449">
        <v>31519316</v>
      </c>
      <c r="D3449" t="s">
        <v>292</v>
      </c>
      <c r="E3449">
        <v>38.151000000000003</v>
      </c>
      <c r="F3449" t="s">
        <v>21</v>
      </c>
      <c r="G3449" t="s">
        <v>26</v>
      </c>
      <c r="H3449" t="s">
        <v>19</v>
      </c>
      <c r="I3449">
        <v>40</v>
      </c>
      <c r="J3449">
        <v>191</v>
      </c>
      <c r="K3449" t="s">
        <v>22</v>
      </c>
      <c r="L3449" t="s">
        <v>133</v>
      </c>
      <c r="M3449" t="s">
        <v>134</v>
      </c>
      <c r="N3449">
        <v>40.257967000000001</v>
      </c>
      <c r="O3449">
        <v>-110.061271</v>
      </c>
      <c r="P3449">
        <v>5125.310176</v>
      </c>
      <c r="Q3449">
        <v>323</v>
      </c>
      <c r="R3449">
        <v>0</v>
      </c>
    </row>
    <row r="3450" spans="1:18" x14ac:dyDescent="0.25">
      <c r="A3450">
        <v>3449</v>
      </c>
      <c r="B3450">
        <v>94</v>
      </c>
      <c r="C3450">
        <v>31286423</v>
      </c>
      <c r="D3450" t="s">
        <v>241</v>
      </c>
      <c r="E3450">
        <v>38.154000000000003</v>
      </c>
      <c r="F3450" t="s">
        <v>21</v>
      </c>
      <c r="G3450" t="s">
        <v>26</v>
      </c>
      <c r="H3450" t="s">
        <v>21</v>
      </c>
      <c r="I3450" t="s">
        <v>20</v>
      </c>
      <c r="J3450" t="s">
        <v>20</v>
      </c>
      <c r="K3450" t="s">
        <v>27</v>
      </c>
      <c r="L3450" t="s">
        <v>111</v>
      </c>
      <c r="M3450" t="s">
        <v>243</v>
      </c>
      <c r="N3450">
        <v>39.211734</v>
      </c>
      <c r="O3450">
        <v>-111.014065</v>
      </c>
      <c r="P3450">
        <v>5589.8102609999996</v>
      </c>
      <c r="Q3450">
        <v>1327</v>
      </c>
      <c r="R3450">
        <v>0</v>
      </c>
    </row>
    <row r="3451" spans="1:18" x14ac:dyDescent="0.25">
      <c r="A3451">
        <v>3450</v>
      </c>
      <c r="B3451">
        <v>94</v>
      </c>
      <c r="C3451">
        <v>31384012</v>
      </c>
      <c r="D3451" t="s">
        <v>116</v>
      </c>
      <c r="E3451">
        <v>38.165999999999997</v>
      </c>
      <c r="F3451" t="s">
        <v>21</v>
      </c>
      <c r="G3451" t="s">
        <v>26</v>
      </c>
      <c r="H3451" t="s">
        <v>21</v>
      </c>
      <c r="I3451" t="s">
        <v>20</v>
      </c>
      <c r="J3451" t="s">
        <v>20</v>
      </c>
      <c r="K3451" t="s">
        <v>41</v>
      </c>
      <c r="L3451" t="s">
        <v>95</v>
      </c>
      <c r="M3451" t="s">
        <v>117</v>
      </c>
      <c r="N3451">
        <v>41.896112000000002</v>
      </c>
      <c r="O3451">
        <v>-111.81483799999999</v>
      </c>
      <c r="P3451">
        <v>4549.9725619999999</v>
      </c>
      <c r="Q3451">
        <v>324</v>
      </c>
      <c r="R3451">
        <v>0</v>
      </c>
    </row>
    <row r="3452" spans="1:18" x14ac:dyDescent="0.25">
      <c r="A3452">
        <v>3451</v>
      </c>
      <c r="B3452">
        <v>94</v>
      </c>
      <c r="C3452">
        <v>31412208</v>
      </c>
      <c r="D3452" t="s">
        <v>63</v>
      </c>
      <c r="E3452">
        <v>38.167999999999999</v>
      </c>
      <c r="F3452" t="s">
        <v>21</v>
      </c>
      <c r="G3452" t="s">
        <v>26</v>
      </c>
      <c r="H3452" t="s">
        <v>21</v>
      </c>
      <c r="I3452" t="s">
        <v>20</v>
      </c>
      <c r="J3452" t="s">
        <v>20</v>
      </c>
      <c r="K3452" t="s">
        <v>27</v>
      </c>
      <c r="L3452" t="s">
        <v>266</v>
      </c>
      <c r="M3452" t="s">
        <v>29</v>
      </c>
      <c r="N3452">
        <v>38.514966000000001</v>
      </c>
      <c r="O3452">
        <v>-111.88137999999999</v>
      </c>
      <c r="P3452">
        <v>6879.1890389999999</v>
      </c>
      <c r="Q3452">
        <v>1365</v>
      </c>
      <c r="R3452">
        <v>0</v>
      </c>
    </row>
    <row r="3453" spans="1:18" x14ac:dyDescent="0.25">
      <c r="A3453">
        <v>3452</v>
      </c>
      <c r="B3453">
        <v>94</v>
      </c>
      <c r="C3453">
        <v>31397603</v>
      </c>
      <c r="D3453" t="s">
        <v>124</v>
      </c>
      <c r="E3453">
        <v>38.213000000000001</v>
      </c>
      <c r="F3453" t="s">
        <v>21</v>
      </c>
      <c r="G3453" t="s">
        <v>20</v>
      </c>
      <c r="H3453" t="s">
        <v>21</v>
      </c>
      <c r="I3453" t="s">
        <v>20</v>
      </c>
      <c r="J3453" t="s">
        <v>20</v>
      </c>
      <c r="K3453" t="s">
        <v>31</v>
      </c>
      <c r="L3453" t="s">
        <v>89</v>
      </c>
      <c r="M3453" t="s">
        <v>125</v>
      </c>
      <c r="N3453">
        <v>40.464089000000001</v>
      </c>
      <c r="O3453">
        <v>-111.943515</v>
      </c>
      <c r="P3453">
        <v>4581.7165199999999</v>
      </c>
      <c r="Q3453">
        <v>1368</v>
      </c>
      <c r="R3453">
        <v>0</v>
      </c>
    </row>
    <row r="3454" spans="1:18" x14ac:dyDescent="0.25">
      <c r="A3454">
        <v>3453</v>
      </c>
      <c r="B3454">
        <v>94</v>
      </c>
      <c r="C3454">
        <v>31478470</v>
      </c>
      <c r="D3454" t="s">
        <v>213</v>
      </c>
      <c r="E3454">
        <v>38.225000000000001</v>
      </c>
      <c r="F3454" t="s">
        <v>21</v>
      </c>
      <c r="G3454" t="s">
        <v>26</v>
      </c>
      <c r="H3454" t="s">
        <v>21</v>
      </c>
      <c r="I3454" t="s">
        <v>20</v>
      </c>
      <c r="J3454" t="s">
        <v>20</v>
      </c>
      <c r="K3454" t="s">
        <v>27</v>
      </c>
      <c r="L3454" t="s">
        <v>173</v>
      </c>
      <c r="M3454" t="s">
        <v>214</v>
      </c>
      <c r="N3454">
        <v>39.029069999999997</v>
      </c>
      <c r="O3454">
        <v>-113.379115</v>
      </c>
      <c r="P3454">
        <v>4759.6860839999999</v>
      </c>
      <c r="Q3454">
        <v>1332</v>
      </c>
      <c r="R3454">
        <v>0</v>
      </c>
    </row>
    <row r="3455" spans="1:18" x14ac:dyDescent="0.25">
      <c r="A3455">
        <v>3454</v>
      </c>
      <c r="B3455">
        <v>94</v>
      </c>
      <c r="C3455">
        <v>1007942</v>
      </c>
      <c r="D3455" t="s">
        <v>171</v>
      </c>
      <c r="E3455">
        <v>3.3769999999999998</v>
      </c>
      <c r="F3455" t="s">
        <v>21</v>
      </c>
      <c r="G3455" t="s">
        <v>26</v>
      </c>
      <c r="H3455" t="s">
        <v>21</v>
      </c>
      <c r="I3455" t="s">
        <v>20</v>
      </c>
      <c r="J3455" t="s">
        <v>20</v>
      </c>
      <c r="K3455" t="s">
        <v>31</v>
      </c>
      <c r="L3455" t="s">
        <v>78</v>
      </c>
      <c r="M3455" t="s">
        <v>79</v>
      </c>
      <c r="N3455">
        <v>40.696547000000002</v>
      </c>
      <c r="O3455">
        <v>-112.02730699999999</v>
      </c>
      <c r="P3455">
        <v>4239.8449840000003</v>
      </c>
      <c r="Q3455">
        <v>346</v>
      </c>
      <c r="R3455">
        <v>0</v>
      </c>
    </row>
    <row r="3456" spans="1:18" x14ac:dyDescent="0.25">
      <c r="A3456">
        <v>3455</v>
      </c>
      <c r="B3456">
        <v>94</v>
      </c>
      <c r="C3456" t="e">
        <f>-IoXi8odIKqzuk3y9ISXEF</f>
        <v>#NAME?</v>
      </c>
      <c r="D3456" t="s">
        <v>272</v>
      </c>
      <c r="E3456">
        <v>342.024</v>
      </c>
      <c r="F3456" t="s">
        <v>21</v>
      </c>
      <c r="G3456" t="s">
        <v>20</v>
      </c>
      <c r="H3456" t="s">
        <v>21</v>
      </c>
      <c r="I3456" t="s">
        <v>20</v>
      </c>
      <c r="J3456" t="s">
        <v>20</v>
      </c>
      <c r="K3456" t="s">
        <v>22</v>
      </c>
      <c r="L3456" t="s">
        <v>23</v>
      </c>
      <c r="M3456" t="s">
        <v>125</v>
      </c>
      <c r="N3456">
        <v>40.329402000000002</v>
      </c>
      <c r="O3456">
        <v>-111.709968</v>
      </c>
      <c r="P3456">
        <v>4695.1730889999999</v>
      </c>
      <c r="Q3456">
        <v>1384</v>
      </c>
      <c r="R3456">
        <v>0</v>
      </c>
    </row>
    <row r="3457" spans="1:18" x14ac:dyDescent="0.25">
      <c r="A3457">
        <v>3456</v>
      </c>
      <c r="B3457">
        <v>94</v>
      </c>
      <c r="C3457" t="s">
        <v>584</v>
      </c>
      <c r="D3457" t="s">
        <v>272</v>
      </c>
      <c r="E3457">
        <v>342.09399999999999</v>
      </c>
      <c r="F3457" t="s">
        <v>21</v>
      </c>
      <c r="G3457" t="s">
        <v>26</v>
      </c>
      <c r="H3457" t="s">
        <v>21</v>
      </c>
      <c r="I3457" t="s">
        <v>20</v>
      </c>
      <c r="J3457" t="s">
        <v>20</v>
      </c>
      <c r="K3457" t="s">
        <v>22</v>
      </c>
      <c r="L3457" t="s">
        <v>23</v>
      </c>
      <c r="M3457" t="s">
        <v>125</v>
      </c>
      <c r="N3457">
        <v>40.330241000000001</v>
      </c>
      <c r="O3457">
        <v>-111.710688</v>
      </c>
      <c r="P3457">
        <v>4692.265222</v>
      </c>
      <c r="Q3457">
        <v>1384</v>
      </c>
      <c r="R3457">
        <v>0</v>
      </c>
    </row>
    <row r="3458" spans="1:18" x14ac:dyDescent="0.25">
      <c r="A3458">
        <v>3457</v>
      </c>
      <c r="B3458">
        <v>94</v>
      </c>
      <c r="C3458" t="e">
        <f>-IoXj7MIHWerjrQsuTMjeV</f>
        <v>#NAME?</v>
      </c>
      <c r="D3458" t="s">
        <v>272</v>
      </c>
      <c r="E3458">
        <v>342.14699999999999</v>
      </c>
      <c r="F3458" t="s">
        <v>21</v>
      </c>
      <c r="G3458" t="s">
        <v>26</v>
      </c>
      <c r="H3458" t="s">
        <v>21</v>
      </c>
      <c r="I3458" t="s">
        <v>20</v>
      </c>
      <c r="J3458" t="s">
        <v>20</v>
      </c>
      <c r="K3458" t="s">
        <v>22</v>
      </c>
      <c r="L3458" t="s">
        <v>23</v>
      </c>
      <c r="M3458" t="s">
        <v>125</v>
      </c>
      <c r="N3458">
        <v>40.330908999999998</v>
      </c>
      <c r="O3458">
        <v>-111.711172</v>
      </c>
      <c r="P3458">
        <v>4690.8026579999996</v>
      </c>
      <c r="Q3458">
        <v>1384</v>
      </c>
      <c r="R3458">
        <v>0</v>
      </c>
    </row>
    <row r="3459" spans="1:18" x14ac:dyDescent="0.25">
      <c r="A3459">
        <v>3458</v>
      </c>
      <c r="B3459">
        <v>94</v>
      </c>
      <c r="C3459" t="s">
        <v>585</v>
      </c>
      <c r="D3459" t="s">
        <v>272</v>
      </c>
      <c r="E3459">
        <v>342.37900000000002</v>
      </c>
      <c r="F3459" t="s">
        <v>19</v>
      </c>
      <c r="G3459" t="s">
        <v>20</v>
      </c>
      <c r="H3459" t="s">
        <v>21</v>
      </c>
      <c r="I3459" t="s">
        <v>20</v>
      </c>
      <c r="J3459" t="s">
        <v>20</v>
      </c>
      <c r="K3459" t="s">
        <v>22</v>
      </c>
      <c r="L3459" t="s">
        <v>23</v>
      </c>
      <c r="M3459" t="s">
        <v>125</v>
      </c>
      <c r="N3459">
        <v>40.333711999999998</v>
      </c>
      <c r="O3459">
        <v>-111.71345100000001</v>
      </c>
      <c r="P3459">
        <v>4684.2619640000003</v>
      </c>
      <c r="Q3459">
        <v>1384</v>
      </c>
      <c r="R3459">
        <v>0</v>
      </c>
    </row>
    <row r="3460" spans="1:18" x14ac:dyDescent="0.25">
      <c r="A3460">
        <v>3459</v>
      </c>
      <c r="B3460">
        <v>94</v>
      </c>
      <c r="C3460" t="e">
        <f>-Ioa3N80Fsu4ZxIMzF7WGk</f>
        <v>#NAME?</v>
      </c>
      <c r="D3460" t="s">
        <v>272</v>
      </c>
      <c r="E3460">
        <v>342.548</v>
      </c>
      <c r="F3460" t="s">
        <v>21</v>
      </c>
      <c r="G3460" t="s">
        <v>26</v>
      </c>
      <c r="H3460" t="s">
        <v>21</v>
      </c>
      <c r="I3460" t="s">
        <v>20</v>
      </c>
      <c r="J3460" t="s">
        <v>20</v>
      </c>
      <c r="K3460" t="s">
        <v>22</v>
      </c>
      <c r="L3460" t="s">
        <v>23</v>
      </c>
      <c r="M3460" t="s">
        <v>125</v>
      </c>
      <c r="N3460">
        <v>40.335771999999999</v>
      </c>
      <c r="O3460">
        <v>-111.71517</v>
      </c>
      <c r="P3460">
        <v>4680.1385300000002</v>
      </c>
      <c r="Q3460">
        <v>1384</v>
      </c>
      <c r="R3460">
        <v>0</v>
      </c>
    </row>
    <row r="3461" spans="1:18" x14ac:dyDescent="0.25">
      <c r="A3461">
        <v>3460</v>
      </c>
      <c r="B3461">
        <v>94</v>
      </c>
      <c r="C3461" t="e">
        <f>-Ioa3Y3_GJLRk6cEzu6DsV</f>
        <v>#NAME?</v>
      </c>
      <c r="D3461" t="s">
        <v>272</v>
      </c>
      <c r="E3461">
        <v>342.61799999999999</v>
      </c>
      <c r="F3461" t="s">
        <v>21</v>
      </c>
      <c r="G3461" t="s">
        <v>26</v>
      </c>
      <c r="H3461" t="s">
        <v>21</v>
      </c>
      <c r="I3461" t="s">
        <v>20</v>
      </c>
      <c r="J3461" t="s">
        <v>20</v>
      </c>
      <c r="K3461" t="s">
        <v>22</v>
      </c>
      <c r="L3461" t="s">
        <v>23</v>
      </c>
      <c r="M3461" t="s">
        <v>125</v>
      </c>
      <c r="N3461">
        <v>40.336606000000003</v>
      </c>
      <c r="O3461">
        <v>-111.715833</v>
      </c>
      <c r="P3461">
        <v>4673.1173490000001</v>
      </c>
      <c r="Q3461">
        <v>1384</v>
      </c>
      <c r="R3461">
        <v>0</v>
      </c>
    </row>
    <row r="3462" spans="1:18" x14ac:dyDescent="0.25">
      <c r="A3462">
        <v>3461</v>
      </c>
      <c r="B3462">
        <v>94</v>
      </c>
      <c r="C3462" t="e">
        <f>-Ioa3ytBHiHwVCN_RfWofF</f>
        <v>#NAME?</v>
      </c>
      <c r="D3462" t="s">
        <v>272</v>
      </c>
      <c r="E3462">
        <v>342.68299999999999</v>
      </c>
      <c r="F3462" t="s">
        <v>21</v>
      </c>
      <c r="G3462" t="s">
        <v>26</v>
      </c>
      <c r="H3462" t="s">
        <v>21</v>
      </c>
      <c r="I3462" t="s">
        <v>20</v>
      </c>
      <c r="J3462" t="s">
        <v>20</v>
      </c>
      <c r="K3462" t="s">
        <v>22</v>
      </c>
      <c r="L3462" t="s">
        <v>23</v>
      </c>
      <c r="M3462" t="s">
        <v>125</v>
      </c>
      <c r="N3462">
        <v>40.337392999999999</v>
      </c>
      <c r="O3462">
        <v>-111.716504</v>
      </c>
      <c r="P3462">
        <v>4668.6495029999996</v>
      </c>
      <c r="Q3462">
        <v>1384</v>
      </c>
      <c r="R3462">
        <v>0</v>
      </c>
    </row>
    <row r="3463" spans="1:18" x14ac:dyDescent="0.25">
      <c r="A3463">
        <v>3462</v>
      </c>
      <c r="B3463">
        <v>94</v>
      </c>
      <c r="C3463" t="e">
        <f>-Ioa3m2NIvqHVAz35XJRuk</f>
        <v>#NAME?</v>
      </c>
      <c r="D3463" t="s">
        <v>272</v>
      </c>
      <c r="E3463">
        <v>342.72699999999998</v>
      </c>
      <c r="F3463" t="s">
        <v>21</v>
      </c>
      <c r="G3463" t="s">
        <v>26</v>
      </c>
      <c r="H3463" t="s">
        <v>21</v>
      </c>
      <c r="I3463" t="s">
        <v>20</v>
      </c>
      <c r="J3463" t="s">
        <v>20</v>
      </c>
      <c r="K3463" t="s">
        <v>22</v>
      </c>
      <c r="L3463" t="s">
        <v>23</v>
      </c>
      <c r="M3463" t="s">
        <v>125</v>
      </c>
      <c r="N3463">
        <v>40.337927999999998</v>
      </c>
      <c r="O3463">
        <v>-111.716917</v>
      </c>
      <c r="P3463">
        <v>4664.2663560000001</v>
      </c>
      <c r="Q3463">
        <v>1384</v>
      </c>
      <c r="R3463">
        <v>0</v>
      </c>
    </row>
    <row r="3464" spans="1:18" x14ac:dyDescent="0.25">
      <c r="A3464">
        <v>3463</v>
      </c>
      <c r="B3464">
        <v>94</v>
      </c>
      <c r="C3464" t="s">
        <v>586</v>
      </c>
      <c r="D3464" t="s">
        <v>272</v>
      </c>
      <c r="E3464">
        <v>342.84500000000003</v>
      </c>
      <c r="F3464" t="s">
        <v>21</v>
      </c>
      <c r="G3464" t="s">
        <v>26</v>
      </c>
      <c r="H3464" t="s">
        <v>21</v>
      </c>
      <c r="I3464" t="s">
        <v>20</v>
      </c>
      <c r="J3464" t="s">
        <v>20</v>
      </c>
      <c r="K3464" t="s">
        <v>22</v>
      </c>
      <c r="L3464" t="s">
        <v>23</v>
      </c>
      <c r="M3464" t="s">
        <v>125</v>
      </c>
      <c r="N3464">
        <v>40.339345000000002</v>
      </c>
      <c r="O3464">
        <v>-111.71811099999999</v>
      </c>
      <c r="P3464">
        <v>4653.3749459999999</v>
      </c>
      <c r="Q3464">
        <v>1384</v>
      </c>
      <c r="R3464">
        <v>0</v>
      </c>
    </row>
    <row r="3465" spans="1:18" x14ac:dyDescent="0.25">
      <c r="A3465">
        <v>3464</v>
      </c>
      <c r="B3465">
        <v>94</v>
      </c>
      <c r="C3465" t="s">
        <v>587</v>
      </c>
      <c r="D3465" t="s">
        <v>272</v>
      </c>
      <c r="E3465">
        <v>342.87900000000002</v>
      </c>
      <c r="F3465" t="s">
        <v>21</v>
      </c>
      <c r="G3465" t="s">
        <v>26</v>
      </c>
      <c r="H3465" t="s">
        <v>21</v>
      </c>
      <c r="I3465" t="s">
        <v>20</v>
      </c>
      <c r="J3465" t="s">
        <v>20</v>
      </c>
      <c r="K3465" t="s">
        <v>22</v>
      </c>
      <c r="L3465" t="s">
        <v>23</v>
      </c>
      <c r="M3465" t="s">
        <v>125</v>
      </c>
      <c r="N3465">
        <v>40.339767000000002</v>
      </c>
      <c r="O3465">
        <v>-111.718464</v>
      </c>
      <c r="P3465">
        <v>4648.3522039999998</v>
      </c>
      <c r="Q3465">
        <v>1384</v>
      </c>
      <c r="R3465">
        <v>0</v>
      </c>
    </row>
    <row r="3466" spans="1:18" x14ac:dyDescent="0.25">
      <c r="A3466">
        <v>3465</v>
      </c>
      <c r="B3466">
        <v>94</v>
      </c>
      <c r="C3466" t="e">
        <f>-Ioa558uIvDptXSt3z-ARV</f>
        <v>#NAME?</v>
      </c>
      <c r="D3466" t="s">
        <v>272</v>
      </c>
      <c r="E3466">
        <v>343.07</v>
      </c>
      <c r="F3466" t="s">
        <v>21</v>
      </c>
      <c r="G3466" t="s">
        <v>26</v>
      </c>
      <c r="H3466" t="s">
        <v>21</v>
      </c>
      <c r="I3466" t="s">
        <v>20</v>
      </c>
      <c r="J3466" t="s">
        <v>20</v>
      </c>
      <c r="K3466" t="s">
        <v>22</v>
      </c>
      <c r="L3466" t="s">
        <v>23</v>
      </c>
      <c r="M3466" t="s">
        <v>125</v>
      </c>
      <c r="N3466">
        <v>40.342067</v>
      </c>
      <c r="O3466">
        <v>-111.720358</v>
      </c>
      <c r="P3466">
        <v>4596.487349</v>
      </c>
      <c r="Q3466">
        <v>1384</v>
      </c>
      <c r="R3466">
        <v>0</v>
      </c>
    </row>
    <row r="3467" spans="1:18" x14ac:dyDescent="0.25">
      <c r="A3467">
        <v>3466</v>
      </c>
      <c r="B3467">
        <v>94</v>
      </c>
      <c r="C3467" t="e">
        <f>-Ioa5LwnG_LR4muiajCMGF</f>
        <v>#NAME?</v>
      </c>
      <c r="D3467" t="s">
        <v>272</v>
      </c>
      <c r="E3467">
        <v>343.30099999999999</v>
      </c>
      <c r="F3467" t="s">
        <v>19</v>
      </c>
      <c r="G3467" t="s">
        <v>20</v>
      </c>
      <c r="H3467" t="s">
        <v>21</v>
      </c>
      <c r="I3467" t="s">
        <v>20</v>
      </c>
      <c r="J3467" t="s">
        <v>20</v>
      </c>
      <c r="K3467" t="s">
        <v>22</v>
      </c>
      <c r="L3467" t="s">
        <v>23</v>
      </c>
      <c r="M3467" t="s">
        <v>125</v>
      </c>
      <c r="N3467">
        <v>40.344633999999999</v>
      </c>
      <c r="O3467">
        <v>-111.72306500000001</v>
      </c>
      <c r="P3467">
        <v>4571.9886040000001</v>
      </c>
      <c r="Q3467">
        <v>1384</v>
      </c>
      <c r="R3467">
        <v>0</v>
      </c>
    </row>
    <row r="3468" spans="1:18" x14ac:dyDescent="0.25">
      <c r="A3468">
        <v>3467</v>
      </c>
      <c r="B3468">
        <v>94</v>
      </c>
      <c r="C3468" t="s">
        <v>588</v>
      </c>
      <c r="D3468" t="s">
        <v>272</v>
      </c>
      <c r="E3468">
        <v>343.34699999999998</v>
      </c>
      <c r="F3468" t="s">
        <v>21</v>
      </c>
      <c r="G3468" t="s">
        <v>26</v>
      </c>
      <c r="H3468" t="s">
        <v>21</v>
      </c>
      <c r="I3468" t="s">
        <v>20</v>
      </c>
      <c r="J3468" t="s">
        <v>20</v>
      </c>
      <c r="K3468" t="s">
        <v>22</v>
      </c>
      <c r="L3468" t="s">
        <v>23</v>
      </c>
      <c r="M3468" t="s">
        <v>125</v>
      </c>
      <c r="N3468">
        <v>40.345128000000003</v>
      </c>
      <c r="O3468">
        <v>-111.723631</v>
      </c>
      <c r="P3468">
        <v>4568.9390210000001</v>
      </c>
      <c r="Q3468">
        <v>1384</v>
      </c>
      <c r="R3468">
        <v>0</v>
      </c>
    </row>
    <row r="3469" spans="1:18" x14ac:dyDescent="0.25">
      <c r="A3469">
        <v>3468</v>
      </c>
      <c r="B3469">
        <v>94</v>
      </c>
      <c r="C3469" t="e">
        <f>-Ioa7j6hIoanoj_x9ECxhk</f>
        <v>#NAME?</v>
      </c>
      <c r="D3469" t="s">
        <v>272</v>
      </c>
      <c r="E3469">
        <v>343.483</v>
      </c>
      <c r="F3469" t="s">
        <v>21</v>
      </c>
      <c r="G3469" t="s">
        <v>26</v>
      </c>
      <c r="H3469" t="s">
        <v>21</v>
      </c>
      <c r="I3469" t="s">
        <v>20</v>
      </c>
      <c r="J3469" t="s">
        <v>20</v>
      </c>
      <c r="K3469" t="s">
        <v>22</v>
      </c>
      <c r="L3469" t="s">
        <v>23</v>
      </c>
      <c r="M3469" t="s">
        <v>125</v>
      </c>
      <c r="N3469">
        <v>40.346592999999999</v>
      </c>
      <c r="O3469">
        <v>-111.725317</v>
      </c>
      <c r="P3469">
        <v>4556.2104449999997</v>
      </c>
      <c r="Q3469">
        <v>1384</v>
      </c>
      <c r="R3469">
        <v>0</v>
      </c>
    </row>
    <row r="3470" spans="1:18" x14ac:dyDescent="0.25">
      <c r="A3470">
        <v>3469</v>
      </c>
      <c r="B3470">
        <v>94</v>
      </c>
      <c r="C3470" t="e">
        <f>-Ioa80NuFFqdCM2R3AzZgk</f>
        <v>#NAME?</v>
      </c>
      <c r="D3470" t="s">
        <v>272</v>
      </c>
      <c r="E3470">
        <v>343.62400000000002</v>
      </c>
      <c r="F3470" t="s">
        <v>21</v>
      </c>
      <c r="G3470" t="s">
        <v>26</v>
      </c>
      <c r="H3470" t="s">
        <v>21</v>
      </c>
      <c r="I3470" t="s">
        <v>20</v>
      </c>
      <c r="J3470" t="s">
        <v>20</v>
      </c>
      <c r="K3470" t="s">
        <v>22</v>
      </c>
      <c r="L3470" t="s">
        <v>23</v>
      </c>
      <c r="M3470" t="s">
        <v>125</v>
      </c>
      <c r="N3470">
        <v>40.348053999999998</v>
      </c>
      <c r="O3470">
        <v>-111.72713</v>
      </c>
      <c r="P3470">
        <v>4545.6355979999998</v>
      </c>
      <c r="Q3470">
        <v>1384</v>
      </c>
      <c r="R3470">
        <v>0</v>
      </c>
    </row>
    <row r="3471" spans="1:18" x14ac:dyDescent="0.25">
      <c r="A3471">
        <v>3470</v>
      </c>
      <c r="B3471">
        <v>94</v>
      </c>
      <c r="C3471" t="s">
        <v>589</v>
      </c>
      <c r="D3471" t="s">
        <v>272</v>
      </c>
      <c r="E3471">
        <v>343.767</v>
      </c>
      <c r="F3471" t="s">
        <v>19</v>
      </c>
      <c r="G3471" t="s">
        <v>20</v>
      </c>
      <c r="H3471" t="s">
        <v>21</v>
      </c>
      <c r="I3471" t="s">
        <v>20</v>
      </c>
      <c r="J3471" t="s">
        <v>20</v>
      </c>
      <c r="K3471" t="s">
        <v>22</v>
      </c>
      <c r="L3471" t="s">
        <v>23</v>
      </c>
      <c r="M3471" t="s">
        <v>125</v>
      </c>
      <c r="N3471">
        <v>40.349556</v>
      </c>
      <c r="O3471">
        <v>-111.728934</v>
      </c>
      <c r="P3471">
        <v>4539.079283</v>
      </c>
      <c r="Q3471">
        <v>1384</v>
      </c>
      <c r="R3471">
        <v>0</v>
      </c>
    </row>
    <row r="3472" spans="1:18" x14ac:dyDescent="0.25">
      <c r="A3472">
        <v>3471</v>
      </c>
      <c r="B3472">
        <v>94</v>
      </c>
      <c r="C3472" t="e">
        <f>-IoaBtFnGayyCJeiWWaP9k</f>
        <v>#NAME?</v>
      </c>
      <c r="D3472" t="s">
        <v>272</v>
      </c>
      <c r="E3472">
        <v>343.98700000000002</v>
      </c>
      <c r="F3472" t="s">
        <v>19</v>
      </c>
      <c r="G3472" t="s">
        <v>20</v>
      </c>
      <c r="H3472" t="s">
        <v>21</v>
      </c>
      <c r="I3472" t="s">
        <v>20</v>
      </c>
      <c r="J3472" t="s">
        <v>20</v>
      </c>
      <c r="K3472" t="s">
        <v>22</v>
      </c>
      <c r="L3472" t="s">
        <v>23</v>
      </c>
      <c r="M3472" t="s">
        <v>125</v>
      </c>
      <c r="N3472">
        <v>40.351891999999999</v>
      </c>
      <c r="O3472">
        <v>-111.731706</v>
      </c>
      <c r="P3472">
        <v>4536.2191110000003</v>
      </c>
      <c r="Q3472">
        <v>1384</v>
      </c>
      <c r="R3472">
        <v>0</v>
      </c>
    </row>
    <row r="3473" spans="1:18" x14ac:dyDescent="0.25">
      <c r="A3473">
        <v>3472</v>
      </c>
      <c r="B3473">
        <v>94</v>
      </c>
      <c r="C3473" t="e">
        <f>-IoaFO00FSuRVkiLwJmdVk</f>
        <v>#NAME?</v>
      </c>
      <c r="D3473" t="s">
        <v>272</v>
      </c>
      <c r="E3473">
        <v>344.08800000000002</v>
      </c>
      <c r="F3473" t="s">
        <v>21</v>
      </c>
      <c r="G3473" t="s">
        <v>26</v>
      </c>
      <c r="H3473" t="s">
        <v>21</v>
      </c>
      <c r="I3473" t="s">
        <v>20</v>
      </c>
      <c r="J3473" t="s">
        <v>20</v>
      </c>
      <c r="K3473" t="s">
        <v>22</v>
      </c>
      <c r="L3473" t="s">
        <v>23</v>
      </c>
      <c r="M3473" t="s">
        <v>125</v>
      </c>
      <c r="N3473">
        <v>40.352958000000001</v>
      </c>
      <c r="O3473">
        <v>-111.732979</v>
      </c>
      <c r="P3473">
        <v>4536.7590600000003</v>
      </c>
      <c r="Q3473">
        <v>1384</v>
      </c>
      <c r="R3473">
        <v>0</v>
      </c>
    </row>
    <row r="3474" spans="1:18" x14ac:dyDescent="0.25">
      <c r="A3474">
        <v>3473</v>
      </c>
      <c r="B3474">
        <v>94</v>
      </c>
      <c r="C3474" t="e">
        <f>-Ip0A3LqIGPybUeuXy34KV</f>
        <v>#NAME?</v>
      </c>
      <c r="D3474" t="s">
        <v>272</v>
      </c>
      <c r="E3474">
        <v>374.79899999999998</v>
      </c>
      <c r="F3474" t="s">
        <v>21</v>
      </c>
      <c r="G3474" t="s">
        <v>26</v>
      </c>
      <c r="H3474" t="s">
        <v>21</v>
      </c>
      <c r="I3474" t="s">
        <v>20</v>
      </c>
      <c r="J3474" t="s">
        <v>20</v>
      </c>
      <c r="K3474" t="s">
        <v>31</v>
      </c>
      <c r="L3474" t="s">
        <v>66</v>
      </c>
      <c r="M3474" t="s">
        <v>49</v>
      </c>
      <c r="N3474">
        <v>40.704675999999999</v>
      </c>
      <c r="O3474">
        <v>-111.888273</v>
      </c>
      <c r="P3474">
        <v>4198.946782</v>
      </c>
      <c r="Q3474">
        <v>1384</v>
      </c>
      <c r="R3474">
        <v>0</v>
      </c>
    </row>
    <row r="3475" spans="1:18" x14ac:dyDescent="0.25">
      <c r="A3475">
        <v>3474</v>
      </c>
      <c r="B3475">
        <v>94</v>
      </c>
      <c r="C3475" t="e">
        <f>-Ip0B1anH15QcsgLjWxtYF</f>
        <v>#NAME?</v>
      </c>
      <c r="D3475" t="s">
        <v>272</v>
      </c>
      <c r="E3475">
        <v>374.82900000000001</v>
      </c>
      <c r="F3475" t="s">
        <v>21</v>
      </c>
      <c r="G3475" t="s">
        <v>26</v>
      </c>
      <c r="H3475" t="s">
        <v>21</v>
      </c>
      <c r="I3475" t="s">
        <v>20</v>
      </c>
      <c r="J3475" t="s">
        <v>20</v>
      </c>
      <c r="K3475" t="s">
        <v>31</v>
      </c>
      <c r="L3475" t="s">
        <v>66</v>
      </c>
      <c r="M3475" t="s">
        <v>49</v>
      </c>
      <c r="N3475">
        <v>40.705125000000002</v>
      </c>
      <c r="O3475">
        <v>-111.88817299999999</v>
      </c>
      <c r="P3475">
        <v>4198.9444599999997</v>
      </c>
      <c r="Q3475">
        <v>1384</v>
      </c>
      <c r="R3475">
        <v>0</v>
      </c>
    </row>
    <row r="3476" spans="1:18" x14ac:dyDescent="0.25">
      <c r="A3476">
        <v>3475</v>
      </c>
      <c r="B3476">
        <v>94</v>
      </c>
      <c r="C3476">
        <v>28183612</v>
      </c>
      <c r="D3476" t="s">
        <v>233</v>
      </c>
      <c r="E3476">
        <v>26.827000000000002</v>
      </c>
      <c r="F3476" t="s">
        <v>21</v>
      </c>
      <c r="G3476" t="s">
        <v>26</v>
      </c>
      <c r="H3476" t="s">
        <v>21</v>
      </c>
      <c r="I3476" t="s">
        <v>20</v>
      </c>
      <c r="J3476" t="s">
        <v>20</v>
      </c>
      <c r="K3476" t="s">
        <v>22</v>
      </c>
      <c r="L3476" t="s">
        <v>234</v>
      </c>
      <c r="M3476" t="s">
        <v>235</v>
      </c>
      <c r="N3476">
        <v>40.249111999999997</v>
      </c>
      <c r="O3476">
        <v>-109.423677</v>
      </c>
      <c r="P3476">
        <v>5059.675346</v>
      </c>
      <c r="Q3476">
        <v>1354</v>
      </c>
      <c r="R3476">
        <v>0</v>
      </c>
    </row>
    <row r="3477" spans="1:18" x14ac:dyDescent="0.25">
      <c r="A3477">
        <v>3476</v>
      </c>
      <c r="B3477">
        <v>94</v>
      </c>
      <c r="C3477">
        <v>31282176</v>
      </c>
      <c r="D3477" t="s">
        <v>241</v>
      </c>
      <c r="E3477">
        <v>26.847000000000001</v>
      </c>
      <c r="F3477" t="s">
        <v>21</v>
      </c>
      <c r="G3477" t="s">
        <v>26</v>
      </c>
      <c r="H3477" t="s">
        <v>21</v>
      </c>
      <c r="I3477" t="s">
        <v>20</v>
      </c>
      <c r="J3477" t="s">
        <v>20</v>
      </c>
      <c r="K3477" t="s">
        <v>27</v>
      </c>
      <c r="L3477" t="s">
        <v>242</v>
      </c>
      <c r="M3477" t="s">
        <v>243</v>
      </c>
      <c r="N3477">
        <v>39.090007</v>
      </c>
      <c r="O3477">
        <v>-111.132068</v>
      </c>
      <c r="P3477">
        <v>5875.3540720000001</v>
      </c>
      <c r="Q3477">
        <v>1327</v>
      </c>
      <c r="R3477">
        <v>0</v>
      </c>
    </row>
    <row r="3478" spans="1:18" x14ac:dyDescent="0.25">
      <c r="A3478">
        <v>3477</v>
      </c>
      <c r="B3478">
        <v>94</v>
      </c>
      <c r="C3478" t="s">
        <v>590</v>
      </c>
      <c r="D3478" t="s">
        <v>203</v>
      </c>
      <c r="E3478">
        <v>26.861999999999998</v>
      </c>
      <c r="F3478" t="s">
        <v>21</v>
      </c>
      <c r="G3478" t="s">
        <v>26</v>
      </c>
      <c r="H3478" t="s">
        <v>21</v>
      </c>
      <c r="I3478" t="s">
        <v>20</v>
      </c>
      <c r="J3478" t="s">
        <v>20</v>
      </c>
      <c r="K3478" t="s">
        <v>41</v>
      </c>
      <c r="L3478" t="s">
        <v>255</v>
      </c>
      <c r="M3478" t="s">
        <v>204</v>
      </c>
      <c r="N3478">
        <v>41.292124000000001</v>
      </c>
      <c r="O3478">
        <v>-111.634795</v>
      </c>
      <c r="P3478">
        <v>5290.0495039999996</v>
      </c>
      <c r="Q3478">
        <v>1349</v>
      </c>
      <c r="R3478">
        <v>0</v>
      </c>
    </row>
    <row r="3479" spans="1:18" x14ac:dyDescent="0.25">
      <c r="A3479">
        <v>3478</v>
      </c>
      <c r="B3479">
        <v>94</v>
      </c>
      <c r="C3479">
        <v>31437793</v>
      </c>
      <c r="D3479" t="s">
        <v>319</v>
      </c>
      <c r="E3479">
        <v>26.864999999999998</v>
      </c>
      <c r="F3479" t="s">
        <v>21</v>
      </c>
      <c r="G3479" t="s">
        <v>20</v>
      </c>
      <c r="H3479" t="s">
        <v>21</v>
      </c>
      <c r="I3479" t="s">
        <v>20</v>
      </c>
      <c r="J3479" t="s">
        <v>20</v>
      </c>
      <c r="K3479" t="s">
        <v>27</v>
      </c>
      <c r="L3479" t="s">
        <v>162</v>
      </c>
      <c r="M3479" t="s">
        <v>55</v>
      </c>
      <c r="N3479">
        <v>37.698988999999997</v>
      </c>
      <c r="O3479">
        <v>-113.62703399999999</v>
      </c>
      <c r="P3479">
        <v>5101.4223959999999</v>
      </c>
      <c r="Q3479">
        <v>314</v>
      </c>
      <c r="R3479">
        <v>0</v>
      </c>
    </row>
    <row r="3480" spans="1:18" x14ac:dyDescent="0.25">
      <c r="A3480">
        <v>3479</v>
      </c>
      <c r="B3480">
        <v>94</v>
      </c>
      <c r="C3480">
        <v>31309358</v>
      </c>
      <c r="D3480" t="s">
        <v>116</v>
      </c>
      <c r="E3480">
        <v>26.885999999999999</v>
      </c>
      <c r="F3480" t="s">
        <v>19</v>
      </c>
      <c r="G3480" t="s">
        <v>20</v>
      </c>
      <c r="H3480" t="s">
        <v>19</v>
      </c>
      <c r="I3480">
        <v>30</v>
      </c>
      <c r="J3480" t="s">
        <v>20</v>
      </c>
      <c r="K3480" t="s">
        <v>41</v>
      </c>
      <c r="L3480" t="s">
        <v>95</v>
      </c>
      <c r="M3480" t="s">
        <v>43</v>
      </c>
      <c r="N3480">
        <v>41.735216000000001</v>
      </c>
      <c r="O3480">
        <v>-111.83489</v>
      </c>
      <c r="P3480">
        <v>4478.1494389999998</v>
      </c>
      <c r="Q3480">
        <v>324</v>
      </c>
      <c r="R3480">
        <v>0</v>
      </c>
    </row>
    <row r="3481" spans="1:18" x14ac:dyDescent="0.25">
      <c r="A3481">
        <v>3480</v>
      </c>
      <c r="B3481">
        <v>94</v>
      </c>
      <c r="C3481">
        <v>31401559</v>
      </c>
      <c r="D3481" t="s">
        <v>210</v>
      </c>
      <c r="E3481">
        <v>26.887</v>
      </c>
      <c r="F3481" t="s">
        <v>21</v>
      </c>
      <c r="G3481" t="s">
        <v>20</v>
      </c>
      <c r="H3481" t="s">
        <v>21</v>
      </c>
      <c r="I3481" t="s">
        <v>20</v>
      </c>
      <c r="J3481" t="s">
        <v>20</v>
      </c>
      <c r="K3481" t="s">
        <v>27</v>
      </c>
      <c r="L3481" t="s">
        <v>211</v>
      </c>
      <c r="M3481" t="s">
        <v>212</v>
      </c>
      <c r="N3481">
        <v>37.179749000000001</v>
      </c>
      <c r="O3481">
        <v>-109.12454</v>
      </c>
      <c r="P3481">
        <v>4712.0421239999996</v>
      </c>
      <c r="Q3481">
        <v>344</v>
      </c>
      <c r="R3481">
        <v>0</v>
      </c>
    </row>
    <row r="3482" spans="1:18" x14ac:dyDescent="0.25">
      <c r="A3482">
        <v>3481</v>
      </c>
      <c r="B3482">
        <v>94</v>
      </c>
      <c r="C3482">
        <v>31771006</v>
      </c>
      <c r="D3482" t="s">
        <v>353</v>
      </c>
      <c r="E3482">
        <v>26.92</v>
      </c>
      <c r="F3482" t="s">
        <v>21</v>
      </c>
      <c r="G3482" t="s">
        <v>26</v>
      </c>
      <c r="H3482" t="s">
        <v>21</v>
      </c>
      <c r="I3482" t="s">
        <v>20</v>
      </c>
      <c r="J3482" t="s">
        <v>20</v>
      </c>
      <c r="K3482" t="s">
        <v>31</v>
      </c>
      <c r="L3482" t="s">
        <v>433</v>
      </c>
      <c r="M3482" t="s">
        <v>138</v>
      </c>
      <c r="N3482">
        <v>41.016973999999998</v>
      </c>
      <c r="O3482">
        <v>-111.509309</v>
      </c>
      <c r="P3482">
        <v>5297.7242939999996</v>
      </c>
      <c r="Q3482">
        <v>1367</v>
      </c>
      <c r="R3482">
        <v>0</v>
      </c>
    </row>
    <row r="3483" spans="1:18" x14ac:dyDescent="0.25">
      <c r="A3483">
        <v>3482</v>
      </c>
      <c r="B3483">
        <v>94</v>
      </c>
      <c r="C3483">
        <v>31726859</v>
      </c>
      <c r="D3483" t="s">
        <v>245</v>
      </c>
      <c r="E3483">
        <v>26.946999999999999</v>
      </c>
      <c r="F3483" t="s">
        <v>21</v>
      </c>
      <c r="G3483" t="s">
        <v>26</v>
      </c>
      <c r="H3483" t="s">
        <v>21</v>
      </c>
      <c r="I3483" t="s">
        <v>20</v>
      </c>
      <c r="J3483" t="s">
        <v>20</v>
      </c>
      <c r="K3483" t="s">
        <v>22</v>
      </c>
      <c r="L3483" t="s">
        <v>97</v>
      </c>
      <c r="M3483" t="s">
        <v>98</v>
      </c>
      <c r="N3483">
        <v>40.973686000000001</v>
      </c>
      <c r="O3483">
        <v>-109.71994599999999</v>
      </c>
      <c r="P3483">
        <v>6248.36481</v>
      </c>
      <c r="Q3483">
        <v>1353</v>
      </c>
      <c r="R3483">
        <v>0</v>
      </c>
    </row>
    <row r="3484" spans="1:18" x14ac:dyDescent="0.25">
      <c r="A3484">
        <v>3483</v>
      </c>
      <c r="B3484">
        <v>94</v>
      </c>
      <c r="C3484" t="e">
        <f>-JNOVV7WFY1q4co-UZICkk</f>
        <v>#NAME?</v>
      </c>
      <c r="D3484" t="s">
        <v>124</v>
      </c>
      <c r="E3484">
        <v>26.949000000000002</v>
      </c>
      <c r="F3484" t="s">
        <v>21</v>
      </c>
      <c r="G3484" t="s">
        <v>26</v>
      </c>
      <c r="H3484" t="s">
        <v>21</v>
      </c>
      <c r="I3484" t="s">
        <v>20</v>
      </c>
      <c r="J3484" t="s">
        <v>20</v>
      </c>
      <c r="K3484" t="s">
        <v>22</v>
      </c>
      <c r="L3484" t="s">
        <v>84</v>
      </c>
      <c r="M3484" t="s">
        <v>194</v>
      </c>
      <c r="N3484">
        <v>40.310209999999998</v>
      </c>
      <c r="O3484">
        <v>-111.89106700000001</v>
      </c>
      <c r="P3484">
        <v>4532.2869929999997</v>
      </c>
      <c r="Q3484">
        <v>1368</v>
      </c>
      <c r="R3484">
        <v>0</v>
      </c>
    </row>
    <row r="3485" spans="1:18" x14ac:dyDescent="0.25">
      <c r="A3485">
        <v>3484</v>
      </c>
      <c r="B3485">
        <v>94</v>
      </c>
      <c r="C3485">
        <v>27881440</v>
      </c>
      <c r="D3485" t="s">
        <v>91</v>
      </c>
      <c r="E3485">
        <v>26.960999999999999</v>
      </c>
      <c r="F3485" t="s">
        <v>21</v>
      </c>
      <c r="G3485" t="s">
        <v>26</v>
      </c>
      <c r="H3485" t="s">
        <v>21</v>
      </c>
      <c r="I3485" t="s">
        <v>20</v>
      </c>
      <c r="J3485" t="s">
        <v>20</v>
      </c>
      <c r="K3485" t="s">
        <v>41</v>
      </c>
      <c r="L3485" t="s">
        <v>95</v>
      </c>
      <c r="M3485" t="s">
        <v>73</v>
      </c>
      <c r="N3485">
        <v>41.956184</v>
      </c>
      <c r="O3485">
        <v>-111.953952</v>
      </c>
      <c r="P3485">
        <v>4420.9390510000003</v>
      </c>
      <c r="Q3485">
        <v>1339</v>
      </c>
      <c r="R3485">
        <v>0</v>
      </c>
    </row>
    <row r="3486" spans="1:18" x14ac:dyDescent="0.25">
      <c r="A3486">
        <v>3485</v>
      </c>
      <c r="B3486">
        <v>94</v>
      </c>
      <c r="C3486">
        <v>31282187</v>
      </c>
      <c r="D3486" t="s">
        <v>241</v>
      </c>
      <c r="E3486">
        <v>26.963000000000001</v>
      </c>
      <c r="F3486" t="s">
        <v>21</v>
      </c>
      <c r="G3486" t="s">
        <v>26</v>
      </c>
      <c r="H3486" t="s">
        <v>21</v>
      </c>
      <c r="I3486" t="s">
        <v>20</v>
      </c>
      <c r="J3486" t="s">
        <v>20</v>
      </c>
      <c r="K3486" t="s">
        <v>27</v>
      </c>
      <c r="L3486" t="s">
        <v>242</v>
      </c>
      <c r="M3486" t="s">
        <v>243</v>
      </c>
      <c r="N3486">
        <v>39.091693999999997</v>
      </c>
      <c r="O3486">
        <v>-111.13209500000001</v>
      </c>
      <c r="P3486">
        <v>5879.2804530000003</v>
      </c>
      <c r="Q3486">
        <v>1327</v>
      </c>
      <c r="R3486">
        <v>0</v>
      </c>
    </row>
    <row r="3487" spans="1:18" x14ac:dyDescent="0.25">
      <c r="A3487">
        <v>3486</v>
      </c>
      <c r="B3487">
        <v>94</v>
      </c>
      <c r="C3487" t="s">
        <v>591</v>
      </c>
      <c r="D3487" t="s">
        <v>203</v>
      </c>
      <c r="E3487">
        <v>26.968</v>
      </c>
      <c r="F3487" t="s">
        <v>21</v>
      </c>
      <c r="G3487" t="s">
        <v>20</v>
      </c>
      <c r="H3487" t="s">
        <v>21</v>
      </c>
      <c r="I3487" t="s">
        <v>20</v>
      </c>
      <c r="J3487" t="s">
        <v>20</v>
      </c>
      <c r="K3487" t="s">
        <v>41</v>
      </c>
      <c r="L3487" t="s">
        <v>255</v>
      </c>
      <c r="M3487" t="s">
        <v>204</v>
      </c>
      <c r="N3487">
        <v>41.292842999999998</v>
      </c>
      <c r="O3487">
        <v>-111.63300099999999</v>
      </c>
      <c r="P3487">
        <v>5314.1413929999999</v>
      </c>
      <c r="Q3487">
        <v>1349</v>
      </c>
      <c r="R3487">
        <v>0</v>
      </c>
    </row>
    <row r="3488" spans="1:18" x14ac:dyDescent="0.25">
      <c r="A3488">
        <v>3487</v>
      </c>
      <c r="B3488">
        <v>94</v>
      </c>
      <c r="C3488" t="s">
        <v>592</v>
      </c>
      <c r="D3488" t="s">
        <v>272</v>
      </c>
      <c r="E3488">
        <v>260.09100000000001</v>
      </c>
      <c r="F3488" t="s">
        <v>21</v>
      </c>
      <c r="G3488" t="s">
        <v>26</v>
      </c>
      <c r="H3488" t="s">
        <v>21</v>
      </c>
      <c r="I3488" t="s">
        <v>20</v>
      </c>
      <c r="J3488" t="s">
        <v>20</v>
      </c>
      <c r="K3488" t="s">
        <v>27</v>
      </c>
      <c r="L3488" t="s">
        <v>350</v>
      </c>
      <c r="M3488" t="s">
        <v>174</v>
      </c>
      <c r="N3488">
        <v>39.325225000000003</v>
      </c>
      <c r="O3488">
        <v>-111.60333799999999</v>
      </c>
      <c r="P3488">
        <v>5498.0052130000004</v>
      </c>
      <c r="Q3488">
        <v>1384</v>
      </c>
      <c r="R3488">
        <v>0</v>
      </c>
    </row>
    <row r="3489" spans="1:18" x14ac:dyDescent="0.25">
      <c r="A3489">
        <v>3488</v>
      </c>
      <c r="B3489">
        <v>94</v>
      </c>
      <c r="C3489" t="s">
        <v>593</v>
      </c>
      <c r="D3489" t="s">
        <v>272</v>
      </c>
      <c r="E3489">
        <v>260.35500000000002</v>
      </c>
      <c r="F3489" t="s">
        <v>21</v>
      </c>
      <c r="G3489" t="s">
        <v>26</v>
      </c>
      <c r="H3489" t="s">
        <v>21</v>
      </c>
      <c r="I3489" t="s">
        <v>20</v>
      </c>
      <c r="J3489" t="s">
        <v>20</v>
      </c>
      <c r="K3489" t="s">
        <v>27</v>
      </c>
      <c r="L3489" t="s">
        <v>350</v>
      </c>
      <c r="M3489" t="s">
        <v>174</v>
      </c>
      <c r="N3489">
        <v>39.328682000000001</v>
      </c>
      <c r="O3489">
        <v>-111.60120000000001</v>
      </c>
      <c r="P3489">
        <v>5502.4693969999998</v>
      </c>
      <c r="Q3489">
        <v>1384</v>
      </c>
      <c r="R3489">
        <v>0</v>
      </c>
    </row>
    <row r="3490" spans="1:18" x14ac:dyDescent="0.25">
      <c r="A3490">
        <v>3489</v>
      </c>
      <c r="B3490">
        <v>94</v>
      </c>
      <c r="C3490" t="s">
        <v>594</v>
      </c>
      <c r="D3490" t="s">
        <v>61</v>
      </c>
      <c r="E3490">
        <v>17.579999999999998</v>
      </c>
      <c r="F3490" t="s">
        <v>21</v>
      </c>
      <c r="G3490" t="s">
        <v>26</v>
      </c>
      <c r="H3490" t="s">
        <v>21</v>
      </c>
      <c r="I3490" t="s">
        <v>20</v>
      </c>
      <c r="J3490" t="s">
        <v>20</v>
      </c>
      <c r="K3490" t="s">
        <v>22</v>
      </c>
      <c r="L3490" t="s">
        <v>60</v>
      </c>
      <c r="M3490" t="s">
        <v>328</v>
      </c>
      <c r="N3490">
        <v>40.405290000000001</v>
      </c>
      <c r="O3490">
        <v>-111.531587</v>
      </c>
      <c r="P3490">
        <v>5313.7544379999999</v>
      </c>
      <c r="Q3490">
        <v>403</v>
      </c>
      <c r="R3490">
        <v>0</v>
      </c>
    </row>
    <row r="3491" spans="1:18" x14ac:dyDescent="0.25">
      <c r="A3491">
        <v>3490</v>
      </c>
      <c r="B3491">
        <v>94</v>
      </c>
      <c r="C3491">
        <v>31715087</v>
      </c>
      <c r="D3491" t="s">
        <v>118</v>
      </c>
      <c r="E3491">
        <v>17.582999999999998</v>
      </c>
      <c r="F3491" t="s">
        <v>21</v>
      </c>
      <c r="G3491" t="s">
        <v>20</v>
      </c>
      <c r="H3491" t="s">
        <v>21</v>
      </c>
      <c r="I3491" t="s">
        <v>20</v>
      </c>
      <c r="J3491" t="s">
        <v>20</v>
      </c>
      <c r="K3491" t="s">
        <v>22</v>
      </c>
      <c r="L3491" t="s">
        <v>35</v>
      </c>
      <c r="M3491" t="s">
        <v>120</v>
      </c>
      <c r="N3491">
        <v>40.498015000000002</v>
      </c>
      <c r="O3491">
        <v>-111.413588</v>
      </c>
      <c r="P3491">
        <v>5567.8067950000004</v>
      </c>
      <c r="Q3491">
        <v>310</v>
      </c>
      <c r="R3491">
        <v>0</v>
      </c>
    </row>
    <row r="3492" spans="1:18" x14ac:dyDescent="0.25">
      <c r="A3492">
        <v>3491</v>
      </c>
      <c r="B3492">
        <v>94</v>
      </c>
      <c r="C3492">
        <v>28564466</v>
      </c>
      <c r="D3492" t="s">
        <v>323</v>
      </c>
      <c r="E3492">
        <v>17.587</v>
      </c>
      <c r="F3492" t="s">
        <v>21</v>
      </c>
      <c r="G3492" t="s">
        <v>26</v>
      </c>
      <c r="H3492" t="s">
        <v>21</v>
      </c>
      <c r="I3492" t="s">
        <v>20</v>
      </c>
      <c r="J3492" t="s">
        <v>20</v>
      </c>
      <c r="K3492" t="s">
        <v>31</v>
      </c>
      <c r="L3492" t="s">
        <v>130</v>
      </c>
      <c r="M3492" t="s">
        <v>131</v>
      </c>
      <c r="N3492">
        <v>40.709595</v>
      </c>
      <c r="O3492">
        <v>-111.293678</v>
      </c>
      <c r="P3492">
        <v>6378.8306640000001</v>
      </c>
      <c r="Q3492">
        <v>1345</v>
      </c>
      <c r="R3492">
        <v>0</v>
      </c>
    </row>
    <row r="3493" spans="1:18" x14ac:dyDescent="0.25">
      <c r="A3493">
        <v>3492</v>
      </c>
      <c r="B3493">
        <v>94</v>
      </c>
      <c r="C3493">
        <v>31523669</v>
      </c>
      <c r="D3493" t="s">
        <v>309</v>
      </c>
      <c r="E3493">
        <v>17.593</v>
      </c>
      <c r="F3493" t="s">
        <v>21</v>
      </c>
      <c r="G3493" t="s">
        <v>26</v>
      </c>
      <c r="H3493" t="s">
        <v>21</v>
      </c>
      <c r="I3493" t="s">
        <v>20</v>
      </c>
      <c r="J3493" t="s">
        <v>20</v>
      </c>
      <c r="K3493" t="s">
        <v>22</v>
      </c>
      <c r="L3493" t="s">
        <v>140</v>
      </c>
      <c r="M3493" t="s">
        <v>125</v>
      </c>
      <c r="N3493">
        <v>40.130285999999998</v>
      </c>
      <c r="O3493">
        <v>-111.58686299999999</v>
      </c>
      <c r="P3493">
        <v>4655.2457919999997</v>
      </c>
      <c r="Q3493">
        <v>339</v>
      </c>
      <c r="R3493">
        <v>0</v>
      </c>
    </row>
    <row r="3494" spans="1:18" x14ac:dyDescent="0.25">
      <c r="A3494">
        <v>3493</v>
      </c>
      <c r="B3494">
        <v>94</v>
      </c>
      <c r="C3494">
        <v>1543763</v>
      </c>
      <c r="D3494" t="s">
        <v>88</v>
      </c>
      <c r="E3494">
        <v>17.62</v>
      </c>
      <c r="F3494" t="s">
        <v>21</v>
      </c>
      <c r="G3494" t="s">
        <v>26</v>
      </c>
      <c r="H3494" t="s">
        <v>21</v>
      </c>
      <c r="I3494" t="s">
        <v>20</v>
      </c>
      <c r="J3494" t="s">
        <v>20</v>
      </c>
      <c r="K3494" t="s">
        <v>31</v>
      </c>
      <c r="L3494" t="s">
        <v>69</v>
      </c>
      <c r="M3494" t="s">
        <v>90</v>
      </c>
      <c r="N3494">
        <v>40.690375000000003</v>
      </c>
      <c r="O3494">
        <v>-111.871386</v>
      </c>
      <c r="P3494">
        <v>4225.4712929999996</v>
      </c>
      <c r="Q3494">
        <v>318</v>
      </c>
      <c r="R3494">
        <v>0</v>
      </c>
    </row>
    <row r="3495" spans="1:18" x14ac:dyDescent="0.25">
      <c r="A3495">
        <v>3494</v>
      </c>
      <c r="B3495">
        <v>94</v>
      </c>
      <c r="C3495">
        <v>31292056</v>
      </c>
      <c r="D3495" t="s">
        <v>315</v>
      </c>
      <c r="E3495">
        <v>17.622</v>
      </c>
      <c r="F3495" t="s">
        <v>21</v>
      </c>
      <c r="G3495" t="s">
        <v>26</v>
      </c>
      <c r="H3495" t="s">
        <v>21</v>
      </c>
      <c r="I3495" t="s">
        <v>20</v>
      </c>
      <c r="J3495" t="s">
        <v>20</v>
      </c>
      <c r="K3495" t="s">
        <v>27</v>
      </c>
      <c r="L3495" t="s">
        <v>111</v>
      </c>
      <c r="M3495" t="s">
        <v>243</v>
      </c>
      <c r="N3495">
        <v>39.235052000000003</v>
      </c>
      <c r="O3495">
        <v>-111.053239</v>
      </c>
      <c r="P3495">
        <v>5726.1945320000004</v>
      </c>
      <c r="Q3495">
        <v>307</v>
      </c>
      <c r="R3495">
        <v>0</v>
      </c>
    </row>
    <row r="3496" spans="1:18" x14ac:dyDescent="0.25">
      <c r="A3496">
        <v>3495</v>
      </c>
      <c r="B3496">
        <v>94</v>
      </c>
      <c r="C3496">
        <v>27872097</v>
      </c>
      <c r="D3496" t="s">
        <v>91</v>
      </c>
      <c r="E3496">
        <v>17.652999999999999</v>
      </c>
      <c r="F3496" t="s">
        <v>21</v>
      </c>
      <c r="G3496" t="s">
        <v>26</v>
      </c>
      <c r="H3496" t="s">
        <v>21</v>
      </c>
      <c r="I3496" t="s">
        <v>20</v>
      </c>
      <c r="J3496" t="s">
        <v>20</v>
      </c>
      <c r="K3496" t="s">
        <v>41</v>
      </c>
      <c r="L3496" t="s">
        <v>42</v>
      </c>
      <c r="M3496" t="s">
        <v>73</v>
      </c>
      <c r="N3496">
        <v>41.856312000000003</v>
      </c>
      <c r="O3496">
        <v>-112.000007</v>
      </c>
      <c r="P3496">
        <v>4444.9929709999997</v>
      </c>
      <c r="Q3496">
        <v>1339</v>
      </c>
      <c r="R3496">
        <v>0</v>
      </c>
    </row>
    <row r="3497" spans="1:18" x14ac:dyDescent="0.25">
      <c r="A3497">
        <v>3496</v>
      </c>
      <c r="B3497">
        <v>94</v>
      </c>
      <c r="C3497">
        <v>1141280</v>
      </c>
      <c r="D3497" t="s">
        <v>56</v>
      </c>
      <c r="E3497">
        <v>2.0369999999999999</v>
      </c>
      <c r="F3497" t="s">
        <v>21</v>
      </c>
      <c r="G3497" t="s">
        <v>26</v>
      </c>
      <c r="H3497" t="s">
        <v>21</v>
      </c>
      <c r="I3497" t="s">
        <v>20</v>
      </c>
      <c r="J3497" t="s">
        <v>20</v>
      </c>
      <c r="K3497" t="s">
        <v>41</v>
      </c>
      <c r="L3497" t="s">
        <v>57</v>
      </c>
      <c r="M3497" t="s">
        <v>58</v>
      </c>
      <c r="N3497">
        <v>41.163775999999999</v>
      </c>
      <c r="O3497">
        <v>-112.08372799999999</v>
      </c>
      <c r="P3497">
        <v>4187.6749559999998</v>
      </c>
      <c r="Q3497">
        <v>1459</v>
      </c>
      <c r="R3497">
        <v>0</v>
      </c>
    </row>
    <row r="3498" spans="1:18" x14ac:dyDescent="0.25">
      <c r="A3498">
        <v>3497</v>
      </c>
      <c r="B3498">
        <v>94</v>
      </c>
      <c r="C3498" t="s">
        <v>595</v>
      </c>
      <c r="D3498" t="s">
        <v>272</v>
      </c>
      <c r="E3498">
        <v>262.54599999999999</v>
      </c>
      <c r="F3498" t="s">
        <v>21</v>
      </c>
      <c r="G3498" t="s">
        <v>26</v>
      </c>
      <c r="H3498" t="s">
        <v>21</v>
      </c>
      <c r="I3498" t="s">
        <v>20</v>
      </c>
      <c r="J3498" t="s">
        <v>20</v>
      </c>
      <c r="K3498" t="s">
        <v>27</v>
      </c>
      <c r="L3498" t="s">
        <v>350</v>
      </c>
      <c r="M3498" t="s">
        <v>174</v>
      </c>
      <c r="N3498">
        <v>39.358013</v>
      </c>
      <c r="O3498">
        <v>-111.587137</v>
      </c>
      <c r="P3498">
        <v>5479.903386</v>
      </c>
      <c r="Q3498">
        <v>1384</v>
      </c>
      <c r="R3498">
        <v>0</v>
      </c>
    </row>
    <row r="3499" spans="1:18" x14ac:dyDescent="0.25">
      <c r="A3499">
        <v>3498</v>
      </c>
      <c r="B3499">
        <v>94</v>
      </c>
      <c r="C3499" t="s">
        <v>596</v>
      </c>
      <c r="D3499" t="s">
        <v>272</v>
      </c>
      <c r="E3499">
        <v>262.60599999999999</v>
      </c>
      <c r="F3499" t="s">
        <v>21</v>
      </c>
      <c r="G3499" t="s">
        <v>20</v>
      </c>
      <c r="H3499" t="s">
        <v>21</v>
      </c>
      <c r="I3499" t="s">
        <v>20</v>
      </c>
      <c r="J3499" t="s">
        <v>20</v>
      </c>
      <c r="K3499" t="s">
        <v>27</v>
      </c>
      <c r="L3499" t="s">
        <v>350</v>
      </c>
      <c r="M3499" t="s">
        <v>174</v>
      </c>
      <c r="N3499">
        <v>39.358882999999999</v>
      </c>
      <c r="O3499">
        <v>-111.587149</v>
      </c>
      <c r="P3499">
        <v>5480.0328330000002</v>
      </c>
      <c r="Q3499">
        <v>1384</v>
      </c>
      <c r="R3499">
        <v>0</v>
      </c>
    </row>
    <row r="3500" spans="1:18" x14ac:dyDescent="0.25">
      <c r="A3500">
        <v>3499</v>
      </c>
      <c r="B3500">
        <v>94</v>
      </c>
      <c r="C3500" t="e">
        <f>-IoLsxJkFtXdwnrtUZOVZk</f>
        <v>#NAME?</v>
      </c>
      <c r="D3500" t="s">
        <v>272</v>
      </c>
      <c r="E3500">
        <v>262.66699999999997</v>
      </c>
      <c r="F3500" t="s">
        <v>21</v>
      </c>
      <c r="G3500" t="s">
        <v>26</v>
      </c>
      <c r="H3500" t="s">
        <v>19</v>
      </c>
      <c r="I3500">
        <v>290</v>
      </c>
      <c r="J3500" t="s">
        <v>20</v>
      </c>
      <c r="K3500" t="s">
        <v>27</v>
      </c>
      <c r="L3500" t="s">
        <v>350</v>
      </c>
      <c r="M3500" t="s">
        <v>174</v>
      </c>
      <c r="N3500">
        <v>39.359772999999997</v>
      </c>
      <c r="O3500">
        <v>-111.587115</v>
      </c>
      <c r="P3500">
        <v>5478.2294949999996</v>
      </c>
      <c r="Q3500">
        <v>1384</v>
      </c>
      <c r="R3500">
        <v>0</v>
      </c>
    </row>
    <row r="3501" spans="1:18" x14ac:dyDescent="0.25">
      <c r="A3501">
        <v>3500</v>
      </c>
      <c r="B3501">
        <v>94</v>
      </c>
      <c r="C3501" t="s">
        <v>597</v>
      </c>
      <c r="D3501" t="s">
        <v>272</v>
      </c>
      <c r="E3501">
        <v>262.79300000000001</v>
      </c>
      <c r="F3501" t="s">
        <v>19</v>
      </c>
      <c r="G3501" t="s">
        <v>20</v>
      </c>
      <c r="H3501" t="s">
        <v>19</v>
      </c>
      <c r="I3501">
        <v>290</v>
      </c>
      <c r="J3501" t="s">
        <v>20</v>
      </c>
      <c r="K3501" t="s">
        <v>27</v>
      </c>
      <c r="L3501" t="s">
        <v>350</v>
      </c>
      <c r="M3501" t="s">
        <v>174</v>
      </c>
      <c r="N3501">
        <v>39.361618999999997</v>
      </c>
      <c r="O3501">
        <v>-111.58712300000001</v>
      </c>
      <c r="P3501">
        <v>5474.1903439999996</v>
      </c>
      <c r="Q3501">
        <v>1384</v>
      </c>
      <c r="R3501">
        <v>0</v>
      </c>
    </row>
    <row r="3502" spans="1:18" x14ac:dyDescent="0.25">
      <c r="A3502">
        <v>3501</v>
      </c>
      <c r="B3502">
        <v>94</v>
      </c>
      <c r="C3502" t="e">
        <f>-IoM7csQF6PLBh2rQ7yzJF</f>
        <v>#NAME?</v>
      </c>
      <c r="D3502" t="s">
        <v>272</v>
      </c>
      <c r="E3502">
        <v>262.92099999999999</v>
      </c>
      <c r="F3502" t="s">
        <v>21</v>
      </c>
      <c r="G3502" t="s">
        <v>26</v>
      </c>
      <c r="H3502" t="s">
        <v>21</v>
      </c>
      <c r="I3502" t="s">
        <v>20</v>
      </c>
      <c r="J3502" t="s">
        <v>20</v>
      </c>
      <c r="K3502" t="s">
        <v>27</v>
      </c>
      <c r="L3502" t="s">
        <v>350</v>
      </c>
      <c r="M3502" t="s">
        <v>174</v>
      </c>
      <c r="N3502">
        <v>39.363475000000001</v>
      </c>
      <c r="O3502">
        <v>-111.58711599999999</v>
      </c>
      <c r="P3502">
        <v>5468.7099319999998</v>
      </c>
      <c r="Q3502">
        <v>1384</v>
      </c>
      <c r="R3502">
        <v>0</v>
      </c>
    </row>
    <row r="3503" spans="1:18" x14ac:dyDescent="0.25">
      <c r="A3503">
        <v>3502</v>
      </c>
      <c r="B3503">
        <v>94</v>
      </c>
      <c r="C3503" t="s">
        <v>598</v>
      </c>
      <c r="D3503" t="s">
        <v>272</v>
      </c>
      <c r="E3503">
        <v>263.04399999999998</v>
      </c>
      <c r="F3503" t="s">
        <v>21</v>
      </c>
      <c r="G3503" t="s">
        <v>26</v>
      </c>
      <c r="H3503" t="s">
        <v>21</v>
      </c>
      <c r="I3503" t="s">
        <v>20</v>
      </c>
      <c r="J3503" t="s">
        <v>20</v>
      </c>
      <c r="K3503" t="s">
        <v>27</v>
      </c>
      <c r="L3503" t="s">
        <v>350</v>
      </c>
      <c r="M3503" t="s">
        <v>174</v>
      </c>
      <c r="N3503">
        <v>39.365253000000003</v>
      </c>
      <c r="O3503">
        <v>-111.58708900000001</v>
      </c>
      <c r="P3503">
        <v>5465.1185160000005</v>
      </c>
      <c r="Q3503">
        <v>1384</v>
      </c>
      <c r="R3503">
        <v>0</v>
      </c>
    </row>
    <row r="3504" spans="1:18" x14ac:dyDescent="0.25">
      <c r="A3504">
        <v>3503</v>
      </c>
      <c r="B3504">
        <v>94</v>
      </c>
      <c r="C3504">
        <v>526948</v>
      </c>
      <c r="D3504" t="s">
        <v>47</v>
      </c>
      <c r="E3504">
        <v>0.308</v>
      </c>
      <c r="F3504" t="s">
        <v>21</v>
      </c>
      <c r="G3504" t="s">
        <v>26</v>
      </c>
      <c r="H3504" t="s">
        <v>21</v>
      </c>
      <c r="I3504" t="s">
        <v>20</v>
      </c>
      <c r="J3504" t="s">
        <v>20</v>
      </c>
      <c r="K3504" t="s">
        <v>31</v>
      </c>
      <c r="L3504" t="s">
        <v>48</v>
      </c>
      <c r="M3504" t="s">
        <v>49</v>
      </c>
      <c r="N3504">
        <v>40.544122000000002</v>
      </c>
      <c r="O3504">
        <v>-111.978121</v>
      </c>
      <c r="P3504">
        <v>4576.5256360000003</v>
      </c>
      <c r="Q3504">
        <v>6715</v>
      </c>
      <c r="R3504">
        <v>0</v>
      </c>
    </row>
    <row r="3505" spans="1:18" x14ac:dyDescent="0.25">
      <c r="A3505">
        <v>3504</v>
      </c>
      <c r="B3505">
        <v>94</v>
      </c>
      <c r="C3505">
        <v>991218</v>
      </c>
      <c r="D3505" t="s">
        <v>375</v>
      </c>
      <c r="E3505">
        <v>0.309</v>
      </c>
      <c r="F3505" t="s">
        <v>19</v>
      </c>
      <c r="G3505" t="s">
        <v>20</v>
      </c>
      <c r="H3505" t="s">
        <v>21</v>
      </c>
      <c r="I3505" t="s">
        <v>20</v>
      </c>
      <c r="J3505" t="s">
        <v>20</v>
      </c>
      <c r="K3505" t="s">
        <v>41</v>
      </c>
      <c r="L3505" t="s">
        <v>87</v>
      </c>
      <c r="M3505" t="s">
        <v>67</v>
      </c>
      <c r="N3505">
        <v>40.991329999999998</v>
      </c>
      <c r="O3505">
        <v>-111.902092</v>
      </c>
      <c r="P3505">
        <v>4234.983346</v>
      </c>
      <c r="Q3505">
        <v>422</v>
      </c>
      <c r="R3505">
        <v>0</v>
      </c>
    </row>
    <row r="3506" spans="1:18" x14ac:dyDescent="0.25">
      <c r="A3506">
        <v>3505</v>
      </c>
      <c r="B3506">
        <v>94</v>
      </c>
      <c r="C3506">
        <v>31632798</v>
      </c>
      <c r="D3506" t="s">
        <v>113</v>
      </c>
      <c r="E3506">
        <v>0.309</v>
      </c>
      <c r="F3506" t="s">
        <v>21</v>
      </c>
      <c r="G3506" t="s">
        <v>26</v>
      </c>
      <c r="H3506" t="s">
        <v>21</v>
      </c>
      <c r="I3506" t="s">
        <v>20</v>
      </c>
      <c r="J3506" t="s">
        <v>20</v>
      </c>
      <c r="K3506" t="s">
        <v>41</v>
      </c>
      <c r="L3506" t="s">
        <v>87</v>
      </c>
      <c r="M3506" t="s">
        <v>58</v>
      </c>
      <c r="N3506">
        <v>41.172710000000002</v>
      </c>
      <c r="O3506">
        <v>-112.00519300000001</v>
      </c>
      <c r="P3506">
        <v>4319.2400239999997</v>
      </c>
      <c r="Q3506">
        <v>1363</v>
      </c>
      <c r="R3506">
        <v>0</v>
      </c>
    </row>
    <row r="3507" spans="1:18" x14ac:dyDescent="0.25">
      <c r="A3507">
        <v>3506</v>
      </c>
      <c r="B3507">
        <v>94</v>
      </c>
      <c r="C3507">
        <v>1620559</v>
      </c>
      <c r="D3507" t="s">
        <v>180</v>
      </c>
      <c r="E3507">
        <v>0.31</v>
      </c>
      <c r="F3507" t="s">
        <v>21</v>
      </c>
      <c r="G3507" t="s">
        <v>26</v>
      </c>
      <c r="H3507" t="s">
        <v>21</v>
      </c>
      <c r="I3507" t="s">
        <v>20</v>
      </c>
      <c r="J3507" t="s">
        <v>20</v>
      </c>
      <c r="K3507" t="s">
        <v>41</v>
      </c>
      <c r="L3507" t="s">
        <v>181</v>
      </c>
      <c r="M3507" t="s">
        <v>117</v>
      </c>
      <c r="N3507">
        <v>41.716408999999999</v>
      </c>
      <c r="O3507">
        <v>-112.161884</v>
      </c>
      <c r="P3507">
        <v>4260.5607110000001</v>
      </c>
      <c r="Q3507">
        <v>1379</v>
      </c>
      <c r="R3507">
        <v>0</v>
      </c>
    </row>
    <row r="3508" spans="1:18" x14ac:dyDescent="0.25">
      <c r="A3508">
        <v>3507</v>
      </c>
      <c r="B3508">
        <v>94</v>
      </c>
      <c r="C3508">
        <v>31301862</v>
      </c>
      <c r="D3508" t="s">
        <v>339</v>
      </c>
      <c r="E3508">
        <v>0.311</v>
      </c>
      <c r="F3508" t="s">
        <v>21</v>
      </c>
      <c r="G3508" t="s">
        <v>26</v>
      </c>
      <c r="H3508" t="s">
        <v>21</v>
      </c>
      <c r="I3508" t="s">
        <v>20</v>
      </c>
      <c r="J3508" t="s">
        <v>20</v>
      </c>
      <c r="K3508" t="s">
        <v>41</v>
      </c>
      <c r="L3508" t="s">
        <v>95</v>
      </c>
      <c r="M3508" t="s">
        <v>73</v>
      </c>
      <c r="N3508">
        <v>41.863841000000001</v>
      </c>
      <c r="O3508">
        <v>-112.005184</v>
      </c>
      <c r="P3508">
        <v>4507.4786569999997</v>
      </c>
      <c r="Q3508">
        <v>1417</v>
      </c>
      <c r="R3508">
        <v>0</v>
      </c>
    </row>
    <row r="3509" spans="1:18" x14ac:dyDescent="0.25">
      <c r="A3509">
        <v>3508</v>
      </c>
      <c r="B3509">
        <v>94</v>
      </c>
      <c r="C3509">
        <v>981129</v>
      </c>
      <c r="D3509" t="s">
        <v>599</v>
      </c>
      <c r="E3509">
        <v>0.311</v>
      </c>
      <c r="F3509" t="s">
        <v>21</v>
      </c>
      <c r="G3509" t="s">
        <v>26</v>
      </c>
      <c r="H3509" t="s">
        <v>21</v>
      </c>
      <c r="I3509" t="s">
        <v>20</v>
      </c>
      <c r="J3509" t="s">
        <v>20</v>
      </c>
      <c r="K3509" t="s">
        <v>41</v>
      </c>
      <c r="L3509" t="s">
        <v>45</v>
      </c>
      <c r="M3509" t="s">
        <v>67</v>
      </c>
      <c r="N3509">
        <v>40.861553999999998</v>
      </c>
      <c r="O3509">
        <v>-111.89737</v>
      </c>
      <c r="P3509">
        <v>4316.7955309999998</v>
      </c>
      <c r="Q3509">
        <v>1387</v>
      </c>
      <c r="R3509">
        <v>0</v>
      </c>
    </row>
    <row r="3510" spans="1:18" x14ac:dyDescent="0.25">
      <c r="A3510">
        <v>3509</v>
      </c>
      <c r="B3510">
        <v>94</v>
      </c>
      <c r="C3510">
        <v>31191526</v>
      </c>
      <c r="D3510" t="s">
        <v>153</v>
      </c>
      <c r="E3510">
        <v>0.313</v>
      </c>
      <c r="F3510" t="s">
        <v>21</v>
      </c>
      <c r="G3510" t="s">
        <v>26</v>
      </c>
      <c r="H3510" t="s">
        <v>21</v>
      </c>
      <c r="I3510" t="s">
        <v>20</v>
      </c>
      <c r="J3510" t="s">
        <v>20</v>
      </c>
      <c r="K3510" t="s">
        <v>22</v>
      </c>
      <c r="L3510" t="s">
        <v>84</v>
      </c>
      <c r="M3510" t="s">
        <v>85</v>
      </c>
      <c r="N3510">
        <v>40.362470000000002</v>
      </c>
      <c r="O3510">
        <v>-111.738872</v>
      </c>
      <c r="P3510">
        <v>4554.4119499999997</v>
      </c>
      <c r="R3510">
        <v>0</v>
      </c>
    </row>
    <row r="3511" spans="1:18" x14ac:dyDescent="0.25">
      <c r="A3511">
        <v>3510</v>
      </c>
      <c r="B3511">
        <v>94</v>
      </c>
      <c r="C3511">
        <v>31753860</v>
      </c>
      <c r="D3511" t="s">
        <v>600</v>
      </c>
      <c r="E3511">
        <v>0.316</v>
      </c>
      <c r="F3511" t="s">
        <v>21</v>
      </c>
      <c r="G3511" t="s">
        <v>20</v>
      </c>
      <c r="H3511" t="s">
        <v>21</v>
      </c>
      <c r="I3511" t="s">
        <v>20</v>
      </c>
      <c r="J3511" t="s">
        <v>20</v>
      </c>
      <c r="K3511" t="s">
        <v>22</v>
      </c>
      <c r="L3511" t="s">
        <v>23</v>
      </c>
      <c r="M3511" t="s">
        <v>24</v>
      </c>
      <c r="N3511">
        <v>40.326332999999998</v>
      </c>
      <c r="O3511">
        <v>-111.73128199999999</v>
      </c>
      <c r="P3511">
        <v>4518.2761250000003</v>
      </c>
      <c r="Q3511">
        <v>426</v>
      </c>
      <c r="R3511">
        <v>0</v>
      </c>
    </row>
    <row r="3512" spans="1:18" x14ac:dyDescent="0.25">
      <c r="A3512">
        <v>3511</v>
      </c>
      <c r="B3512">
        <v>94</v>
      </c>
      <c r="C3512">
        <v>31595869</v>
      </c>
      <c r="D3512" t="s">
        <v>50</v>
      </c>
      <c r="E3512">
        <v>0.318</v>
      </c>
      <c r="F3512" t="s">
        <v>21</v>
      </c>
      <c r="G3512" t="s">
        <v>26</v>
      </c>
      <c r="H3512" t="s">
        <v>21</v>
      </c>
      <c r="I3512" t="s">
        <v>20</v>
      </c>
      <c r="J3512" t="s">
        <v>20</v>
      </c>
      <c r="K3512" t="s">
        <v>27</v>
      </c>
      <c r="L3512" t="s">
        <v>51</v>
      </c>
      <c r="M3512" t="s">
        <v>52</v>
      </c>
      <c r="N3512">
        <v>37.838495000000002</v>
      </c>
      <c r="O3512">
        <v>-112.865529</v>
      </c>
      <c r="P3512">
        <v>5769.8055990000003</v>
      </c>
      <c r="Q3512">
        <v>1418</v>
      </c>
      <c r="R3512">
        <v>0</v>
      </c>
    </row>
    <row r="3513" spans="1:18" x14ac:dyDescent="0.25">
      <c r="A3513">
        <v>3512</v>
      </c>
      <c r="B3513">
        <v>94</v>
      </c>
      <c r="C3513">
        <v>1444515</v>
      </c>
      <c r="D3513" t="s">
        <v>109</v>
      </c>
      <c r="E3513">
        <v>0.31900000000000001</v>
      </c>
      <c r="F3513" t="s">
        <v>21</v>
      </c>
      <c r="G3513" t="s">
        <v>20</v>
      </c>
      <c r="H3513" t="s">
        <v>21</v>
      </c>
      <c r="I3513" t="s">
        <v>20</v>
      </c>
      <c r="J3513" t="s">
        <v>20</v>
      </c>
      <c r="K3513" t="s">
        <v>41</v>
      </c>
      <c r="L3513" t="s">
        <v>42</v>
      </c>
      <c r="M3513" t="s">
        <v>73</v>
      </c>
      <c r="N3513">
        <v>41.567013000000003</v>
      </c>
      <c r="O3513">
        <v>-111.83836700000001</v>
      </c>
      <c r="P3513">
        <v>4867.2901879999999</v>
      </c>
      <c r="Q3513">
        <v>345</v>
      </c>
      <c r="R3513">
        <v>0</v>
      </c>
    </row>
    <row r="3514" spans="1:18" x14ac:dyDescent="0.25">
      <c r="A3514">
        <v>3513</v>
      </c>
      <c r="B3514">
        <v>94</v>
      </c>
      <c r="C3514">
        <v>31580761</v>
      </c>
      <c r="D3514" t="s">
        <v>601</v>
      </c>
      <c r="E3514">
        <v>0.32</v>
      </c>
      <c r="F3514" t="s">
        <v>21</v>
      </c>
      <c r="G3514" t="s">
        <v>26</v>
      </c>
      <c r="H3514" t="s">
        <v>21</v>
      </c>
      <c r="I3514" t="s">
        <v>20</v>
      </c>
      <c r="J3514" t="s">
        <v>20</v>
      </c>
      <c r="K3514" t="s">
        <v>31</v>
      </c>
      <c r="L3514" t="s">
        <v>149</v>
      </c>
      <c r="M3514" t="s">
        <v>82</v>
      </c>
      <c r="N3514">
        <v>40.913679999999999</v>
      </c>
      <c r="O3514">
        <v>-111.398613</v>
      </c>
      <c r="P3514">
        <v>5523.5446659999998</v>
      </c>
      <c r="Q3514">
        <v>259</v>
      </c>
      <c r="R3514">
        <v>0</v>
      </c>
    </row>
    <row r="3515" spans="1:18" x14ac:dyDescent="0.25">
      <c r="A3515">
        <v>3514</v>
      </c>
      <c r="B3515">
        <v>94</v>
      </c>
      <c r="C3515">
        <v>979594</v>
      </c>
      <c r="D3515" t="s">
        <v>397</v>
      </c>
      <c r="E3515">
        <v>0.32100000000000001</v>
      </c>
      <c r="F3515" t="s">
        <v>21</v>
      </c>
      <c r="G3515" t="s">
        <v>26</v>
      </c>
      <c r="H3515" t="s">
        <v>21</v>
      </c>
      <c r="I3515" t="s">
        <v>20</v>
      </c>
      <c r="J3515" t="s">
        <v>20</v>
      </c>
      <c r="K3515" t="s">
        <v>41</v>
      </c>
      <c r="L3515" t="s">
        <v>177</v>
      </c>
      <c r="M3515" t="s">
        <v>163</v>
      </c>
      <c r="N3515">
        <v>41.506000999999998</v>
      </c>
      <c r="O3515">
        <v>-112.00955500000001</v>
      </c>
      <c r="P3515">
        <v>4446.8464919999997</v>
      </c>
      <c r="Q3515">
        <v>1385</v>
      </c>
      <c r="R3515">
        <v>0</v>
      </c>
    </row>
    <row r="3516" spans="1:18" x14ac:dyDescent="0.25">
      <c r="A3516">
        <v>3515</v>
      </c>
      <c r="B3516">
        <v>94</v>
      </c>
      <c r="C3516">
        <v>31499947</v>
      </c>
      <c r="D3516" t="s">
        <v>292</v>
      </c>
      <c r="E3516">
        <v>0.32200000000000001</v>
      </c>
      <c r="F3516" t="s">
        <v>21</v>
      </c>
      <c r="G3516" t="s">
        <v>26</v>
      </c>
      <c r="H3516" t="s">
        <v>21</v>
      </c>
      <c r="I3516" t="s">
        <v>20</v>
      </c>
      <c r="J3516" t="s">
        <v>20</v>
      </c>
      <c r="K3516" t="s">
        <v>22</v>
      </c>
      <c r="L3516" t="s">
        <v>253</v>
      </c>
      <c r="M3516" t="s">
        <v>134</v>
      </c>
      <c r="N3516">
        <v>40.168187000000003</v>
      </c>
      <c r="O3516">
        <v>-110.401376</v>
      </c>
      <c r="P3516">
        <v>5468.0797419999999</v>
      </c>
      <c r="Q3516">
        <v>323</v>
      </c>
      <c r="R3516">
        <v>0</v>
      </c>
    </row>
    <row r="3517" spans="1:18" x14ac:dyDescent="0.25">
      <c r="A3517">
        <v>3516</v>
      </c>
      <c r="B3517">
        <v>94</v>
      </c>
      <c r="C3517">
        <v>31660045</v>
      </c>
      <c r="D3517" t="s">
        <v>602</v>
      </c>
      <c r="E3517">
        <v>0.32200000000000001</v>
      </c>
      <c r="F3517" t="s">
        <v>21</v>
      </c>
      <c r="G3517" t="s">
        <v>26</v>
      </c>
      <c r="H3517" t="s">
        <v>21</v>
      </c>
      <c r="I3517" t="s">
        <v>20</v>
      </c>
      <c r="J3517" t="s">
        <v>20</v>
      </c>
      <c r="K3517" t="s">
        <v>27</v>
      </c>
      <c r="L3517" t="s">
        <v>183</v>
      </c>
      <c r="M3517" t="s">
        <v>76</v>
      </c>
      <c r="N3517">
        <v>38.874434999999998</v>
      </c>
      <c r="O3517">
        <v>-111.965862</v>
      </c>
      <c r="P3517">
        <v>5192.7178759999997</v>
      </c>
      <c r="Q3517">
        <v>1280</v>
      </c>
      <c r="R3517">
        <v>0</v>
      </c>
    </row>
    <row r="3518" spans="1:18" x14ac:dyDescent="0.25">
      <c r="A3518">
        <v>3517</v>
      </c>
      <c r="B3518">
        <v>94</v>
      </c>
      <c r="C3518">
        <v>27864561</v>
      </c>
      <c r="D3518" t="s">
        <v>91</v>
      </c>
      <c r="E3518">
        <v>0.70099999999999996</v>
      </c>
      <c r="F3518" t="s">
        <v>21</v>
      </c>
      <c r="G3518" t="s">
        <v>26</v>
      </c>
      <c r="H3518" t="s">
        <v>21</v>
      </c>
      <c r="I3518" t="s">
        <v>20</v>
      </c>
      <c r="J3518" t="s">
        <v>20</v>
      </c>
      <c r="K3518" t="s">
        <v>41</v>
      </c>
      <c r="L3518" t="s">
        <v>42</v>
      </c>
      <c r="M3518" t="s">
        <v>73</v>
      </c>
      <c r="N3518">
        <v>41.626249000000001</v>
      </c>
      <c r="O3518">
        <v>-111.934802</v>
      </c>
      <c r="P3518">
        <v>4506.2673089999998</v>
      </c>
      <c r="Q3518">
        <v>1339</v>
      </c>
      <c r="R3518">
        <v>0</v>
      </c>
    </row>
    <row r="3519" spans="1:18" x14ac:dyDescent="0.25">
      <c r="A3519">
        <v>3518</v>
      </c>
      <c r="B3519">
        <v>94</v>
      </c>
      <c r="C3519">
        <v>31508209</v>
      </c>
      <c r="D3519" t="s">
        <v>132</v>
      </c>
      <c r="E3519">
        <v>0.70099999999999996</v>
      </c>
      <c r="F3519" t="s">
        <v>21</v>
      </c>
      <c r="G3519" t="s">
        <v>26</v>
      </c>
      <c r="H3519" t="s">
        <v>21</v>
      </c>
      <c r="I3519" t="s">
        <v>20</v>
      </c>
      <c r="J3519" t="s">
        <v>20</v>
      </c>
      <c r="K3519" t="s">
        <v>22</v>
      </c>
      <c r="L3519" t="s">
        <v>133</v>
      </c>
      <c r="M3519" t="s">
        <v>134</v>
      </c>
      <c r="N3519">
        <v>40.303840999999998</v>
      </c>
      <c r="O3519">
        <v>-110.001329</v>
      </c>
      <c r="P3519">
        <v>5070.7842110000001</v>
      </c>
      <c r="Q3519">
        <v>1405</v>
      </c>
      <c r="R3519">
        <v>0</v>
      </c>
    </row>
    <row r="3520" spans="1:18" x14ac:dyDescent="0.25">
      <c r="A3520">
        <v>3519</v>
      </c>
      <c r="B3520">
        <v>94</v>
      </c>
      <c r="C3520">
        <v>506513</v>
      </c>
      <c r="D3520" t="s">
        <v>135</v>
      </c>
      <c r="E3520">
        <v>0.70199999999999996</v>
      </c>
      <c r="F3520" t="s">
        <v>21</v>
      </c>
      <c r="G3520" t="s">
        <v>26</v>
      </c>
      <c r="H3520" t="s">
        <v>21</v>
      </c>
      <c r="I3520" t="s">
        <v>20</v>
      </c>
      <c r="J3520" t="s">
        <v>20</v>
      </c>
      <c r="K3520" t="s">
        <v>31</v>
      </c>
      <c r="L3520" t="s">
        <v>48</v>
      </c>
      <c r="M3520" t="s">
        <v>144</v>
      </c>
      <c r="N3520">
        <v>40.562207000000001</v>
      </c>
      <c r="O3520">
        <v>-111.963643</v>
      </c>
      <c r="P3520">
        <v>4533.1853330000004</v>
      </c>
      <c r="Q3520">
        <v>1423</v>
      </c>
      <c r="R3520">
        <v>0</v>
      </c>
    </row>
    <row r="3521" spans="1:18" x14ac:dyDescent="0.25">
      <c r="A3521">
        <v>3520</v>
      </c>
      <c r="B3521">
        <v>94</v>
      </c>
      <c r="C3521">
        <v>31387326</v>
      </c>
      <c r="D3521" t="s">
        <v>369</v>
      </c>
      <c r="E3521">
        <v>0.70299999999999996</v>
      </c>
      <c r="F3521" t="s">
        <v>21</v>
      </c>
      <c r="G3521" t="s">
        <v>26</v>
      </c>
      <c r="H3521" t="s">
        <v>21</v>
      </c>
      <c r="I3521" t="s">
        <v>20</v>
      </c>
      <c r="J3521" t="s">
        <v>20</v>
      </c>
      <c r="K3521" t="s">
        <v>22</v>
      </c>
      <c r="L3521" t="s">
        <v>198</v>
      </c>
      <c r="M3521" t="s">
        <v>76</v>
      </c>
      <c r="N3521">
        <v>40.031340999999998</v>
      </c>
      <c r="O3521">
        <v>-111.745345</v>
      </c>
      <c r="P3521">
        <v>4593.5876090000002</v>
      </c>
      <c r="Q3521">
        <v>347</v>
      </c>
      <c r="R3521">
        <v>0</v>
      </c>
    </row>
    <row r="3522" spans="1:18" x14ac:dyDescent="0.25">
      <c r="A3522">
        <v>3521</v>
      </c>
      <c r="B3522">
        <v>94</v>
      </c>
      <c r="C3522">
        <v>1721186</v>
      </c>
      <c r="D3522" t="s">
        <v>445</v>
      </c>
      <c r="E3522">
        <v>0.70799999999999996</v>
      </c>
      <c r="F3522" t="s">
        <v>21</v>
      </c>
      <c r="G3522" t="s">
        <v>26</v>
      </c>
      <c r="H3522" t="s">
        <v>21</v>
      </c>
      <c r="I3522" t="s">
        <v>20</v>
      </c>
      <c r="J3522" t="s">
        <v>20</v>
      </c>
      <c r="K3522" t="s">
        <v>41</v>
      </c>
      <c r="L3522" t="s">
        <v>255</v>
      </c>
      <c r="M3522" t="s">
        <v>138</v>
      </c>
      <c r="N3522">
        <v>41.212493000000002</v>
      </c>
      <c r="O3522">
        <v>-111.851783</v>
      </c>
      <c r="P3522">
        <v>6492.9812840000004</v>
      </c>
      <c r="Q3522">
        <v>358</v>
      </c>
      <c r="R3522">
        <v>0</v>
      </c>
    </row>
    <row r="3523" spans="1:18" x14ac:dyDescent="0.25">
      <c r="A3523">
        <v>3522</v>
      </c>
      <c r="B3523">
        <v>94</v>
      </c>
      <c r="C3523" t="s">
        <v>603</v>
      </c>
      <c r="D3523" t="s">
        <v>170</v>
      </c>
      <c r="E3523">
        <v>0.71099999999999997</v>
      </c>
      <c r="F3523" t="s">
        <v>21</v>
      </c>
      <c r="G3523" t="s">
        <v>26</v>
      </c>
      <c r="H3523" t="s">
        <v>21</v>
      </c>
      <c r="I3523" t="s">
        <v>20</v>
      </c>
      <c r="J3523" t="s">
        <v>20</v>
      </c>
      <c r="K3523" t="s">
        <v>41</v>
      </c>
      <c r="L3523" t="s">
        <v>81</v>
      </c>
      <c r="M3523" t="s">
        <v>82</v>
      </c>
      <c r="N3523">
        <v>41.188406999999998</v>
      </c>
      <c r="O3523">
        <v>-111.945671</v>
      </c>
      <c r="P3523">
        <v>4631.4446799999996</v>
      </c>
      <c r="Q3523">
        <v>1284</v>
      </c>
      <c r="R3523">
        <v>0</v>
      </c>
    </row>
    <row r="3524" spans="1:18" x14ac:dyDescent="0.25">
      <c r="A3524">
        <v>3523</v>
      </c>
      <c r="B3524">
        <v>94</v>
      </c>
      <c r="C3524">
        <v>31658060</v>
      </c>
      <c r="D3524" t="s">
        <v>156</v>
      </c>
      <c r="E3524">
        <v>0.71199999999999997</v>
      </c>
      <c r="F3524" t="s">
        <v>21</v>
      </c>
      <c r="G3524" t="s">
        <v>26</v>
      </c>
      <c r="H3524" t="s">
        <v>21</v>
      </c>
      <c r="I3524" t="s">
        <v>20</v>
      </c>
      <c r="J3524" t="s">
        <v>20</v>
      </c>
      <c r="K3524" t="s">
        <v>41</v>
      </c>
      <c r="L3524" t="s">
        <v>81</v>
      </c>
      <c r="M3524" t="s">
        <v>93</v>
      </c>
      <c r="N3524">
        <v>41.269638999999998</v>
      </c>
      <c r="O3524">
        <v>-111.969448</v>
      </c>
      <c r="P3524">
        <v>4256.9495669999997</v>
      </c>
      <c r="Q3524">
        <v>424</v>
      </c>
      <c r="R3524">
        <v>0</v>
      </c>
    </row>
    <row r="3525" spans="1:18" x14ac:dyDescent="0.25">
      <c r="A3525">
        <v>3524</v>
      </c>
      <c r="B3525">
        <v>94</v>
      </c>
      <c r="C3525">
        <v>1002615</v>
      </c>
      <c r="D3525" t="s">
        <v>604</v>
      </c>
      <c r="E3525">
        <v>0.71399999999999997</v>
      </c>
      <c r="F3525" t="s">
        <v>21</v>
      </c>
      <c r="G3525" t="s">
        <v>20</v>
      </c>
      <c r="H3525" t="s">
        <v>21</v>
      </c>
      <c r="I3525" t="s">
        <v>20</v>
      </c>
      <c r="J3525" t="s">
        <v>20</v>
      </c>
      <c r="K3525" t="s">
        <v>41</v>
      </c>
      <c r="L3525" t="s">
        <v>45</v>
      </c>
      <c r="M3525" t="s">
        <v>46</v>
      </c>
      <c r="N3525">
        <v>40.921430000000001</v>
      </c>
      <c r="O3525">
        <v>-111.886678</v>
      </c>
      <c r="P3525">
        <v>4193.2138779999996</v>
      </c>
      <c r="Q3525">
        <v>1394</v>
      </c>
      <c r="R3525">
        <v>0</v>
      </c>
    </row>
    <row r="3526" spans="1:18" x14ac:dyDescent="0.25">
      <c r="A3526">
        <v>3525</v>
      </c>
      <c r="B3526">
        <v>94</v>
      </c>
      <c r="C3526">
        <v>27872233</v>
      </c>
      <c r="D3526" t="s">
        <v>91</v>
      </c>
      <c r="E3526">
        <v>17.945</v>
      </c>
      <c r="F3526" t="s">
        <v>21</v>
      </c>
      <c r="G3526" t="s">
        <v>26</v>
      </c>
      <c r="H3526" t="s">
        <v>21</v>
      </c>
      <c r="I3526" t="s">
        <v>20</v>
      </c>
      <c r="J3526" t="s">
        <v>20</v>
      </c>
      <c r="K3526" t="s">
        <v>41</v>
      </c>
      <c r="L3526" t="s">
        <v>42</v>
      </c>
      <c r="M3526" t="s">
        <v>73</v>
      </c>
      <c r="N3526">
        <v>41.860525000000003</v>
      </c>
      <c r="O3526">
        <v>-111.999848</v>
      </c>
      <c r="P3526">
        <v>4460.3979719999998</v>
      </c>
      <c r="Q3526">
        <v>1339</v>
      </c>
      <c r="R3526">
        <v>0</v>
      </c>
    </row>
    <row r="3527" spans="1:18" x14ac:dyDescent="0.25">
      <c r="A3527">
        <v>3526</v>
      </c>
      <c r="B3527">
        <v>94</v>
      </c>
      <c r="C3527">
        <v>31536062</v>
      </c>
      <c r="D3527" t="s">
        <v>244</v>
      </c>
      <c r="E3527">
        <v>16.001999999999999</v>
      </c>
      <c r="F3527" t="s">
        <v>21</v>
      </c>
      <c r="G3527" t="s">
        <v>26</v>
      </c>
      <c r="H3527" t="s">
        <v>19</v>
      </c>
      <c r="I3527">
        <v>119</v>
      </c>
      <c r="J3527" t="s">
        <v>20</v>
      </c>
      <c r="K3527" t="s">
        <v>27</v>
      </c>
      <c r="L3527" t="s">
        <v>75</v>
      </c>
      <c r="M3527" t="s">
        <v>58</v>
      </c>
      <c r="N3527">
        <v>38.769973999999998</v>
      </c>
      <c r="O3527">
        <v>-111.927896</v>
      </c>
      <c r="P3527">
        <v>6060.0870919999998</v>
      </c>
      <c r="Q3527">
        <v>1340</v>
      </c>
      <c r="R3527">
        <v>0</v>
      </c>
    </row>
    <row r="3528" spans="1:18" x14ac:dyDescent="0.25">
      <c r="A3528">
        <v>3527</v>
      </c>
      <c r="B3528">
        <v>94</v>
      </c>
      <c r="C3528">
        <v>27870734</v>
      </c>
      <c r="D3528" t="s">
        <v>91</v>
      </c>
      <c r="E3528">
        <v>16.003</v>
      </c>
      <c r="F3528" t="s">
        <v>21</v>
      </c>
      <c r="G3528" t="s">
        <v>26</v>
      </c>
      <c r="H3528" t="s">
        <v>21</v>
      </c>
      <c r="I3528" t="s">
        <v>20</v>
      </c>
      <c r="J3528" t="s">
        <v>20</v>
      </c>
      <c r="K3528" t="s">
        <v>41</v>
      </c>
      <c r="L3528" t="s">
        <v>42</v>
      </c>
      <c r="M3528" t="s">
        <v>73</v>
      </c>
      <c r="N3528">
        <v>41.833790999999998</v>
      </c>
      <c r="O3528">
        <v>-112.00466900000001</v>
      </c>
      <c r="P3528">
        <v>4407.8255300000001</v>
      </c>
      <c r="Q3528">
        <v>1339</v>
      </c>
      <c r="R3528">
        <v>0</v>
      </c>
    </row>
    <row r="3529" spans="1:18" x14ac:dyDescent="0.25">
      <c r="A3529">
        <v>3528</v>
      </c>
      <c r="B3529">
        <v>94</v>
      </c>
      <c r="C3529">
        <v>31291573</v>
      </c>
      <c r="D3529" t="s">
        <v>315</v>
      </c>
      <c r="E3529">
        <v>16.004000000000001</v>
      </c>
      <c r="F3529" t="s">
        <v>21</v>
      </c>
      <c r="G3529" t="s">
        <v>26</v>
      </c>
      <c r="H3529" t="s">
        <v>21</v>
      </c>
      <c r="I3529" t="s">
        <v>20</v>
      </c>
      <c r="J3529" t="s">
        <v>20</v>
      </c>
      <c r="K3529" t="s">
        <v>27</v>
      </c>
      <c r="L3529" t="s">
        <v>111</v>
      </c>
      <c r="M3529" t="s">
        <v>243</v>
      </c>
      <c r="N3529">
        <v>39.248854999999999</v>
      </c>
      <c r="O3529">
        <v>-111.076745</v>
      </c>
      <c r="P3529">
        <v>5820.5383599999996</v>
      </c>
      <c r="Q3529">
        <v>307</v>
      </c>
      <c r="R3529">
        <v>0</v>
      </c>
    </row>
    <row r="3530" spans="1:18" x14ac:dyDescent="0.25">
      <c r="A3530">
        <v>3529</v>
      </c>
      <c r="B3530">
        <v>94</v>
      </c>
      <c r="C3530">
        <v>31528343</v>
      </c>
      <c r="D3530" t="s">
        <v>390</v>
      </c>
      <c r="E3530">
        <v>18.468</v>
      </c>
      <c r="F3530" t="s">
        <v>21</v>
      </c>
      <c r="G3530" t="s">
        <v>20</v>
      </c>
      <c r="H3530" t="s">
        <v>21</v>
      </c>
      <c r="I3530" t="s">
        <v>20</v>
      </c>
      <c r="J3530" t="s">
        <v>20</v>
      </c>
      <c r="K3530" t="s">
        <v>22</v>
      </c>
      <c r="L3530" t="s">
        <v>60</v>
      </c>
      <c r="M3530" t="s">
        <v>335</v>
      </c>
      <c r="N3530">
        <v>40.431491999999999</v>
      </c>
      <c r="O3530">
        <v>-111.6144</v>
      </c>
      <c r="P3530">
        <v>7990.115726</v>
      </c>
      <c r="Q3530">
        <v>1386</v>
      </c>
      <c r="R3530">
        <v>0</v>
      </c>
    </row>
    <row r="3531" spans="1:18" x14ac:dyDescent="0.25">
      <c r="A3531">
        <v>3530</v>
      </c>
      <c r="B3531">
        <v>94</v>
      </c>
      <c r="C3531">
        <v>31322489</v>
      </c>
      <c r="D3531" t="s">
        <v>303</v>
      </c>
      <c r="E3531">
        <v>18.474</v>
      </c>
      <c r="F3531" t="s">
        <v>21</v>
      </c>
      <c r="G3531" t="s">
        <v>26</v>
      </c>
      <c r="H3531" t="s">
        <v>21</v>
      </c>
      <c r="I3531" t="s">
        <v>20</v>
      </c>
      <c r="J3531" t="s">
        <v>20</v>
      </c>
      <c r="K3531" t="s">
        <v>27</v>
      </c>
      <c r="L3531" t="s">
        <v>72</v>
      </c>
      <c r="M3531" t="s">
        <v>73</v>
      </c>
      <c r="N3531">
        <v>37.203555999999999</v>
      </c>
      <c r="O3531">
        <v>-113.19060399999999</v>
      </c>
      <c r="P3531">
        <v>3474.009</v>
      </c>
      <c r="Q3531">
        <v>1326</v>
      </c>
      <c r="R3531">
        <v>0</v>
      </c>
    </row>
    <row r="3532" spans="1:18" x14ac:dyDescent="0.25">
      <c r="A3532">
        <v>3531</v>
      </c>
      <c r="B3532">
        <v>94</v>
      </c>
      <c r="C3532">
        <v>31431633</v>
      </c>
      <c r="D3532" t="s">
        <v>345</v>
      </c>
      <c r="E3532">
        <v>18.486999999999998</v>
      </c>
      <c r="F3532" t="s">
        <v>21</v>
      </c>
      <c r="G3532" t="s">
        <v>26</v>
      </c>
      <c r="H3532" t="s">
        <v>21</v>
      </c>
      <c r="I3532" t="s">
        <v>20</v>
      </c>
      <c r="J3532" t="s">
        <v>20</v>
      </c>
      <c r="K3532" t="s">
        <v>27</v>
      </c>
      <c r="L3532" t="s">
        <v>75</v>
      </c>
      <c r="M3532" t="s">
        <v>76</v>
      </c>
      <c r="N3532">
        <v>38.801552999999998</v>
      </c>
      <c r="O3532">
        <v>-112.02891099999999</v>
      </c>
      <c r="P3532">
        <v>5210.6086599999999</v>
      </c>
      <c r="Q3532">
        <v>1403</v>
      </c>
      <c r="R3532">
        <v>0</v>
      </c>
    </row>
    <row r="3533" spans="1:18" x14ac:dyDescent="0.25">
      <c r="A3533">
        <v>3532</v>
      </c>
      <c r="B3533">
        <v>94</v>
      </c>
      <c r="C3533">
        <v>1547094</v>
      </c>
      <c r="D3533" t="s">
        <v>88</v>
      </c>
      <c r="E3533">
        <v>18.5</v>
      </c>
      <c r="F3533" t="s">
        <v>21</v>
      </c>
      <c r="G3533" t="s">
        <v>26</v>
      </c>
      <c r="H3533" t="s">
        <v>21</v>
      </c>
      <c r="I3533" t="s">
        <v>20</v>
      </c>
      <c r="J3533" t="s">
        <v>20</v>
      </c>
      <c r="K3533" t="s">
        <v>31</v>
      </c>
      <c r="L3533" t="s">
        <v>66</v>
      </c>
      <c r="M3533" t="s">
        <v>90</v>
      </c>
      <c r="N3533">
        <v>40.703119000000001</v>
      </c>
      <c r="O3533">
        <v>-111.871217</v>
      </c>
      <c r="P3533">
        <v>4226.2712549999997</v>
      </c>
      <c r="Q3533">
        <v>318</v>
      </c>
      <c r="R3533">
        <v>0</v>
      </c>
    </row>
    <row r="3534" spans="1:18" x14ac:dyDescent="0.25">
      <c r="A3534">
        <v>3533</v>
      </c>
      <c r="B3534">
        <v>94</v>
      </c>
      <c r="C3534" t="e">
        <f>-Ip9v2Z1Huqpcb9kbciWNV</f>
        <v>#NAME?</v>
      </c>
      <c r="D3534" t="s">
        <v>272</v>
      </c>
      <c r="E3534">
        <v>388.33800000000002</v>
      </c>
      <c r="F3534" t="s">
        <v>21</v>
      </c>
      <c r="G3534" t="s">
        <v>26</v>
      </c>
      <c r="H3534" t="s">
        <v>21</v>
      </c>
      <c r="I3534" t="s">
        <v>20</v>
      </c>
      <c r="J3534" t="s">
        <v>20</v>
      </c>
      <c r="K3534" t="s">
        <v>41</v>
      </c>
      <c r="L3534" t="s">
        <v>45</v>
      </c>
      <c r="M3534" t="s">
        <v>49</v>
      </c>
      <c r="N3534">
        <v>40.882804</v>
      </c>
      <c r="O3534">
        <v>-111.892213</v>
      </c>
      <c r="P3534">
        <v>4288.8428119999999</v>
      </c>
      <c r="Q3534">
        <v>1384</v>
      </c>
      <c r="R3534">
        <v>0</v>
      </c>
    </row>
    <row r="3535" spans="1:18" x14ac:dyDescent="0.25">
      <c r="A3535">
        <v>3534</v>
      </c>
      <c r="B3535">
        <v>94</v>
      </c>
      <c r="C3535" t="s">
        <v>605</v>
      </c>
      <c r="D3535" t="s">
        <v>272</v>
      </c>
      <c r="E3535">
        <v>388.43799999999999</v>
      </c>
      <c r="F3535" t="s">
        <v>19</v>
      </c>
      <c r="G3535" t="s">
        <v>20</v>
      </c>
      <c r="H3535" t="s">
        <v>19</v>
      </c>
      <c r="I3535">
        <v>68</v>
      </c>
      <c r="J3535" t="s">
        <v>20</v>
      </c>
      <c r="K3535" t="s">
        <v>41</v>
      </c>
      <c r="L3535" t="s">
        <v>45</v>
      </c>
      <c r="M3535" t="s">
        <v>49</v>
      </c>
      <c r="N3535">
        <v>40.884239000000001</v>
      </c>
      <c r="O3535">
        <v>-111.892213</v>
      </c>
      <c r="P3535">
        <v>4287.6435039999997</v>
      </c>
      <c r="Q3535">
        <v>1384</v>
      </c>
      <c r="R3535">
        <v>0</v>
      </c>
    </row>
    <row r="3536" spans="1:18" x14ac:dyDescent="0.25">
      <c r="A3536">
        <v>3535</v>
      </c>
      <c r="B3536">
        <v>94</v>
      </c>
      <c r="C3536" t="e">
        <f>-JTX11guF0H4vjoOOG_dXk</f>
        <v>#NAME?</v>
      </c>
      <c r="D3536" t="s">
        <v>272</v>
      </c>
      <c r="E3536">
        <v>388.50099999999998</v>
      </c>
      <c r="F3536" t="s">
        <v>21</v>
      </c>
      <c r="G3536" t="s">
        <v>26</v>
      </c>
      <c r="H3536" t="s">
        <v>21</v>
      </c>
      <c r="I3536" t="s">
        <v>20</v>
      </c>
      <c r="J3536" t="s">
        <v>20</v>
      </c>
      <c r="K3536" t="s">
        <v>41</v>
      </c>
      <c r="L3536" t="s">
        <v>45</v>
      </c>
      <c r="M3536" t="s">
        <v>49</v>
      </c>
      <c r="N3536">
        <v>40.885126999999997</v>
      </c>
      <c r="O3536">
        <v>-111.892211</v>
      </c>
      <c r="P3536">
        <v>4285.301023</v>
      </c>
      <c r="Q3536">
        <v>1384</v>
      </c>
      <c r="R3536">
        <v>0</v>
      </c>
    </row>
    <row r="3537" spans="1:18" x14ac:dyDescent="0.25">
      <c r="A3537">
        <v>3536</v>
      </c>
      <c r="B3537">
        <v>94</v>
      </c>
      <c r="C3537" t="e">
        <f>-IpOTFJlF8iKo71Pe5RCyk</f>
        <v>#NAME?</v>
      </c>
      <c r="D3537" t="s">
        <v>272</v>
      </c>
      <c r="E3537">
        <v>388.55599999999998</v>
      </c>
      <c r="F3537" t="s">
        <v>21</v>
      </c>
      <c r="G3537" t="s">
        <v>26</v>
      </c>
      <c r="H3537" t="s">
        <v>21</v>
      </c>
      <c r="I3537" t="s">
        <v>20</v>
      </c>
      <c r="J3537" t="s">
        <v>20</v>
      </c>
      <c r="K3537" t="s">
        <v>41</v>
      </c>
      <c r="L3537" t="s">
        <v>45</v>
      </c>
      <c r="M3537" t="s">
        <v>49</v>
      </c>
      <c r="N3537">
        <v>40.885917999999997</v>
      </c>
      <c r="O3537">
        <v>-111.892219</v>
      </c>
      <c r="P3537">
        <v>4282.6388969999998</v>
      </c>
      <c r="Q3537">
        <v>1384</v>
      </c>
      <c r="R3537">
        <v>0</v>
      </c>
    </row>
    <row r="3538" spans="1:18" x14ac:dyDescent="0.25">
      <c r="A3538">
        <v>3537</v>
      </c>
      <c r="B3538">
        <v>94</v>
      </c>
      <c r="C3538" t="e">
        <f>-IpOTd_QGDDwylqRAUktuV</f>
        <v>#NAME?</v>
      </c>
      <c r="D3538" t="s">
        <v>272</v>
      </c>
      <c r="E3538">
        <v>388.798</v>
      </c>
      <c r="F3538" t="s">
        <v>21</v>
      </c>
      <c r="G3538" t="s">
        <v>26</v>
      </c>
      <c r="H3538" t="s">
        <v>21</v>
      </c>
      <c r="I3538" t="s">
        <v>20</v>
      </c>
      <c r="J3538" t="s">
        <v>20</v>
      </c>
      <c r="K3538" t="s">
        <v>41</v>
      </c>
      <c r="L3538" t="s">
        <v>45</v>
      </c>
      <c r="M3538" t="s">
        <v>49</v>
      </c>
      <c r="N3538">
        <v>40.889384</v>
      </c>
      <c r="O3538">
        <v>-111.892229</v>
      </c>
      <c r="P3538">
        <v>4269.7486449999997</v>
      </c>
      <c r="Q3538">
        <v>1384</v>
      </c>
      <c r="R3538">
        <v>0</v>
      </c>
    </row>
    <row r="3539" spans="1:18" x14ac:dyDescent="0.25">
      <c r="A3539">
        <v>3538</v>
      </c>
      <c r="B3539">
        <v>94</v>
      </c>
      <c r="C3539">
        <v>31591610</v>
      </c>
      <c r="D3539" t="s">
        <v>288</v>
      </c>
      <c r="E3539">
        <v>388.84699999999998</v>
      </c>
      <c r="F3539" t="s">
        <v>21</v>
      </c>
      <c r="G3539" t="s">
        <v>26</v>
      </c>
      <c r="H3539" t="s">
        <v>21</v>
      </c>
      <c r="I3539" t="s">
        <v>20</v>
      </c>
      <c r="J3539" t="s">
        <v>20</v>
      </c>
      <c r="K3539" t="s">
        <v>22</v>
      </c>
      <c r="L3539" t="s">
        <v>97</v>
      </c>
      <c r="M3539" t="s">
        <v>98</v>
      </c>
      <c r="N3539">
        <v>40.878571000000001</v>
      </c>
      <c r="O3539">
        <v>-109.46262900000001</v>
      </c>
      <c r="P3539">
        <v>7080.8487699999996</v>
      </c>
      <c r="Q3539">
        <v>350</v>
      </c>
      <c r="R3539">
        <v>0</v>
      </c>
    </row>
    <row r="3540" spans="1:18" x14ac:dyDescent="0.25">
      <c r="A3540">
        <v>3539</v>
      </c>
      <c r="B3540">
        <v>94</v>
      </c>
      <c r="C3540">
        <v>31305725</v>
      </c>
      <c r="D3540" t="s">
        <v>251</v>
      </c>
      <c r="E3540">
        <v>4.6609999999999996</v>
      </c>
      <c r="F3540" t="s">
        <v>21</v>
      </c>
      <c r="G3540" t="s">
        <v>26</v>
      </c>
      <c r="H3540" t="s">
        <v>21</v>
      </c>
      <c r="I3540" t="s">
        <v>20</v>
      </c>
      <c r="J3540" t="s">
        <v>20</v>
      </c>
      <c r="K3540" t="s">
        <v>27</v>
      </c>
      <c r="L3540" t="s">
        <v>165</v>
      </c>
      <c r="M3540" t="s">
        <v>166</v>
      </c>
      <c r="N3540">
        <v>38.979252000000002</v>
      </c>
      <c r="O3540">
        <v>-112.40988900000001</v>
      </c>
      <c r="P3540">
        <v>4706.9798179999998</v>
      </c>
      <c r="Q3540">
        <v>326</v>
      </c>
      <c r="R3540">
        <v>0</v>
      </c>
    </row>
    <row r="3541" spans="1:18" x14ac:dyDescent="0.25">
      <c r="A3541">
        <v>3540</v>
      </c>
      <c r="B3541">
        <v>94</v>
      </c>
      <c r="C3541">
        <v>31520655</v>
      </c>
      <c r="D3541" t="s">
        <v>231</v>
      </c>
      <c r="E3541">
        <v>4.6639999999999997</v>
      </c>
      <c r="F3541" t="s">
        <v>21</v>
      </c>
      <c r="G3541" t="s">
        <v>26</v>
      </c>
      <c r="H3541" t="s">
        <v>21</v>
      </c>
      <c r="I3541" t="s">
        <v>20</v>
      </c>
      <c r="J3541" t="s">
        <v>20</v>
      </c>
      <c r="K3541" t="s">
        <v>41</v>
      </c>
      <c r="L3541" t="s">
        <v>57</v>
      </c>
      <c r="M3541" t="s">
        <v>93</v>
      </c>
      <c r="N3541">
        <v>41.104733000000003</v>
      </c>
      <c r="O3541">
        <v>-112.016594</v>
      </c>
      <c r="P3541">
        <v>4429.5421909999995</v>
      </c>
      <c r="Q3541">
        <v>1409</v>
      </c>
      <c r="R3541">
        <v>0</v>
      </c>
    </row>
    <row r="3542" spans="1:18" x14ac:dyDescent="0.25">
      <c r="A3542">
        <v>3541</v>
      </c>
      <c r="B3542">
        <v>94</v>
      </c>
      <c r="C3542">
        <v>31401852</v>
      </c>
      <c r="D3542" t="s">
        <v>224</v>
      </c>
      <c r="E3542">
        <v>4.665</v>
      </c>
      <c r="F3542" t="s">
        <v>21</v>
      </c>
      <c r="G3542" t="s">
        <v>26</v>
      </c>
      <c r="H3542" t="s">
        <v>21</v>
      </c>
      <c r="I3542" t="s">
        <v>20</v>
      </c>
      <c r="J3542" t="s">
        <v>20</v>
      </c>
      <c r="K3542" t="s">
        <v>22</v>
      </c>
      <c r="L3542" t="s">
        <v>198</v>
      </c>
      <c r="M3542" t="s">
        <v>194</v>
      </c>
      <c r="N3542">
        <v>40.034923999999997</v>
      </c>
      <c r="O3542">
        <v>-111.73388</v>
      </c>
      <c r="P3542">
        <v>4673.6514950000001</v>
      </c>
      <c r="Q3542">
        <v>408</v>
      </c>
      <c r="R3542">
        <v>0</v>
      </c>
    </row>
    <row r="3543" spans="1:18" x14ac:dyDescent="0.25">
      <c r="A3543">
        <v>3542</v>
      </c>
      <c r="B3543">
        <v>94</v>
      </c>
      <c r="C3543">
        <v>1371435</v>
      </c>
      <c r="D3543" t="s">
        <v>100</v>
      </c>
      <c r="E3543">
        <v>4.665</v>
      </c>
      <c r="F3543" t="s">
        <v>21</v>
      </c>
      <c r="G3543" t="s">
        <v>26</v>
      </c>
      <c r="H3543" t="s">
        <v>21</v>
      </c>
      <c r="I3543" t="s">
        <v>20</v>
      </c>
      <c r="J3543" t="s">
        <v>20</v>
      </c>
      <c r="K3543" t="s">
        <v>41</v>
      </c>
      <c r="L3543" t="s">
        <v>57</v>
      </c>
      <c r="M3543" t="s">
        <v>46</v>
      </c>
      <c r="N3543">
        <v>41.098692</v>
      </c>
      <c r="O3543">
        <v>-112.064604</v>
      </c>
      <c r="P3543">
        <v>4245.7675099999997</v>
      </c>
      <c r="Q3543">
        <v>1396</v>
      </c>
      <c r="R3543">
        <v>0</v>
      </c>
    </row>
    <row r="3544" spans="1:18" x14ac:dyDescent="0.25">
      <c r="A3544">
        <v>3543</v>
      </c>
      <c r="B3544">
        <v>94</v>
      </c>
      <c r="C3544" t="e">
        <f>-Ip5KcQPGmLtpaHdzMmpLF</f>
        <v>#NAME?</v>
      </c>
      <c r="D3544" t="s">
        <v>208</v>
      </c>
      <c r="E3544">
        <v>4.6660000000000004</v>
      </c>
      <c r="F3544" t="s">
        <v>21</v>
      </c>
      <c r="G3544" t="s">
        <v>361</v>
      </c>
      <c r="H3544" t="s">
        <v>21</v>
      </c>
      <c r="I3544" t="s">
        <v>20</v>
      </c>
      <c r="J3544" t="s">
        <v>20</v>
      </c>
      <c r="K3544" t="s">
        <v>31</v>
      </c>
      <c r="L3544" t="s">
        <v>209</v>
      </c>
      <c r="M3544" t="s">
        <v>131</v>
      </c>
      <c r="N3544">
        <v>40.645704000000002</v>
      </c>
      <c r="O3544">
        <v>-111.494691</v>
      </c>
      <c r="P3544">
        <v>6993.8295459999999</v>
      </c>
      <c r="Q3544">
        <v>357</v>
      </c>
      <c r="R3544">
        <v>0</v>
      </c>
    </row>
    <row r="3545" spans="1:18" x14ac:dyDescent="0.25">
      <c r="A3545">
        <v>3544</v>
      </c>
      <c r="B3545">
        <v>94</v>
      </c>
      <c r="C3545">
        <v>31397885</v>
      </c>
      <c r="D3545" t="s">
        <v>124</v>
      </c>
      <c r="E3545">
        <v>39.741999999999997</v>
      </c>
      <c r="F3545" t="s">
        <v>21</v>
      </c>
      <c r="G3545" t="s">
        <v>26</v>
      </c>
      <c r="H3545" t="s">
        <v>21</v>
      </c>
      <c r="I3545" t="s">
        <v>20</v>
      </c>
      <c r="J3545" t="s">
        <v>20</v>
      </c>
      <c r="K3545" t="s">
        <v>31</v>
      </c>
      <c r="L3545" t="s">
        <v>89</v>
      </c>
      <c r="M3545" t="s">
        <v>125</v>
      </c>
      <c r="N3545">
        <v>40.485272999999999</v>
      </c>
      <c r="O3545">
        <v>-111.941986</v>
      </c>
      <c r="P3545">
        <v>4431.7573140000004</v>
      </c>
      <c r="Q3545">
        <v>1368</v>
      </c>
      <c r="R3545">
        <v>0</v>
      </c>
    </row>
    <row r="3546" spans="1:18" x14ac:dyDescent="0.25">
      <c r="A3546">
        <v>3545</v>
      </c>
      <c r="B3546">
        <v>94</v>
      </c>
      <c r="C3546">
        <v>31302578</v>
      </c>
      <c r="D3546" t="s">
        <v>316</v>
      </c>
      <c r="E3546">
        <v>39.765999999999998</v>
      </c>
      <c r="F3546" t="s">
        <v>21</v>
      </c>
      <c r="G3546" t="s">
        <v>20</v>
      </c>
      <c r="H3546" t="s">
        <v>21</v>
      </c>
      <c r="I3546" t="s">
        <v>20</v>
      </c>
      <c r="J3546" t="s">
        <v>20</v>
      </c>
      <c r="K3546" t="s">
        <v>22</v>
      </c>
      <c r="L3546" t="s">
        <v>168</v>
      </c>
      <c r="M3546" t="s">
        <v>302</v>
      </c>
      <c r="N3546">
        <v>40.382368</v>
      </c>
      <c r="O3546">
        <v>-110.739805</v>
      </c>
      <c r="P3546">
        <v>6591.4466279999997</v>
      </c>
      <c r="Q3546">
        <v>1346</v>
      </c>
      <c r="R3546">
        <v>0</v>
      </c>
    </row>
    <row r="3547" spans="1:18" x14ac:dyDescent="0.25">
      <c r="A3547">
        <v>3546</v>
      </c>
      <c r="B3547">
        <v>94</v>
      </c>
      <c r="C3547" t="s">
        <v>606</v>
      </c>
      <c r="D3547" t="s">
        <v>63</v>
      </c>
      <c r="E3547">
        <v>39.792999999999999</v>
      </c>
      <c r="F3547" t="s">
        <v>21</v>
      </c>
      <c r="G3547" t="s">
        <v>20</v>
      </c>
      <c r="H3547" t="s">
        <v>21</v>
      </c>
      <c r="I3547" t="s">
        <v>20</v>
      </c>
      <c r="J3547" t="s">
        <v>20</v>
      </c>
      <c r="K3547" t="s">
        <v>27</v>
      </c>
      <c r="L3547" t="s">
        <v>266</v>
      </c>
      <c r="M3547" t="s">
        <v>29</v>
      </c>
      <c r="N3547">
        <v>38.537345999999999</v>
      </c>
      <c r="O3547">
        <v>-111.873955</v>
      </c>
      <c r="P3547">
        <v>6914.4539850000001</v>
      </c>
      <c r="Q3547">
        <v>1365</v>
      </c>
      <c r="R3547">
        <v>0</v>
      </c>
    </row>
    <row r="3548" spans="1:18" x14ac:dyDescent="0.25">
      <c r="A3548">
        <v>3547</v>
      </c>
      <c r="B3548">
        <v>94</v>
      </c>
      <c r="C3548">
        <v>31523051</v>
      </c>
      <c r="D3548" t="s">
        <v>132</v>
      </c>
      <c r="E3548">
        <v>39.802</v>
      </c>
      <c r="F3548" t="s">
        <v>21</v>
      </c>
      <c r="G3548" t="s">
        <v>26</v>
      </c>
      <c r="H3548" t="s">
        <v>21</v>
      </c>
      <c r="I3548" t="s">
        <v>20</v>
      </c>
      <c r="J3548" t="s">
        <v>20</v>
      </c>
      <c r="K3548" t="s">
        <v>22</v>
      </c>
      <c r="L3548" t="s">
        <v>234</v>
      </c>
      <c r="M3548" t="s">
        <v>277</v>
      </c>
      <c r="N3548">
        <v>40.462617999999999</v>
      </c>
      <c r="O3548">
        <v>-109.538605</v>
      </c>
      <c r="P3548">
        <v>5307.642742</v>
      </c>
      <c r="Q3548">
        <v>1405</v>
      </c>
      <c r="R3548">
        <v>0</v>
      </c>
    </row>
    <row r="3549" spans="1:18" x14ac:dyDescent="0.25">
      <c r="A3549">
        <v>3548</v>
      </c>
      <c r="B3549">
        <v>94</v>
      </c>
      <c r="C3549" t="e">
        <f>-Ip_QxaBFvHoe5EvgJvUDF</f>
        <v>#NAME?</v>
      </c>
      <c r="D3549" t="s">
        <v>272</v>
      </c>
      <c r="E3549">
        <v>45.418999999999997</v>
      </c>
      <c r="F3549" t="s">
        <v>21</v>
      </c>
      <c r="G3549" t="s">
        <v>26</v>
      </c>
      <c r="H3549" t="s">
        <v>21</v>
      </c>
      <c r="I3549" t="s">
        <v>20</v>
      </c>
      <c r="J3549" t="s">
        <v>20</v>
      </c>
      <c r="K3549" t="s">
        <v>27</v>
      </c>
      <c r="L3549" t="s">
        <v>259</v>
      </c>
      <c r="M3549" t="s">
        <v>214</v>
      </c>
      <c r="N3549">
        <v>37.050741000000002</v>
      </c>
      <c r="O3549">
        <v>-112.203853</v>
      </c>
      <c r="P3549">
        <v>5374.4324260000003</v>
      </c>
      <c r="Q3549">
        <v>1384</v>
      </c>
      <c r="R3549">
        <v>0</v>
      </c>
    </row>
    <row r="3550" spans="1:18" x14ac:dyDescent="0.25">
      <c r="A3550">
        <v>3549</v>
      </c>
      <c r="B3550">
        <v>94</v>
      </c>
      <c r="C3550">
        <v>31567098</v>
      </c>
      <c r="D3550" t="s">
        <v>288</v>
      </c>
      <c r="E3550">
        <v>353.88600000000002</v>
      </c>
      <c r="F3550" t="s">
        <v>21</v>
      </c>
      <c r="G3550" t="s">
        <v>26</v>
      </c>
      <c r="H3550" t="s">
        <v>21</v>
      </c>
      <c r="I3550" t="s">
        <v>20</v>
      </c>
      <c r="J3550" t="s">
        <v>20</v>
      </c>
      <c r="K3550" t="s">
        <v>22</v>
      </c>
      <c r="L3550" t="s">
        <v>234</v>
      </c>
      <c r="M3550" t="s">
        <v>98</v>
      </c>
      <c r="N3550">
        <v>40.474282000000002</v>
      </c>
      <c r="O3550">
        <v>-109.52886700000001</v>
      </c>
      <c r="P3550">
        <v>5276.8490830000001</v>
      </c>
      <c r="Q3550">
        <v>350</v>
      </c>
      <c r="R3550">
        <v>0</v>
      </c>
    </row>
    <row r="3551" spans="1:18" x14ac:dyDescent="0.25">
      <c r="A3551">
        <v>3550</v>
      </c>
      <c r="B3551">
        <v>94</v>
      </c>
      <c r="C3551">
        <v>31568259</v>
      </c>
      <c r="D3551" t="s">
        <v>288</v>
      </c>
      <c r="E3551">
        <v>354.11900000000003</v>
      </c>
      <c r="F3551" t="s">
        <v>21</v>
      </c>
      <c r="G3551" t="s">
        <v>26</v>
      </c>
      <c r="H3551" t="s">
        <v>21</v>
      </c>
      <c r="I3551" t="s">
        <v>20</v>
      </c>
      <c r="J3551" t="s">
        <v>20</v>
      </c>
      <c r="K3551" t="s">
        <v>22</v>
      </c>
      <c r="L3551" t="s">
        <v>234</v>
      </c>
      <c r="M3551" t="s">
        <v>98</v>
      </c>
      <c r="N3551">
        <v>40.477677</v>
      </c>
      <c r="O3551">
        <v>-109.528904</v>
      </c>
      <c r="P3551">
        <v>5285.0678049999997</v>
      </c>
      <c r="Q3551">
        <v>350</v>
      </c>
      <c r="R3551">
        <v>0</v>
      </c>
    </row>
    <row r="3552" spans="1:18" x14ac:dyDescent="0.25">
      <c r="A3552">
        <v>3551</v>
      </c>
      <c r="B3552">
        <v>94</v>
      </c>
      <c r="C3552">
        <v>31568270</v>
      </c>
      <c r="D3552" t="s">
        <v>288</v>
      </c>
      <c r="E3552">
        <v>354.61799999999999</v>
      </c>
      <c r="F3552" t="s">
        <v>21</v>
      </c>
      <c r="G3552" t="s">
        <v>26</v>
      </c>
      <c r="H3552" t="s">
        <v>21</v>
      </c>
      <c r="I3552" t="s">
        <v>20</v>
      </c>
      <c r="J3552" t="s">
        <v>20</v>
      </c>
      <c r="K3552" t="s">
        <v>22</v>
      </c>
      <c r="L3552" t="s">
        <v>234</v>
      </c>
      <c r="M3552" t="s">
        <v>98</v>
      </c>
      <c r="N3552">
        <v>40.484959000000003</v>
      </c>
      <c r="O3552">
        <v>-109.52903499999999</v>
      </c>
      <c r="P3552">
        <v>5289.5515539999997</v>
      </c>
      <c r="Q3552">
        <v>350</v>
      </c>
      <c r="R3552">
        <v>0</v>
      </c>
    </row>
    <row r="3553" spans="1:18" x14ac:dyDescent="0.25">
      <c r="A3553">
        <v>3552</v>
      </c>
      <c r="B3553">
        <v>94</v>
      </c>
      <c r="C3553">
        <v>31568281</v>
      </c>
      <c r="D3553" t="s">
        <v>288</v>
      </c>
      <c r="E3553">
        <v>355.12400000000002</v>
      </c>
      <c r="F3553" t="s">
        <v>21</v>
      </c>
      <c r="G3553" t="s">
        <v>26</v>
      </c>
      <c r="H3553" t="s">
        <v>21</v>
      </c>
      <c r="I3553" t="s">
        <v>20</v>
      </c>
      <c r="J3553" t="s">
        <v>20</v>
      </c>
      <c r="K3553" t="s">
        <v>22</v>
      </c>
      <c r="L3553" t="s">
        <v>234</v>
      </c>
      <c r="M3553" t="s">
        <v>98</v>
      </c>
      <c r="N3553">
        <v>40.492325999999998</v>
      </c>
      <c r="O3553">
        <v>-109.52916500000001</v>
      </c>
      <c r="P3553">
        <v>5292.2247349999998</v>
      </c>
      <c r="Q3553">
        <v>350</v>
      </c>
      <c r="R3553">
        <v>0</v>
      </c>
    </row>
    <row r="3554" spans="1:18" x14ac:dyDescent="0.25">
      <c r="A3554">
        <v>3553</v>
      </c>
      <c r="B3554">
        <v>94</v>
      </c>
      <c r="C3554">
        <v>31568292</v>
      </c>
      <c r="D3554" t="s">
        <v>288</v>
      </c>
      <c r="E3554">
        <v>355.94799999999998</v>
      </c>
      <c r="F3554" t="s">
        <v>21</v>
      </c>
      <c r="G3554" t="s">
        <v>26</v>
      </c>
      <c r="H3554" t="s">
        <v>21</v>
      </c>
      <c r="I3554" t="s">
        <v>20</v>
      </c>
      <c r="J3554" t="s">
        <v>20</v>
      </c>
      <c r="K3554" t="s">
        <v>22</v>
      </c>
      <c r="L3554" t="s">
        <v>234</v>
      </c>
      <c r="M3554" t="s">
        <v>98</v>
      </c>
      <c r="N3554">
        <v>40.504327000000004</v>
      </c>
      <c r="O3554">
        <v>-109.529094</v>
      </c>
      <c r="P3554">
        <v>5336.1700229999997</v>
      </c>
      <c r="Q3554">
        <v>350</v>
      </c>
      <c r="R3554">
        <v>0</v>
      </c>
    </row>
    <row r="3555" spans="1:18" x14ac:dyDescent="0.25">
      <c r="A3555">
        <v>3554</v>
      </c>
      <c r="B3555">
        <v>94</v>
      </c>
      <c r="C3555" t="s">
        <v>607</v>
      </c>
      <c r="D3555" t="s">
        <v>272</v>
      </c>
      <c r="E3555">
        <v>332.22399999999999</v>
      </c>
      <c r="F3555" t="s">
        <v>21</v>
      </c>
      <c r="G3555" t="s">
        <v>26</v>
      </c>
      <c r="H3555" t="s">
        <v>21</v>
      </c>
      <c r="I3555" t="s">
        <v>20</v>
      </c>
      <c r="J3555" t="s">
        <v>20</v>
      </c>
      <c r="K3555" t="s">
        <v>22</v>
      </c>
      <c r="L3555" t="s">
        <v>23</v>
      </c>
      <c r="M3555" t="s">
        <v>125</v>
      </c>
      <c r="N3555">
        <v>40.214391999999997</v>
      </c>
      <c r="O3555">
        <v>-111.635002</v>
      </c>
      <c r="P3555">
        <v>4477.9857480000001</v>
      </c>
      <c r="Q3555">
        <v>1384</v>
      </c>
      <c r="R3555">
        <v>0</v>
      </c>
    </row>
    <row r="3556" spans="1:18" x14ac:dyDescent="0.25">
      <c r="A3556">
        <v>3555</v>
      </c>
      <c r="B3556">
        <v>94</v>
      </c>
      <c r="C3556" t="s">
        <v>608</v>
      </c>
      <c r="D3556" t="s">
        <v>272</v>
      </c>
      <c r="E3556">
        <v>332.346</v>
      </c>
      <c r="F3556" t="s">
        <v>19</v>
      </c>
      <c r="G3556" t="s">
        <v>20</v>
      </c>
      <c r="H3556" t="s">
        <v>21</v>
      </c>
      <c r="I3556" t="s">
        <v>20</v>
      </c>
      <c r="J3556" t="s">
        <v>20</v>
      </c>
      <c r="K3556" t="s">
        <v>22</v>
      </c>
      <c r="L3556" t="s">
        <v>23</v>
      </c>
      <c r="M3556" t="s">
        <v>125</v>
      </c>
      <c r="N3556">
        <v>40.215901000000002</v>
      </c>
      <c r="O3556">
        <v>-111.636111</v>
      </c>
      <c r="P3556">
        <v>4489.9166429999996</v>
      </c>
      <c r="Q3556">
        <v>1384</v>
      </c>
      <c r="R3556">
        <v>0</v>
      </c>
    </row>
    <row r="3557" spans="1:18" x14ac:dyDescent="0.25">
      <c r="A3557">
        <v>3556</v>
      </c>
      <c r="B3557">
        <v>94</v>
      </c>
      <c r="C3557" t="e">
        <f>-IoRdurLHr92BZTBbXO5lV</f>
        <v>#NAME?</v>
      </c>
      <c r="D3557" t="s">
        <v>272</v>
      </c>
      <c r="E3557">
        <v>332.56900000000002</v>
      </c>
      <c r="F3557" t="s">
        <v>21</v>
      </c>
      <c r="G3557" t="s">
        <v>26</v>
      </c>
      <c r="H3557" t="s">
        <v>21</v>
      </c>
      <c r="I3557" t="s">
        <v>20</v>
      </c>
      <c r="J3557" t="s">
        <v>20</v>
      </c>
      <c r="K3557" t="s">
        <v>22</v>
      </c>
      <c r="L3557" t="s">
        <v>23</v>
      </c>
      <c r="M3557" t="s">
        <v>125</v>
      </c>
      <c r="N3557">
        <v>40.218685000000001</v>
      </c>
      <c r="O3557">
        <v>-111.638144</v>
      </c>
      <c r="P3557">
        <v>4502.4376339999999</v>
      </c>
      <c r="Q3557">
        <v>1384</v>
      </c>
      <c r="R3557">
        <v>0</v>
      </c>
    </row>
    <row r="3558" spans="1:18" x14ac:dyDescent="0.25">
      <c r="A3558">
        <v>3557</v>
      </c>
      <c r="B3558">
        <v>94</v>
      </c>
      <c r="C3558" t="e">
        <f>-IoRfOycFJqK1WzDKcYEwF</f>
        <v>#NAME?</v>
      </c>
      <c r="D3558" t="s">
        <v>272</v>
      </c>
      <c r="E3558">
        <v>332.65600000000001</v>
      </c>
      <c r="F3558" t="s">
        <v>21</v>
      </c>
      <c r="G3558" t="s">
        <v>20</v>
      </c>
      <c r="H3558" t="s">
        <v>21</v>
      </c>
      <c r="I3558" t="s">
        <v>20</v>
      </c>
      <c r="J3558" t="s">
        <v>20</v>
      </c>
      <c r="K3558" t="s">
        <v>22</v>
      </c>
      <c r="L3558" t="s">
        <v>23</v>
      </c>
      <c r="M3558" t="s">
        <v>125</v>
      </c>
      <c r="N3558">
        <v>40.219752999999997</v>
      </c>
      <c r="O3558">
        <v>-111.638982</v>
      </c>
      <c r="P3558">
        <v>4504.651605</v>
      </c>
      <c r="Q3558">
        <v>1384</v>
      </c>
      <c r="R3558">
        <v>0</v>
      </c>
    </row>
    <row r="3559" spans="1:18" x14ac:dyDescent="0.25">
      <c r="A3559">
        <v>3558</v>
      </c>
      <c r="B3559">
        <v>94</v>
      </c>
      <c r="C3559" t="s">
        <v>609</v>
      </c>
      <c r="D3559" t="s">
        <v>272</v>
      </c>
      <c r="E3559">
        <v>332.71699999999998</v>
      </c>
      <c r="F3559" t="s">
        <v>21</v>
      </c>
      <c r="G3559" t="s">
        <v>26</v>
      </c>
      <c r="H3559" t="s">
        <v>21</v>
      </c>
      <c r="I3559" t="s">
        <v>20</v>
      </c>
      <c r="J3559" t="s">
        <v>20</v>
      </c>
      <c r="K3559" t="s">
        <v>22</v>
      </c>
      <c r="L3559" t="s">
        <v>23</v>
      </c>
      <c r="M3559" t="s">
        <v>125</v>
      </c>
      <c r="N3559">
        <v>40.22052</v>
      </c>
      <c r="O3559">
        <v>-111.639543</v>
      </c>
      <c r="P3559">
        <v>4507.1415299999999</v>
      </c>
      <c r="Q3559">
        <v>1384</v>
      </c>
      <c r="R3559">
        <v>0</v>
      </c>
    </row>
    <row r="3560" spans="1:18" x14ac:dyDescent="0.25">
      <c r="A3560">
        <v>3559</v>
      </c>
      <c r="B3560">
        <v>94</v>
      </c>
      <c r="C3560" t="e">
        <f>-IoRfn3tHRTuuGVUqpSS0k</f>
        <v>#NAME?</v>
      </c>
      <c r="D3560" t="s">
        <v>272</v>
      </c>
      <c r="E3560">
        <v>332.851</v>
      </c>
      <c r="F3560" t="s">
        <v>21</v>
      </c>
      <c r="G3560" t="s">
        <v>26</v>
      </c>
      <c r="H3560" t="s">
        <v>21</v>
      </c>
      <c r="I3560" t="s">
        <v>20</v>
      </c>
      <c r="J3560" t="s">
        <v>20</v>
      </c>
      <c r="K3560" t="s">
        <v>22</v>
      </c>
      <c r="L3560" t="s">
        <v>23</v>
      </c>
      <c r="M3560" t="s">
        <v>125</v>
      </c>
      <c r="N3560">
        <v>40.222175999999997</v>
      </c>
      <c r="O3560">
        <v>-111.640799</v>
      </c>
      <c r="P3560">
        <v>4504.410406</v>
      </c>
      <c r="Q3560">
        <v>1384</v>
      </c>
      <c r="R3560">
        <v>0</v>
      </c>
    </row>
    <row r="3561" spans="1:18" x14ac:dyDescent="0.25">
      <c r="A3561">
        <v>3560</v>
      </c>
      <c r="B3561">
        <v>94</v>
      </c>
      <c r="C3561" t="s">
        <v>610</v>
      </c>
      <c r="D3561" t="s">
        <v>272</v>
      </c>
      <c r="E3561">
        <v>332.94400000000002</v>
      </c>
      <c r="F3561" t="s">
        <v>21</v>
      </c>
      <c r="G3561" t="s">
        <v>26</v>
      </c>
      <c r="H3561" t="s">
        <v>21</v>
      </c>
      <c r="I3561" t="s">
        <v>20</v>
      </c>
      <c r="J3561" t="s">
        <v>20</v>
      </c>
      <c r="K3561" t="s">
        <v>22</v>
      </c>
      <c r="L3561" t="s">
        <v>23</v>
      </c>
      <c r="M3561" t="s">
        <v>125</v>
      </c>
      <c r="N3561">
        <v>40.223326</v>
      </c>
      <c r="O3561">
        <v>-111.64168600000001</v>
      </c>
      <c r="P3561">
        <v>4501.875556</v>
      </c>
      <c r="Q3561">
        <v>1384</v>
      </c>
      <c r="R3561">
        <v>0</v>
      </c>
    </row>
    <row r="3562" spans="1:18" x14ac:dyDescent="0.25">
      <c r="A3562">
        <v>3561</v>
      </c>
      <c r="B3562">
        <v>94</v>
      </c>
      <c r="C3562" t="s">
        <v>611</v>
      </c>
      <c r="D3562" t="s">
        <v>272</v>
      </c>
      <c r="E3562">
        <v>370.42899999999997</v>
      </c>
      <c r="F3562" t="s">
        <v>21</v>
      </c>
      <c r="G3562" t="s">
        <v>26</v>
      </c>
      <c r="H3562" t="s">
        <v>21</v>
      </c>
      <c r="I3562" t="s">
        <v>20</v>
      </c>
      <c r="J3562" t="s">
        <v>20</v>
      </c>
      <c r="K3562" t="s">
        <v>31</v>
      </c>
      <c r="L3562" t="s">
        <v>69</v>
      </c>
      <c r="M3562" t="s">
        <v>49</v>
      </c>
      <c r="N3562">
        <v>40.640980999999996</v>
      </c>
      <c r="O3562">
        <v>-111.888999</v>
      </c>
      <c r="P3562">
        <v>4285.5436049999998</v>
      </c>
      <c r="Q3562">
        <v>1384</v>
      </c>
      <c r="R3562">
        <v>0</v>
      </c>
    </row>
    <row r="3563" spans="1:18" x14ac:dyDescent="0.25">
      <c r="A3563">
        <v>3562</v>
      </c>
      <c r="B3563">
        <v>94</v>
      </c>
      <c r="C3563" t="s">
        <v>612</v>
      </c>
      <c r="D3563" t="s">
        <v>272</v>
      </c>
      <c r="E3563">
        <v>370.565</v>
      </c>
      <c r="F3563" t="s">
        <v>19</v>
      </c>
      <c r="G3563" t="s">
        <v>20</v>
      </c>
      <c r="H3563" t="s">
        <v>21</v>
      </c>
      <c r="I3563" t="s">
        <v>20</v>
      </c>
      <c r="J3563" t="s">
        <v>20</v>
      </c>
      <c r="K3563" t="s">
        <v>31</v>
      </c>
      <c r="L3563" t="s">
        <v>69</v>
      </c>
      <c r="M3563" t="s">
        <v>49</v>
      </c>
      <c r="N3563">
        <v>40.642949999999999</v>
      </c>
      <c r="O3563">
        <v>-111.888902</v>
      </c>
      <c r="P3563">
        <v>4283.8573159999996</v>
      </c>
      <c r="Q3563">
        <v>1384</v>
      </c>
      <c r="R3563">
        <v>0</v>
      </c>
    </row>
    <row r="3564" spans="1:18" x14ac:dyDescent="0.25">
      <c r="A3564">
        <v>3563</v>
      </c>
      <c r="B3564">
        <v>94</v>
      </c>
      <c r="C3564" t="e">
        <f>-Iozz54FFw1hCUO4aoNaJF</f>
        <v>#NAME?</v>
      </c>
      <c r="D3564" t="s">
        <v>272</v>
      </c>
      <c r="E3564">
        <v>370.774</v>
      </c>
      <c r="F3564" t="s">
        <v>21</v>
      </c>
      <c r="G3564" t="s">
        <v>26</v>
      </c>
      <c r="H3564" t="s">
        <v>21</v>
      </c>
      <c r="I3564" t="s">
        <v>20</v>
      </c>
      <c r="J3564" t="s">
        <v>20</v>
      </c>
      <c r="K3564" t="s">
        <v>31</v>
      </c>
      <c r="L3564" t="s">
        <v>69</v>
      </c>
      <c r="M3564" t="s">
        <v>49</v>
      </c>
      <c r="N3564">
        <v>40.645961999999997</v>
      </c>
      <c r="O3564">
        <v>-111.888761</v>
      </c>
      <c r="P3564">
        <v>4279.3613079999996</v>
      </c>
      <c r="Q3564">
        <v>1384</v>
      </c>
      <c r="R3564">
        <v>0</v>
      </c>
    </row>
    <row r="3565" spans="1:18" x14ac:dyDescent="0.25">
      <c r="A3565">
        <v>3564</v>
      </c>
      <c r="B3565">
        <v>94</v>
      </c>
      <c r="C3565" t="e">
        <f>-IozzFxcH7mRjlEkUcfaBF</f>
        <v>#NAME?</v>
      </c>
      <c r="D3565" t="s">
        <v>272</v>
      </c>
      <c r="E3565">
        <v>370.89299999999997</v>
      </c>
      <c r="F3565" t="s">
        <v>21</v>
      </c>
      <c r="G3565" t="s">
        <v>26</v>
      </c>
      <c r="H3565" t="s">
        <v>21</v>
      </c>
      <c r="I3565" t="s">
        <v>20</v>
      </c>
      <c r="J3565" t="s">
        <v>20</v>
      </c>
      <c r="K3565" t="s">
        <v>31</v>
      </c>
      <c r="L3565" t="s">
        <v>69</v>
      </c>
      <c r="M3565" t="s">
        <v>49</v>
      </c>
      <c r="N3565">
        <v>40.647691999999999</v>
      </c>
      <c r="O3565">
        <v>-111.88867500000001</v>
      </c>
      <c r="P3565">
        <v>4277.8837910000002</v>
      </c>
      <c r="Q3565">
        <v>1384</v>
      </c>
      <c r="R3565">
        <v>0</v>
      </c>
    </row>
    <row r="3566" spans="1:18" x14ac:dyDescent="0.25">
      <c r="A3566">
        <v>3565</v>
      </c>
      <c r="B3566">
        <v>94</v>
      </c>
      <c r="C3566" t="s">
        <v>613</v>
      </c>
      <c r="D3566" t="s">
        <v>272</v>
      </c>
      <c r="E3566">
        <v>371.00599999999997</v>
      </c>
      <c r="F3566" t="s">
        <v>19</v>
      </c>
      <c r="G3566" t="s">
        <v>20</v>
      </c>
      <c r="H3566" t="s">
        <v>21</v>
      </c>
      <c r="I3566" t="s">
        <v>20</v>
      </c>
      <c r="J3566" t="s">
        <v>20</v>
      </c>
      <c r="K3566" t="s">
        <v>31</v>
      </c>
      <c r="L3566" t="s">
        <v>69</v>
      </c>
      <c r="M3566" t="s">
        <v>49</v>
      </c>
      <c r="N3566">
        <v>40.649329999999999</v>
      </c>
      <c r="O3566">
        <v>-111.88858399999999</v>
      </c>
      <c r="P3566">
        <v>4276.9112089999999</v>
      </c>
      <c r="Q3566">
        <v>1384</v>
      </c>
      <c r="R3566">
        <v>0</v>
      </c>
    </row>
    <row r="3567" spans="1:18" x14ac:dyDescent="0.25">
      <c r="A3567">
        <v>3566</v>
      </c>
      <c r="B3567">
        <v>94</v>
      </c>
      <c r="C3567" t="s">
        <v>614</v>
      </c>
      <c r="D3567" t="s">
        <v>272</v>
      </c>
      <c r="E3567">
        <v>371.125</v>
      </c>
      <c r="F3567" t="s">
        <v>21</v>
      </c>
      <c r="G3567" t="s">
        <v>26</v>
      </c>
      <c r="H3567" t="s">
        <v>21</v>
      </c>
      <c r="I3567" t="s">
        <v>20</v>
      </c>
      <c r="J3567" t="s">
        <v>20</v>
      </c>
      <c r="K3567" t="s">
        <v>31</v>
      </c>
      <c r="L3567" t="s">
        <v>69</v>
      </c>
      <c r="M3567" t="s">
        <v>49</v>
      </c>
      <c r="N3567">
        <v>40.651051000000002</v>
      </c>
      <c r="O3567">
        <v>-111.888482</v>
      </c>
      <c r="P3567">
        <v>4275.4227460000002</v>
      </c>
      <c r="Q3567">
        <v>1384</v>
      </c>
      <c r="R3567">
        <v>0</v>
      </c>
    </row>
    <row r="3568" spans="1:18" x14ac:dyDescent="0.25">
      <c r="A3568">
        <v>3567</v>
      </c>
      <c r="B3568">
        <v>94</v>
      </c>
      <c r="C3568" t="s">
        <v>615</v>
      </c>
      <c r="D3568" t="s">
        <v>184</v>
      </c>
      <c r="E3568">
        <v>40.206000000000003</v>
      </c>
      <c r="F3568" t="s">
        <v>21</v>
      </c>
      <c r="G3568" t="s">
        <v>26</v>
      </c>
      <c r="H3568" t="s">
        <v>21</v>
      </c>
      <c r="I3568" t="s">
        <v>20</v>
      </c>
      <c r="J3568" t="s">
        <v>20</v>
      </c>
      <c r="K3568" t="s">
        <v>27</v>
      </c>
      <c r="L3568" t="s">
        <v>143</v>
      </c>
      <c r="M3568" t="s">
        <v>55</v>
      </c>
      <c r="N3568">
        <v>38.183179000000003</v>
      </c>
      <c r="O3568">
        <v>-112.943106</v>
      </c>
      <c r="P3568">
        <v>5413.1560550000004</v>
      </c>
      <c r="Q3568">
        <v>1410</v>
      </c>
      <c r="R3568">
        <v>0</v>
      </c>
    </row>
    <row r="3569" spans="1:18" x14ac:dyDescent="0.25">
      <c r="A3569">
        <v>3568</v>
      </c>
      <c r="B3569">
        <v>94</v>
      </c>
      <c r="C3569" t="e">
        <f>-JOdcKjYFi9R_onpRK55tF</f>
        <v>#NAME?</v>
      </c>
      <c r="D3569" t="s">
        <v>116</v>
      </c>
      <c r="E3569">
        <v>40.228000000000002</v>
      </c>
      <c r="F3569" t="s">
        <v>21</v>
      </c>
      <c r="G3569" t="s">
        <v>26</v>
      </c>
      <c r="H3569" t="s">
        <v>21</v>
      </c>
      <c r="I3569" t="s">
        <v>20</v>
      </c>
      <c r="J3569" t="s">
        <v>20</v>
      </c>
      <c r="K3569" t="s">
        <v>41</v>
      </c>
      <c r="L3569" t="s">
        <v>95</v>
      </c>
      <c r="M3569" t="s">
        <v>117</v>
      </c>
      <c r="N3569">
        <v>41.925916000000001</v>
      </c>
      <c r="O3569">
        <v>-111.814255</v>
      </c>
      <c r="P3569">
        <v>4523.0421669999996</v>
      </c>
      <c r="Q3569">
        <v>324</v>
      </c>
      <c r="R3569">
        <v>0</v>
      </c>
    </row>
    <row r="3570" spans="1:18" x14ac:dyDescent="0.25">
      <c r="A3570">
        <v>3569</v>
      </c>
      <c r="B3570">
        <v>94</v>
      </c>
      <c r="C3570">
        <v>31434563</v>
      </c>
      <c r="D3570" t="s">
        <v>221</v>
      </c>
      <c r="E3570">
        <v>40.249000000000002</v>
      </c>
      <c r="F3570" t="s">
        <v>21</v>
      </c>
      <c r="G3570" t="s">
        <v>26</v>
      </c>
      <c r="H3570" t="s">
        <v>21</v>
      </c>
      <c r="I3570" t="s">
        <v>20</v>
      </c>
      <c r="J3570" t="s">
        <v>20</v>
      </c>
      <c r="K3570" t="s">
        <v>22</v>
      </c>
      <c r="L3570" t="s">
        <v>155</v>
      </c>
      <c r="M3570" t="s">
        <v>174</v>
      </c>
      <c r="N3570">
        <v>39.702527000000003</v>
      </c>
      <c r="O3570">
        <v>-111.836125</v>
      </c>
      <c r="P3570">
        <v>5068.3582420000002</v>
      </c>
      <c r="Q3570">
        <v>1342</v>
      </c>
      <c r="R3570">
        <v>0</v>
      </c>
    </row>
    <row r="3571" spans="1:18" x14ac:dyDescent="0.25">
      <c r="A3571">
        <v>3570</v>
      </c>
      <c r="B3571">
        <v>94</v>
      </c>
      <c r="C3571">
        <v>31326716</v>
      </c>
      <c r="D3571" t="s">
        <v>288</v>
      </c>
      <c r="E3571">
        <v>40.256</v>
      </c>
      <c r="F3571" t="s">
        <v>21</v>
      </c>
      <c r="G3571" t="s">
        <v>20</v>
      </c>
      <c r="H3571" t="s">
        <v>21</v>
      </c>
      <c r="I3571" t="s">
        <v>20</v>
      </c>
      <c r="J3571" t="s">
        <v>20</v>
      </c>
      <c r="K3571" t="s">
        <v>27</v>
      </c>
      <c r="L3571" t="s">
        <v>327</v>
      </c>
      <c r="M3571" t="s">
        <v>212</v>
      </c>
      <c r="N3571">
        <v>37.477663999999997</v>
      </c>
      <c r="O3571">
        <v>-109.467882</v>
      </c>
      <c r="P3571">
        <v>5251.7221460000001</v>
      </c>
      <c r="Q3571">
        <v>350</v>
      </c>
      <c r="R3571">
        <v>0</v>
      </c>
    </row>
    <row r="3572" spans="1:18" x14ac:dyDescent="0.25">
      <c r="A3572">
        <v>3571</v>
      </c>
      <c r="B3572">
        <v>94</v>
      </c>
      <c r="C3572">
        <v>31377539</v>
      </c>
      <c r="D3572" t="s">
        <v>199</v>
      </c>
      <c r="E3572">
        <v>40.258000000000003</v>
      </c>
      <c r="F3572" t="s">
        <v>21</v>
      </c>
      <c r="G3572" t="s">
        <v>26</v>
      </c>
      <c r="H3572" t="s">
        <v>21</v>
      </c>
      <c r="I3572" t="s">
        <v>20</v>
      </c>
      <c r="J3572" t="s">
        <v>20</v>
      </c>
      <c r="K3572" t="s">
        <v>27</v>
      </c>
      <c r="L3572" t="s">
        <v>64</v>
      </c>
      <c r="M3572" t="s">
        <v>200</v>
      </c>
      <c r="N3572">
        <v>38.236865000000002</v>
      </c>
      <c r="O3572">
        <v>-112.22559800000001</v>
      </c>
      <c r="P3572">
        <v>5952.9348360000004</v>
      </c>
      <c r="Q3572">
        <v>341</v>
      </c>
      <c r="R3572">
        <v>0</v>
      </c>
    </row>
    <row r="3573" spans="1:18" x14ac:dyDescent="0.25">
      <c r="A3573">
        <v>3572</v>
      </c>
      <c r="B3573">
        <v>94</v>
      </c>
      <c r="C3573" t="s">
        <v>616</v>
      </c>
      <c r="D3573" t="s">
        <v>272</v>
      </c>
      <c r="E3573">
        <v>43.170999999999999</v>
      </c>
      <c r="F3573" t="s">
        <v>21</v>
      </c>
      <c r="G3573" t="s">
        <v>20</v>
      </c>
      <c r="H3573" t="s">
        <v>21</v>
      </c>
      <c r="I3573" t="s">
        <v>20</v>
      </c>
      <c r="J3573" t="s">
        <v>20</v>
      </c>
      <c r="K3573" t="s">
        <v>27</v>
      </c>
      <c r="L3573" t="s">
        <v>259</v>
      </c>
      <c r="M3573" t="s">
        <v>214</v>
      </c>
      <c r="N3573">
        <v>37.072209999999998</v>
      </c>
      <c r="O3573">
        <v>-112.173034</v>
      </c>
      <c r="P3573">
        <v>5619.5176389999997</v>
      </c>
      <c r="Q3573">
        <v>1384</v>
      </c>
      <c r="R3573">
        <v>0</v>
      </c>
    </row>
    <row r="3574" spans="1:18" x14ac:dyDescent="0.25">
      <c r="A3574">
        <v>3573</v>
      </c>
      <c r="B3574">
        <v>94</v>
      </c>
      <c r="C3574">
        <v>31400985</v>
      </c>
      <c r="D3574" t="s">
        <v>124</v>
      </c>
      <c r="E3574">
        <v>43.180999999999997</v>
      </c>
      <c r="F3574" t="s">
        <v>21</v>
      </c>
      <c r="G3574" t="s">
        <v>26</v>
      </c>
      <c r="H3574" t="s">
        <v>21</v>
      </c>
      <c r="I3574" t="s">
        <v>20</v>
      </c>
      <c r="J3574" t="s">
        <v>20</v>
      </c>
      <c r="K3574" t="s">
        <v>31</v>
      </c>
      <c r="L3574" t="s">
        <v>48</v>
      </c>
      <c r="M3574" t="s">
        <v>125</v>
      </c>
      <c r="N3574">
        <v>40.534944000000003</v>
      </c>
      <c r="O3574">
        <v>-111.93870800000001</v>
      </c>
      <c r="P3574">
        <v>4379.615108</v>
      </c>
      <c r="Q3574">
        <v>1368</v>
      </c>
      <c r="R3574">
        <v>0</v>
      </c>
    </row>
    <row r="3575" spans="1:18" x14ac:dyDescent="0.25">
      <c r="A3575">
        <v>3574</v>
      </c>
      <c r="B3575">
        <v>94</v>
      </c>
      <c r="C3575">
        <v>31385185</v>
      </c>
      <c r="D3575" t="s">
        <v>116</v>
      </c>
      <c r="E3575">
        <v>43.192</v>
      </c>
      <c r="F3575" t="s">
        <v>21</v>
      </c>
      <c r="G3575" t="s">
        <v>20</v>
      </c>
      <c r="H3575" t="s">
        <v>21</v>
      </c>
      <c r="I3575" t="s">
        <v>20</v>
      </c>
      <c r="J3575" t="s">
        <v>20</v>
      </c>
      <c r="K3575" t="s">
        <v>41</v>
      </c>
      <c r="L3575" t="s">
        <v>95</v>
      </c>
      <c r="M3575" t="s">
        <v>117</v>
      </c>
      <c r="N3575">
        <v>41.968783000000002</v>
      </c>
      <c r="O3575">
        <v>-111.81285</v>
      </c>
      <c r="P3575">
        <v>4470.2434320000002</v>
      </c>
      <c r="Q3575">
        <v>324</v>
      </c>
      <c r="R3575">
        <v>0</v>
      </c>
    </row>
    <row r="3576" spans="1:18" x14ac:dyDescent="0.25">
      <c r="A3576">
        <v>3575</v>
      </c>
      <c r="B3576">
        <v>94</v>
      </c>
      <c r="C3576" t="e">
        <f>-Ip0emRLHAXTvs7V-umBqF</f>
        <v>#NAME?</v>
      </c>
      <c r="D3576" t="s">
        <v>213</v>
      </c>
      <c r="E3576">
        <v>43.231000000000002</v>
      </c>
      <c r="F3576" t="s">
        <v>21</v>
      </c>
      <c r="G3576" t="s">
        <v>20</v>
      </c>
      <c r="H3576" t="s">
        <v>21</v>
      </c>
      <c r="I3576" t="s">
        <v>20</v>
      </c>
      <c r="J3576" t="s">
        <v>20</v>
      </c>
      <c r="K3576" t="s">
        <v>27</v>
      </c>
      <c r="L3576" t="s">
        <v>173</v>
      </c>
      <c r="M3576" t="s">
        <v>214</v>
      </c>
      <c r="N3576">
        <v>39.041978999999998</v>
      </c>
      <c r="O3576">
        <v>-113.29627600000001</v>
      </c>
      <c r="P3576">
        <v>4995.6165629999996</v>
      </c>
      <c r="Q3576">
        <v>1332</v>
      </c>
      <c r="R3576">
        <v>0</v>
      </c>
    </row>
    <row r="3577" spans="1:18" x14ac:dyDescent="0.25">
      <c r="A3577">
        <v>3576</v>
      </c>
      <c r="B3577">
        <v>94</v>
      </c>
      <c r="C3577">
        <v>31503309</v>
      </c>
      <c r="D3577" t="s">
        <v>129</v>
      </c>
      <c r="E3577">
        <v>43.301000000000002</v>
      </c>
      <c r="F3577" t="s">
        <v>21</v>
      </c>
      <c r="G3577" t="s">
        <v>26</v>
      </c>
      <c r="H3577" t="s">
        <v>21</v>
      </c>
      <c r="I3577" t="s">
        <v>20</v>
      </c>
      <c r="J3577" t="s">
        <v>20</v>
      </c>
      <c r="K3577" t="s">
        <v>31</v>
      </c>
      <c r="L3577" t="s">
        <v>130</v>
      </c>
      <c r="M3577" t="s">
        <v>328</v>
      </c>
      <c r="N3577">
        <v>40.841164999999997</v>
      </c>
      <c r="O3577">
        <v>-110.847572</v>
      </c>
      <c r="P3577">
        <v>8748.1650719999998</v>
      </c>
      <c r="Q3577">
        <v>340</v>
      </c>
      <c r="R3577">
        <v>0</v>
      </c>
    </row>
    <row r="3578" spans="1:18" x14ac:dyDescent="0.25">
      <c r="A3578">
        <v>3577</v>
      </c>
      <c r="B3578">
        <v>94</v>
      </c>
      <c r="C3578">
        <v>28645331</v>
      </c>
      <c r="D3578" t="s">
        <v>192</v>
      </c>
      <c r="E3578">
        <v>4.173</v>
      </c>
      <c r="F3578" t="s">
        <v>21</v>
      </c>
      <c r="G3578" t="s">
        <v>26</v>
      </c>
      <c r="H3578" t="s">
        <v>21</v>
      </c>
      <c r="I3578" t="s">
        <v>20</v>
      </c>
      <c r="J3578" t="s">
        <v>20</v>
      </c>
      <c r="K3578" t="s">
        <v>22</v>
      </c>
      <c r="L3578" t="s">
        <v>140</v>
      </c>
      <c r="M3578" t="s">
        <v>125</v>
      </c>
      <c r="N3578">
        <v>40.158383000000001</v>
      </c>
      <c r="O3578">
        <v>-111.702288</v>
      </c>
      <c r="P3578">
        <v>4447.6523779999998</v>
      </c>
      <c r="Q3578">
        <v>1375</v>
      </c>
      <c r="R3578">
        <v>0</v>
      </c>
    </row>
    <row r="3579" spans="1:18" x14ac:dyDescent="0.25">
      <c r="A3579">
        <v>3578</v>
      </c>
      <c r="B3579">
        <v>94</v>
      </c>
      <c r="C3579">
        <v>31311076</v>
      </c>
      <c r="D3579" t="s">
        <v>40</v>
      </c>
      <c r="E3579">
        <v>4.1740000000000004</v>
      </c>
      <c r="F3579" t="s">
        <v>21</v>
      </c>
      <c r="G3579" t="s">
        <v>26</v>
      </c>
      <c r="H3579" t="s">
        <v>21</v>
      </c>
      <c r="I3579" t="s">
        <v>20</v>
      </c>
      <c r="J3579" t="s">
        <v>20</v>
      </c>
      <c r="K3579" t="s">
        <v>41</v>
      </c>
      <c r="L3579" t="s">
        <v>42</v>
      </c>
      <c r="M3579" t="s">
        <v>43</v>
      </c>
      <c r="N3579">
        <v>41.634298999999999</v>
      </c>
      <c r="O3579">
        <v>-111.86637399999999</v>
      </c>
      <c r="P3579">
        <v>4612.3624810000001</v>
      </c>
      <c r="Q3579">
        <v>1391</v>
      </c>
      <c r="R3579">
        <v>0</v>
      </c>
    </row>
    <row r="3580" spans="1:18" x14ac:dyDescent="0.25">
      <c r="A3580">
        <v>3579</v>
      </c>
      <c r="B3580">
        <v>94</v>
      </c>
      <c r="C3580">
        <v>27866990</v>
      </c>
      <c r="D3580" t="s">
        <v>91</v>
      </c>
      <c r="E3580">
        <v>4.1760000000000002</v>
      </c>
      <c r="F3580" t="s">
        <v>21</v>
      </c>
      <c r="G3580" t="s">
        <v>26</v>
      </c>
      <c r="H3580" t="s">
        <v>21</v>
      </c>
      <c r="I3580" t="s">
        <v>20</v>
      </c>
      <c r="J3580" t="s">
        <v>20</v>
      </c>
      <c r="K3580" t="s">
        <v>41</v>
      </c>
      <c r="L3580" t="s">
        <v>42</v>
      </c>
      <c r="M3580" t="s">
        <v>73</v>
      </c>
      <c r="N3580">
        <v>41.670743000000002</v>
      </c>
      <c r="O3580">
        <v>-111.95378700000001</v>
      </c>
      <c r="P3580">
        <v>4486.0416310000001</v>
      </c>
      <c r="Q3580">
        <v>1339</v>
      </c>
      <c r="R3580">
        <v>0</v>
      </c>
    </row>
    <row r="3581" spans="1:18" x14ac:dyDescent="0.25">
      <c r="A3581">
        <v>3580</v>
      </c>
      <c r="B3581">
        <v>94</v>
      </c>
      <c r="C3581">
        <v>503071</v>
      </c>
      <c r="D3581" t="s">
        <v>135</v>
      </c>
      <c r="E3581">
        <v>4.1790000000000003</v>
      </c>
      <c r="F3581" t="s">
        <v>19</v>
      </c>
      <c r="G3581" t="s">
        <v>20</v>
      </c>
      <c r="H3581" t="s">
        <v>21</v>
      </c>
      <c r="I3581" t="s">
        <v>20</v>
      </c>
      <c r="J3581" t="s">
        <v>20</v>
      </c>
      <c r="K3581" t="s">
        <v>31</v>
      </c>
      <c r="L3581" t="s">
        <v>89</v>
      </c>
      <c r="M3581" t="s">
        <v>144</v>
      </c>
      <c r="N3581">
        <v>40.558866000000002</v>
      </c>
      <c r="O3581">
        <v>-111.897138</v>
      </c>
      <c r="P3581">
        <v>4342.5419190000002</v>
      </c>
      <c r="Q3581">
        <v>1423</v>
      </c>
      <c r="R3581">
        <v>0</v>
      </c>
    </row>
    <row r="3582" spans="1:18" x14ac:dyDescent="0.25">
      <c r="A3582">
        <v>3581</v>
      </c>
      <c r="B3582">
        <v>94</v>
      </c>
      <c r="C3582">
        <v>28585590</v>
      </c>
      <c r="D3582" t="s">
        <v>142</v>
      </c>
      <c r="E3582">
        <v>4.18</v>
      </c>
      <c r="F3582" t="s">
        <v>21</v>
      </c>
      <c r="G3582" t="s">
        <v>26</v>
      </c>
      <c r="H3582" t="s">
        <v>21</v>
      </c>
      <c r="I3582" t="s">
        <v>20</v>
      </c>
      <c r="J3582" t="s">
        <v>20</v>
      </c>
      <c r="K3582" t="s">
        <v>27</v>
      </c>
      <c r="L3582" t="s">
        <v>143</v>
      </c>
      <c r="M3582" t="s">
        <v>106</v>
      </c>
      <c r="N3582">
        <v>38.898811000000002</v>
      </c>
      <c r="O3582">
        <v>-114.013092</v>
      </c>
      <c r="P3582">
        <v>5330.3913199999997</v>
      </c>
      <c r="Q3582">
        <v>305</v>
      </c>
      <c r="R3582">
        <v>0</v>
      </c>
    </row>
    <row r="3583" spans="1:18" x14ac:dyDescent="0.25">
      <c r="A3583">
        <v>3582</v>
      </c>
      <c r="B3583">
        <v>94</v>
      </c>
      <c r="C3583" t="e">
        <f>-IowVysQGFHzxTXHRbGY_V</f>
        <v>#NAME?</v>
      </c>
      <c r="D3583" t="s">
        <v>323</v>
      </c>
      <c r="E3583">
        <v>4.181</v>
      </c>
      <c r="F3583" t="s">
        <v>21</v>
      </c>
      <c r="G3583" t="s">
        <v>20</v>
      </c>
      <c r="H3583" t="s">
        <v>21</v>
      </c>
      <c r="I3583" t="s">
        <v>20</v>
      </c>
      <c r="J3583" t="s">
        <v>20</v>
      </c>
      <c r="K3583" t="s">
        <v>22</v>
      </c>
      <c r="L3583" t="s">
        <v>35</v>
      </c>
      <c r="M3583" t="s">
        <v>131</v>
      </c>
      <c r="N3583">
        <v>40.590693999999999</v>
      </c>
      <c r="O3583">
        <v>-111.389844</v>
      </c>
      <c r="P3583">
        <v>6601.9745599999997</v>
      </c>
      <c r="Q3583">
        <v>1345</v>
      </c>
      <c r="R3583">
        <v>0</v>
      </c>
    </row>
    <row r="3584" spans="1:18" x14ac:dyDescent="0.25">
      <c r="A3584">
        <v>3583</v>
      </c>
      <c r="B3584">
        <v>94</v>
      </c>
      <c r="C3584">
        <v>31520214</v>
      </c>
      <c r="D3584" t="s">
        <v>231</v>
      </c>
      <c r="E3584">
        <v>4.1849999999999996</v>
      </c>
      <c r="F3584" t="s">
        <v>21</v>
      </c>
      <c r="G3584" t="s">
        <v>26</v>
      </c>
      <c r="H3584" t="s">
        <v>21</v>
      </c>
      <c r="I3584" t="s">
        <v>20</v>
      </c>
      <c r="J3584" t="s">
        <v>20</v>
      </c>
      <c r="K3584" t="s">
        <v>41</v>
      </c>
      <c r="L3584" t="s">
        <v>57</v>
      </c>
      <c r="M3584" t="s">
        <v>93</v>
      </c>
      <c r="N3584">
        <v>41.099218</v>
      </c>
      <c r="O3584">
        <v>-112.011044</v>
      </c>
      <c r="P3584">
        <v>4426.0444230000003</v>
      </c>
      <c r="Q3584">
        <v>1409</v>
      </c>
      <c r="R3584">
        <v>0</v>
      </c>
    </row>
    <row r="3585" spans="1:18" x14ac:dyDescent="0.25">
      <c r="A3585">
        <v>3584</v>
      </c>
      <c r="B3585">
        <v>94</v>
      </c>
      <c r="C3585">
        <v>31434574</v>
      </c>
      <c r="D3585" t="s">
        <v>221</v>
      </c>
      <c r="E3585">
        <v>40.265000000000001</v>
      </c>
      <c r="F3585" t="s">
        <v>21</v>
      </c>
      <c r="G3585" t="s">
        <v>26</v>
      </c>
      <c r="H3585" t="s">
        <v>21</v>
      </c>
      <c r="I3585" t="s">
        <v>20</v>
      </c>
      <c r="J3585" t="s">
        <v>20</v>
      </c>
      <c r="K3585" t="s">
        <v>22</v>
      </c>
      <c r="L3585" t="s">
        <v>155</v>
      </c>
      <c r="M3585" t="s">
        <v>174</v>
      </c>
      <c r="N3585">
        <v>39.702751999999997</v>
      </c>
      <c r="O3585">
        <v>-111.836133</v>
      </c>
      <c r="P3585">
        <v>5068.5018</v>
      </c>
      <c r="Q3585">
        <v>1342</v>
      </c>
      <c r="R3585">
        <v>0</v>
      </c>
    </row>
    <row r="3586" spans="1:18" x14ac:dyDescent="0.25">
      <c r="A3586">
        <v>3585</v>
      </c>
      <c r="B3586">
        <v>94</v>
      </c>
      <c r="C3586">
        <v>31693073</v>
      </c>
      <c r="D3586" t="s">
        <v>217</v>
      </c>
      <c r="E3586">
        <v>40.279000000000003</v>
      </c>
      <c r="F3586" t="s">
        <v>21</v>
      </c>
      <c r="G3586" t="s">
        <v>20</v>
      </c>
      <c r="H3586" t="s">
        <v>21</v>
      </c>
      <c r="I3586" t="s">
        <v>20</v>
      </c>
      <c r="J3586" t="s">
        <v>20</v>
      </c>
      <c r="K3586" t="s">
        <v>27</v>
      </c>
      <c r="L3586" t="s">
        <v>162</v>
      </c>
      <c r="M3586" t="s">
        <v>163</v>
      </c>
      <c r="N3586">
        <v>37.572873999999999</v>
      </c>
      <c r="O3586">
        <v>-113.70440600000001</v>
      </c>
      <c r="P3586">
        <v>5287.6864679999999</v>
      </c>
      <c r="Q3586">
        <v>304</v>
      </c>
      <c r="R3586">
        <v>0</v>
      </c>
    </row>
    <row r="3587" spans="1:18" x14ac:dyDescent="0.25">
      <c r="A3587">
        <v>3586</v>
      </c>
      <c r="B3587">
        <v>94</v>
      </c>
      <c r="C3587">
        <v>31523824</v>
      </c>
      <c r="D3587" t="s">
        <v>132</v>
      </c>
      <c r="E3587">
        <v>40.283999999999999</v>
      </c>
      <c r="F3587" t="s">
        <v>19</v>
      </c>
      <c r="G3587" t="s">
        <v>20</v>
      </c>
      <c r="H3587" t="s">
        <v>19</v>
      </c>
      <c r="I3587">
        <v>40</v>
      </c>
      <c r="J3587">
        <v>191</v>
      </c>
      <c r="K3587" t="s">
        <v>22</v>
      </c>
      <c r="L3587" t="s">
        <v>234</v>
      </c>
      <c r="M3587" t="s">
        <v>277</v>
      </c>
      <c r="N3587">
        <v>40.455596</v>
      </c>
      <c r="O3587">
        <v>-109.538055</v>
      </c>
      <c r="P3587">
        <v>5306.8722100000005</v>
      </c>
      <c r="Q3587">
        <v>1405</v>
      </c>
      <c r="R3587">
        <v>0</v>
      </c>
    </row>
    <row r="3588" spans="1:18" x14ac:dyDescent="0.25">
      <c r="A3588">
        <v>3587</v>
      </c>
      <c r="B3588">
        <v>94</v>
      </c>
      <c r="C3588">
        <v>31728966</v>
      </c>
      <c r="D3588" t="s">
        <v>118</v>
      </c>
      <c r="E3588">
        <v>40.314999999999998</v>
      </c>
      <c r="F3588" t="s">
        <v>21</v>
      </c>
      <c r="G3588" t="s">
        <v>26</v>
      </c>
      <c r="H3588" t="s">
        <v>21</v>
      </c>
      <c r="I3588" t="s">
        <v>20</v>
      </c>
      <c r="J3588" t="s">
        <v>20</v>
      </c>
      <c r="K3588" t="s">
        <v>22</v>
      </c>
      <c r="L3588" t="s">
        <v>119</v>
      </c>
      <c r="M3588" t="s">
        <v>120</v>
      </c>
      <c r="N3588">
        <v>40.241197999999997</v>
      </c>
      <c r="O3588">
        <v>-111.181624</v>
      </c>
      <c r="P3588">
        <v>7583.9546979999996</v>
      </c>
      <c r="Q3588">
        <v>310</v>
      </c>
      <c r="R3588">
        <v>0</v>
      </c>
    </row>
    <row r="3589" spans="1:18" x14ac:dyDescent="0.25">
      <c r="A3589">
        <v>3588</v>
      </c>
      <c r="B3589">
        <v>94</v>
      </c>
      <c r="C3589">
        <v>31398254</v>
      </c>
      <c r="D3589" t="s">
        <v>124</v>
      </c>
      <c r="E3589">
        <v>40.32</v>
      </c>
      <c r="F3589" t="s">
        <v>21</v>
      </c>
      <c r="G3589" t="s">
        <v>26</v>
      </c>
      <c r="H3589" t="s">
        <v>21</v>
      </c>
      <c r="I3589" t="s">
        <v>20</v>
      </c>
      <c r="J3589" t="s">
        <v>20</v>
      </c>
      <c r="K3589" t="s">
        <v>31</v>
      </c>
      <c r="L3589" t="s">
        <v>89</v>
      </c>
      <c r="M3589" t="s">
        <v>125</v>
      </c>
      <c r="N3589">
        <v>40.493293000000001</v>
      </c>
      <c r="O3589">
        <v>-111.93876899999999</v>
      </c>
      <c r="P3589">
        <v>4396.8639199999998</v>
      </c>
      <c r="Q3589">
        <v>1368</v>
      </c>
      <c r="R3589">
        <v>0</v>
      </c>
    </row>
    <row r="3590" spans="1:18" x14ac:dyDescent="0.25">
      <c r="A3590">
        <v>3589</v>
      </c>
      <c r="B3590">
        <v>94</v>
      </c>
      <c r="C3590">
        <v>27726013</v>
      </c>
      <c r="D3590" t="s">
        <v>217</v>
      </c>
      <c r="E3590">
        <v>40.33</v>
      </c>
      <c r="F3590" t="s">
        <v>21</v>
      </c>
      <c r="G3590" t="s">
        <v>26</v>
      </c>
      <c r="H3590" t="s">
        <v>19</v>
      </c>
      <c r="I3590">
        <v>219</v>
      </c>
      <c r="J3590" t="s">
        <v>20</v>
      </c>
      <c r="K3590" t="s">
        <v>27</v>
      </c>
      <c r="L3590" t="s">
        <v>162</v>
      </c>
      <c r="M3590" t="s">
        <v>163</v>
      </c>
      <c r="N3590">
        <v>37.573701</v>
      </c>
      <c r="O3590">
        <v>-113.70452</v>
      </c>
      <c r="P3590">
        <v>5282.549994</v>
      </c>
      <c r="Q3590">
        <v>304</v>
      </c>
      <c r="R3590">
        <v>0</v>
      </c>
    </row>
    <row r="3591" spans="1:18" x14ac:dyDescent="0.25">
      <c r="A3591">
        <v>3590</v>
      </c>
      <c r="B3591">
        <v>94</v>
      </c>
      <c r="C3591">
        <v>31381440</v>
      </c>
      <c r="D3591" t="s">
        <v>116</v>
      </c>
      <c r="E3591">
        <v>31.956</v>
      </c>
      <c r="F3591" t="s">
        <v>21</v>
      </c>
      <c r="G3591" t="s">
        <v>26</v>
      </c>
      <c r="H3591" t="s">
        <v>21</v>
      </c>
      <c r="I3591" t="s">
        <v>20</v>
      </c>
      <c r="J3591" t="s">
        <v>20</v>
      </c>
      <c r="K3591" t="s">
        <v>41</v>
      </c>
      <c r="L3591" t="s">
        <v>95</v>
      </c>
      <c r="M3591" t="s">
        <v>117</v>
      </c>
      <c r="N3591">
        <v>41.808700000000002</v>
      </c>
      <c r="O3591">
        <v>-111.83331099999999</v>
      </c>
      <c r="P3591">
        <v>4433.5900940000001</v>
      </c>
      <c r="Q3591">
        <v>324</v>
      </c>
      <c r="R3591">
        <v>0</v>
      </c>
    </row>
    <row r="3592" spans="1:18" x14ac:dyDescent="0.25">
      <c r="A3592">
        <v>3591</v>
      </c>
      <c r="B3592">
        <v>94</v>
      </c>
      <c r="C3592">
        <v>31765991</v>
      </c>
      <c r="D3592" t="s">
        <v>312</v>
      </c>
      <c r="E3592">
        <v>31.959</v>
      </c>
      <c r="F3592" t="s">
        <v>21</v>
      </c>
      <c r="G3592" t="s">
        <v>26</v>
      </c>
      <c r="H3592" t="s">
        <v>21</v>
      </c>
      <c r="I3592" t="s">
        <v>20</v>
      </c>
      <c r="J3592" t="s">
        <v>20</v>
      </c>
      <c r="K3592" t="s">
        <v>27</v>
      </c>
      <c r="L3592" t="s">
        <v>143</v>
      </c>
      <c r="M3592" t="s">
        <v>313</v>
      </c>
      <c r="N3592">
        <v>38.820075000000003</v>
      </c>
      <c r="O3592">
        <v>-112.858101</v>
      </c>
      <c r="P3592">
        <v>4837.0311359999996</v>
      </c>
      <c r="Q3592">
        <v>255</v>
      </c>
      <c r="R3592">
        <v>0</v>
      </c>
    </row>
    <row r="3593" spans="1:18" x14ac:dyDescent="0.25">
      <c r="A3593">
        <v>3592</v>
      </c>
      <c r="B3593">
        <v>94</v>
      </c>
      <c r="C3593">
        <v>31334448</v>
      </c>
      <c r="D3593" t="s">
        <v>303</v>
      </c>
      <c r="E3593">
        <v>31.966999999999999</v>
      </c>
      <c r="F3593" t="s">
        <v>21</v>
      </c>
      <c r="G3593" t="s">
        <v>20</v>
      </c>
      <c r="H3593" t="s">
        <v>21</v>
      </c>
      <c r="I3593" t="s">
        <v>20</v>
      </c>
      <c r="J3593" t="s">
        <v>20</v>
      </c>
      <c r="K3593" t="s">
        <v>27</v>
      </c>
      <c r="L3593" t="s">
        <v>72</v>
      </c>
      <c r="M3593" t="s">
        <v>73</v>
      </c>
      <c r="N3593">
        <v>37.191637</v>
      </c>
      <c r="O3593">
        <v>-112.994052</v>
      </c>
      <c r="P3593">
        <v>3823.8343150000001</v>
      </c>
      <c r="Q3593">
        <v>1326</v>
      </c>
      <c r="R3593">
        <v>0</v>
      </c>
    </row>
    <row r="3594" spans="1:18" x14ac:dyDescent="0.25">
      <c r="A3594">
        <v>3593</v>
      </c>
      <c r="B3594">
        <v>94</v>
      </c>
      <c r="C3594">
        <v>31400114</v>
      </c>
      <c r="D3594" t="s">
        <v>224</v>
      </c>
      <c r="E3594">
        <v>3.5569999999999999</v>
      </c>
      <c r="F3594" t="s">
        <v>21</v>
      </c>
      <c r="G3594" t="s">
        <v>26</v>
      </c>
      <c r="H3594" t="s">
        <v>21</v>
      </c>
      <c r="I3594" t="s">
        <v>20</v>
      </c>
      <c r="J3594" t="s">
        <v>20</v>
      </c>
      <c r="K3594" t="s">
        <v>22</v>
      </c>
      <c r="L3594" t="s">
        <v>198</v>
      </c>
      <c r="M3594" t="s">
        <v>194</v>
      </c>
      <c r="N3594">
        <v>40.020800999999999</v>
      </c>
      <c r="O3594">
        <v>-111.742762</v>
      </c>
      <c r="P3594">
        <v>4686.294191</v>
      </c>
      <c r="Q3594">
        <v>408</v>
      </c>
      <c r="R3594">
        <v>0</v>
      </c>
    </row>
    <row r="3595" spans="1:18" x14ac:dyDescent="0.25">
      <c r="A3595">
        <v>3594</v>
      </c>
      <c r="B3595">
        <v>94</v>
      </c>
      <c r="C3595">
        <v>970574</v>
      </c>
      <c r="D3595" t="s">
        <v>65</v>
      </c>
      <c r="E3595">
        <v>3.5569999999999999</v>
      </c>
      <c r="F3595" t="s">
        <v>19</v>
      </c>
      <c r="G3595" t="s">
        <v>20</v>
      </c>
      <c r="H3595" t="s">
        <v>19</v>
      </c>
      <c r="I3595">
        <v>71</v>
      </c>
      <c r="J3595" t="s">
        <v>20</v>
      </c>
      <c r="K3595" t="s">
        <v>31</v>
      </c>
      <c r="L3595" t="s">
        <v>66</v>
      </c>
      <c r="M3595" t="s">
        <v>67</v>
      </c>
      <c r="N3595">
        <v>40.760671000000002</v>
      </c>
      <c r="O3595">
        <v>-111.871049</v>
      </c>
      <c r="P3595">
        <v>4271.5264779999998</v>
      </c>
      <c r="Q3595">
        <v>402</v>
      </c>
      <c r="R3595">
        <v>0</v>
      </c>
    </row>
    <row r="3596" spans="1:18" x14ac:dyDescent="0.25">
      <c r="A3596">
        <v>3595</v>
      </c>
      <c r="B3596">
        <v>94</v>
      </c>
      <c r="C3596" t="e">
        <f>-IovFEHPHC15swVP3H_iaV</f>
        <v>#NAME?</v>
      </c>
      <c r="D3596" t="s">
        <v>315</v>
      </c>
      <c r="E3596">
        <v>3.56</v>
      </c>
      <c r="F3596" t="s">
        <v>21</v>
      </c>
      <c r="G3596" t="s">
        <v>20</v>
      </c>
      <c r="H3596" t="s">
        <v>21</v>
      </c>
      <c r="I3596" t="s">
        <v>20</v>
      </c>
      <c r="J3596" t="s">
        <v>20</v>
      </c>
      <c r="K3596" t="s">
        <v>27</v>
      </c>
      <c r="L3596" t="s">
        <v>111</v>
      </c>
      <c r="M3596" t="s">
        <v>243</v>
      </c>
      <c r="N3596">
        <v>39.304730999999997</v>
      </c>
      <c r="O3596">
        <v>-111.272693</v>
      </c>
      <c r="P3596">
        <v>6965.7268050000002</v>
      </c>
      <c r="Q3596">
        <v>307</v>
      </c>
      <c r="R3596">
        <v>0</v>
      </c>
    </row>
    <row r="3597" spans="1:18" x14ac:dyDescent="0.25">
      <c r="A3597">
        <v>3596</v>
      </c>
      <c r="B3597">
        <v>94</v>
      </c>
      <c r="C3597">
        <v>31272372</v>
      </c>
      <c r="D3597" t="s">
        <v>347</v>
      </c>
      <c r="E3597">
        <v>3.5630000000000002</v>
      </c>
      <c r="F3597" t="s">
        <v>21</v>
      </c>
      <c r="G3597" t="s">
        <v>26</v>
      </c>
      <c r="H3597" t="s">
        <v>21</v>
      </c>
      <c r="I3597" t="s">
        <v>20</v>
      </c>
      <c r="J3597" t="s">
        <v>20</v>
      </c>
      <c r="K3597" t="s">
        <v>41</v>
      </c>
      <c r="L3597" t="s">
        <v>325</v>
      </c>
      <c r="M3597" t="s">
        <v>204</v>
      </c>
      <c r="N3597">
        <v>41.452866999999998</v>
      </c>
      <c r="O3597">
        <v>-111.08906899999999</v>
      </c>
      <c r="P3597">
        <v>6312.3397009999999</v>
      </c>
      <c r="Q3597">
        <v>1334</v>
      </c>
      <c r="R3597">
        <v>0</v>
      </c>
    </row>
    <row r="3598" spans="1:18" x14ac:dyDescent="0.25">
      <c r="A3598">
        <v>3597</v>
      </c>
      <c r="B3598">
        <v>94</v>
      </c>
      <c r="C3598">
        <v>31435980</v>
      </c>
      <c r="D3598" t="s">
        <v>107</v>
      </c>
      <c r="E3598">
        <v>3.5640000000000001</v>
      </c>
      <c r="F3598" t="s">
        <v>19</v>
      </c>
      <c r="G3598" t="s">
        <v>20</v>
      </c>
      <c r="H3598" t="s">
        <v>19</v>
      </c>
      <c r="I3598">
        <v>39</v>
      </c>
      <c r="J3598" t="s">
        <v>20</v>
      </c>
      <c r="K3598" t="s">
        <v>41</v>
      </c>
      <c r="L3598" t="s">
        <v>81</v>
      </c>
      <c r="M3598" t="s">
        <v>93</v>
      </c>
      <c r="N3598">
        <v>41.244276999999997</v>
      </c>
      <c r="O3598">
        <v>-111.978244</v>
      </c>
      <c r="P3598">
        <v>4229.0034900000001</v>
      </c>
      <c r="Q3598">
        <v>413</v>
      </c>
      <c r="R3598">
        <v>0</v>
      </c>
    </row>
    <row r="3599" spans="1:18" x14ac:dyDescent="0.25">
      <c r="A3599">
        <v>3598</v>
      </c>
      <c r="B3599">
        <v>94</v>
      </c>
      <c r="C3599">
        <v>559109</v>
      </c>
      <c r="D3599" t="s">
        <v>115</v>
      </c>
      <c r="E3599">
        <v>3.5659999999999998</v>
      </c>
      <c r="F3599" t="s">
        <v>21</v>
      </c>
      <c r="G3599" t="s">
        <v>26</v>
      </c>
      <c r="H3599" t="s">
        <v>21</v>
      </c>
      <c r="I3599" t="s">
        <v>20</v>
      </c>
      <c r="J3599" t="s">
        <v>20</v>
      </c>
      <c r="K3599" t="s">
        <v>31</v>
      </c>
      <c r="L3599" t="s">
        <v>48</v>
      </c>
      <c r="M3599" t="s">
        <v>70</v>
      </c>
      <c r="N3599">
        <v>40.653039999999997</v>
      </c>
      <c r="O3599">
        <v>-112.009129</v>
      </c>
      <c r="P3599">
        <v>4616.1945070000002</v>
      </c>
      <c r="Q3599">
        <v>1437</v>
      </c>
      <c r="R3599">
        <v>0</v>
      </c>
    </row>
    <row r="3600" spans="1:18" x14ac:dyDescent="0.25">
      <c r="A3600">
        <v>3599</v>
      </c>
      <c r="B3600">
        <v>94</v>
      </c>
      <c r="C3600">
        <v>526974</v>
      </c>
      <c r="D3600" t="s">
        <v>44</v>
      </c>
      <c r="E3600">
        <v>3.5710000000000002</v>
      </c>
      <c r="F3600" t="s">
        <v>19</v>
      </c>
      <c r="G3600" t="s">
        <v>20</v>
      </c>
      <c r="H3600" t="s">
        <v>21</v>
      </c>
      <c r="I3600" t="s">
        <v>20</v>
      </c>
      <c r="J3600" t="s">
        <v>20</v>
      </c>
      <c r="K3600" t="s">
        <v>41</v>
      </c>
      <c r="L3600" t="s">
        <v>45</v>
      </c>
      <c r="M3600" t="s">
        <v>46</v>
      </c>
      <c r="N3600">
        <v>40.929113999999998</v>
      </c>
      <c r="O3600">
        <v>-111.878946</v>
      </c>
      <c r="P3600">
        <v>4233.2861030000004</v>
      </c>
      <c r="Q3600">
        <v>1395</v>
      </c>
      <c r="R3600">
        <v>0</v>
      </c>
    </row>
    <row r="3601" spans="1:18" x14ac:dyDescent="0.25">
      <c r="A3601">
        <v>3600</v>
      </c>
      <c r="B3601">
        <v>94</v>
      </c>
      <c r="C3601">
        <v>31349894</v>
      </c>
      <c r="D3601" t="s">
        <v>34</v>
      </c>
      <c r="E3601">
        <v>3.5710000000000002</v>
      </c>
      <c r="F3601" t="s">
        <v>21</v>
      </c>
      <c r="G3601" t="s">
        <v>26</v>
      </c>
      <c r="H3601" t="s">
        <v>21</v>
      </c>
      <c r="I3601" t="s">
        <v>20</v>
      </c>
      <c r="J3601" t="s">
        <v>20</v>
      </c>
      <c r="K3601" t="s">
        <v>22</v>
      </c>
      <c r="L3601" t="s">
        <v>35</v>
      </c>
      <c r="M3601" t="s">
        <v>36</v>
      </c>
      <c r="N3601">
        <v>40.507303999999998</v>
      </c>
      <c r="O3601">
        <v>-111.472396</v>
      </c>
      <c r="P3601">
        <v>5484.7748170000004</v>
      </c>
      <c r="Q3601">
        <v>1400</v>
      </c>
      <c r="R3601">
        <v>0</v>
      </c>
    </row>
    <row r="3602" spans="1:18" x14ac:dyDescent="0.25">
      <c r="A3602">
        <v>3601</v>
      </c>
      <c r="B3602">
        <v>94</v>
      </c>
      <c r="C3602" t="s">
        <v>617</v>
      </c>
      <c r="D3602" t="s">
        <v>252</v>
      </c>
      <c r="E3602">
        <v>3.573</v>
      </c>
      <c r="F3602" t="s">
        <v>21</v>
      </c>
      <c r="G3602" t="s">
        <v>26</v>
      </c>
      <c r="H3602" t="s">
        <v>21</v>
      </c>
      <c r="I3602" t="s">
        <v>20</v>
      </c>
      <c r="J3602" t="s">
        <v>20</v>
      </c>
      <c r="K3602" t="s">
        <v>22</v>
      </c>
      <c r="L3602" t="s">
        <v>253</v>
      </c>
      <c r="M3602" t="s">
        <v>169</v>
      </c>
      <c r="N3602">
        <v>40.188741</v>
      </c>
      <c r="O3602">
        <v>-110.451149</v>
      </c>
      <c r="P3602">
        <v>5705.7010360000004</v>
      </c>
      <c r="Q3602">
        <v>265</v>
      </c>
      <c r="R3602">
        <v>0</v>
      </c>
    </row>
    <row r="3603" spans="1:18" x14ac:dyDescent="0.25">
      <c r="A3603">
        <v>3602</v>
      </c>
      <c r="B3603">
        <v>94</v>
      </c>
      <c r="C3603">
        <v>1140971</v>
      </c>
      <c r="D3603" t="s">
        <v>56</v>
      </c>
      <c r="E3603">
        <v>3.5870000000000002</v>
      </c>
      <c r="F3603" t="s">
        <v>21</v>
      </c>
      <c r="G3603" t="s">
        <v>26</v>
      </c>
      <c r="H3603" t="s">
        <v>21</v>
      </c>
      <c r="I3603" t="s">
        <v>20</v>
      </c>
      <c r="J3603" t="s">
        <v>20</v>
      </c>
      <c r="K3603" t="s">
        <v>41</v>
      </c>
      <c r="L3603" t="s">
        <v>57</v>
      </c>
      <c r="M3603" t="s">
        <v>58</v>
      </c>
      <c r="N3603">
        <v>41.161636999999999</v>
      </c>
      <c r="O3603">
        <v>-112.05482000000001</v>
      </c>
      <c r="P3603">
        <v>4290.6613690000004</v>
      </c>
      <c r="Q3603">
        <v>1459</v>
      </c>
      <c r="R3603">
        <v>0</v>
      </c>
    </row>
    <row r="3604" spans="1:18" x14ac:dyDescent="0.25">
      <c r="A3604">
        <v>3603</v>
      </c>
      <c r="B3604">
        <v>94</v>
      </c>
      <c r="C3604">
        <v>28455125</v>
      </c>
      <c r="D3604" t="s">
        <v>99</v>
      </c>
      <c r="E3604">
        <v>3.5880000000000001</v>
      </c>
      <c r="F3604" t="s">
        <v>19</v>
      </c>
      <c r="G3604" t="s">
        <v>20</v>
      </c>
      <c r="H3604" t="s">
        <v>21</v>
      </c>
      <c r="I3604" t="s">
        <v>20</v>
      </c>
      <c r="J3604" t="s">
        <v>20</v>
      </c>
      <c r="K3604" t="s">
        <v>41</v>
      </c>
      <c r="L3604" t="s">
        <v>81</v>
      </c>
      <c r="M3604" t="s">
        <v>82</v>
      </c>
      <c r="N3604">
        <v>41.208196999999998</v>
      </c>
      <c r="O3604">
        <v>-111.973598</v>
      </c>
      <c r="P3604">
        <v>4264.4197839999997</v>
      </c>
      <c r="Q3604">
        <v>1376</v>
      </c>
      <c r="R3604">
        <v>0</v>
      </c>
    </row>
    <row r="3605" spans="1:18" x14ac:dyDescent="0.25">
      <c r="A3605">
        <v>3604</v>
      </c>
      <c r="B3605">
        <v>94</v>
      </c>
      <c r="C3605">
        <v>31444913</v>
      </c>
      <c r="D3605" t="s">
        <v>91</v>
      </c>
      <c r="E3605">
        <v>3.5939999999999999</v>
      </c>
      <c r="F3605" t="s">
        <v>21</v>
      </c>
      <c r="G3605" t="s">
        <v>26</v>
      </c>
      <c r="H3605" t="s">
        <v>21</v>
      </c>
      <c r="I3605" t="s">
        <v>20</v>
      </c>
      <c r="J3605" t="s">
        <v>20</v>
      </c>
      <c r="K3605" t="s">
        <v>41</v>
      </c>
      <c r="L3605" t="s">
        <v>42</v>
      </c>
      <c r="M3605" t="s">
        <v>73</v>
      </c>
      <c r="N3605">
        <v>41.663376999999997</v>
      </c>
      <c r="O3605">
        <v>-111.948342</v>
      </c>
      <c r="P3605">
        <v>4511.4769759999999</v>
      </c>
      <c r="Q3605">
        <v>1339</v>
      </c>
      <c r="R3605">
        <v>0</v>
      </c>
    </row>
    <row r="3606" spans="1:18" x14ac:dyDescent="0.25">
      <c r="A3606">
        <v>3605</v>
      </c>
      <c r="B3606">
        <v>94</v>
      </c>
      <c r="C3606">
        <v>28195256</v>
      </c>
      <c r="D3606" t="s">
        <v>233</v>
      </c>
      <c r="E3606">
        <v>40.018999999999998</v>
      </c>
      <c r="F3606" t="s">
        <v>19</v>
      </c>
      <c r="G3606" t="s">
        <v>20</v>
      </c>
      <c r="H3606" t="s">
        <v>19</v>
      </c>
      <c r="I3606">
        <v>40</v>
      </c>
      <c r="J3606" t="s">
        <v>20</v>
      </c>
      <c r="K3606" t="s">
        <v>22</v>
      </c>
      <c r="L3606" t="s">
        <v>234</v>
      </c>
      <c r="M3606" t="s">
        <v>235</v>
      </c>
      <c r="N3606">
        <v>40.414597999999998</v>
      </c>
      <c r="O3606">
        <v>-109.498532</v>
      </c>
      <c r="P3606">
        <v>5206.2054349999999</v>
      </c>
      <c r="Q3606">
        <v>1354</v>
      </c>
      <c r="R3606">
        <v>0</v>
      </c>
    </row>
    <row r="3607" spans="1:18" x14ac:dyDescent="0.25">
      <c r="A3607">
        <v>3606</v>
      </c>
      <c r="B3607">
        <v>94</v>
      </c>
      <c r="C3607">
        <v>31433619</v>
      </c>
      <c r="D3607" t="s">
        <v>221</v>
      </c>
      <c r="E3607">
        <v>40.052999999999997</v>
      </c>
      <c r="F3607" t="s">
        <v>21</v>
      </c>
      <c r="G3607" t="s">
        <v>26</v>
      </c>
      <c r="H3607" t="s">
        <v>21</v>
      </c>
      <c r="I3607" t="s">
        <v>20</v>
      </c>
      <c r="J3607" t="s">
        <v>20</v>
      </c>
      <c r="K3607" t="s">
        <v>22</v>
      </c>
      <c r="L3607" t="s">
        <v>155</v>
      </c>
      <c r="M3607" t="s">
        <v>174</v>
      </c>
      <c r="N3607">
        <v>39.699671000000002</v>
      </c>
      <c r="O3607">
        <v>-111.836125</v>
      </c>
      <c r="P3607">
        <v>5062.3567510000003</v>
      </c>
      <c r="Q3607">
        <v>1342</v>
      </c>
      <c r="R3607">
        <v>0</v>
      </c>
    </row>
    <row r="3608" spans="1:18" x14ac:dyDescent="0.25">
      <c r="A3608">
        <v>3607</v>
      </c>
      <c r="B3608">
        <v>94</v>
      </c>
      <c r="C3608">
        <v>31446613</v>
      </c>
      <c r="D3608" t="s">
        <v>107</v>
      </c>
      <c r="E3608">
        <v>5.1059999999999999</v>
      </c>
      <c r="F3608" t="s">
        <v>19</v>
      </c>
      <c r="G3608" t="s">
        <v>20</v>
      </c>
      <c r="H3608" t="s">
        <v>21</v>
      </c>
      <c r="I3608" t="s">
        <v>20</v>
      </c>
      <c r="J3608" t="s">
        <v>20</v>
      </c>
      <c r="K3608" t="s">
        <v>41</v>
      </c>
      <c r="L3608" t="s">
        <v>81</v>
      </c>
      <c r="M3608" t="s">
        <v>93</v>
      </c>
      <c r="N3608">
        <v>41.266764999999999</v>
      </c>
      <c r="O3608">
        <v>-111.977728</v>
      </c>
      <c r="P3608">
        <v>4222.4426750000002</v>
      </c>
      <c r="Q3608">
        <v>413</v>
      </c>
      <c r="R3608">
        <v>0</v>
      </c>
    </row>
    <row r="3609" spans="1:18" x14ac:dyDescent="0.25">
      <c r="A3609">
        <v>3608</v>
      </c>
      <c r="B3609">
        <v>94</v>
      </c>
      <c r="C3609" t="e">
        <f>-JMJUPbgFPmLQH8UGyldIk</f>
        <v>#NAME?</v>
      </c>
      <c r="D3609" t="s">
        <v>417</v>
      </c>
      <c r="E3609">
        <v>5.1120000000000001</v>
      </c>
      <c r="F3609" t="s">
        <v>21</v>
      </c>
      <c r="G3609" t="s">
        <v>20</v>
      </c>
      <c r="H3609" t="s">
        <v>21</v>
      </c>
      <c r="I3609" t="s">
        <v>20</v>
      </c>
      <c r="J3609" t="s">
        <v>20</v>
      </c>
      <c r="K3609" t="s">
        <v>31</v>
      </c>
      <c r="L3609" t="s">
        <v>84</v>
      </c>
      <c r="M3609" t="s">
        <v>24</v>
      </c>
      <c r="N3609">
        <v>40.47486</v>
      </c>
      <c r="O3609">
        <v>-111.97775</v>
      </c>
      <c r="P3609">
        <v>4803.9757559999998</v>
      </c>
      <c r="Q3609">
        <v>6765</v>
      </c>
      <c r="R3609">
        <v>0</v>
      </c>
    </row>
    <row r="3610" spans="1:18" x14ac:dyDescent="0.25">
      <c r="A3610">
        <v>3609</v>
      </c>
      <c r="B3610">
        <v>94</v>
      </c>
      <c r="C3610">
        <v>31401896</v>
      </c>
      <c r="D3610" t="s">
        <v>224</v>
      </c>
      <c r="E3610">
        <v>5.1139999999999999</v>
      </c>
      <c r="F3610" t="s">
        <v>21</v>
      </c>
      <c r="G3610" t="s">
        <v>26</v>
      </c>
      <c r="H3610" t="s">
        <v>21</v>
      </c>
      <c r="I3610" t="s">
        <v>20</v>
      </c>
      <c r="J3610" t="s">
        <v>20</v>
      </c>
      <c r="K3610" t="s">
        <v>22</v>
      </c>
      <c r="L3610" t="s">
        <v>198</v>
      </c>
      <c r="M3610" t="s">
        <v>194</v>
      </c>
      <c r="N3610">
        <v>40.041488999999999</v>
      </c>
      <c r="O3610">
        <v>-111.73384</v>
      </c>
      <c r="P3610">
        <v>4603.5674879999997</v>
      </c>
      <c r="Q3610">
        <v>408</v>
      </c>
      <c r="R3610">
        <v>0</v>
      </c>
    </row>
    <row r="3611" spans="1:18" x14ac:dyDescent="0.25">
      <c r="A3611">
        <v>3610</v>
      </c>
      <c r="B3611">
        <v>94</v>
      </c>
      <c r="C3611">
        <v>1452316</v>
      </c>
      <c r="D3611" t="s">
        <v>109</v>
      </c>
      <c r="E3611">
        <v>5.1219999999999999</v>
      </c>
      <c r="F3611" t="s">
        <v>21</v>
      </c>
      <c r="G3611" t="s">
        <v>26</v>
      </c>
      <c r="H3611" t="s">
        <v>21</v>
      </c>
      <c r="I3611" t="s">
        <v>20</v>
      </c>
      <c r="J3611" t="s">
        <v>20</v>
      </c>
      <c r="K3611" t="s">
        <v>41</v>
      </c>
      <c r="L3611" t="s">
        <v>42</v>
      </c>
      <c r="M3611" t="s">
        <v>73</v>
      </c>
      <c r="N3611">
        <v>41.636479999999999</v>
      </c>
      <c r="O3611">
        <v>-111.832644</v>
      </c>
      <c r="P3611">
        <v>4738.6028699999997</v>
      </c>
      <c r="Q3611">
        <v>345</v>
      </c>
      <c r="R3611">
        <v>0</v>
      </c>
    </row>
    <row r="3612" spans="1:18" x14ac:dyDescent="0.25">
      <c r="A3612">
        <v>3611</v>
      </c>
      <c r="B3612">
        <v>94</v>
      </c>
      <c r="C3612">
        <v>31760692</v>
      </c>
      <c r="D3612" t="s">
        <v>77</v>
      </c>
      <c r="E3612">
        <v>5.1219999999999999</v>
      </c>
      <c r="F3612" t="s">
        <v>21</v>
      </c>
      <c r="G3612" t="s">
        <v>26</v>
      </c>
      <c r="H3612" t="s">
        <v>21</v>
      </c>
      <c r="I3612" t="s">
        <v>20</v>
      </c>
      <c r="J3612" t="s">
        <v>20</v>
      </c>
      <c r="K3612" t="s">
        <v>31</v>
      </c>
      <c r="L3612" t="s">
        <v>78</v>
      </c>
      <c r="M3612" t="s">
        <v>79</v>
      </c>
      <c r="N3612">
        <v>40.712893000000001</v>
      </c>
      <c r="O3612">
        <v>-112.024888</v>
      </c>
      <c r="P3612">
        <v>4192.9203159999997</v>
      </c>
      <c r="Q3612">
        <v>1436</v>
      </c>
      <c r="R3612">
        <v>0</v>
      </c>
    </row>
    <row r="3613" spans="1:18" x14ac:dyDescent="0.25">
      <c r="A3613">
        <v>3612</v>
      </c>
      <c r="B3613">
        <v>94</v>
      </c>
      <c r="C3613">
        <v>31295919</v>
      </c>
      <c r="D3613" t="s">
        <v>203</v>
      </c>
      <c r="E3613">
        <v>5.1230000000000002</v>
      </c>
      <c r="F3613" t="s">
        <v>19</v>
      </c>
      <c r="G3613" t="s">
        <v>20</v>
      </c>
      <c r="H3613" t="s">
        <v>21</v>
      </c>
      <c r="I3613" t="s">
        <v>20</v>
      </c>
      <c r="J3613" t="s">
        <v>20</v>
      </c>
      <c r="K3613" t="s">
        <v>41</v>
      </c>
      <c r="L3613" t="s">
        <v>81</v>
      </c>
      <c r="M3613" t="s">
        <v>204</v>
      </c>
      <c r="N3613">
        <v>41.244442999999997</v>
      </c>
      <c r="O3613">
        <v>-111.994473</v>
      </c>
      <c r="P3613">
        <v>4221.548084</v>
      </c>
      <c r="Q3613">
        <v>1349</v>
      </c>
      <c r="R3613">
        <v>0</v>
      </c>
    </row>
    <row r="3614" spans="1:18" x14ac:dyDescent="0.25">
      <c r="A3614">
        <v>3613</v>
      </c>
      <c r="B3614">
        <v>94</v>
      </c>
      <c r="C3614">
        <v>31311931</v>
      </c>
      <c r="D3614" t="s">
        <v>215</v>
      </c>
      <c r="E3614">
        <v>5.1260000000000003</v>
      </c>
      <c r="F3614" t="s">
        <v>21</v>
      </c>
      <c r="G3614" t="s">
        <v>26</v>
      </c>
      <c r="H3614" t="s">
        <v>21</v>
      </c>
      <c r="I3614" t="s">
        <v>20</v>
      </c>
      <c r="J3614" t="s">
        <v>20</v>
      </c>
      <c r="K3614" t="s">
        <v>22</v>
      </c>
      <c r="L3614" t="s">
        <v>23</v>
      </c>
      <c r="M3614" t="s">
        <v>85</v>
      </c>
      <c r="N3614">
        <v>40.276995999999997</v>
      </c>
      <c r="O3614">
        <v>-111.729046</v>
      </c>
      <c r="P3614">
        <v>4478.792117</v>
      </c>
      <c r="Q3614">
        <v>330</v>
      </c>
      <c r="R3614">
        <v>0</v>
      </c>
    </row>
    <row r="3615" spans="1:18" x14ac:dyDescent="0.25">
      <c r="A3615">
        <v>3614</v>
      </c>
      <c r="B3615">
        <v>94</v>
      </c>
      <c r="C3615">
        <v>1009510</v>
      </c>
      <c r="D3615" t="s">
        <v>171</v>
      </c>
      <c r="E3615">
        <v>5.13</v>
      </c>
      <c r="F3615" t="s">
        <v>21</v>
      </c>
      <c r="G3615" t="s">
        <v>26</v>
      </c>
      <c r="H3615" t="s">
        <v>21</v>
      </c>
      <c r="I3615" t="s">
        <v>20</v>
      </c>
      <c r="J3615" t="s">
        <v>20</v>
      </c>
      <c r="K3615" t="s">
        <v>31</v>
      </c>
      <c r="L3615" t="s">
        <v>78</v>
      </c>
      <c r="M3615" t="s">
        <v>79</v>
      </c>
      <c r="N3615">
        <v>40.696599999999997</v>
      </c>
      <c r="O3615">
        <v>-111.993843</v>
      </c>
      <c r="P3615">
        <v>4214.2460789999996</v>
      </c>
      <c r="Q3615">
        <v>346</v>
      </c>
      <c r="R3615">
        <v>0</v>
      </c>
    </row>
    <row r="3616" spans="1:18" x14ac:dyDescent="0.25">
      <c r="A3616">
        <v>3615</v>
      </c>
      <c r="B3616">
        <v>94</v>
      </c>
      <c r="C3616">
        <v>27376315</v>
      </c>
      <c r="D3616" t="s">
        <v>185</v>
      </c>
      <c r="E3616">
        <v>5.1420000000000003</v>
      </c>
      <c r="F3616" t="s">
        <v>21</v>
      </c>
      <c r="G3616" t="s">
        <v>26</v>
      </c>
      <c r="H3616" t="s">
        <v>21</v>
      </c>
      <c r="I3616" t="s">
        <v>20</v>
      </c>
      <c r="J3616" t="s">
        <v>20</v>
      </c>
      <c r="K3616" t="s">
        <v>41</v>
      </c>
      <c r="L3616" t="s">
        <v>57</v>
      </c>
      <c r="M3616" t="s">
        <v>58</v>
      </c>
      <c r="N3616">
        <v>41.141511999999999</v>
      </c>
      <c r="O3616">
        <v>-112.122917</v>
      </c>
      <c r="P3616">
        <v>4175.0376290000004</v>
      </c>
      <c r="Q3616">
        <v>309</v>
      </c>
      <c r="R3616">
        <v>0</v>
      </c>
    </row>
    <row r="3617" spans="1:18" x14ac:dyDescent="0.25">
      <c r="A3617">
        <v>3616</v>
      </c>
      <c r="B3617">
        <v>94</v>
      </c>
      <c r="C3617" t="e">
        <f>-JLjhaztISPSbT0x1bnu6F</f>
        <v>#NAME?</v>
      </c>
      <c r="D3617" t="s">
        <v>236</v>
      </c>
      <c r="E3617">
        <v>5.1429999999999998</v>
      </c>
      <c r="F3617" t="s">
        <v>21</v>
      </c>
      <c r="G3617" t="s">
        <v>20</v>
      </c>
      <c r="H3617" t="s">
        <v>21</v>
      </c>
      <c r="I3617" t="s">
        <v>20</v>
      </c>
      <c r="J3617" t="s">
        <v>20</v>
      </c>
      <c r="K3617" t="s">
        <v>31</v>
      </c>
      <c r="L3617" t="s">
        <v>48</v>
      </c>
      <c r="M3617" t="s">
        <v>79</v>
      </c>
      <c r="N3617">
        <v>40.646343999999999</v>
      </c>
      <c r="O3617">
        <v>-112.067637</v>
      </c>
      <c r="P3617">
        <v>5100.3120669999998</v>
      </c>
      <c r="Q3617">
        <v>1398</v>
      </c>
      <c r="R3617">
        <v>0</v>
      </c>
    </row>
    <row r="3618" spans="1:18" x14ac:dyDescent="0.25">
      <c r="A3618">
        <v>3617</v>
      </c>
      <c r="B3618">
        <v>94</v>
      </c>
      <c r="C3618">
        <v>1271035</v>
      </c>
      <c r="D3618" t="s">
        <v>189</v>
      </c>
      <c r="E3618">
        <v>5.1440000000000001</v>
      </c>
      <c r="F3618" t="s">
        <v>21</v>
      </c>
      <c r="G3618" t="s">
        <v>26</v>
      </c>
      <c r="H3618" t="s">
        <v>21</v>
      </c>
      <c r="I3618" t="s">
        <v>20</v>
      </c>
      <c r="J3618" t="s">
        <v>20</v>
      </c>
      <c r="K3618" t="s">
        <v>41</v>
      </c>
      <c r="L3618" t="s">
        <v>81</v>
      </c>
      <c r="M3618" t="s">
        <v>190</v>
      </c>
      <c r="N3618">
        <v>41.227702000000001</v>
      </c>
      <c r="O3618">
        <v>-111.948076</v>
      </c>
      <c r="P3618">
        <v>4406.6313360000004</v>
      </c>
      <c r="Q3618">
        <v>412</v>
      </c>
      <c r="R3618">
        <v>0</v>
      </c>
    </row>
    <row r="3619" spans="1:18" x14ac:dyDescent="0.25">
      <c r="A3619">
        <v>3618</v>
      </c>
      <c r="B3619">
        <v>94</v>
      </c>
      <c r="C3619">
        <v>31388959</v>
      </c>
      <c r="D3619" t="s">
        <v>364</v>
      </c>
      <c r="E3619">
        <v>5.1479999999999997</v>
      </c>
      <c r="F3619" t="s">
        <v>21</v>
      </c>
      <c r="G3619" t="s">
        <v>26</v>
      </c>
      <c r="H3619" t="s">
        <v>21</v>
      </c>
      <c r="I3619" t="s">
        <v>20</v>
      </c>
      <c r="J3619" t="s">
        <v>20</v>
      </c>
      <c r="K3619" t="s">
        <v>22</v>
      </c>
      <c r="L3619" t="s">
        <v>140</v>
      </c>
      <c r="M3619" t="s">
        <v>85</v>
      </c>
      <c r="N3619">
        <v>40.098320000000001</v>
      </c>
      <c r="O3619">
        <v>-111.703435</v>
      </c>
      <c r="P3619">
        <v>4491.6357770000004</v>
      </c>
      <c r="Q3619">
        <v>1401</v>
      </c>
      <c r="R3619">
        <v>0</v>
      </c>
    </row>
    <row r="3620" spans="1:18" x14ac:dyDescent="0.25">
      <c r="A3620">
        <v>3619</v>
      </c>
      <c r="B3620">
        <v>94</v>
      </c>
      <c r="C3620" t="e">
        <f>-IpUj_tgI1qS3aS1RSGRek</f>
        <v>#NAME?</v>
      </c>
      <c r="D3620" t="s">
        <v>272</v>
      </c>
      <c r="E3620">
        <v>417.4</v>
      </c>
      <c r="F3620" t="s">
        <v>19</v>
      </c>
      <c r="G3620" t="s">
        <v>20</v>
      </c>
      <c r="H3620" t="s">
        <v>19</v>
      </c>
      <c r="I3620">
        <v>204</v>
      </c>
      <c r="J3620" t="s">
        <v>20</v>
      </c>
      <c r="K3620" t="s">
        <v>41</v>
      </c>
      <c r="L3620" t="s">
        <v>81</v>
      </c>
      <c r="M3620" t="s">
        <v>46</v>
      </c>
      <c r="N3620">
        <v>41.271239999999999</v>
      </c>
      <c r="O3620">
        <v>-111.97757799999999</v>
      </c>
      <c r="P3620">
        <v>4228.3247419999998</v>
      </c>
      <c r="Q3620">
        <v>1384</v>
      </c>
      <c r="R3620">
        <v>0</v>
      </c>
    </row>
    <row r="3621" spans="1:18" x14ac:dyDescent="0.25">
      <c r="A3621">
        <v>3620</v>
      </c>
      <c r="B3621">
        <v>94</v>
      </c>
      <c r="C3621" t="s">
        <v>618</v>
      </c>
      <c r="D3621" t="s">
        <v>105</v>
      </c>
      <c r="E3621">
        <v>4.657</v>
      </c>
      <c r="F3621" t="s">
        <v>21</v>
      </c>
      <c r="G3621" t="s">
        <v>26</v>
      </c>
      <c r="H3621" t="s">
        <v>21</v>
      </c>
      <c r="I3621" t="s">
        <v>20</v>
      </c>
      <c r="J3621" t="s">
        <v>20</v>
      </c>
      <c r="K3621" t="s">
        <v>27</v>
      </c>
      <c r="L3621" t="s">
        <v>51</v>
      </c>
      <c r="M3621" t="s">
        <v>106</v>
      </c>
      <c r="N3621">
        <v>37.896959000000003</v>
      </c>
      <c r="O3621">
        <v>-112.77487499999999</v>
      </c>
      <c r="P3621">
        <v>5769.3740930000004</v>
      </c>
      <c r="Q3621">
        <v>432</v>
      </c>
      <c r="R3621">
        <v>0</v>
      </c>
    </row>
    <row r="3622" spans="1:18" x14ac:dyDescent="0.25">
      <c r="A3622">
        <v>3621</v>
      </c>
      <c r="B3622">
        <v>94</v>
      </c>
      <c r="C3622">
        <v>28487576</v>
      </c>
      <c r="D3622" t="s">
        <v>99</v>
      </c>
      <c r="E3622">
        <v>4.6580000000000004</v>
      </c>
      <c r="F3622" t="s">
        <v>21</v>
      </c>
      <c r="G3622" t="s">
        <v>20</v>
      </c>
      <c r="H3622" t="s">
        <v>21</v>
      </c>
      <c r="I3622" t="s">
        <v>20</v>
      </c>
      <c r="J3622" t="s">
        <v>20</v>
      </c>
      <c r="K3622" t="s">
        <v>41</v>
      </c>
      <c r="L3622" t="s">
        <v>81</v>
      </c>
      <c r="M3622" t="s">
        <v>82</v>
      </c>
      <c r="N3622">
        <v>41.209963999999999</v>
      </c>
      <c r="O3622">
        <v>-111.95263799999999</v>
      </c>
      <c r="P3622">
        <v>4425.638927</v>
      </c>
      <c r="Q3622">
        <v>1376</v>
      </c>
      <c r="R3622">
        <v>0</v>
      </c>
    </row>
    <row r="3623" spans="1:18" x14ac:dyDescent="0.25">
      <c r="A3623">
        <v>3622</v>
      </c>
      <c r="B3623">
        <v>94</v>
      </c>
      <c r="C3623">
        <v>31393702</v>
      </c>
      <c r="D3623" t="s">
        <v>114</v>
      </c>
      <c r="E3623">
        <v>4.6589999999999998</v>
      </c>
      <c r="F3623" t="s">
        <v>21</v>
      </c>
      <c r="G3623" t="s">
        <v>26</v>
      </c>
      <c r="H3623" t="s">
        <v>21</v>
      </c>
      <c r="I3623" t="s">
        <v>20</v>
      </c>
      <c r="J3623" t="s">
        <v>20</v>
      </c>
      <c r="K3623" t="s">
        <v>41</v>
      </c>
      <c r="L3623" t="s">
        <v>87</v>
      </c>
      <c r="M3623" t="s">
        <v>82</v>
      </c>
      <c r="N3623">
        <v>41.103546000000001</v>
      </c>
      <c r="O3623">
        <v>-111.979365</v>
      </c>
      <c r="P3623">
        <v>4677.895767</v>
      </c>
      <c r="Q3623">
        <v>405</v>
      </c>
      <c r="R3623">
        <v>0</v>
      </c>
    </row>
    <row r="3624" spans="1:18" x14ac:dyDescent="0.25">
      <c r="A3624">
        <v>3623</v>
      </c>
      <c r="B3624">
        <v>94</v>
      </c>
      <c r="C3624" t="e">
        <f>-IpUR1qFH3LLwLmL8vpCok</f>
        <v>#NAME?</v>
      </c>
      <c r="D3624" t="s">
        <v>272</v>
      </c>
      <c r="E3624">
        <v>414.76799999999997</v>
      </c>
      <c r="F3624" t="s">
        <v>21</v>
      </c>
      <c r="G3624" t="s">
        <v>26</v>
      </c>
      <c r="H3624" t="s">
        <v>21</v>
      </c>
      <c r="I3624" t="s">
        <v>20</v>
      </c>
      <c r="J3624" t="s">
        <v>20</v>
      </c>
      <c r="K3624" t="s">
        <v>41</v>
      </c>
      <c r="L3624" t="s">
        <v>81</v>
      </c>
      <c r="M3624" t="s">
        <v>46</v>
      </c>
      <c r="N3624">
        <v>41.234839999999998</v>
      </c>
      <c r="O3624">
        <v>-111.970168</v>
      </c>
      <c r="P3624">
        <v>4244.6483680000001</v>
      </c>
      <c r="Q3624">
        <v>1384</v>
      </c>
      <c r="R3624">
        <v>0</v>
      </c>
    </row>
    <row r="3625" spans="1:18" x14ac:dyDescent="0.25">
      <c r="A3625">
        <v>3624</v>
      </c>
      <c r="B3625">
        <v>94</v>
      </c>
      <c r="C3625" t="e">
        <f>-IpUR4FSHODWLIOk1FbD6k</f>
        <v>#NAME?</v>
      </c>
      <c r="D3625" t="s">
        <v>272</v>
      </c>
      <c r="E3625">
        <v>414.77600000000001</v>
      </c>
      <c r="F3625" t="s">
        <v>21</v>
      </c>
      <c r="G3625" t="s">
        <v>26</v>
      </c>
      <c r="H3625" t="s">
        <v>21</v>
      </c>
      <c r="I3625" t="s">
        <v>20</v>
      </c>
      <c r="J3625" t="s">
        <v>20</v>
      </c>
      <c r="K3625" t="s">
        <v>41</v>
      </c>
      <c r="L3625" t="s">
        <v>81</v>
      </c>
      <c r="M3625" t="s">
        <v>46</v>
      </c>
      <c r="N3625">
        <v>41.234954999999999</v>
      </c>
      <c r="O3625">
        <v>-111.970133</v>
      </c>
      <c r="P3625">
        <v>4244.3584339999998</v>
      </c>
      <c r="Q3625">
        <v>1384</v>
      </c>
      <c r="R3625">
        <v>0</v>
      </c>
    </row>
    <row r="3626" spans="1:18" x14ac:dyDescent="0.25">
      <c r="A3626">
        <v>3625</v>
      </c>
      <c r="B3626">
        <v>94</v>
      </c>
      <c r="C3626" t="e">
        <f>-IpURC5zGx1dQtuf_tcrOF</f>
        <v>#NAME?</v>
      </c>
      <c r="D3626" t="s">
        <v>272</v>
      </c>
      <c r="E3626">
        <v>414.82600000000002</v>
      </c>
      <c r="F3626" t="s">
        <v>21</v>
      </c>
      <c r="G3626" t="s">
        <v>26</v>
      </c>
      <c r="H3626" t="s">
        <v>21</v>
      </c>
      <c r="I3626" t="s">
        <v>20</v>
      </c>
      <c r="J3626" t="s">
        <v>20</v>
      </c>
      <c r="K3626" t="s">
        <v>41</v>
      </c>
      <c r="L3626" t="s">
        <v>81</v>
      </c>
      <c r="M3626" t="s">
        <v>46</v>
      </c>
      <c r="N3626">
        <v>41.235689999999998</v>
      </c>
      <c r="O3626">
        <v>-111.970156</v>
      </c>
      <c r="P3626">
        <v>4244.0606699999998</v>
      </c>
      <c r="Q3626">
        <v>1384</v>
      </c>
      <c r="R3626">
        <v>0</v>
      </c>
    </row>
    <row r="3627" spans="1:18" x14ac:dyDescent="0.25">
      <c r="A3627">
        <v>3626</v>
      </c>
      <c r="B3627">
        <v>94</v>
      </c>
      <c r="C3627">
        <v>1149555</v>
      </c>
      <c r="D3627" t="s">
        <v>56</v>
      </c>
      <c r="E3627">
        <v>4.6749999999999998</v>
      </c>
      <c r="F3627" t="s">
        <v>19</v>
      </c>
      <c r="G3627" t="s">
        <v>20</v>
      </c>
      <c r="H3627" t="s">
        <v>21</v>
      </c>
      <c r="I3627" t="s">
        <v>20</v>
      </c>
      <c r="J3627" t="s">
        <v>20</v>
      </c>
      <c r="K3627" t="s">
        <v>41</v>
      </c>
      <c r="L3627" t="s">
        <v>57</v>
      </c>
      <c r="M3627" t="s">
        <v>58</v>
      </c>
      <c r="N3627">
        <v>41.161701000000001</v>
      </c>
      <c r="O3627">
        <v>-112.034055</v>
      </c>
      <c r="P3627">
        <v>4440.7029839999996</v>
      </c>
      <c r="Q3627">
        <v>1459</v>
      </c>
      <c r="R3627">
        <v>0</v>
      </c>
    </row>
    <row r="3628" spans="1:18" x14ac:dyDescent="0.25">
      <c r="A3628">
        <v>3627</v>
      </c>
      <c r="B3628">
        <v>94</v>
      </c>
      <c r="C3628">
        <v>31521980</v>
      </c>
      <c r="D3628" t="s">
        <v>390</v>
      </c>
      <c r="E3628">
        <v>4.6769999999999996</v>
      </c>
      <c r="F3628" t="s">
        <v>21</v>
      </c>
      <c r="G3628" t="s">
        <v>26</v>
      </c>
      <c r="H3628" t="s">
        <v>21</v>
      </c>
      <c r="I3628" t="s">
        <v>20</v>
      </c>
      <c r="J3628" t="s">
        <v>20</v>
      </c>
      <c r="K3628" t="s">
        <v>22</v>
      </c>
      <c r="L3628" t="s">
        <v>84</v>
      </c>
      <c r="M3628" t="s">
        <v>335</v>
      </c>
      <c r="N3628">
        <v>40.431834000000002</v>
      </c>
      <c r="O3628">
        <v>-111.807121</v>
      </c>
      <c r="P3628">
        <v>4793.7259080000003</v>
      </c>
      <c r="Q3628">
        <v>1386</v>
      </c>
      <c r="R3628">
        <v>0</v>
      </c>
    </row>
    <row r="3629" spans="1:18" x14ac:dyDescent="0.25">
      <c r="A3629">
        <v>3628</v>
      </c>
      <c r="B3629">
        <v>94</v>
      </c>
      <c r="C3629">
        <v>27507445</v>
      </c>
      <c r="D3629" t="s">
        <v>96</v>
      </c>
      <c r="E3629">
        <v>4.6769999999999996</v>
      </c>
      <c r="F3629" t="s">
        <v>21</v>
      </c>
      <c r="G3629" t="s">
        <v>26</v>
      </c>
      <c r="H3629" t="s">
        <v>21</v>
      </c>
      <c r="I3629" t="s">
        <v>20</v>
      </c>
      <c r="J3629" t="s">
        <v>20</v>
      </c>
      <c r="K3629" t="s">
        <v>22</v>
      </c>
      <c r="L3629" t="s">
        <v>97</v>
      </c>
      <c r="M3629" t="s">
        <v>98</v>
      </c>
      <c r="N3629">
        <v>40.977494999999998</v>
      </c>
      <c r="O3629">
        <v>-109.778785</v>
      </c>
      <c r="P3629">
        <v>6766.2753400000001</v>
      </c>
      <c r="Q3629">
        <v>311</v>
      </c>
      <c r="R3629">
        <v>0</v>
      </c>
    </row>
    <row r="3630" spans="1:18" x14ac:dyDescent="0.25">
      <c r="A3630">
        <v>3629</v>
      </c>
      <c r="B3630">
        <v>94</v>
      </c>
      <c r="C3630" t="s">
        <v>619</v>
      </c>
      <c r="D3630" t="s">
        <v>347</v>
      </c>
      <c r="E3630">
        <v>4.6849999999999996</v>
      </c>
      <c r="F3630" t="s">
        <v>21</v>
      </c>
      <c r="G3630" t="s">
        <v>20</v>
      </c>
      <c r="H3630" t="s">
        <v>21</v>
      </c>
      <c r="I3630" t="s">
        <v>20</v>
      </c>
      <c r="J3630" t="s">
        <v>20</v>
      </c>
      <c r="K3630" t="s">
        <v>41</v>
      </c>
      <c r="L3630" t="s">
        <v>325</v>
      </c>
      <c r="M3630" t="s">
        <v>204</v>
      </c>
      <c r="N3630">
        <v>41.465142999999998</v>
      </c>
      <c r="O3630">
        <v>-111.102717</v>
      </c>
      <c r="P3630">
        <v>6292.2642370000003</v>
      </c>
      <c r="Q3630">
        <v>1334</v>
      </c>
      <c r="R3630">
        <v>0</v>
      </c>
    </row>
    <row r="3631" spans="1:18" x14ac:dyDescent="0.25">
      <c r="A3631">
        <v>3630</v>
      </c>
      <c r="B3631">
        <v>94</v>
      </c>
      <c r="C3631">
        <v>31467966</v>
      </c>
      <c r="D3631" t="s">
        <v>213</v>
      </c>
      <c r="E3631">
        <v>4.6849999999999996</v>
      </c>
      <c r="F3631" t="s">
        <v>21</v>
      </c>
      <c r="G3631" t="s">
        <v>26</v>
      </c>
      <c r="H3631" t="s">
        <v>21</v>
      </c>
      <c r="I3631" t="s">
        <v>20</v>
      </c>
      <c r="J3631" t="s">
        <v>20</v>
      </c>
      <c r="K3631" t="s">
        <v>27</v>
      </c>
      <c r="L3631" t="s">
        <v>173</v>
      </c>
      <c r="M3631" t="s">
        <v>214</v>
      </c>
      <c r="N3631">
        <v>39.050500999999997</v>
      </c>
      <c r="O3631">
        <v>-113.962107</v>
      </c>
      <c r="P3631">
        <v>4965.1255609999998</v>
      </c>
      <c r="Q3631">
        <v>1332</v>
      </c>
      <c r="R3631">
        <v>0</v>
      </c>
    </row>
    <row r="3632" spans="1:18" x14ac:dyDescent="0.25">
      <c r="A3632">
        <v>3631</v>
      </c>
      <c r="B3632">
        <v>94</v>
      </c>
      <c r="C3632">
        <v>28112871</v>
      </c>
      <c r="D3632" t="s">
        <v>239</v>
      </c>
      <c r="E3632">
        <v>4.6859999999999999</v>
      </c>
      <c r="F3632" t="s">
        <v>21</v>
      </c>
      <c r="G3632" t="s">
        <v>26</v>
      </c>
      <c r="H3632" t="s">
        <v>21</v>
      </c>
      <c r="I3632" t="s">
        <v>20</v>
      </c>
      <c r="J3632" t="s">
        <v>20</v>
      </c>
      <c r="K3632" t="s">
        <v>41</v>
      </c>
      <c r="L3632" t="s">
        <v>181</v>
      </c>
      <c r="M3632" t="s">
        <v>178</v>
      </c>
      <c r="N3632">
        <v>41.650666999999999</v>
      </c>
      <c r="O3632">
        <v>-112.31384799999999</v>
      </c>
      <c r="P3632">
        <v>4222.2860039999996</v>
      </c>
      <c r="Q3632">
        <v>1392</v>
      </c>
      <c r="R3632">
        <v>0</v>
      </c>
    </row>
    <row r="3633" spans="1:18" x14ac:dyDescent="0.25">
      <c r="A3633">
        <v>3632</v>
      </c>
      <c r="B3633">
        <v>94</v>
      </c>
      <c r="C3633" t="e">
        <f>-IpUDBKRIjmzGewPnU9tNV</f>
        <v>#NAME?</v>
      </c>
      <c r="D3633" t="s">
        <v>208</v>
      </c>
      <c r="E3633">
        <v>4.6890000000000001</v>
      </c>
      <c r="F3633" t="s">
        <v>21</v>
      </c>
      <c r="G3633" t="s">
        <v>361</v>
      </c>
      <c r="H3633" t="s">
        <v>21</v>
      </c>
      <c r="I3633" t="s">
        <v>20</v>
      </c>
      <c r="J3633" t="s">
        <v>20</v>
      </c>
      <c r="K3633" t="s">
        <v>31</v>
      </c>
      <c r="L3633" t="s">
        <v>209</v>
      </c>
      <c r="M3633" t="s">
        <v>131</v>
      </c>
      <c r="N3633">
        <v>40.645707000000002</v>
      </c>
      <c r="O3633">
        <v>-111.495169</v>
      </c>
      <c r="P3633">
        <v>6992.7869360000004</v>
      </c>
      <c r="Q3633">
        <v>357</v>
      </c>
      <c r="R3633">
        <v>0</v>
      </c>
    </row>
    <row r="3634" spans="1:18" x14ac:dyDescent="0.25">
      <c r="A3634">
        <v>3633</v>
      </c>
      <c r="B3634">
        <v>94</v>
      </c>
      <c r="C3634" t="e">
        <f>-Ip5KhX-HDyaWjolL_YFWk</f>
        <v>#NAME?</v>
      </c>
      <c r="D3634" t="s">
        <v>208</v>
      </c>
      <c r="E3634">
        <v>4.6920000000000002</v>
      </c>
      <c r="F3634" t="s">
        <v>21</v>
      </c>
      <c r="G3634" t="s">
        <v>361</v>
      </c>
      <c r="H3634" t="s">
        <v>21</v>
      </c>
      <c r="I3634" t="s">
        <v>20</v>
      </c>
      <c r="J3634" t="s">
        <v>20</v>
      </c>
      <c r="K3634" t="s">
        <v>31</v>
      </c>
      <c r="L3634" t="s">
        <v>209</v>
      </c>
      <c r="M3634" t="s">
        <v>131</v>
      </c>
      <c r="N3634">
        <v>40.645955999999998</v>
      </c>
      <c r="O3634">
        <v>-111.495026</v>
      </c>
      <c r="P3634">
        <v>6990.5504069999997</v>
      </c>
      <c r="Q3634">
        <v>357</v>
      </c>
      <c r="R3634">
        <v>0</v>
      </c>
    </row>
    <row r="3635" spans="1:18" x14ac:dyDescent="0.25">
      <c r="A3635">
        <v>3634</v>
      </c>
      <c r="B3635">
        <v>94</v>
      </c>
      <c r="C3635">
        <v>31311462</v>
      </c>
      <c r="D3635" t="s">
        <v>215</v>
      </c>
      <c r="E3635">
        <v>4.6970000000000001</v>
      </c>
      <c r="F3635" t="s">
        <v>21</v>
      </c>
      <c r="G3635" t="s">
        <v>26</v>
      </c>
      <c r="H3635" t="s">
        <v>21</v>
      </c>
      <c r="I3635" t="s">
        <v>20</v>
      </c>
      <c r="J3635" t="s">
        <v>20</v>
      </c>
      <c r="K3635" t="s">
        <v>22</v>
      </c>
      <c r="L3635" t="s">
        <v>23</v>
      </c>
      <c r="M3635" t="s">
        <v>85</v>
      </c>
      <c r="N3635">
        <v>40.271813000000002</v>
      </c>
      <c r="O3635">
        <v>-111.724486</v>
      </c>
      <c r="P3635">
        <v>4469.7358340000001</v>
      </c>
      <c r="Q3635">
        <v>330</v>
      </c>
      <c r="R3635">
        <v>0</v>
      </c>
    </row>
    <row r="3636" spans="1:18" x14ac:dyDescent="0.25">
      <c r="A3636">
        <v>3635</v>
      </c>
      <c r="B3636">
        <v>94</v>
      </c>
      <c r="C3636">
        <v>31302415</v>
      </c>
      <c r="D3636" t="s">
        <v>268</v>
      </c>
      <c r="E3636">
        <v>4.6970000000000001</v>
      </c>
      <c r="F3636" t="s">
        <v>21</v>
      </c>
      <c r="G3636" t="s">
        <v>26</v>
      </c>
      <c r="H3636" t="s">
        <v>21</v>
      </c>
      <c r="I3636" t="s">
        <v>20</v>
      </c>
      <c r="J3636" t="s">
        <v>20</v>
      </c>
      <c r="K3636" t="s">
        <v>41</v>
      </c>
      <c r="L3636" t="s">
        <v>177</v>
      </c>
      <c r="M3636" t="s">
        <v>43</v>
      </c>
      <c r="N3636">
        <v>41.573194000000001</v>
      </c>
      <c r="O3636">
        <v>-112.216978</v>
      </c>
      <c r="P3636">
        <v>4194.2897620000003</v>
      </c>
      <c r="Q3636">
        <v>1380</v>
      </c>
      <c r="R3636">
        <v>0</v>
      </c>
    </row>
    <row r="3637" spans="1:18" x14ac:dyDescent="0.25">
      <c r="A3637">
        <v>3636</v>
      </c>
      <c r="B3637">
        <v>94</v>
      </c>
      <c r="C3637" t="e">
        <f>-IpUedX9HCeTmeZWmglWgk</f>
        <v>#NAME?</v>
      </c>
      <c r="D3637" t="s">
        <v>272</v>
      </c>
      <c r="E3637">
        <v>416.26</v>
      </c>
      <c r="F3637" t="s">
        <v>21</v>
      </c>
      <c r="G3637" t="s">
        <v>26</v>
      </c>
      <c r="H3637" t="s">
        <v>21</v>
      </c>
      <c r="I3637" t="s">
        <v>20</v>
      </c>
      <c r="J3637" t="s">
        <v>20</v>
      </c>
      <c r="K3637" t="s">
        <v>41</v>
      </c>
      <c r="L3637" t="s">
        <v>81</v>
      </c>
      <c r="M3637" t="s">
        <v>46</v>
      </c>
      <c r="N3637">
        <v>41.256258000000003</v>
      </c>
      <c r="O3637">
        <v>-111.96972100000001</v>
      </c>
      <c r="P3637">
        <v>4237.5362420000001</v>
      </c>
      <c r="Q3637">
        <v>1384</v>
      </c>
      <c r="R3637">
        <v>0</v>
      </c>
    </row>
    <row r="3638" spans="1:18" x14ac:dyDescent="0.25">
      <c r="A3638">
        <v>3637</v>
      </c>
      <c r="B3638">
        <v>94</v>
      </c>
      <c r="C3638" t="s">
        <v>620</v>
      </c>
      <c r="D3638" t="s">
        <v>272</v>
      </c>
      <c r="E3638">
        <v>416.38200000000001</v>
      </c>
      <c r="F3638" t="s">
        <v>21</v>
      </c>
      <c r="G3638" t="s">
        <v>26</v>
      </c>
      <c r="H3638" t="s">
        <v>21</v>
      </c>
      <c r="I3638" t="s">
        <v>20</v>
      </c>
      <c r="J3638" t="s">
        <v>20</v>
      </c>
      <c r="K3638" t="s">
        <v>41</v>
      </c>
      <c r="L3638" t="s">
        <v>81</v>
      </c>
      <c r="M3638" t="s">
        <v>46</v>
      </c>
      <c r="N3638">
        <v>41.258014000000003</v>
      </c>
      <c r="O3638">
        <v>-111.96968200000001</v>
      </c>
      <c r="P3638">
        <v>4235.9059649999999</v>
      </c>
      <c r="Q3638">
        <v>1384</v>
      </c>
      <c r="R3638">
        <v>0</v>
      </c>
    </row>
    <row r="3639" spans="1:18" x14ac:dyDescent="0.25">
      <c r="A3639">
        <v>3638</v>
      </c>
      <c r="B3639">
        <v>94</v>
      </c>
      <c r="C3639" t="e">
        <f>-IpUesF4G99LiBwuSTta6V</f>
        <v>#NAME?</v>
      </c>
      <c r="D3639" t="s">
        <v>272</v>
      </c>
      <c r="E3639">
        <v>416.39699999999999</v>
      </c>
      <c r="F3639" t="s">
        <v>21</v>
      </c>
      <c r="G3639" t="s">
        <v>26</v>
      </c>
      <c r="H3639" t="s">
        <v>21</v>
      </c>
      <c r="I3639" t="s">
        <v>20</v>
      </c>
      <c r="J3639" t="s">
        <v>20</v>
      </c>
      <c r="K3639" t="s">
        <v>41</v>
      </c>
      <c r="L3639" t="s">
        <v>81</v>
      </c>
      <c r="M3639" t="s">
        <v>46</v>
      </c>
      <c r="N3639">
        <v>41.258234000000002</v>
      </c>
      <c r="O3639">
        <v>-111.969686</v>
      </c>
      <c r="P3639">
        <v>4235.8238590000001</v>
      </c>
      <c r="Q3639">
        <v>1384</v>
      </c>
      <c r="R3639">
        <v>0</v>
      </c>
    </row>
    <row r="3640" spans="1:18" x14ac:dyDescent="0.25">
      <c r="A3640">
        <v>3639</v>
      </c>
      <c r="B3640">
        <v>94</v>
      </c>
      <c r="C3640" t="e">
        <f>-IpUfH-iGHHZ3zC3fU2hvF</f>
        <v>#NAME?</v>
      </c>
      <c r="D3640" t="s">
        <v>272</v>
      </c>
      <c r="E3640">
        <v>416.46699999999998</v>
      </c>
      <c r="F3640" t="s">
        <v>19</v>
      </c>
      <c r="G3640" t="s">
        <v>20</v>
      </c>
      <c r="H3640" t="s">
        <v>19</v>
      </c>
      <c r="I3640">
        <v>203</v>
      </c>
      <c r="J3640">
        <v>235</v>
      </c>
      <c r="K3640" t="s">
        <v>41</v>
      </c>
      <c r="L3640" t="s">
        <v>81</v>
      </c>
      <c r="M3640" t="s">
        <v>46</v>
      </c>
      <c r="N3640">
        <v>41.259224000000003</v>
      </c>
      <c r="O3640">
        <v>-111.969694</v>
      </c>
      <c r="P3640">
        <v>4235.5892379999996</v>
      </c>
      <c r="Q3640">
        <v>1384</v>
      </c>
      <c r="R3640">
        <v>0</v>
      </c>
    </row>
    <row r="3641" spans="1:18" x14ac:dyDescent="0.25">
      <c r="A3641">
        <v>3640</v>
      </c>
      <c r="B3641">
        <v>94</v>
      </c>
      <c r="C3641" t="e">
        <f>-IpUhdFzGL9QojMpPL2CBV</f>
        <v>#NAME?</v>
      </c>
      <c r="D3641" t="s">
        <v>272</v>
      </c>
      <c r="E3641">
        <v>416.86799999999999</v>
      </c>
      <c r="F3641" t="s">
        <v>21</v>
      </c>
      <c r="G3641" t="s">
        <v>26</v>
      </c>
      <c r="H3641" t="s">
        <v>21</v>
      </c>
      <c r="I3641" t="s">
        <v>20</v>
      </c>
      <c r="J3641" t="s">
        <v>20</v>
      </c>
      <c r="K3641" t="s">
        <v>41</v>
      </c>
      <c r="L3641" t="s">
        <v>81</v>
      </c>
      <c r="M3641" t="s">
        <v>46</v>
      </c>
      <c r="N3641">
        <v>41.264432999999997</v>
      </c>
      <c r="O3641">
        <v>-111.973016</v>
      </c>
      <c r="P3641">
        <v>4229.1984119999997</v>
      </c>
      <c r="Q3641">
        <v>1384</v>
      </c>
      <c r="R3641">
        <v>0</v>
      </c>
    </row>
    <row r="3642" spans="1:18" x14ac:dyDescent="0.25">
      <c r="A3642">
        <v>3641</v>
      </c>
      <c r="B3642">
        <v>94</v>
      </c>
      <c r="C3642">
        <v>31562690</v>
      </c>
      <c r="D3642" t="s">
        <v>172</v>
      </c>
      <c r="E3642">
        <v>4.843</v>
      </c>
      <c r="F3642" t="s">
        <v>21</v>
      </c>
      <c r="G3642" t="s">
        <v>26</v>
      </c>
      <c r="H3642" t="s">
        <v>21</v>
      </c>
      <c r="I3642" t="s">
        <v>20</v>
      </c>
      <c r="J3642" t="s">
        <v>20</v>
      </c>
      <c r="K3642" t="s">
        <v>27</v>
      </c>
      <c r="L3642" t="s">
        <v>173</v>
      </c>
      <c r="M3642" t="s">
        <v>174</v>
      </c>
      <c r="N3642">
        <v>39.534964000000002</v>
      </c>
      <c r="O3642">
        <v>-112.28292</v>
      </c>
      <c r="P3642">
        <v>4664.3656790000005</v>
      </c>
      <c r="Q3642">
        <v>1411</v>
      </c>
      <c r="R3642">
        <v>0</v>
      </c>
    </row>
    <row r="3643" spans="1:18" x14ac:dyDescent="0.25">
      <c r="A3643">
        <v>3642</v>
      </c>
      <c r="B3643">
        <v>94</v>
      </c>
      <c r="C3643" t="e">
        <f>-IoM2rc5GxaaCKxVNlvnQk</f>
        <v>#NAME?</v>
      </c>
      <c r="D3643" t="s">
        <v>304</v>
      </c>
      <c r="E3643">
        <v>4.843</v>
      </c>
      <c r="F3643" t="s">
        <v>21</v>
      </c>
      <c r="G3643" t="s">
        <v>26</v>
      </c>
      <c r="H3643" t="s">
        <v>21</v>
      </c>
      <c r="I3643" t="s">
        <v>20</v>
      </c>
      <c r="J3643" t="s">
        <v>20</v>
      </c>
      <c r="K3643" t="s">
        <v>41</v>
      </c>
      <c r="L3643" t="s">
        <v>177</v>
      </c>
      <c r="M3643" t="s">
        <v>43</v>
      </c>
      <c r="N3643">
        <v>41.592928999999998</v>
      </c>
      <c r="O3643">
        <v>-112.045484</v>
      </c>
      <c r="P3643">
        <v>4211.3863819999997</v>
      </c>
      <c r="Q3643">
        <v>1348</v>
      </c>
      <c r="R3643">
        <v>0</v>
      </c>
    </row>
    <row r="3644" spans="1:18" x14ac:dyDescent="0.25">
      <c r="A3644">
        <v>3643</v>
      </c>
      <c r="B3644">
        <v>94</v>
      </c>
      <c r="C3644">
        <v>533665</v>
      </c>
      <c r="D3644" t="s">
        <v>44</v>
      </c>
      <c r="E3644">
        <v>4.843</v>
      </c>
      <c r="F3644" t="s">
        <v>21</v>
      </c>
      <c r="G3644" t="s">
        <v>26</v>
      </c>
      <c r="H3644" t="s">
        <v>21</v>
      </c>
      <c r="I3644" t="s">
        <v>20</v>
      </c>
      <c r="J3644" t="s">
        <v>20</v>
      </c>
      <c r="K3644" t="s">
        <v>41</v>
      </c>
      <c r="L3644" t="s">
        <v>45</v>
      </c>
      <c r="M3644" t="s">
        <v>46</v>
      </c>
      <c r="N3644">
        <v>40.947319</v>
      </c>
      <c r="O3644">
        <v>-111.88179100000001</v>
      </c>
      <c r="P3644">
        <v>4264.6566789999997</v>
      </c>
      <c r="Q3644">
        <v>1395</v>
      </c>
      <c r="R3644">
        <v>0</v>
      </c>
    </row>
    <row r="3645" spans="1:18" x14ac:dyDescent="0.25">
      <c r="A3645">
        <v>3644</v>
      </c>
      <c r="B3645">
        <v>94</v>
      </c>
      <c r="C3645">
        <v>1153077</v>
      </c>
      <c r="D3645" t="s">
        <v>56</v>
      </c>
      <c r="E3645">
        <v>4.8440000000000003</v>
      </c>
      <c r="F3645" t="s">
        <v>21</v>
      </c>
      <c r="G3645" t="s">
        <v>26</v>
      </c>
      <c r="H3645" t="s">
        <v>21</v>
      </c>
      <c r="I3645" t="s">
        <v>20</v>
      </c>
      <c r="J3645" t="s">
        <v>20</v>
      </c>
      <c r="K3645" t="s">
        <v>41</v>
      </c>
      <c r="L3645" t="s">
        <v>57</v>
      </c>
      <c r="M3645" t="s">
        <v>58</v>
      </c>
      <c r="N3645">
        <v>41.161701999999998</v>
      </c>
      <c r="O3645">
        <v>-112.03082999999999</v>
      </c>
      <c r="P3645">
        <v>4471.4521160000004</v>
      </c>
      <c r="Q3645">
        <v>1459</v>
      </c>
      <c r="R3645">
        <v>0</v>
      </c>
    </row>
    <row r="3646" spans="1:18" x14ac:dyDescent="0.25">
      <c r="A3646">
        <v>3645</v>
      </c>
      <c r="B3646">
        <v>94</v>
      </c>
      <c r="C3646">
        <v>31192412</v>
      </c>
      <c r="D3646" t="s">
        <v>309</v>
      </c>
      <c r="E3646">
        <v>4.8440000000000003</v>
      </c>
      <c r="F3646" t="s">
        <v>21</v>
      </c>
      <c r="G3646" t="s">
        <v>26</v>
      </c>
      <c r="H3646" t="s">
        <v>21</v>
      </c>
      <c r="I3646" t="s">
        <v>20</v>
      </c>
      <c r="J3646" t="s">
        <v>20</v>
      </c>
      <c r="K3646" t="s">
        <v>22</v>
      </c>
      <c r="L3646" t="s">
        <v>198</v>
      </c>
      <c r="M3646" t="s">
        <v>125</v>
      </c>
      <c r="N3646">
        <v>40.097819999999999</v>
      </c>
      <c r="O3646">
        <v>-111.770472</v>
      </c>
      <c r="P3646">
        <v>4443.1566009999997</v>
      </c>
      <c r="Q3646">
        <v>339</v>
      </c>
      <c r="R3646">
        <v>0</v>
      </c>
    </row>
    <row r="3647" spans="1:18" x14ac:dyDescent="0.25">
      <c r="A3647">
        <v>3646</v>
      </c>
      <c r="B3647">
        <v>94</v>
      </c>
      <c r="C3647">
        <v>31814483</v>
      </c>
      <c r="D3647" t="s">
        <v>272</v>
      </c>
      <c r="E3647">
        <v>52.65</v>
      </c>
      <c r="F3647" t="s">
        <v>21</v>
      </c>
      <c r="G3647" t="s">
        <v>26</v>
      </c>
      <c r="H3647" t="s">
        <v>21</v>
      </c>
      <c r="I3647" t="s">
        <v>20</v>
      </c>
      <c r="J3647" t="s">
        <v>20</v>
      </c>
      <c r="K3647" t="s">
        <v>27</v>
      </c>
      <c r="L3647" t="s">
        <v>259</v>
      </c>
      <c r="M3647" t="s">
        <v>214</v>
      </c>
      <c r="N3647">
        <v>37.038262000000003</v>
      </c>
      <c r="O3647">
        <v>-112.33117900000001</v>
      </c>
      <c r="P3647">
        <v>5107.9940559999995</v>
      </c>
      <c r="Q3647">
        <v>1384</v>
      </c>
      <c r="R3647">
        <v>0</v>
      </c>
    </row>
    <row r="3648" spans="1:18" x14ac:dyDescent="0.25">
      <c r="A3648">
        <v>3647</v>
      </c>
      <c r="B3648">
        <v>94</v>
      </c>
      <c r="C3648">
        <v>31345356</v>
      </c>
      <c r="D3648" t="s">
        <v>288</v>
      </c>
      <c r="E3648">
        <v>52.656999999999996</v>
      </c>
      <c r="F3648" t="s">
        <v>21</v>
      </c>
      <c r="G3648" t="s">
        <v>26</v>
      </c>
      <c r="H3648" t="s">
        <v>21</v>
      </c>
      <c r="I3648" t="s">
        <v>20</v>
      </c>
      <c r="J3648" t="s">
        <v>20</v>
      </c>
      <c r="K3648" t="s">
        <v>27</v>
      </c>
      <c r="L3648" t="s">
        <v>327</v>
      </c>
      <c r="M3648" t="s">
        <v>147</v>
      </c>
      <c r="N3648">
        <v>37.641235000000002</v>
      </c>
      <c r="O3648">
        <v>-109.46394600000001</v>
      </c>
      <c r="P3648">
        <v>6071.8258269999997</v>
      </c>
      <c r="Q3648">
        <v>350</v>
      </c>
      <c r="R3648">
        <v>0</v>
      </c>
    </row>
    <row r="3649" spans="1:18" x14ac:dyDescent="0.25">
      <c r="A3649">
        <v>3648</v>
      </c>
      <c r="B3649">
        <v>94</v>
      </c>
      <c r="C3649">
        <v>1374548</v>
      </c>
      <c r="D3649" t="s">
        <v>100</v>
      </c>
      <c r="E3649">
        <v>6.2480000000000002</v>
      </c>
      <c r="F3649" t="s">
        <v>21</v>
      </c>
      <c r="G3649" t="s">
        <v>26</v>
      </c>
      <c r="H3649" t="s">
        <v>21</v>
      </c>
      <c r="I3649" t="s">
        <v>20</v>
      </c>
      <c r="J3649" t="s">
        <v>20</v>
      </c>
      <c r="K3649" t="s">
        <v>41</v>
      </c>
      <c r="L3649" t="s">
        <v>57</v>
      </c>
      <c r="M3649" t="s">
        <v>46</v>
      </c>
      <c r="N3649">
        <v>41.121650000000002</v>
      </c>
      <c r="O3649">
        <v>-112.064517</v>
      </c>
      <c r="P3649">
        <v>4316.0886069999997</v>
      </c>
      <c r="Q3649">
        <v>1396</v>
      </c>
      <c r="R3649">
        <v>0</v>
      </c>
    </row>
    <row r="3650" spans="1:18" x14ac:dyDescent="0.25">
      <c r="A3650">
        <v>3649</v>
      </c>
      <c r="B3650">
        <v>94</v>
      </c>
      <c r="C3650" t="e">
        <f>-IoRiUY8G8quXmJxiMh1Pk</f>
        <v>#NAME?</v>
      </c>
      <c r="D3650" t="s">
        <v>272</v>
      </c>
      <c r="E3650">
        <v>333.09300000000002</v>
      </c>
      <c r="F3650" t="s">
        <v>19</v>
      </c>
      <c r="G3650" t="s">
        <v>20</v>
      </c>
      <c r="H3650" t="s">
        <v>21</v>
      </c>
      <c r="I3650" t="s">
        <v>20</v>
      </c>
      <c r="J3650" t="s">
        <v>20</v>
      </c>
      <c r="K3650" t="s">
        <v>22</v>
      </c>
      <c r="L3650" t="s">
        <v>23</v>
      </c>
      <c r="M3650" t="s">
        <v>125</v>
      </c>
      <c r="N3650">
        <v>40.225163999999999</v>
      </c>
      <c r="O3650">
        <v>-111.643063</v>
      </c>
      <c r="P3650">
        <v>4496.4102270000003</v>
      </c>
      <c r="Q3650">
        <v>1384</v>
      </c>
      <c r="R3650">
        <v>0</v>
      </c>
    </row>
    <row r="3651" spans="1:18" x14ac:dyDescent="0.25">
      <c r="A3651">
        <v>3650</v>
      </c>
      <c r="B3651">
        <v>94</v>
      </c>
      <c r="C3651" t="s">
        <v>621</v>
      </c>
      <c r="D3651" t="s">
        <v>272</v>
      </c>
      <c r="E3651">
        <v>333.16800000000001</v>
      </c>
      <c r="F3651" t="s">
        <v>21</v>
      </c>
      <c r="G3651" t="s">
        <v>26</v>
      </c>
      <c r="H3651" t="s">
        <v>21</v>
      </c>
      <c r="I3651" t="s">
        <v>20</v>
      </c>
      <c r="J3651" t="s">
        <v>20</v>
      </c>
      <c r="K3651" t="s">
        <v>22</v>
      </c>
      <c r="L3651" t="s">
        <v>23</v>
      </c>
      <c r="M3651" t="s">
        <v>125</v>
      </c>
      <c r="N3651">
        <v>40.226103000000002</v>
      </c>
      <c r="O3651">
        <v>-111.643764</v>
      </c>
      <c r="P3651">
        <v>4494.359348</v>
      </c>
      <c r="Q3651">
        <v>1384</v>
      </c>
      <c r="R3651">
        <v>0</v>
      </c>
    </row>
    <row r="3652" spans="1:18" x14ac:dyDescent="0.25">
      <c r="A3652">
        <v>3651</v>
      </c>
      <c r="B3652">
        <v>94</v>
      </c>
      <c r="C3652" t="s">
        <v>622</v>
      </c>
      <c r="D3652" t="s">
        <v>272</v>
      </c>
      <c r="E3652">
        <v>333.24599999999998</v>
      </c>
      <c r="F3652" t="s">
        <v>21</v>
      </c>
      <c r="G3652" t="s">
        <v>26</v>
      </c>
      <c r="H3652" t="s">
        <v>21</v>
      </c>
      <c r="I3652" t="s">
        <v>20</v>
      </c>
      <c r="J3652" t="s">
        <v>20</v>
      </c>
      <c r="K3652" t="s">
        <v>22</v>
      </c>
      <c r="L3652" t="s">
        <v>23</v>
      </c>
      <c r="M3652" t="s">
        <v>125</v>
      </c>
      <c r="N3652">
        <v>40.227077999999999</v>
      </c>
      <c r="O3652">
        <v>-111.64449</v>
      </c>
      <c r="P3652">
        <v>4493.342326</v>
      </c>
      <c r="Q3652">
        <v>1384</v>
      </c>
      <c r="R3652">
        <v>0</v>
      </c>
    </row>
    <row r="3653" spans="1:18" x14ac:dyDescent="0.25">
      <c r="A3653">
        <v>3652</v>
      </c>
      <c r="B3653">
        <v>94</v>
      </c>
      <c r="C3653" t="e">
        <f>-IoRjzFQHfqscnFyd_anxk</f>
        <v>#NAME?</v>
      </c>
      <c r="D3653" t="s">
        <v>272</v>
      </c>
      <c r="E3653">
        <v>333.346</v>
      </c>
      <c r="F3653" t="s">
        <v>21</v>
      </c>
      <c r="G3653" t="s">
        <v>26</v>
      </c>
      <c r="H3653" t="s">
        <v>21</v>
      </c>
      <c r="I3653" t="s">
        <v>20</v>
      </c>
      <c r="J3653" t="s">
        <v>20</v>
      </c>
      <c r="K3653" t="s">
        <v>22</v>
      </c>
      <c r="L3653" t="s">
        <v>23</v>
      </c>
      <c r="M3653" t="s">
        <v>125</v>
      </c>
      <c r="N3653">
        <v>40.228313</v>
      </c>
      <c r="O3653">
        <v>-111.645414</v>
      </c>
      <c r="P3653">
        <v>4492.2505090000004</v>
      </c>
      <c r="Q3653">
        <v>1384</v>
      </c>
      <c r="R3653">
        <v>0</v>
      </c>
    </row>
    <row r="3654" spans="1:18" x14ac:dyDescent="0.25">
      <c r="A3654">
        <v>3653</v>
      </c>
      <c r="B3654">
        <v>94</v>
      </c>
      <c r="C3654" t="s">
        <v>623</v>
      </c>
      <c r="D3654" t="s">
        <v>272</v>
      </c>
      <c r="E3654">
        <v>333.45499999999998</v>
      </c>
      <c r="F3654" t="s">
        <v>19</v>
      </c>
      <c r="G3654" t="s">
        <v>20</v>
      </c>
      <c r="H3654" t="s">
        <v>21</v>
      </c>
      <c r="I3654" t="s">
        <v>20</v>
      </c>
      <c r="J3654" t="s">
        <v>20</v>
      </c>
      <c r="K3654" t="s">
        <v>22</v>
      </c>
      <c r="L3654" t="s">
        <v>23</v>
      </c>
      <c r="M3654" t="s">
        <v>125</v>
      </c>
      <c r="N3654">
        <v>40.229643000000003</v>
      </c>
      <c r="O3654">
        <v>-111.646514</v>
      </c>
      <c r="P3654">
        <v>4489.4096980000004</v>
      </c>
      <c r="Q3654">
        <v>1384</v>
      </c>
      <c r="R3654">
        <v>0</v>
      </c>
    </row>
    <row r="3655" spans="1:18" x14ac:dyDescent="0.25">
      <c r="A3655">
        <v>3654</v>
      </c>
      <c r="B3655">
        <v>94</v>
      </c>
      <c r="C3655" t="e">
        <f>-IoRnUeVIzHgLit2T-PKbF</f>
        <v>#NAME?</v>
      </c>
      <c r="D3655" t="s">
        <v>272</v>
      </c>
      <c r="E3655">
        <v>333.55099999999999</v>
      </c>
      <c r="F3655" t="s">
        <v>21</v>
      </c>
      <c r="G3655" t="s">
        <v>26</v>
      </c>
      <c r="H3655" t="s">
        <v>21</v>
      </c>
      <c r="I3655" t="s">
        <v>20</v>
      </c>
      <c r="J3655" t="s">
        <v>20</v>
      </c>
      <c r="K3655" t="s">
        <v>22</v>
      </c>
      <c r="L3655" t="s">
        <v>23</v>
      </c>
      <c r="M3655" t="s">
        <v>125</v>
      </c>
      <c r="N3655">
        <v>40.229677000000002</v>
      </c>
      <c r="O3655">
        <v>-111.648284</v>
      </c>
      <c r="P3655">
        <v>4488.3086469999998</v>
      </c>
      <c r="Q3655">
        <v>1384</v>
      </c>
      <c r="R3655">
        <v>0</v>
      </c>
    </row>
    <row r="3656" spans="1:18" x14ac:dyDescent="0.25">
      <c r="A3656">
        <v>3655</v>
      </c>
      <c r="B3656">
        <v>94</v>
      </c>
      <c r="C3656" t="s">
        <v>624</v>
      </c>
      <c r="D3656" t="s">
        <v>272</v>
      </c>
      <c r="E3656">
        <v>333.64299999999997</v>
      </c>
      <c r="F3656" t="s">
        <v>21</v>
      </c>
      <c r="G3656" t="s">
        <v>26</v>
      </c>
      <c r="H3656" t="s">
        <v>21</v>
      </c>
      <c r="I3656" t="s">
        <v>20</v>
      </c>
      <c r="J3656" t="s">
        <v>20</v>
      </c>
      <c r="K3656" t="s">
        <v>22</v>
      </c>
      <c r="L3656" t="s">
        <v>23</v>
      </c>
      <c r="M3656" t="s">
        <v>125</v>
      </c>
      <c r="N3656">
        <v>40.229681999999997</v>
      </c>
      <c r="O3656">
        <v>-111.650019</v>
      </c>
      <c r="P3656">
        <v>4486.015155</v>
      </c>
      <c r="Q3656">
        <v>1384</v>
      </c>
      <c r="R3656">
        <v>0</v>
      </c>
    </row>
    <row r="3657" spans="1:18" x14ac:dyDescent="0.25">
      <c r="A3657">
        <v>3656</v>
      </c>
      <c r="B3657">
        <v>94</v>
      </c>
      <c r="C3657" t="e">
        <f>-IpPIxL0GFDqSLsdfsUlfk</f>
        <v>#NAME?</v>
      </c>
      <c r="D3657" t="s">
        <v>272</v>
      </c>
      <c r="E3657">
        <v>403.14100000000002</v>
      </c>
      <c r="F3657" t="s">
        <v>21</v>
      </c>
      <c r="G3657" t="s">
        <v>26</v>
      </c>
      <c r="H3657" t="s">
        <v>21</v>
      </c>
      <c r="I3657" t="s">
        <v>20</v>
      </c>
      <c r="J3657" t="s">
        <v>20</v>
      </c>
      <c r="K3657" t="s">
        <v>41</v>
      </c>
      <c r="L3657" t="s">
        <v>87</v>
      </c>
      <c r="M3657" t="s">
        <v>46</v>
      </c>
      <c r="N3657">
        <v>41.090974000000003</v>
      </c>
      <c r="O3657">
        <v>-111.910639</v>
      </c>
      <c r="P3657">
        <v>4849.8823659999998</v>
      </c>
      <c r="Q3657">
        <v>1384</v>
      </c>
      <c r="R3657">
        <v>0</v>
      </c>
    </row>
    <row r="3658" spans="1:18" x14ac:dyDescent="0.25">
      <c r="A3658">
        <v>3657</v>
      </c>
      <c r="B3658">
        <v>94</v>
      </c>
      <c r="C3658" t="e">
        <f>-IpUSkxgHc1uyjCegwnj7F</f>
        <v>#NAME?</v>
      </c>
      <c r="D3658" t="s">
        <v>272</v>
      </c>
      <c r="E3658">
        <v>415.03699999999998</v>
      </c>
      <c r="F3658" t="s">
        <v>21</v>
      </c>
      <c r="G3658" t="s">
        <v>26</v>
      </c>
      <c r="H3658" t="s">
        <v>21</v>
      </c>
      <c r="I3658" t="s">
        <v>20</v>
      </c>
      <c r="J3658" t="s">
        <v>20</v>
      </c>
      <c r="K3658" t="s">
        <v>41</v>
      </c>
      <c r="L3658" t="s">
        <v>81</v>
      </c>
      <c r="M3658" t="s">
        <v>46</v>
      </c>
      <c r="N3658">
        <v>41.238714000000002</v>
      </c>
      <c r="O3658">
        <v>-111.970077</v>
      </c>
      <c r="P3658">
        <v>4245.0435610000004</v>
      </c>
      <c r="Q3658">
        <v>1384</v>
      </c>
      <c r="R3658">
        <v>0</v>
      </c>
    </row>
    <row r="3659" spans="1:18" x14ac:dyDescent="0.25">
      <c r="A3659">
        <v>3658</v>
      </c>
      <c r="B3659">
        <v>94</v>
      </c>
      <c r="C3659" t="s">
        <v>625</v>
      </c>
      <c r="D3659" t="s">
        <v>272</v>
      </c>
      <c r="E3659">
        <v>415.11399999999998</v>
      </c>
      <c r="F3659" t="s">
        <v>21</v>
      </c>
      <c r="G3659" t="s">
        <v>26</v>
      </c>
      <c r="H3659" t="s">
        <v>21</v>
      </c>
      <c r="I3659" t="s">
        <v>20</v>
      </c>
      <c r="J3659" t="s">
        <v>20</v>
      </c>
      <c r="K3659" t="s">
        <v>41</v>
      </c>
      <c r="L3659" t="s">
        <v>81</v>
      </c>
      <c r="M3659" t="s">
        <v>46</v>
      </c>
      <c r="N3659">
        <v>41.239815999999998</v>
      </c>
      <c r="O3659">
        <v>-111.970046</v>
      </c>
      <c r="P3659">
        <v>4244.8076739999997</v>
      </c>
      <c r="Q3659">
        <v>1384</v>
      </c>
      <c r="R3659">
        <v>0</v>
      </c>
    </row>
    <row r="3660" spans="1:18" x14ac:dyDescent="0.25">
      <c r="A3660">
        <v>3659</v>
      </c>
      <c r="B3660">
        <v>94</v>
      </c>
      <c r="C3660" t="s">
        <v>626</v>
      </c>
      <c r="D3660" t="s">
        <v>272</v>
      </c>
      <c r="E3660">
        <v>415.21699999999998</v>
      </c>
      <c r="F3660" t="s">
        <v>21</v>
      </c>
      <c r="G3660" t="s">
        <v>26</v>
      </c>
      <c r="H3660" t="s">
        <v>21</v>
      </c>
      <c r="I3660" t="s">
        <v>20</v>
      </c>
      <c r="J3660" t="s">
        <v>20</v>
      </c>
      <c r="K3660" t="s">
        <v>41</v>
      </c>
      <c r="L3660" t="s">
        <v>81</v>
      </c>
      <c r="M3660" t="s">
        <v>46</v>
      </c>
      <c r="N3660">
        <v>41.241306999999999</v>
      </c>
      <c r="O3660">
        <v>-111.97002000000001</v>
      </c>
      <c r="P3660">
        <v>4243.7840040000001</v>
      </c>
      <c r="Q3660">
        <v>1384</v>
      </c>
      <c r="R3660">
        <v>0</v>
      </c>
    </row>
    <row r="3661" spans="1:18" x14ac:dyDescent="0.25">
      <c r="A3661">
        <v>3660</v>
      </c>
      <c r="B3661">
        <v>94</v>
      </c>
      <c r="C3661" t="s">
        <v>627</v>
      </c>
      <c r="D3661" t="s">
        <v>272</v>
      </c>
      <c r="E3661">
        <v>415.31200000000001</v>
      </c>
      <c r="F3661" t="s">
        <v>21</v>
      </c>
      <c r="G3661" t="s">
        <v>26</v>
      </c>
      <c r="H3661" t="s">
        <v>21</v>
      </c>
      <c r="I3661" t="s">
        <v>20</v>
      </c>
      <c r="J3661" t="s">
        <v>20</v>
      </c>
      <c r="K3661" t="s">
        <v>41</v>
      </c>
      <c r="L3661" t="s">
        <v>81</v>
      </c>
      <c r="M3661" t="s">
        <v>46</v>
      </c>
      <c r="N3661">
        <v>41.242655999999997</v>
      </c>
      <c r="O3661">
        <v>-111.969989</v>
      </c>
      <c r="P3661">
        <v>4244.645743</v>
      </c>
      <c r="Q3661">
        <v>1384</v>
      </c>
      <c r="R3661">
        <v>0</v>
      </c>
    </row>
    <row r="3662" spans="1:18" x14ac:dyDescent="0.25">
      <c r="A3662">
        <v>3661</v>
      </c>
      <c r="B3662">
        <v>94</v>
      </c>
      <c r="C3662" t="e">
        <f>-IpUU5nDFAPWTVSFns3IKF</f>
        <v>#NAME?</v>
      </c>
      <c r="D3662" t="s">
        <v>272</v>
      </c>
      <c r="E3662">
        <v>415.42700000000002</v>
      </c>
      <c r="F3662" t="s">
        <v>19</v>
      </c>
      <c r="G3662" t="s">
        <v>20</v>
      </c>
      <c r="H3662" t="s">
        <v>19</v>
      </c>
      <c r="I3662">
        <v>39</v>
      </c>
      <c r="J3662" t="s">
        <v>20</v>
      </c>
      <c r="K3662" t="s">
        <v>41</v>
      </c>
      <c r="L3662" t="s">
        <v>81</v>
      </c>
      <c r="M3662" t="s">
        <v>46</v>
      </c>
      <c r="N3662">
        <v>41.244309999999999</v>
      </c>
      <c r="O3662">
        <v>-111.969961</v>
      </c>
      <c r="P3662">
        <v>4245.1660160000001</v>
      </c>
      <c r="Q3662">
        <v>1384</v>
      </c>
      <c r="R3662">
        <v>0</v>
      </c>
    </row>
    <row r="3663" spans="1:18" x14ac:dyDescent="0.25">
      <c r="A3663">
        <v>3662</v>
      </c>
      <c r="B3663">
        <v>94</v>
      </c>
      <c r="C3663" t="e">
        <f>-IpUVX_7I9yHkgDsx6wDiF</f>
        <v>#NAME?</v>
      </c>
      <c r="D3663" t="s">
        <v>272</v>
      </c>
      <c r="E3663">
        <v>415.53699999999998</v>
      </c>
      <c r="F3663" t="s">
        <v>21</v>
      </c>
      <c r="G3663" t="s">
        <v>26</v>
      </c>
      <c r="H3663" t="s">
        <v>21</v>
      </c>
      <c r="I3663" t="s">
        <v>20</v>
      </c>
      <c r="J3663" t="s">
        <v>20</v>
      </c>
      <c r="K3663" t="s">
        <v>41</v>
      </c>
      <c r="L3663" t="s">
        <v>81</v>
      </c>
      <c r="M3663" t="s">
        <v>46</v>
      </c>
      <c r="N3663">
        <v>41.245893000000002</v>
      </c>
      <c r="O3663">
        <v>-111.969928</v>
      </c>
      <c r="P3663">
        <v>4241.6366029999999</v>
      </c>
      <c r="Q3663">
        <v>1384</v>
      </c>
      <c r="R3663">
        <v>0</v>
      </c>
    </row>
    <row r="3664" spans="1:18" x14ac:dyDescent="0.25">
      <c r="A3664">
        <v>3663</v>
      </c>
      <c r="B3664">
        <v>94</v>
      </c>
      <c r="C3664" t="s">
        <v>628</v>
      </c>
      <c r="D3664" t="s">
        <v>272</v>
      </c>
      <c r="E3664">
        <v>415.6</v>
      </c>
      <c r="F3664" t="s">
        <v>21</v>
      </c>
      <c r="G3664" t="s">
        <v>26</v>
      </c>
      <c r="H3664" t="s">
        <v>21</v>
      </c>
      <c r="I3664" t="s">
        <v>20</v>
      </c>
      <c r="J3664" t="s">
        <v>20</v>
      </c>
      <c r="K3664" t="s">
        <v>41</v>
      </c>
      <c r="L3664" t="s">
        <v>81</v>
      </c>
      <c r="M3664" t="s">
        <v>46</v>
      </c>
      <c r="N3664">
        <v>41.246803</v>
      </c>
      <c r="O3664">
        <v>-111.969914</v>
      </c>
      <c r="P3664">
        <v>4240.8100100000001</v>
      </c>
      <c r="Q3664">
        <v>1384</v>
      </c>
      <c r="R3664">
        <v>0</v>
      </c>
    </row>
    <row r="3665" spans="1:18" x14ac:dyDescent="0.25">
      <c r="A3665">
        <v>3664</v>
      </c>
      <c r="B3665">
        <v>94</v>
      </c>
      <c r="C3665">
        <v>31299418</v>
      </c>
      <c r="D3665" t="s">
        <v>203</v>
      </c>
      <c r="E3665">
        <v>6.0979999999999999</v>
      </c>
      <c r="F3665" t="s">
        <v>21</v>
      </c>
      <c r="G3665" t="s">
        <v>26</v>
      </c>
      <c r="H3665" t="s">
        <v>21</v>
      </c>
      <c r="I3665" t="s">
        <v>20</v>
      </c>
      <c r="J3665" t="s">
        <v>20</v>
      </c>
      <c r="K3665" t="s">
        <v>41</v>
      </c>
      <c r="L3665" t="s">
        <v>81</v>
      </c>
      <c r="M3665" t="s">
        <v>204</v>
      </c>
      <c r="N3665">
        <v>41.244340999999999</v>
      </c>
      <c r="O3665">
        <v>-111.975678</v>
      </c>
      <c r="P3665">
        <v>4231.9659380000003</v>
      </c>
      <c r="Q3665">
        <v>1349</v>
      </c>
      <c r="R3665">
        <v>0</v>
      </c>
    </row>
    <row r="3666" spans="1:18" x14ac:dyDescent="0.25">
      <c r="A3666">
        <v>3665</v>
      </c>
      <c r="B3666">
        <v>94</v>
      </c>
      <c r="C3666">
        <v>565229</v>
      </c>
      <c r="D3666" t="s">
        <v>115</v>
      </c>
      <c r="E3666">
        <v>6.11</v>
      </c>
      <c r="F3666" t="s">
        <v>21</v>
      </c>
      <c r="G3666" t="s">
        <v>26</v>
      </c>
      <c r="H3666" t="s">
        <v>21</v>
      </c>
      <c r="I3666" t="s">
        <v>20</v>
      </c>
      <c r="J3666" t="s">
        <v>20</v>
      </c>
      <c r="K3666" t="s">
        <v>31</v>
      </c>
      <c r="L3666" t="s">
        <v>48</v>
      </c>
      <c r="M3666" t="s">
        <v>70</v>
      </c>
      <c r="N3666">
        <v>40.653097000000002</v>
      </c>
      <c r="O3666">
        <v>-111.96087</v>
      </c>
      <c r="P3666">
        <v>4383.8180819999998</v>
      </c>
      <c r="Q3666">
        <v>1437</v>
      </c>
      <c r="R3666">
        <v>0</v>
      </c>
    </row>
    <row r="3667" spans="1:18" x14ac:dyDescent="0.25">
      <c r="A3667">
        <v>3666</v>
      </c>
      <c r="B3667">
        <v>94</v>
      </c>
      <c r="C3667">
        <v>31354222</v>
      </c>
      <c r="D3667" t="s">
        <v>34</v>
      </c>
      <c r="E3667">
        <v>6.1139999999999999</v>
      </c>
      <c r="F3667" t="s">
        <v>21</v>
      </c>
      <c r="G3667" t="s">
        <v>26</v>
      </c>
      <c r="H3667" t="s">
        <v>21</v>
      </c>
      <c r="I3667" t="s">
        <v>20</v>
      </c>
      <c r="J3667" t="s">
        <v>20</v>
      </c>
      <c r="K3667" t="s">
        <v>22</v>
      </c>
      <c r="L3667" t="s">
        <v>35</v>
      </c>
      <c r="M3667" t="s">
        <v>36</v>
      </c>
      <c r="N3667">
        <v>40.506900000000002</v>
      </c>
      <c r="O3667">
        <v>-111.432922</v>
      </c>
      <c r="P3667">
        <v>5477.0832959999998</v>
      </c>
      <c r="Q3667">
        <v>1400</v>
      </c>
      <c r="R3667">
        <v>0</v>
      </c>
    </row>
    <row r="3668" spans="1:18" x14ac:dyDescent="0.25">
      <c r="A3668">
        <v>3667</v>
      </c>
      <c r="B3668">
        <v>94</v>
      </c>
      <c r="C3668" t="s">
        <v>629</v>
      </c>
      <c r="D3668" t="s">
        <v>172</v>
      </c>
      <c r="E3668">
        <v>6.117</v>
      </c>
      <c r="F3668" t="s">
        <v>21</v>
      </c>
      <c r="G3668" t="s">
        <v>26</v>
      </c>
      <c r="H3668" t="s">
        <v>21</v>
      </c>
      <c r="I3668" t="s">
        <v>20</v>
      </c>
      <c r="J3668" t="s">
        <v>20</v>
      </c>
      <c r="K3668" t="s">
        <v>27</v>
      </c>
      <c r="L3668" t="s">
        <v>173</v>
      </c>
      <c r="M3668" t="s">
        <v>174</v>
      </c>
      <c r="N3668">
        <v>39.537779</v>
      </c>
      <c r="O3668">
        <v>-112.25932299999999</v>
      </c>
      <c r="P3668">
        <v>4681.1605870000003</v>
      </c>
      <c r="Q3668">
        <v>1411</v>
      </c>
      <c r="R3668">
        <v>0</v>
      </c>
    </row>
    <row r="3669" spans="1:18" x14ac:dyDescent="0.25">
      <c r="A3669">
        <v>3668</v>
      </c>
      <c r="B3669">
        <v>94</v>
      </c>
      <c r="C3669">
        <v>1054990</v>
      </c>
      <c r="D3669" t="s">
        <v>65</v>
      </c>
      <c r="E3669">
        <v>6.1219999999999999</v>
      </c>
      <c r="F3669" t="s">
        <v>21</v>
      </c>
      <c r="G3669" t="s">
        <v>26</v>
      </c>
      <c r="H3669" t="s">
        <v>21</v>
      </c>
      <c r="I3669" t="s">
        <v>20</v>
      </c>
      <c r="J3669" t="s">
        <v>20</v>
      </c>
      <c r="K3669" t="s">
        <v>31</v>
      </c>
      <c r="L3669" t="s">
        <v>188</v>
      </c>
      <c r="M3669" t="s">
        <v>67</v>
      </c>
      <c r="N3669">
        <v>40.749634999999998</v>
      </c>
      <c r="O3669">
        <v>-111.830522</v>
      </c>
      <c r="P3669">
        <v>4678.2445040000002</v>
      </c>
      <c r="Q3669">
        <v>402</v>
      </c>
      <c r="R3669">
        <v>0</v>
      </c>
    </row>
    <row r="3670" spans="1:18" x14ac:dyDescent="0.25">
      <c r="A3670">
        <v>3669</v>
      </c>
      <c r="B3670">
        <v>94</v>
      </c>
      <c r="C3670">
        <v>1010198</v>
      </c>
      <c r="D3670" t="s">
        <v>65</v>
      </c>
      <c r="E3670">
        <v>6.1219999999999999</v>
      </c>
      <c r="F3670" t="s">
        <v>21</v>
      </c>
      <c r="G3670" t="s">
        <v>26</v>
      </c>
      <c r="H3670" t="s">
        <v>21</v>
      </c>
      <c r="I3670" t="s">
        <v>20</v>
      </c>
      <c r="J3670" t="s">
        <v>20</v>
      </c>
      <c r="K3670" t="s">
        <v>31</v>
      </c>
      <c r="L3670" t="s">
        <v>188</v>
      </c>
      <c r="M3670" t="s">
        <v>67</v>
      </c>
      <c r="N3670">
        <v>40.749631000000001</v>
      </c>
      <c r="O3670">
        <v>-111.830708</v>
      </c>
      <c r="P3670">
        <v>4676.6427640000002</v>
      </c>
      <c r="Q3670">
        <v>402</v>
      </c>
      <c r="R3670">
        <v>0</v>
      </c>
    </row>
    <row r="3671" spans="1:18" x14ac:dyDescent="0.25">
      <c r="A3671">
        <v>3670</v>
      </c>
      <c r="B3671">
        <v>94</v>
      </c>
      <c r="C3671">
        <v>31511626</v>
      </c>
      <c r="D3671" t="s">
        <v>124</v>
      </c>
      <c r="E3671">
        <v>61.615000000000002</v>
      </c>
      <c r="F3671" t="s">
        <v>21</v>
      </c>
      <c r="G3671" t="s">
        <v>26</v>
      </c>
      <c r="H3671" t="s">
        <v>21</v>
      </c>
      <c r="I3671" t="s">
        <v>20</v>
      </c>
      <c r="J3671" t="s">
        <v>20</v>
      </c>
      <c r="K3671" t="s">
        <v>31</v>
      </c>
      <c r="L3671" t="s">
        <v>362</v>
      </c>
      <c r="M3671" t="s">
        <v>365</v>
      </c>
      <c r="N3671">
        <v>40.802778000000004</v>
      </c>
      <c r="O3671">
        <v>-111.939156</v>
      </c>
      <c r="P3671">
        <v>4157.4506279999996</v>
      </c>
      <c r="Q3671">
        <v>1368</v>
      </c>
      <c r="R3671">
        <v>0</v>
      </c>
    </row>
    <row r="3672" spans="1:18" x14ac:dyDescent="0.25">
      <c r="A3672">
        <v>3671</v>
      </c>
      <c r="B3672">
        <v>94</v>
      </c>
      <c r="C3672">
        <v>31589310</v>
      </c>
      <c r="D3672" t="s">
        <v>172</v>
      </c>
      <c r="E3672">
        <v>61.662999999999997</v>
      </c>
      <c r="F3672" t="s">
        <v>21</v>
      </c>
      <c r="G3672" t="s">
        <v>26</v>
      </c>
      <c r="H3672" t="s">
        <v>21</v>
      </c>
      <c r="I3672" t="s">
        <v>20</v>
      </c>
      <c r="J3672" t="s">
        <v>20</v>
      </c>
      <c r="K3672" t="s">
        <v>27</v>
      </c>
      <c r="L3672" t="s">
        <v>230</v>
      </c>
      <c r="M3672" t="s">
        <v>174</v>
      </c>
      <c r="N3672">
        <v>39.441890999999998</v>
      </c>
      <c r="O3672">
        <v>-111.562416</v>
      </c>
      <c r="P3672">
        <v>5429.3002880000004</v>
      </c>
      <c r="Q3672">
        <v>1411</v>
      </c>
      <c r="R3672">
        <v>0</v>
      </c>
    </row>
    <row r="3673" spans="1:18" x14ac:dyDescent="0.25">
      <c r="A3673">
        <v>3672</v>
      </c>
      <c r="B3673">
        <v>94</v>
      </c>
      <c r="C3673">
        <v>31630773</v>
      </c>
      <c r="D3673" t="s">
        <v>121</v>
      </c>
      <c r="E3673">
        <v>61.670999999999999</v>
      </c>
      <c r="F3673" t="s">
        <v>21</v>
      </c>
      <c r="G3673" t="s">
        <v>20</v>
      </c>
      <c r="H3673" t="s">
        <v>21</v>
      </c>
      <c r="I3673" t="s">
        <v>20</v>
      </c>
      <c r="J3673" t="s">
        <v>20</v>
      </c>
      <c r="K3673" t="s">
        <v>27</v>
      </c>
      <c r="L3673" t="s">
        <v>327</v>
      </c>
      <c r="M3673" t="s">
        <v>123</v>
      </c>
      <c r="N3673">
        <v>37.409275999999998</v>
      </c>
      <c r="O3673">
        <v>-110.432304</v>
      </c>
      <c r="P3673">
        <v>5163.4670839999999</v>
      </c>
      <c r="Q3673">
        <v>1283</v>
      </c>
      <c r="R3673">
        <v>0</v>
      </c>
    </row>
    <row r="3674" spans="1:18" x14ac:dyDescent="0.25">
      <c r="A3674">
        <v>3673</v>
      </c>
      <c r="B3674">
        <v>94</v>
      </c>
      <c r="C3674">
        <v>31511637</v>
      </c>
      <c r="D3674" t="s">
        <v>124</v>
      </c>
      <c r="E3674">
        <v>61.813000000000002</v>
      </c>
      <c r="F3674" t="s">
        <v>21</v>
      </c>
      <c r="G3674" t="s">
        <v>26</v>
      </c>
      <c r="H3674" t="s">
        <v>21</v>
      </c>
      <c r="I3674" t="s">
        <v>20</v>
      </c>
      <c r="J3674" t="s">
        <v>20</v>
      </c>
      <c r="K3674" t="s">
        <v>31</v>
      </c>
      <c r="L3674" t="s">
        <v>362</v>
      </c>
      <c r="M3674" t="s">
        <v>365</v>
      </c>
      <c r="N3674">
        <v>40.805664</v>
      </c>
      <c r="O3674">
        <v>-111.939137</v>
      </c>
      <c r="P3674">
        <v>4160.1110410000001</v>
      </c>
      <c r="Q3674">
        <v>1368</v>
      </c>
      <c r="R3674">
        <v>0</v>
      </c>
    </row>
    <row r="3675" spans="1:18" x14ac:dyDescent="0.25">
      <c r="A3675">
        <v>3674</v>
      </c>
      <c r="B3675">
        <v>94</v>
      </c>
      <c r="C3675" t="s">
        <v>630</v>
      </c>
      <c r="D3675" t="s">
        <v>288</v>
      </c>
      <c r="E3675">
        <v>61.856000000000002</v>
      </c>
      <c r="F3675" t="s">
        <v>21</v>
      </c>
      <c r="G3675" t="s">
        <v>20</v>
      </c>
      <c r="H3675" t="s">
        <v>21</v>
      </c>
      <c r="I3675" t="s">
        <v>20</v>
      </c>
      <c r="J3675" t="s">
        <v>20</v>
      </c>
      <c r="K3675" t="s">
        <v>27</v>
      </c>
      <c r="L3675" t="s">
        <v>146</v>
      </c>
      <c r="M3675" t="s">
        <v>147</v>
      </c>
      <c r="N3675">
        <v>37.754010000000001</v>
      </c>
      <c r="O3675">
        <v>-109.398872</v>
      </c>
      <c r="P3675">
        <v>7180.1191680000002</v>
      </c>
      <c r="Q3675">
        <v>350</v>
      </c>
      <c r="R3675">
        <v>0</v>
      </c>
    </row>
    <row r="3676" spans="1:18" x14ac:dyDescent="0.25">
      <c r="A3676">
        <v>3675</v>
      </c>
      <c r="B3676">
        <v>94</v>
      </c>
      <c r="C3676" t="e">
        <f>-IowSXfPHvyLP5za3GcrBF</f>
        <v>#NAME?</v>
      </c>
      <c r="D3676" t="s">
        <v>316</v>
      </c>
      <c r="E3676">
        <v>61.887</v>
      </c>
      <c r="F3676" t="s">
        <v>21</v>
      </c>
      <c r="G3676" t="s">
        <v>20</v>
      </c>
      <c r="H3676" t="s">
        <v>21</v>
      </c>
      <c r="I3676" t="s">
        <v>20</v>
      </c>
      <c r="J3676" t="s">
        <v>20</v>
      </c>
      <c r="K3676" t="s">
        <v>22</v>
      </c>
      <c r="L3676" t="s">
        <v>168</v>
      </c>
      <c r="M3676" t="s">
        <v>302</v>
      </c>
      <c r="N3676">
        <v>40.248218000000001</v>
      </c>
      <c r="O3676">
        <v>-110.38925399999999</v>
      </c>
      <c r="P3676">
        <v>5941.1734390000001</v>
      </c>
      <c r="Q3676">
        <v>1346</v>
      </c>
      <c r="R3676">
        <v>0</v>
      </c>
    </row>
    <row r="3677" spans="1:18" x14ac:dyDescent="0.25">
      <c r="A3677">
        <v>3676</v>
      </c>
      <c r="B3677">
        <v>94</v>
      </c>
      <c r="C3677">
        <v>31511648</v>
      </c>
      <c r="D3677" t="s">
        <v>124</v>
      </c>
      <c r="E3677">
        <v>61.917000000000002</v>
      </c>
      <c r="F3677" t="s">
        <v>21</v>
      </c>
      <c r="G3677" t="s">
        <v>26</v>
      </c>
      <c r="H3677" t="s">
        <v>21</v>
      </c>
      <c r="I3677" t="s">
        <v>20</v>
      </c>
      <c r="J3677" t="s">
        <v>20</v>
      </c>
      <c r="K3677" t="s">
        <v>31</v>
      </c>
      <c r="L3677" t="s">
        <v>362</v>
      </c>
      <c r="M3677" t="s">
        <v>365</v>
      </c>
      <c r="N3677">
        <v>40.807172999999999</v>
      </c>
      <c r="O3677">
        <v>-111.93910200000001</v>
      </c>
      <c r="P3677">
        <v>4162.859571</v>
      </c>
      <c r="Q3677">
        <v>1368</v>
      </c>
      <c r="R3677">
        <v>0</v>
      </c>
    </row>
    <row r="3678" spans="1:18" x14ac:dyDescent="0.25">
      <c r="A3678">
        <v>3677</v>
      </c>
      <c r="B3678">
        <v>94</v>
      </c>
      <c r="C3678">
        <v>31434585</v>
      </c>
      <c r="D3678" t="s">
        <v>221</v>
      </c>
      <c r="E3678">
        <v>40.348999999999997</v>
      </c>
      <c r="F3678" t="s">
        <v>21</v>
      </c>
      <c r="G3678" t="s">
        <v>26</v>
      </c>
      <c r="H3678" t="s">
        <v>21</v>
      </c>
      <c r="I3678" t="s">
        <v>20</v>
      </c>
      <c r="J3678" t="s">
        <v>20</v>
      </c>
      <c r="K3678" t="s">
        <v>22</v>
      </c>
      <c r="L3678" t="s">
        <v>155</v>
      </c>
      <c r="M3678" t="s">
        <v>174</v>
      </c>
      <c r="N3678">
        <v>39.703969999999998</v>
      </c>
      <c r="O3678">
        <v>-111.836127</v>
      </c>
      <c r="P3678">
        <v>5069.4770799999997</v>
      </c>
      <c r="Q3678">
        <v>1342</v>
      </c>
      <c r="R3678">
        <v>0</v>
      </c>
    </row>
    <row r="3679" spans="1:18" x14ac:dyDescent="0.25">
      <c r="A3679">
        <v>3678</v>
      </c>
      <c r="B3679">
        <v>94</v>
      </c>
      <c r="C3679">
        <v>1018058</v>
      </c>
      <c r="D3679" t="s">
        <v>65</v>
      </c>
      <c r="E3679">
        <v>4.4089999999999998</v>
      </c>
      <c r="F3679" t="s">
        <v>21</v>
      </c>
      <c r="G3679" t="s">
        <v>26</v>
      </c>
      <c r="H3679" t="s">
        <v>21</v>
      </c>
      <c r="I3679" t="s">
        <v>20</v>
      </c>
      <c r="J3679" t="s">
        <v>20</v>
      </c>
      <c r="K3679" t="s">
        <v>31</v>
      </c>
      <c r="L3679" t="s">
        <v>66</v>
      </c>
      <c r="M3679" t="s">
        <v>67</v>
      </c>
      <c r="N3679">
        <v>40.758384999999997</v>
      </c>
      <c r="O3679">
        <v>-111.85674</v>
      </c>
      <c r="P3679">
        <v>4484.4701240000004</v>
      </c>
      <c r="Q3679">
        <v>402</v>
      </c>
      <c r="R3679">
        <v>0</v>
      </c>
    </row>
    <row r="3680" spans="1:18" x14ac:dyDescent="0.25">
      <c r="A3680">
        <v>3679</v>
      </c>
      <c r="B3680">
        <v>94</v>
      </c>
      <c r="C3680">
        <v>31759463</v>
      </c>
      <c r="D3680" t="s">
        <v>65</v>
      </c>
      <c r="E3680">
        <v>4.415</v>
      </c>
      <c r="F3680" t="s">
        <v>21</v>
      </c>
      <c r="G3680" t="s">
        <v>26</v>
      </c>
      <c r="H3680" t="s">
        <v>21</v>
      </c>
      <c r="I3680" t="s">
        <v>20</v>
      </c>
      <c r="J3680" t="s">
        <v>20</v>
      </c>
      <c r="K3680" t="s">
        <v>31</v>
      </c>
      <c r="L3680" t="s">
        <v>66</v>
      </c>
      <c r="M3680" t="s">
        <v>67</v>
      </c>
      <c r="N3680">
        <v>40.758569999999999</v>
      </c>
      <c r="O3680">
        <v>-111.85662600000001</v>
      </c>
      <c r="P3680">
        <v>4487.0620660000004</v>
      </c>
      <c r="Q3680">
        <v>402</v>
      </c>
      <c r="R3680">
        <v>0</v>
      </c>
    </row>
    <row r="3681" spans="1:18" x14ac:dyDescent="0.25">
      <c r="A3681">
        <v>3680</v>
      </c>
      <c r="B3681">
        <v>94</v>
      </c>
      <c r="C3681">
        <v>1147459</v>
      </c>
      <c r="D3681" t="s">
        <v>56</v>
      </c>
      <c r="E3681">
        <v>4.415</v>
      </c>
      <c r="F3681" t="s">
        <v>21</v>
      </c>
      <c r="G3681" t="s">
        <v>26</v>
      </c>
      <c r="H3681" t="s">
        <v>21</v>
      </c>
      <c r="I3681" t="s">
        <v>20</v>
      </c>
      <c r="J3681" t="s">
        <v>20</v>
      </c>
      <c r="K3681" t="s">
        <v>41</v>
      </c>
      <c r="L3681" t="s">
        <v>57</v>
      </c>
      <c r="M3681" t="s">
        <v>58</v>
      </c>
      <c r="N3681">
        <v>41.161672000000003</v>
      </c>
      <c r="O3681">
        <v>-112.039012</v>
      </c>
      <c r="P3681">
        <v>4400.4278629999999</v>
      </c>
      <c r="Q3681">
        <v>1459</v>
      </c>
      <c r="R3681">
        <v>0</v>
      </c>
    </row>
    <row r="3682" spans="1:18" x14ac:dyDescent="0.25">
      <c r="A3682">
        <v>3681</v>
      </c>
      <c r="B3682">
        <v>94</v>
      </c>
      <c r="C3682">
        <v>1447775</v>
      </c>
      <c r="D3682" t="s">
        <v>109</v>
      </c>
      <c r="E3682">
        <v>4.4169999999999998</v>
      </c>
      <c r="F3682" t="s">
        <v>21</v>
      </c>
      <c r="G3682" t="s">
        <v>26</v>
      </c>
      <c r="H3682" t="s">
        <v>21</v>
      </c>
      <c r="I3682" t="s">
        <v>20</v>
      </c>
      <c r="J3682" t="s">
        <v>20</v>
      </c>
      <c r="K3682" t="s">
        <v>41</v>
      </c>
      <c r="L3682" t="s">
        <v>42</v>
      </c>
      <c r="M3682" t="s">
        <v>73</v>
      </c>
      <c r="N3682">
        <v>41.626224000000001</v>
      </c>
      <c r="O3682">
        <v>-111.832643</v>
      </c>
      <c r="P3682">
        <v>4750.2768189999997</v>
      </c>
      <c r="Q3682">
        <v>345</v>
      </c>
      <c r="R3682">
        <v>0</v>
      </c>
    </row>
    <row r="3683" spans="1:18" x14ac:dyDescent="0.25">
      <c r="A3683">
        <v>3682</v>
      </c>
      <c r="B3683">
        <v>94</v>
      </c>
      <c r="C3683">
        <v>784261</v>
      </c>
      <c r="D3683" t="s">
        <v>68</v>
      </c>
      <c r="E3683">
        <v>4.4189999999999996</v>
      </c>
      <c r="F3683" t="s">
        <v>19</v>
      </c>
      <c r="G3683" t="s">
        <v>20</v>
      </c>
      <c r="H3683" t="s">
        <v>19</v>
      </c>
      <c r="I3683">
        <v>71</v>
      </c>
      <c r="J3683" t="s">
        <v>20</v>
      </c>
      <c r="K3683" t="s">
        <v>31</v>
      </c>
      <c r="L3683" t="s">
        <v>69</v>
      </c>
      <c r="M3683" t="s">
        <v>70</v>
      </c>
      <c r="N3683">
        <v>40.674357999999998</v>
      </c>
      <c r="O3683">
        <v>-111.87147299999999</v>
      </c>
      <c r="P3683">
        <v>4248.7184189999998</v>
      </c>
      <c r="Q3683">
        <v>431</v>
      </c>
      <c r="R3683">
        <v>0</v>
      </c>
    </row>
    <row r="3684" spans="1:18" x14ac:dyDescent="0.25">
      <c r="A3684">
        <v>3683</v>
      </c>
      <c r="B3684">
        <v>94</v>
      </c>
      <c r="C3684">
        <v>31769149</v>
      </c>
      <c r="D3684" t="s">
        <v>118</v>
      </c>
      <c r="E3684">
        <v>71.828999999999994</v>
      </c>
      <c r="F3684" t="s">
        <v>21</v>
      </c>
      <c r="G3684" t="s">
        <v>20</v>
      </c>
      <c r="H3684" t="s">
        <v>21</v>
      </c>
      <c r="I3684" t="s">
        <v>20</v>
      </c>
      <c r="J3684" t="s">
        <v>20</v>
      </c>
      <c r="K3684" t="s">
        <v>22</v>
      </c>
      <c r="L3684" t="s">
        <v>253</v>
      </c>
      <c r="M3684" t="s">
        <v>120</v>
      </c>
      <c r="N3684">
        <v>40.186075000000002</v>
      </c>
      <c r="O3684">
        <v>-110.669533</v>
      </c>
      <c r="P3684">
        <v>6780.2920940000004</v>
      </c>
      <c r="Q3684">
        <v>310</v>
      </c>
      <c r="R3684">
        <v>0</v>
      </c>
    </row>
    <row r="3685" spans="1:18" x14ac:dyDescent="0.25">
      <c r="A3685">
        <v>3684</v>
      </c>
      <c r="B3685">
        <v>94</v>
      </c>
      <c r="C3685">
        <v>28697742</v>
      </c>
      <c r="D3685" t="s">
        <v>142</v>
      </c>
      <c r="E3685">
        <v>71.855999999999995</v>
      </c>
      <c r="F3685" t="s">
        <v>21</v>
      </c>
      <c r="G3685" t="s">
        <v>20</v>
      </c>
      <c r="H3685" t="s">
        <v>21</v>
      </c>
      <c r="I3685" t="s">
        <v>20</v>
      </c>
      <c r="J3685" t="s">
        <v>20</v>
      </c>
      <c r="K3685" t="s">
        <v>27</v>
      </c>
      <c r="L3685" t="s">
        <v>143</v>
      </c>
      <c r="M3685" t="s">
        <v>106</v>
      </c>
      <c r="N3685">
        <v>38.420516999999997</v>
      </c>
      <c r="O3685">
        <v>-113.098471</v>
      </c>
      <c r="P3685">
        <v>5305.4059349999998</v>
      </c>
      <c r="Q3685">
        <v>305</v>
      </c>
      <c r="R3685">
        <v>0</v>
      </c>
    </row>
    <row r="3686" spans="1:18" x14ac:dyDescent="0.25">
      <c r="A3686">
        <v>3685</v>
      </c>
      <c r="B3686">
        <v>94</v>
      </c>
      <c r="C3686">
        <v>31361717</v>
      </c>
      <c r="D3686" t="s">
        <v>288</v>
      </c>
      <c r="E3686">
        <v>71.856999999999999</v>
      </c>
      <c r="F3686" t="s">
        <v>19</v>
      </c>
      <c r="G3686" t="s">
        <v>20</v>
      </c>
      <c r="H3686" t="s">
        <v>19</v>
      </c>
      <c r="I3686">
        <v>491</v>
      </c>
      <c r="J3686" t="s">
        <v>20</v>
      </c>
      <c r="K3686" t="s">
        <v>27</v>
      </c>
      <c r="L3686" t="s">
        <v>146</v>
      </c>
      <c r="M3686" t="s">
        <v>147</v>
      </c>
      <c r="N3686">
        <v>37.872638000000002</v>
      </c>
      <c r="O3686">
        <v>-109.342856</v>
      </c>
      <c r="P3686">
        <v>7006.5704690000002</v>
      </c>
      <c r="Q3686">
        <v>350</v>
      </c>
      <c r="R3686">
        <v>0</v>
      </c>
    </row>
    <row r="3687" spans="1:18" x14ac:dyDescent="0.25">
      <c r="A3687">
        <v>3686</v>
      </c>
      <c r="B3687">
        <v>94</v>
      </c>
      <c r="C3687">
        <v>31848485</v>
      </c>
      <c r="D3687" t="s">
        <v>272</v>
      </c>
      <c r="E3687">
        <v>71.896000000000001</v>
      </c>
      <c r="F3687" t="s">
        <v>21</v>
      </c>
      <c r="G3687" t="s">
        <v>26</v>
      </c>
      <c r="H3687" t="s">
        <v>21</v>
      </c>
      <c r="I3687" t="s">
        <v>20</v>
      </c>
      <c r="J3687" t="s">
        <v>20</v>
      </c>
      <c r="K3687" t="s">
        <v>27</v>
      </c>
      <c r="L3687" t="s">
        <v>259</v>
      </c>
      <c r="M3687" t="s">
        <v>214</v>
      </c>
      <c r="N3687">
        <v>37.145242000000003</v>
      </c>
      <c r="O3687">
        <v>-112.568279</v>
      </c>
      <c r="P3687">
        <v>5447.125943</v>
      </c>
      <c r="Q3687">
        <v>1384</v>
      </c>
      <c r="R3687">
        <v>0</v>
      </c>
    </row>
    <row r="3688" spans="1:18" x14ac:dyDescent="0.25">
      <c r="A3688">
        <v>3687</v>
      </c>
      <c r="B3688">
        <v>94</v>
      </c>
      <c r="C3688">
        <v>31416312</v>
      </c>
      <c r="D3688" t="s">
        <v>288</v>
      </c>
      <c r="E3688">
        <v>71.948999999999998</v>
      </c>
      <c r="F3688" t="s">
        <v>21</v>
      </c>
      <c r="G3688" t="s">
        <v>26</v>
      </c>
      <c r="H3688" t="s">
        <v>21</v>
      </c>
      <c r="I3688" t="s">
        <v>20</v>
      </c>
      <c r="J3688" t="s">
        <v>20</v>
      </c>
      <c r="K3688" t="s">
        <v>27</v>
      </c>
      <c r="L3688" t="s">
        <v>146</v>
      </c>
      <c r="M3688" t="s">
        <v>147</v>
      </c>
      <c r="N3688">
        <v>37.873970999999997</v>
      </c>
      <c r="O3688">
        <v>-109.342895</v>
      </c>
      <c r="P3688">
        <v>7001.340674</v>
      </c>
      <c r="Q3688">
        <v>350</v>
      </c>
      <c r="R3688">
        <v>0</v>
      </c>
    </row>
    <row r="3689" spans="1:18" x14ac:dyDescent="0.25">
      <c r="A3689">
        <v>3688</v>
      </c>
      <c r="B3689">
        <v>94</v>
      </c>
      <c r="C3689">
        <v>31498046</v>
      </c>
      <c r="D3689" t="s">
        <v>124</v>
      </c>
      <c r="E3689">
        <v>53.969000000000001</v>
      </c>
      <c r="F3689" t="s">
        <v>21</v>
      </c>
      <c r="G3689" t="s">
        <v>20</v>
      </c>
      <c r="H3689" t="s">
        <v>21</v>
      </c>
      <c r="I3689" t="s">
        <v>20</v>
      </c>
      <c r="J3689" t="s">
        <v>20</v>
      </c>
      <c r="K3689" t="s">
        <v>31</v>
      </c>
      <c r="L3689" t="s">
        <v>69</v>
      </c>
      <c r="M3689" t="s">
        <v>125</v>
      </c>
      <c r="N3689">
        <v>40.691704999999999</v>
      </c>
      <c r="O3689">
        <v>-111.93886999999999</v>
      </c>
      <c r="P3689">
        <v>4205.2377980000001</v>
      </c>
      <c r="Q3689">
        <v>1368</v>
      </c>
      <c r="R3689">
        <v>0</v>
      </c>
    </row>
    <row r="3690" spans="1:18" x14ac:dyDescent="0.25">
      <c r="A3690">
        <v>3689</v>
      </c>
      <c r="B3690">
        <v>94</v>
      </c>
      <c r="C3690">
        <v>31733876</v>
      </c>
      <c r="D3690" t="s">
        <v>118</v>
      </c>
      <c r="E3690">
        <v>53.987000000000002</v>
      </c>
      <c r="F3690" t="s">
        <v>21</v>
      </c>
      <c r="G3690" t="s">
        <v>20</v>
      </c>
      <c r="H3690" t="s">
        <v>21</v>
      </c>
      <c r="I3690" t="s">
        <v>20</v>
      </c>
      <c r="J3690" t="s">
        <v>20</v>
      </c>
      <c r="K3690" t="s">
        <v>22</v>
      </c>
      <c r="L3690" t="s">
        <v>119</v>
      </c>
      <c r="M3690" t="s">
        <v>120</v>
      </c>
      <c r="N3690">
        <v>40.204956000000003</v>
      </c>
      <c r="O3690">
        <v>-110.974698</v>
      </c>
      <c r="P3690">
        <v>7281.834288</v>
      </c>
      <c r="Q3690">
        <v>310</v>
      </c>
      <c r="R3690">
        <v>0</v>
      </c>
    </row>
    <row r="3691" spans="1:18" x14ac:dyDescent="0.25">
      <c r="A3691">
        <v>3690</v>
      </c>
      <c r="B3691">
        <v>94</v>
      </c>
      <c r="C3691">
        <v>31303638</v>
      </c>
      <c r="D3691" t="s">
        <v>316</v>
      </c>
      <c r="E3691">
        <v>54.043999999999997</v>
      </c>
      <c r="F3691" t="s">
        <v>21</v>
      </c>
      <c r="G3691" t="s">
        <v>20</v>
      </c>
      <c r="H3691" t="s">
        <v>21</v>
      </c>
      <c r="I3691" t="s">
        <v>20</v>
      </c>
      <c r="J3691" t="s">
        <v>20</v>
      </c>
      <c r="K3691" t="s">
        <v>22</v>
      </c>
      <c r="L3691" t="s">
        <v>168</v>
      </c>
      <c r="M3691" t="s">
        <v>302</v>
      </c>
      <c r="N3691">
        <v>40.296565000000001</v>
      </c>
      <c r="O3691">
        <v>-110.515629</v>
      </c>
      <c r="P3691">
        <v>6002.666663</v>
      </c>
      <c r="Q3691">
        <v>1346</v>
      </c>
      <c r="R3691">
        <v>0</v>
      </c>
    </row>
    <row r="3692" spans="1:18" x14ac:dyDescent="0.25">
      <c r="A3692">
        <v>3691</v>
      </c>
      <c r="B3692">
        <v>94</v>
      </c>
      <c r="C3692">
        <v>28705330</v>
      </c>
      <c r="D3692" t="s">
        <v>142</v>
      </c>
      <c r="E3692">
        <v>74.760999999999996</v>
      </c>
      <c r="F3692" t="s">
        <v>21</v>
      </c>
      <c r="G3692" t="s">
        <v>20</v>
      </c>
      <c r="H3692" t="s">
        <v>21</v>
      </c>
      <c r="I3692" t="s">
        <v>20</v>
      </c>
      <c r="J3692" t="s">
        <v>20</v>
      </c>
      <c r="K3692" t="s">
        <v>27</v>
      </c>
      <c r="L3692" t="s">
        <v>143</v>
      </c>
      <c r="M3692" t="s">
        <v>106</v>
      </c>
      <c r="N3692">
        <v>38.405628</v>
      </c>
      <c r="O3692">
        <v>-113.04826300000001</v>
      </c>
      <c r="P3692">
        <v>5048.688838</v>
      </c>
      <c r="Q3692">
        <v>305</v>
      </c>
      <c r="R3692">
        <v>0</v>
      </c>
    </row>
    <row r="3693" spans="1:18" x14ac:dyDescent="0.25">
      <c r="A3693">
        <v>3692</v>
      </c>
      <c r="B3693">
        <v>94</v>
      </c>
      <c r="C3693" t="e">
        <f>-JQrQttVGdDI7kwbeSm9dF</f>
        <v>#NAME?</v>
      </c>
      <c r="D3693" t="s">
        <v>272</v>
      </c>
      <c r="E3693">
        <v>80.677999999999997</v>
      </c>
      <c r="F3693" t="s">
        <v>21</v>
      </c>
      <c r="G3693" t="s">
        <v>26</v>
      </c>
      <c r="H3693" t="s">
        <v>21</v>
      </c>
      <c r="I3693" t="s">
        <v>20</v>
      </c>
      <c r="J3693" t="s">
        <v>20</v>
      </c>
      <c r="K3693" t="s">
        <v>27</v>
      </c>
      <c r="L3693" t="s">
        <v>279</v>
      </c>
      <c r="M3693" t="s">
        <v>214</v>
      </c>
      <c r="N3693">
        <v>37.215845000000002</v>
      </c>
      <c r="O3693">
        <v>-112.68409200000001</v>
      </c>
      <c r="P3693">
        <v>5098.0805419999997</v>
      </c>
      <c r="Q3693">
        <v>1384</v>
      </c>
      <c r="R3693">
        <v>0</v>
      </c>
    </row>
    <row r="3694" spans="1:18" x14ac:dyDescent="0.25">
      <c r="A3694">
        <v>3693</v>
      </c>
      <c r="B3694">
        <v>94</v>
      </c>
      <c r="C3694" t="e">
        <f>-JQrRDkRH5q8yZ6f6zXVok</f>
        <v>#NAME?</v>
      </c>
      <c r="D3694" t="s">
        <v>272</v>
      </c>
      <c r="E3694">
        <v>80.692999999999998</v>
      </c>
      <c r="F3694" t="s">
        <v>21</v>
      </c>
      <c r="G3694" t="s">
        <v>26</v>
      </c>
      <c r="H3694" t="s">
        <v>21</v>
      </c>
      <c r="I3694" t="s">
        <v>20</v>
      </c>
      <c r="J3694" t="s">
        <v>20</v>
      </c>
      <c r="K3694" t="s">
        <v>27</v>
      </c>
      <c r="L3694" t="s">
        <v>279</v>
      </c>
      <c r="M3694" t="s">
        <v>214</v>
      </c>
      <c r="N3694">
        <v>37.216059000000001</v>
      </c>
      <c r="O3694">
        <v>-112.68401299999999</v>
      </c>
      <c r="P3694">
        <v>5098.6991180000005</v>
      </c>
      <c r="Q3694">
        <v>1384</v>
      </c>
      <c r="R3694">
        <v>0</v>
      </c>
    </row>
    <row r="3695" spans="1:18" x14ac:dyDescent="0.25">
      <c r="A3695">
        <v>3694</v>
      </c>
      <c r="B3695">
        <v>94</v>
      </c>
      <c r="C3695" t="e">
        <f>-JQrS12cI9msvpdaS7L3nV</f>
        <v>#NAME?</v>
      </c>
      <c r="D3695" t="s">
        <v>272</v>
      </c>
      <c r="E3695">
        <v>80.808999999999997</v>
      </c>
      <c r="F3695" t="s">
        <v>21</v>
      </c>
      <c r="G3695" t="s">
        <v>20</v>
      </c>
      <c r="H3695" t="s">
        <v>21</v>
      </c>
      <c r="I3695" t="s">
        <v>20</v>
      </c>
      <c r="J3695" t="s">
        <v>20</v>
      </c>
      <c r="K3695" t="s">
        <v>27</v>
      </c>
      <c r="L3695" t="s">
        <v>279</v>
      </c>
      <c r="M3695" t="s">
        <v>214</v>
      </c>
      <c r="N3695">
        <v>37.217672999999998</v>
      </c>
      <c r="O3695">
        <v>-112.683391</v>
      </c>
      <c r="P3695">
        <v>5104.0949819999996</v>
      </c>
      <c r="Q3695">
        <v>1384</v>
      </c>
      <c r="R3695">
        <v>0</v>
      </c>
    </row>
    <row r="3696" spans="1:18" x14ac:dyDescent="0.25">
      <c r="A3696">
        <v>3695</v>
      </c>
      <c r="B3696">
        <v>94</v>
      </c>
      <c r="C3696">
        <v>31545467</v>
      </c>
      <c r="D3696" t="s">
        <v>213</v>
      </c>
      <c r="E3696">
        <v>80.885999999999996</v>
      </c>
      <c r="F3696" t="s">
        <v>21</v>
      </c>
      <c r="G3696" t="s">
        <v>26</v>
      </c>
      <c r="H3696" t="s">
        <v>21</v>
      </c>
      <c r="I3696" t="s">
        <v>20</v>
      </c>
      <c r="J3696" t="s">
        <v>20</v>
      </c>
      <c r="K3696" t="s">
        <v>27</v>
      </c>
      <c r="L3696" t="s">
        <v>173</v>
      </c>
      <c r="M3696" t="s">
        <v>214</v>
      </c>
      <c r="N3696">
        <v>39.330897</v>
      </c>
      <c r="O3696">
        <v>-112.708556</v>
      </c>
      <c r="P3696">
        <v>4511.4246629999998</v>
      </c>
      <c r="Q3696">
        <v>1332</v>
      </c>
      <c r="R3696">
        <v>0</v>
      </c>
    </row>
    <row r="3697" spans="1:18" x14ac:dyDescent="0.25">
      <c r="A3697">
        <v>3696</v>
      </c>
      <c r="B3697">
        <v>94</v>
      </c>
      <c r="C3697">
        <v>31372194</v>
      </c>
      <c r="D3697" t="s">
        <v>142</v>
      </c>
      <c r="E3697">
        <v>81.123999999999995</v>
      </c>
      <c r="F3697" t="s">
        <v>21</v>
      </c>
      <c r="G3697" t="s">
        <v>26</v>
      </c>
      <c r="H3697" t="s">
        <v>21</v>
      </c>
      <c r="I3697" t="s">
        <v>20</v>
      </c>
      <c r="J3697" t="s">
        <v>20</v>
      </c>
      <c r="K3697" t="s">
        <v>27</v>
      </c>
      <c r="L3697" t="s">
        <v>143</v>
      </c>
      <c r="M3697" t="s">
        <v>106</v>
      </c>
      <c r="N3697">
        <v>38.346074000000002</v>
      </c>
      <c r="O3697">
        <v>-112.98119</v>
      </c>
      <c r="P3697">
        <v>4961.3872659999997</v>
      </c>
      <c r="Q3697">
        <v>305</v>
      </c>
      <c r="R3697">
        <v>0</v>
      </c>
    </row>
    <row r="3698" spans="1:18" x14ac:dyDescent="0.25">
      <c r="A3698">
        <v>3697</v>
      </c>
      <c r="B3698">
        <v>94</v>
      </c>
      <c r="C3698" t="e">
        <f>-JOio_-wHAXNxS8SJ8Ly3k</f>
        <v>#NAME?</v>
      </c>
      <c r="D3698" t="s">
        <v>244</v>
      </c>
      <c r="E3698">
        <v>81.156000000000006</v>
      </c>
      <c r="F3698" t="s">
        <v>21</v>
      </c>
      <c r="G3698" t="s">
        <v>26</v>
      </c>
      <c r="H3698" t="s">
        <v>21</v>
      </c>
      <c r="I3698" t="s">
        <v>20</v>
      </c>
      <c r="J3698" t="s">
        <v>20</v>
      </c>
      <c r="K3698" t="s">
        <v>27</v>
      </c>
      <c r="L3698" t="s">
        <v>266</v>
      </c>
      <c r="M3698" t="s">
        <v>270</v>
      </c>
      <c r="N3698">
        <v>38.288606999999999</v>
      </c>
      <c r="O3698">
        <v>-111.22859</v>
      </c>
      <c r="P3698">
        <v>5279.8611989999999</v>
      </c>
      <c r="Q3698">
        <v>1340</v>
      </c>
      <c r="R3698">
        <v>0</v>
      </c>
    </row>
    <row r="3699" spans="1:18" x14ac:dyDescent="0.25">
      <c r="A3699">
        <v>3698</v>
      </c>
      <c r="B3699">
        <v>94</v>
      </c>
      <c r="C3699">
        <v>31815929</v>
      </c>
      <c r="D3699" t="s">
        <v>61</v>
      </c>
      <c r="E3699">
        <v>8.4160000000000004</v>
      </c>
      <c r="F3699" t="s">
        <v>21</v>
      </c>
      <c r="G3699" t="s">
        <v>26</v>
      </c>
      <c r="H3699" t="s">
        <v>21</v>
      </c>
      <c r="I3699" t="s">
        <v>20</v>
      </c>
      <c r="J3699" t="s">
        <v>20</v>
      </c>
      <c r="K3699" t="s">
        <v>22</v>
      </c>
      <c r="L3699" t="s">
        <v>60</v>
      </c>
      <c r="M3699" t="s">
        <v>62</v>
      </c>
      <c r="N3699">
        <v>40.323433000000001</v>
      </c>
      <c r="O3699">
        <v>-111.644205</v>
      </c>
      <c r="P3699">
        <v>4830.2404079999997</v>
      </c>
      <c r="Q3699">
        <v>403</v>
      </c>
      <c r="R3699">
        <v>0</v>
      </c>
    </row>
    <row r="3700" spans="1:18" x14ac:dyDescent="0.25">
      <c r="A3700">
        <v>3699</v>
      </c>
      <c r="B3700">
        <v>94</v>
      </c>
      <c r="C3700">
        <v>31396305</v>
      </c>
      <c r="D3700" t="s">
        <v>114</v>
      </c>
      <c r="E3700">
        <v>8.4220000000000006</v>
      </c>
      <c r="F3700" t="s">
        <v>19</v>
      </c>
      <c r="G3700" t="s">
        <v>20</v>
      </c>
      <c r="H3700" t="s">
        <v>21</v>
      </c>
      <c r="I3700" t="s">
        <v>20</v>
      </c>
      <c r="J3700" t="s">
        <v>20</v>
      </c>
      <c r="K3700" t="s">
        <v>41</v>
      </c>
      <c r="L3700" t="s">
        <v>87</v>
      </c>
      <c r="M3700" t="s">
        <v>82</v>
      </c>
      <c r="N3700">
        <v>41.107546999999997</v>
      </c>
      <c r="O3700">
        <v>-111.90912400000001</v>
      </c>
      <c r="P3700">
        <v>4858.088788</v>
      </c>
      <c r="Q3700">
        <v>405</v>
      </c>
      <c r="R3700">
        <v>0</v>
      </c>
    </row>
    <row r="3701" spans="1:18" x14ac:dyDescent="0.25">
      <c r="A3701">
        <v>3700</v>
      </c>
      <c r="B3701">
        <v>94</v>
      </c>
      <c r="C3701">
        <v>31379441</v>
      </c>
      <c r="D3701" t="s">
        <v>221</v>
      </c>
      <c r="E3701">
        <v>8.43</v>
      </c>
      <c r="F3701" t="s">
        <v>21</v>
      </c>
      <c r="G3701" t="s">
        <v>20</v>
      </c>
      <c r="H3701" t="s">
        <v>21</v>
      </c>
      <c r="I3701" t="s">
        <v>20</v>
      </c>
      <c r="J3701" t="s">
        <v>20</v>
      </c>
      <c r="K3701" t="s">
        <v>27</v>
      </c>
      <c r="L3701" t="s">
        <v>350</v>
      </c>
      <c r="M3701" t="s">
        <v>174</v>
      </c>
      <c r="N3701">
        <v>39.268611</v>
      </c>
      <c r="O3701">
        <v>-111.870729</v>
      </c>
      <c r="P3701">
        <v>5047.4262470000003</v>
      </c>
      <c r="Q3701">
        <v>1342</v>
      </c>
      <c r="R3701">
        <v>0</v>
      </c>
    </row>
    <row r="3702" spans="1:18" x14ac:dyDescent="0.25">
      <c r="A3702">
        <v>3701</v>
      </c>
      <c r="B3702">
        <v>94</v>
      </c>
      <c r="C3702">
        <v>31650657</v>
      </c>
      <c r="D3702" t="s">
        <v>418</v>
      </c>
      <c r="E3702">
        <v>8.4320000000000004</v>
      </c>
      <c r="F3702" t="s">
        <v>21</v>
      </c>
      <c r="G3702" t="s">
        <v>26</v>
      </c>
      <c r="H3702" t="s">
        <v>21</v>
      </c>
      <c r="I3702" t="s">
        <v>20</v>
      </c>
      <c r="J3702" t="s">
        <v>20</v>
      </c>
      <c r="K3702" t="s">
        <v>27</v>
      </c>
      <c r="L3702" t="s">
        <v>211</v>
      </c>
      <c r="M3702" t="s">
        <v>212</v>
      </c>
      <c r="N3702">
        <v>37.420048000000001</v>
      </c>
      <c r="O3702">
        <v>-109.33443200000001</v>
      </c>
      <c r="P3702">
        <v>5143.5312670000003</v>
      </c>
      <c r="Q3702">
        <v>361</v>
      </c>
      <c r="R3702">
        <v>0</v>
      </c>
    </row>
    <row r="3703" spans="1:18" x14ac:dyDescent="0.25">
      <c r="A3703">
        <v>3702</v>
      </c>
      <c r="B3703">
        <v>94</v>
      </c>
      <c r="C3703">
        <v>1500695</v>
      </c>
      <c r="D3703" t="s">
        <v>88</v>
      </c>
      <c r="E3703">
        <v>8.4329999999999998</v>
      </c>
      <c r="F3703" t="s">
        <v>21</v>
      </c>
      <c r="G3703" t="s">
        <v>26</v>
      </c>
      <c r="H3703" t="s">
        <v>21</v>
      </c>
      <c r="I3703" t="s">
        <v>20</v>
      </c>
      <c r="J3703" t="s">
        <v>20</v>
      </c>
      <c r="K3703" t="s">
        <v>31</v>
      </c>
      <c r="L3703" t="s">
        <v>89</v>
      </c>
      <c r="M3703" t="s">
        <v>90</v>
      </c>
      <c r="N3703">
        <v>40.561987000000002</v>
      </c>
      <c r="O3703">
        <v>-111.872158</v>
      </c>
      <c r="P3703">
        <v>4473.5264390000002</v>
      </c>
      <c r="Q3703">
        <v>318</v>
      </c>
      <c r="R3703">
        <v>0</v>
      </c>
    </row>
    <row r="3704" spans="1:18" x14ac:dyDescent="0.25">
      <c r="A3704">
        <v>3703</v>
      </c>
      <c r="B3704">
        <v>94</v>
      </c>
      <c r="C3704">
        <v>31263269</v>
      </c>
      <c r="D3704" t="s">
        <v>303</v>
      </c>
      <c r="E3704">
        <v>8.4329999999999998</v>
      </c>
      <c r="F3704" t="s">
        <v>21</v>
      </c>
      <c r="G3704" t="s">
        <v>26</v>
      </c>
      <c r="H3704" t="s">
        <v>21</v>
      </c>
      <c r="I3704" t="s">
        <v>20</v>
      </c>
      <c r="J3704" t="s">
        <v>20</v>
      </c>
      <c r="K3704" t="s">
        <v>27</v>
      </c>
      <c r="L3704" t="s">
        <v>72</v>
      </c>
      <c r="M3704" t="s">
        <v>73</v>
      </c>
      <c r="N3704">
        <v>37.176456999999999</v>
      </c>
      <c r="O3704">
        <v>-113.31245699999999</v>
      </c>
      <c r="P3704">
        <v>3116.1691209999999</v>
      </c>
      <c r="Q3704">
        <v>1326</v>
      </c>
      <c r="R3704">
        <v>0</v>
      </c>
    </row>
    <row r="3705" spans="1:18" x14ac:dyDescent="0.25">
      <c r="A3705">
        <v>3704</v>
      </c>
      <c r="B3705">
        <v>94</v>
      </c>
      <c r="C3705" t="s">
        <v>631</v>
      </c>
      <c r="D3705" t="s">
        <v>316</v>
      </c>
      <c r="E3705">
        <v>8.4329999999999998</v>
      </c>
      <c r="F3705" t="s">
        <v>21</v>
      </c>
      <c r="G3705" t="s">
        <v>20</v>
      </c>
      <c r="H3705" t="s">
        <v>21</v>
      </c>
      <c r="I3705" t="s">
        <v>20</v>
      </c>
      <c r="J3705" t="s">
        <v>20</v>
      </c>
      <c r="K3705" t="s">
        <v>31</v>
      </c>
      <c r="L3705" t="s">
        <v>130</v>
      </c>
      <c r="M3705" t="s">
        <v>302</v>
      </c>
      <c r="N3705">
        <v>40.551507000000001</v>
      </c>
      <c r="O3705">
        <v>-111.156662</v>
      </c>
      <c r="P3705">
        <v>7016.4401099999995</v>
      </c>
      <c r="Q3705">
        <v>1346</v>
      </c>
      <c r="R3705">
        <v>0</v>
      </c>
    </row>
    <row r="3706" spans="1:18" x14ac:dyDescent="0.25">
      <c r="A3706">
        <v>3705</v>
      </c>
      <c r="B3706">
        <v>94</v>
      </c>
      <c r="C3706">
        <v>31409719</v>
      </c>
      <c r="D3706" t="s">
        <v>224</v>
      </c>
      <c r="E3706">
        <v>8.4350000000000005</v>
      </c>
      <c r="F3706" t="s">
        <v>21</v>
      </c>
      <c r="G3706" t="s">
        <v>26</v>
      </c>
      <c r="H3706" t="s">
        <v>21</v>
      </c>
      <c r="I3706" t="s">
        <v>20</v>
      </c>
      <c r="J3706" t="s">
        <v>20</v>
      </c>
      <c r="K3706" t="s">
        <v>22</v>
      </c>
      <c r="L3706" t="s">
        <v>198</v>
      </c>
      <c r="M3706" t="s">
        <v>194</v>
      </c>
      <c r="N3706">
        <v>40.054296000000001</v>
      </c>
      <c r="O3706">
        <v>-111.677645</v>
      </c>
      <c r="P3706">
        <v>4528.4893789999996</v>
      </c>
      <c r="Q3706">
        <v>408</v>
      </c>
      <c r="R3706">
        <v>0</v>
      </c>
    </row>
    <row r="3707" spans="1:18" x14ac:dyDescent="0.25">
      <c r="A3707">
        <v>3706</v>
      </c>
      <c r="B3707">
        <v>94</v>
      </c>
      <c r="C3707">
        <v>31655556</v>
      </c>
      <c r="D3707" t="s">
        <v>109</v>
      </c>
      <c r="E3707">
        <v>8.4429999999999996</v>
      </c>
      <c r="F3707" t="s">
        <v>21</v>
      </c>
      <c r="G3707" t="s">
        <v>20</v>
      </c>
      <c r="H3707" t="s">
        <v>21</v>
      </c>
      <c r="I3707" t="s">
        <v>20</v>
      </c>
      <c r="J3707" t="s">
        <v>20</v>
      </c>
      <c r="K3707" t="s">
        <v>41</v>
      </c>
      <c r="L3707" t="s">
        <v>42</v>
      </c>
      <c r="M3707" t="s">
        <v>73</v>
      </c>
      <c r="N3707">
        <v>41.684541000000003</v>
      </c>
      <c r="O3707">
        <v>-111.83384</v>
      </c>
      <c r="P3707">
        <v>4477.9241069999998</v>
      </c>
      <c r="Q3707">
        <v>345</v>
      </c>
      <c r="R3707">
        <v>0</v>
      </c>
    </row>
    <row r="3708" spans="1:18" x14ac:dyDescent="0.25">
      <c r="A3708">
        <v>3707</v>
      </c>
      <c r="B3708">
        <v>94</v>
      </c>
      <c r="C3708" t="e">
        <f>-IpUlM-bFkmLSKsj7g4H2k</f>
        <v>#NAME?</v>
      </c>
      <c r="D3708" t="s">
        <v>272</v>
      </c>
      <c r="E3708">
        <v>417.52600000000001</v>
      </c>
      <c r="F3708" t="s">
        <v>21</v>
      </c>
      <c r="G3708" t="s">
        <v>26</v>
      </c>
      <c r="H3708" t="s">
        <v>21</v>
      </c>
      <c r="I3708" t="s">
        <v>20</v>
      </c>
      <c r="J3708" t="s">
        <v>20</v>
      </c>
      <c r="K3708" t="s">
        <v>41</v>
      </c>
      <c r="L3708" t="s">
        <v>81</v>
      </c>
      <c r="M3708" t="s">
        <v>46</v>
      </c>
      <c r="N3708">
        <v>41.272556999999999</v>
      </c>
      <c r="O3708">
        <v>-111.979243</v>
      </c>
      <c r="P3708">
        <v>4236.3437780000004</v>
      </c>
      <c r="Q3708">
        <v>1384</v>
      </c>
      <c r="R3708">
        <v>0</v>
      </c>
    </row>
    <row r="3709" spans="1:18" x14ac:dyDescent="0.25">
      <c r="A3709">
        <v>3708</v>
      </c>
      <c r="B3709">
        <v>94</v>
      </c>
      <c r="C3709" t="e">
        <f>-IpyBsXkGViqG6WpDfFB8F</f>
        <v>#NAME?</v>
      </c>
      <c r="D3709" t="s">
        <v>272</v>
      </c>
      <c r="E3709">
        <v>417.91199999999998</v>
      </c>
      <c r="F3709" t="s">
        <v>21</v>
      </c>
      <c r="G3709" t="s">
        <v>26</v>
      </c>
      <c r="H3709" t="s">
        <v>21</v>
      </c>
      <c r="I3709" t="s">
        <v>20</v>
      </c>
      <c r="J3709" t="s">
        <v>20</v>
      </c>
      <c r="K3709" t="s">
        <v>41</v>
      </c>
      <c r="L3709" t="s">
        <v>81</v>
      </c>
      <c r="M3709" t="s">
        <v>46</v>
      </c>
      <c r="N3709">
        <v>41.277296999999997</v>
      </c>
      <c r="O3709">
        <v>-111.983006</v>
      </c>
      <c r="P3709">
        <v>4243.0471879999996</v>
      </c>
      <c r="Q3709">
        <v>1384</v>
      </c>
      <c r="R3709">
        <v>0</v>
      </c>
    </row>
    <row r="3710" spans="1:18" x14ac:dyDescent="0.25">
      <c r="A3710">
        <v>3709</v>
      </c>
      <c r="B3710">
        <v>94</v>
      </c>
      <c r="C3710" t="e">
        <f>-IpUnWxbIq9m_Kaq2mrTzV</f>
        <v>#NAME?</v>
      </c>
      <c r="D3710" t="s">
        <v>272</v>
      </c>
      <c r="E3710">
        <v>418.11399999999998</v>
      </c>
      <c r="F3710" t="s">
        <v>21</v>
      </c>
      <c r="G3710" t="s">
        <v>26</v>
      </c>
      <c r="H3710" t="s">
        <v>21</v>
      </c>
      <c r="I3710" t="s">
        <v>20</v>
      </c>
      <c r="J3710" t="s">
        <v>20</v>
      </c>
      <c r="K3710" t="s">
        <v>41</v>
      </c>
      <c r="L3710" t="s">
        <v>81</v>
      </c>
      <c r="M3710" t="s">
        <v>46</v>
      </c>
      <c r="N3710">
        <v>41.279888999999997</v>
      </c>
      <c r="O3710">
        <v>-111.984752</v>
      </c>
      <c r="P3710">
        <v>4244.8542170000001</v>
      </c>
      <c r="Q3710">
        <v>1384</v>
      </c>
      <c r="R3710">
        <v>0</v>
      </c>
    </row>
    <row r="3711" spans="1:18" x14ac:dyDescent="0.25">
      <c r="A3711">
        <v>3710</v>
      </c>
      <c r="B3711">
        <v>94</v>
      </c>
      <c r="C3711" t="e">
        <f>-IpUndhFHgaXnM7fFTk8tF</f>
        <v>#NAME?</v>
      </c>
      <c r="D3711" t="s">
        <v>272</v>
      </c>
      <c r="E3711">
        <v>418.23700000000002</v>
      </c>
      <c r="F3711" t="s">
        <v>19</v>
      </c>
      <c r="G3711" t="s">
        <v>20</v>
      </c>
      <c r="H3711" t="s">
        <v>21</v>
      </c>
      <c r="I3711" t="s">
        <v>20</v>
      </c>
      <c r="J3711" t="s">
        <v>20</v>
      </c>
      <c r="K3711" t="s">
        <v>41</v>
      </c>
      <c r="L3711" t="s">
        <v>81</v>
      </c>
      <c r="M3711" t="s">
        <v>46</v>
      </c>
      <c r="N3711">
        <v>41.281452999999999</v>
      </c>
      <c r="O3711">
        <v>-111.98580699999999</v>
      </c>
      <c r="P3711">
        <v>4242.9693939999997</v>
      </c>
      <c r="Q3711">
        <v>1384</v>
      </c>
      <c r="R3711">
        <v>0</v>
      </c>
    </row>
    <row r="3712" spans="1:18" x14ac:dyDescent="0.25">
      <c r="A3712">
        <v>3711</v>
      </c>
      <c r="B3712">
        <v>94</v>
      </c>
      <c r="C3712" t="e">
        <f>-IoaQvS8IMavz7G-VS9uSV</f>
        <v>#NAME?</v>
      </c>
      <c r="D3712" t="s">
        <v>272</v>
      </c>
      <c r="E3712">
        <v>344.49200000000002</v>
      </c>
      <c r="F3712" t="s">
        <v>21</v>
      </c>
      <c r="G3712" t="s">
        <v>26</v>
      </c>
      <c r="H3712" t="s">
        <v>21</v>
      </c>
      <c r="I3712" t="s">
        <v>20</v>
      </c>
      <c r="J3712" t="s">
        <v>20</v>
      </c>
      <c r="K3712" t="s">
        <v>22</v>
      </c>
      <c r="L3712" t="s">
        <v>23</v>
      </c>
      <c r="M3712" t="s">
        <v>125</v>
      </c>
      <c r="N3712">
        <v>40.357222999999998</v>
      </c>
      <c r="O3712">
        <v>-111.738049</v>
      </c>
      <c r="P3712">
        <v>4530.9207939999997</v>
      </c>
      <c r="Q3712">
        <v>1384</v>
      </c>
      <c r="R3712">
        <v>0</v>
      </c>
    </row>
    <row r="3713" spans="1:18" x14ac:dyDescent="0.25">
      <c r="A3713">
        <v>3712</v>
      </c>
      <c r="B3713">
        <v>94</v>
      </c>
      <c r="C3713" t="e">
        <f>-IoaRaF0HwLOmMDRArYLBk</f>
        <v>#NAME?</v>
      </c>
      <c r="D3713" t="s">
        <v>272</v>
      </c>
      <c r="E3713">
        <v>344.57</v>
      </c>
      <c r="F3713" t="s">
        <v>19</v>
      </c>
      <c r="G3713" t="s">
        <v>20</v>
      </c>
      <c r="H3713" t="s">
        <v>19</v>
      </c>
      <c r="I3713">
        <v>146</v>
      </c>
      <c r="J3713" t="s">
        <v>20</v>
      </c>
      <c r="K3713" t="s">
        <v>22</v>
      </c>
      <c r="L3713" t="s">
        <v>23</v>
      </c>
      <c r="M3713" t="s">
        <v>125</v>
      </c>
      <c r="N3713">
        <v>40.3581</v>
      </c>
      <c r="O3713">
        <v>-111.738979</v>
      </c>
      <c r="P3713">
        <v>4527.9436919999998</v>
      </c>
      <c r="Q3713">
        <v>1384</v>
      </c>
      <c r="R3713">
        <v>0</v>
      </c>
    </row>
    <row r="3714" spans="1:18" x14ac:dyDescent="0.25">
      <c r="A3714">
        <v>3713</v>
      </c>
      <c r="B3714">
        <v>94</v>
      </c>
      <c r="C3714" t="e">
        <f>-IoaWJDyFfLoTeYZmDdtAV</f>
        <v>#NAME?</v>
      </c>
      <c r="D3714" t="s">
        <v>272</v>
      </c>
      <c r="E3714">
        <v>344.68</v>
      </c>
      <c r="F3714" t="s">
        <v>19</v>
      </c>
      <c r="G3714" t="s">
        <v>20</v>
      </c>
      <c r="H3714" t="s">
        <v>19</v>
      </c>
      <c r="I3714">
        <v>114</v>
      </c>
      <c r="J3714" t="s">
        <v>20</v>
      </c>
      <c r="K3714" t="s">
        <v>22</v>
      </c>
      <c r="L3714" t="s">
        <v>84</v>
      </c>
      <c r="M3714" t="s">
        <v>125</v>
      </c>
      <c r="N3714">
        <v>40.359054999999998</v>
      </c>
      <c r="O3714">
        <v>-111.740717</v>
      </c>
      <c r="P3714">
        <v>4519.2812789999998</v>
      </c>
      <c r="Q3714">
        <v>1384</v>
      </c>
      <c r="R3714">
        <v>0</v>
      </c>
    </row>
    <row r="3715" spans="1:18" x14ac:dyDescent="0.25">
      <c r="A3715">
        <v>3714</v>
      </c>
      <c r="B3715">
        <v>94</v>
      </c>
      <c r="C3715">
        <v>1147474</v>
      </c>
      <c r="D3715" t="s">
        <v>56</v>
      </c>
      <c r="E3715">
        <v>4.4550000000000001</v>
      </c>
      <c r="F3715" t="s">
        <v>21</v>
      </c>
      <c r="G3715" t="s">
        <v>26</v>
      </c>
      <c r="H3715" t="s">
        <v>21</v>
      </c>
      <c r="I3715" t="s">
        <v>20</v>
      </c>
      <c r="J3715" t="s">
        <v>20</v>
      </c>
      <c r="K3715" t="s">
        <v>41</v>
      </c>
      <c r="L3715" t="s">
        <v>57</v>
      </c>
      <c r="M3715" t="s">
        <v>58</v>
      </c>
      <c r="N3715">
        <v>41.161676</v>
      </c>
      <c r="O3715">
        <v>-112.038246</v>
      </c>
      <c r="P3715">
        <v>4399.3876129999999</v>
      </c>
      <c r="Q3715">
        <v>1459</v>
      </c>
      <c r="R3715">
        <v>0</v>
      </c>
    </row>
    <row r="3716" spans="1:18" x14ac:dyDescent="0.25">
      <c r="A3716">
        <v>3715</v>
      </c>
      <c r="B3716">
        <v>94</v>
      </c>
      <c r="C3716">
        <v>31311087</v>
      </c>
      <c r="D3716" t="s">
        <v>40</v>
      </c>
      <c r="E3716">
        <v>4.4649999999999999</v>
      </c>
      <c r="F3716" t="s">
        <v>21</v>
      </c>
      <c r="G3716" t="s">
        <v>26</v>
      </c>
      <c r="H3716" t="s">
        <v>21</v>
      </c>
      <c r="I3716" t="s">
        <v>20</v>
      </c>
      <c r="J3716" t="s">
        <v>20</v>
      </c>
      <c r="K3716" t="s">
        <v>41</v>
      </c>
      <c r="L3716" t="s">
        <v>42</v>
      </c>
      <c r="M3716" t="s">
        <v>43</v>
      </c>
      <c r="N3716">
        <v>41.634169</v>
      </c>
      <c r="O3716">
        <v>-111.860766</v>
      </c>
      <c r="P3716">
        <v>4630.9148189999996</v>
      </c>
      <c r="Q3716">
        <v>1391</v>
      </c>
      <c r="R3716">
        <v>0</v>
      </c>
    </row>
    <row r="3717" spans="1:18" x14ac:dyDescent="0.25">
      <c r="A3717">
        <v>3716</v>
      </c>
      <c r="B3717">
        <v>94</v>
      </c>
      <c r="C3717">
        <v>31364344</v>
      </c>
      <c r="D3717" t="s">
        <v>343</v>
      </c>
      <c r="E3717">
        <v>4.4649999999999999</v>
      </c>
      <c r="F3717" t="s">
        <v>21</v>
      </c>
      <c r="G3717" t="s">
        <v>26</v>
      </c>
      <c r="H3717" t="s">
        <v>21</v>
      </c>
      <c r="I3717" t="s">
        <v>20</v>
      </c>
      <c r="J3717" t="s">
        <v>20</v>
      </c>
      <c r="K3717" t="s">
        <v>27</v>
      </c>
      <c r="L3717" t="s">
        <v>230</v>
      </c>
      <c r="M3717" t="s">
        <v>82</v>
      </c>
      <c r="N3717">
        <v>39.546742999999999</v>
      </c>
      <c r="O3717">
        <v>-111.503973</v>
      </c>
      <c r="P3717">
        <v>5609.6813549999997</v>
      </c>
      <c r="Q3717">
        <v>1402</v>
      </c>
      <c r="R3717">
        <v>0</v>
      </c>
    </row>
    <row r="3718" spans="1:18" x14ac:dyDescent="0.25">
      <c r="A3718">
        <v>3717</v>
      </c>
      <c r="B3718">
        <v>94</v>
      </c>
      <c r="C3718" t="s">
        <v>632</v>
      </c>
      <c r="D3718" t="s">
        <v>197</v>
      </c>
      <c r="E3718">
        <v>4.4649999999999999</v>
      </c>
      <c r="F3718" t="s">
        <v>21</v>
      </c>
      <c r="G3718" t="s">
        <v>26</v>
      </c>
      <c r="H3718" t="s">
        <v>21</v>
      </c>
      <c r="I3718" t="s">
        <v>20</v>
      </c>
      <c r="J3718" t="s">
        <v>20</v>
      </c>
      <c r="K3718" t="s">
        <v>22</v>
      </c>
      <c r="L3718" t="s">
        <v>198</v>
      </c>
      <c r="M3718" t="s">
        <v>125</v>
      </c>
      <c r="N3718">
        <v>40.015318999999998</v>
      </c>
      <c r="O3718">
        <v>-111.79523</v>
      </c>
      <c r="P3718">
        <v>4713.859813</v>
      </c>
      <c r="Q3718">
        <v>1416</v>
      </c>
      <c r="R3718">
        <v>0</v>
      </c>
    </row>
    <row r="3719" spans="1:18" x14ac:dyDescent="0.25">
      <c r="A3719">
        <v>3718</v>
      </c>
      <c r="B3719">
        <v>94</v>
      </c>
      <c r="C3719">
        <v>28158915</v>
      </c>
      <c r="D3719" t="s">
        <v>233</v>
      </c>
      <c r="E3719">
        <v>4.4660000000000002</v>
      </c>
      <c r="F3719" t="s">
        <v>21</v>
      </c>
      <c r="G3719" t="s">
        <v>26</v>
      </c>
      <c r="H3719" t="s">
        <v>21</v>
      </c>
      <c r="I3719" t="s">
        <v>20</v>
      </c>
      <c r="J3719" t="s">
        <v>20</v>
      </c>
      <c r="K3719" t="s">
        <v>22</v>
      </c>
      <c r="L3719" t="s">
        <v>234</v>
      </c>
      <c r="M3719" t="s">
        <v>235</v>
      </c>
      <c r="N3719">
        <v>40.013694999999998</v>
      </c>
      <c r="O3719">
        <v>-109.170596</v>
      </c>
      <c r="P3719">
        <v>5452.1394749999999</v>
      </c>
      <c r="Q3719">
        <v>1354</v>
      </c>
      <c r="R3719">
        <v>0</v>
      </c>
    </row>
    <row r="3720" spans="1:18" x14ac:dyDescent="0.25">
      <c r="A3720">
        <v>3719</v>
      </c>
      <c r="B3720">
        <v>94</v>
      </c>
      <c r="C3720">
        <v>1370931</v>
      </c>
      <c r="D3720" t="s">
        <v>363</v>
      </c>
      <c r="E3720">
        <v>4.4729999999999999</v>
      </c>
      <c r="F3720" t="s">
        <v>21</v>
      </c>
      <c r="G3720" t="s">
        <v>26</v>
      </c>
      <c r="H3720" t="s">
        <v>21</v>
      </c>
      <c r="I3720" t="s">
        <v>20</v>
      </c>
      <c r="J3720" t="s">
        <v>20</v>
      </c>
      <c r="K3720" t="s">
        <v>41</v>
      </c>
      <c r="L3720" t="s">
        <v>95</v>
      </c>
      <c r="M3720" t="s">
        <v>73</v>
      </c>
      <c r="N3720">
        <v>41.845162000000002</v>
      </c>
      <c r="O3720">
        <v>-111.903215</v>
      </c>
      <c r="P3720">
        <v>4381.7464440000003</v>
      </c>
      <c r="Q3720">
        <v>356</v>
      </c>
      <c r="R3720">
        <v>0</v>
      </c>
    </row>
    <row r="3721" spans="1:18" x14ac:dyDescent="0.25">
      <c r="A3721">
        <v>3720</v>
      </c>
      <c r="B3721">
        <v>94</v>
      </c>
      <c r="C3721">
        <v>28645726</v>
      </c>
      <c r="D3721" t="s">
        <v>192</v>
      </c>
      <c r="E3721">
        <v>4.4740000000000002</v>
      </c>
      <c r="F3721" t="s">
        <v>21</v>
      </c>
      <c r="G3721" t="s">
        <v>26</v>
      </c>
      <c r="H3721" t="s">
        <v>21</v>
      </c>
      <c r="I3721" t="s">
        <v>20</v>
      </c>
      <c r="J3721" t="s">
        <v>20</v>
      </c>
      <c r="K3721" t="s">
        <v>22</v>
      </c>
      <c r="L3721" t="s">
        <v>140</v>
      </c>
      <c r="M3721" t="s">
        <v>125</v>
      </c>
      <c r="N3721">
        <v>40.158427000000003</v>
      </c>
      <c r="O3721">
        <v>-111.696586</v>
      </c>
      <c r="P3721">
        <v>4450.3100759999998</v>
      </c>
      <c r="Q3721">
        <v>1375</v>
      </c>
      <c r="R3721">
        <v>0</v>
      </c>
    </row>
    <row r="3722" spans="1:18" x14ac:dyDescent="0.25">
      <c r="A3722">
        <v>3721</v>
      </c>
      <c r="B3722">
        <v>94</v>
      </c>
      <c r="C3722">
        <v>532049</v>
      </c>
      <c r="D3722" t="s">
        <v>44</v>
      </c>
      <c r="E3722">
        <v>4.476</v>
      </c>
      <c r="F3722" t="s">
        <v>21</v>
      </c>
      <c r="G3722" t="s">
        <v>26</v>
      </c>
      <c r="H3722" t="s">
        <v>21</v>
      </c>
      <c r="I3722" t="s">
        <v>20</v>
      </c>
      <c r="J3722" t="s">
        <v>20</v>
      </c>
      <c r="K3722" t="s">
        <v>41</v>
      </c>
      <c r="L3722" t="s">
        <v>45</v>
      </c>
      <c r="M3722" t="s">
        <v>46</v>
      </c>
      <c r="N3722">
        <v>40.942126999999999</v>
      </c>
      <c r="O3722">
        <v>-111.88024900000001</v>
      </c>
      <c r="P3722">
        <v>4257.9999129999997</v>
      </c>
      <c r="Q3722">
        <v>1395</v>
      </c>
      <c r="R3722">
        <v>0</v>
      </c>
    </row>
    <row r="3723" spans="1:18" x14ac:dyDescent="0.25">
      <c r="A3723">
        <v>3722</v>
      </c>
      <c r="B3723">
        <v>94</v>
      </c>
      <c r="C3723">
        <v>544537</v>
      </c>
      <c r="D3723" t="s">
        <v>47</v>
      </c>
      <c r="E3723">
        <v>4.4770000000000003</v>
      </c>
      <c r="F3723" t="s">
        <v>19</v>
      </c>
      <c r="G3723" t="s">
        <v>20</v>
      </c>
      <c r="H3723" t="s">
        <v>21</v>
      </c>
      <c r="I3723" t="s">
        <v>20</v>
      </c>
      <c r="J3723" t="s">
        <v>20</v>
      </c>
      <c r="K3723" t="s">
        <v>31</v>
      </c>
      <c r="L3723" t="s">
        <v>89</v>
      </c>
      <c r="M3723" t="s">
        <v>49</v>
      </c>
      <c r="N3723">
        <v>40.544269</v>
      </c>
      <c r="O3723">
        <v>-111.898647</v>
      </c>
      <c r="P3723">
        <v>4349.6208909999996</v>
      </c>
      <c r="Q3723">
        <v>6715</v>
      </c>
      <c r="R3723">
        <v>0</v>
      </c>
    </row>
    <row r="3724" spans="1:18" x14ac:dyDescent="0.25">
      <c r="A3724">
        <v>3723</v>
      </c>
      <c r="B3724">
        <v>94</v>
      </c>
      <c r="C3724">
        <v>31192826</v>
      </c>
      <c r="D3724" t="s">
        <v>153</v>
      </c>
      <c r="E3724">
        <v>4.4800000000000004</v>
      </c>
      <c r="F3724" t="s">
        <v>21</v>
      </c>
      <c r="G3724" t="s">
        <v>26</v>
      </c>
      <c r="H3724" t="s">
        <v>21</v>
      </c>
      <c r="I3724" t="s">
        <v>20</v>
      </c>
      <c r="J3724" t="s">
        <v>20</v>
      </c>
      <c r="K3724" t="s">
        <v>22</v>
      </c>
      <c r="L3724" t="s">
        <v>84</v>
      </c>
      <c r="M3724" t="s">
        <v>85</v>
      </c>
      <c r="N3724">
        <v>40.420487000000001</v>
      </c>
      <c r="O3724">
        <v>-111.752319</v>
      </c>
      <c r="P3724">
        <v>5039.1137660000004</v>
      </c>
      <c r="R3724">
        <v>0</v>
      </c>
    </row>
    <row r="3725" spans="1:18" x14ac:dyDescent="0.25">
      <c r="A3725">
        <v>3724</v>
      </c>
      <c r="B3725">
        <v>94</v>
      </c>
      <c r="C3725">
        <v>980784</v>
      </c>
      <c r="D3725" t="s">
        <v>65</v>
      </c>
      <c r="E3725">
        <v>4.4829999999999997</v>
      </c>
      <c r="F3725" t="s">
        <v>21</v>
      </c>
      <c r="G3725" t="s">
        <v>26</v>
      </c>
      <c r="H3725" t="s">
        <v>21</v>
      </c>
      <c r="I3725" t="s">
        <v>20</v>
      </c>
      <c r="J3725" t="s">
        <v>20</v>
      </c>
      <c r="K3725" t="s">
        <v>31</v>
      </c>
      <c r="L3725" t="s">
        <v>66</v>
      </c>
      <c r="M3725" t="s">
        <v>67</v>
      </c>
      <c r="N3725">
        <v>40.758378999999998</v>
      </c>
      <c r="O3725">
        <v>-111.855341</v>
      </c>
      <c r="P3725">
        <v>4501.1854389999999</v>
      </c>
      <c r="Q3725">
        <v>402</v>
      </c>
      <c r="R3725">
        <v>0</v>
      </c>
    </row>
    <row r="3726" spans="1:18" x14ac:dyDescent="0.25">
      <c r="A3726">
        <v>3725</v>
      </c>
      <c r="B3726">
        <v>94</v>
      </c>
      <c r="C3726">
        <v>1034871</v>
      </c>
      <c r="D3726" t="s">
        <v>65</v>
      </c>
      <c r="E3726">
        <v>4.4829999999999997</v>
      </c>
      <c r="F3726" t="s">
        <v>21</v>
      </c>
      <c r="G3726" t="s">
        <v>26</v>
      </c>
      <c r="H3726" t="s">
        <v>21</v>
      </c>
      <c r="I3726" t="s">
        <v>20</v>
      </c>
      <c r="J3726" t="s">
        <v>20</v>
      </c>
      <c r="K3726" t="s">
        <v>31</v>
      </c>
      <c r="L3726" t="s">
        <v>66</v>
      </c>
      <c r="M3726" t="s">
        <v>67</v>
      </c>
      <c r="N3726">
        <v>40.758569000000001</v>
      </c>
      <c r="O3726">
        <v>-111.855334</v>
      </c>
      <c r="P3726">
        <v>4502.3970289999997</v>
      </c>
      <c r="Q3726">
        <v>402</v>
      </c>
      <c r="R3726">
        <v>0</v>
      </c>
    </row>
    <row r="3727" spans="1:18" x14ac:dyDescent="0.25">
      <c r="A3727">
        <v>3726</v>
      </c>
      <c r="B3727">
        <v>94</v>
      </c>
      <c r="C3727">
        <v>559936</v>
      </c>
      <c r="D3727" t="s">
        <v>115</v>
      </c>
      <c r="E3727">
        <v>4.4850000000000003</v>
      </c>
      <c r="F3727" t="s">
        <v>19</v>
      </c>
      <c r="G3727" t="s">
        <v>20</v>
      </c>
      <c r="H3727" t="s">
        <v>21</v>
      </c>
      <c r="I3727" t="s">
        <v>20</v>
      </c>
      <c r="J3727" t="s">
        <v>20</v>
      </c>
      <c r="K3727" t="s">
        <v>31</v>
      </c>
      <c r="L3727" t="s">
        <v>48</v>
      </c>
      <c r="M3727" t="s">
        <v>70</v>
      </c>
      <c r="N3727">
        <v>40.652763999999998</v>
      </c>
      <c r="O3727">
        <v>-111.99170599999999</v>
      </c>
      <c r="P3727">
        <v>4515.0737589999999</v>
      </c>
      <c r="Q3727">
        <v>1437</v>
      </c>
      <c r="R3727">
        <v>0</v>
      </c>
    </row>
    <row r="3728" spans="1:18" x14ac:dyDescent="0.25">
      <c r="A3728">
        <v>3727</v>
      </c>
      <c r="B3728">
        <v>94</v>
      </c>
      <c r="C3728">
        <v>31634573</v>
      </c>
      <c r="D3728" t="s">
        <v>113</v>
      </c>
      <c r="E3728">
        <v>4.492</v>
      </c>
      <c r="F3728" t="s">
        <v>21</v>
      </c>
      <c r="G3728" t="s">
        <v>20</v>
      </c>
      <c r="H3728" t="s">
        <v>21</v>
      </c>
      <c r="I3728" t="s">
        <v>20</v>
      </c>
      <c r="J3728" t="s">
        <v>20</v>
      </c>
      <c r="K3728" t="s">
        <v>41</v>
      </c>
      <c r="L3728" t="s">
        <v>87</v>
      </c>
      <c r="M3728" t="s">
        <v>58</v>
      </c>
      <c r="N3728">
        <v>41.134894000000003</v>
      </c>
      <c r="O3728">
        <v>-111.957494</v>
      </c>
      <c r="P3728">
        <v>4425.5195560000002</v>
      </c>
      <c r="Q3728">
        <v>1363</v>
      </c>
      <c r="R3728">
        <v>0</v>
      </c>
    </row>
    <row r="3729" spans="1:18" x14ac:dyDescent="0.25">
      <c r="A3729">
        <v>3728</v>
      </c>
      <c r="B3729">
        <v>94</v>
      </c>
      <c r="C3729">
        <v>1447801</v>
      </c>
      <c r="D3729" t="s">
        <v>109</v>
      </c>
      <c r="E3729">
        <v>4.492</v>
      </c>
      <c r="F3729" t="s">
        <v>21</v>
      </c>
      <c r="G3729" t="s">
        <v>26</v>
      </c>
      <c r="H3729" t="s">
        <v>21</v>
      </c>
      <c r="I3729" t="s">
        <v>20</v>
      </c>
      <c r="J3729" t="s">
        <v>20</v>
      </c>
      <c r="K3729" t="s">
        <v>41</v>
      </c>
      <c r="L3729" t="s">
        <v>42</v>
      </c>
      <c r="M3729" t="s">
        <v>73</v>
      </c>
      <c r="N3729">
        <v>41.627321999999999</v>
      </c>
      <c r="O3729">
        <v>-111.832604</v>
      </c>
      <c r="P3729">
        <v>4751.2773459999999</v>
      </c>
      <c r="Q3729">
        <v>345</v>
      </c>
      <c r="R3729">
        <v>0</v>
      </c>
    </row>
    <row r="3730" spans="1:18" x14ac:dyDescent="0.25">
      <c r="A3730">
        <v>3729</v>
      </c>
      <c r="B3730">
        <v>94</v>
      </c>
      <c r="C3730">
        <v>31406552</v>
      </c>
      <c r="D3730" t="s">
        <v>30</v>
      </c>
      <c r="E3730">
        <v>4.4930000000000003</v>
      </c>
      <c r="F3730" t="s">
        <v>21</v>
      </c>
      <c r="G3730" t="s">
        <v>26</v>
      </c>
      <c r="H3730" t="s">
        <v>21</v>
      </c>
      <c r="I3730" t="s">
        <v>20</v>
      </c>
      <c r="J3730" t="s">
        <v>20</v>
      </c>
      <c r="K3730" t="s">
        <v>31</v>
      </c>
      <c r="L3730" t="s">
        <v>32</v>
      </c>
      <c r="M3730" t="s">
        <v>33</v>
      </c>
      <c r="N3730">
        <v>40.572136</v>
      </c>
      <c r="O3730">
        <v>-111.764826</v>
      </c>
      <c r="P3730">
        <v>5572.5308699999996</v>
      </c>
      <c r="Q3730">
        <v>415</v>
      </c>
      <c r="R3730">
        <v>0</v>
      </c>
    </row>
    <row r="3731" spans="1:18" x14ac:dyDescent="0.25">
      <c r="A3731">
        <v>3730</v>
      </c>
      <c r="B3731">
        <v>94</v>
      </c>
      <c r="C3731">
        <v>1265955</v>
      </c>
      <c r="D3731" t="s">
        <v>189</v>
      </c>
      <c r="E3731">
        <v>4.4939999999999998</v>
      </c>
      <c r="F3731" t="s">
        <v>19</v>
      </c>
      <c r="G3731" t="s">
        <v>20</v>
      </c>
      <c r="H3731" t="s">
        <v>21</v>
      </c>
      <c r="I3731" t="s">
        <v>20</v>
      </c>
      <c r="J3731" t="s">
        <v>20</v>
      </c>
      <c r="K3731" t="s">
        <v>41</v>
      </c>
      <c r="L3731" t="s">
        <v>81</v>
      </c>
      <c r="M3731" t="s">
        <v>190</v>
      </c>
      <c r="N3731">
        <v>41.218259000000003</v>
      </c>
      <c r="O3731">
        <v>-111.948289</v>
      </c>
      <c r="P3731">
        <v>4418.5320929999998</v>
      </c>
      <c r="Q3731">
        <v>412</v>
      </c>
      <c r="R3731">
        <v>0</v>
      </c>
    </row>
    <row r="3732" spans="1:18" x14ac:dyDescent="0.25">
      <c r="A3732">
        <v>3731</v>
      </c>
      <c r="B3732">
        <v>94</v>
      </c>
      <c r="C3732">
        <v>31504954</v>
      </c>
      <c r="D3732" t="s">
        <v>317</v>
      </c>
      <c r="E3732">
        <v>41.399000000000001</v>
      </c>
      <c r="F3732" t="s">
        <v>21</v>
      </c>
      <c r="G3732" t="s">
        <v>26</v>
      </c>
      <c r="H3732" t="s">
        <v>19</v>
      </c>
      <c r="I3732">
        <v>191</v>
      </c>
      <c r="J3732" t="s">
        <v>20</v>
      </c>
      <c r="K3732" t="s">
        <v>27</v>
      </c>
      <c r="L3732" t="s">
        <v>211</v>
      </c>
      <c r="M3732" t="s">
        <v>212</v>
      </c>
      <c r="N3732">
        <v>37.265521</v>
      </c>
      <c r="O3732">
        <v>-109.625696</v>
      </c>
      <c r="P3732">
        <v>4411.3168939999996</v>
      </c>
      <c r="Q3732">
        <v>1432</v>
      </c>
      <c r="R3732">
        <v>0</v>
      </c>
    </row>
    <row r="3733" spans="1:18" x14ac:dyDescent="0.25">
      <c r="A3733">
        <v>3732</v>
      </c>
      <c r="B3733">
        <v>94</v>
      </c>
      <c r="C3733">
        <v>31385019</v>
      </c>
      <c r="D3733" t="s">
        <v>116</v>
      </c>
      <c r="E3733">
        <v>41.442999999999998</v>
      </c>
      <c r="F3733" t="s">
        <v>21</v>
      </c>
      <c r="G3733" t="s">
        <v>26</v>
      </c>
      <c r="H3733" t="s">
        <v>21</v>
      </c>
      <c r="I3733" t="s">
        <v>20</v>
      </c>
      <c r="J3733" t="s">
        <v>20</v>
      </c>
      <c r="K3733" t="s">
        <v>41</v>
      </c>
      <c r="L3733" t="s">
        <v>95</v>
      </c>
      <c r="M3733" t="s">
        <v>117</v>
      </c>
      <c r="N3733">
        <v>41.943492999999997</v>
      </c>
      <c r="O3733">
        <v>-111.81377999999999</v>
      </c>
      <c r="P3733">
        <v>4502.7664949999998</v>
      </c>
      <c r="Q3733">
        <v>324</v>
      </c>
      <c r="R3733">
        <v>0</v>
      </c>
    </row>
    <row r="3734" spans="1:18" x14ac:dyDescent="0.25">
      <c r="A3734">
        <v>3733</v>
      </c>
      <c r="B3734">
        <v>94</v>
      </c>
      <c r="C3734" t="e">
        <f>-Ip5MXbUGwPES40weDGZsF</f>
        <v>#NAME?</v>
      </c>
      <c r="D3734" t="s">
        <v>124</v>
      </c>
      <c r="E3734">
        <v>33.051000000000002</v>
      </c>
      <c r="F3734" t="s">
        <v>21</v>
      </c>
      <c r="G3734" t="s">
        <v>26</v>
      </c>
      <c r="H3734" t="s">
        <v>21</v>
      </c>
      <c r="I3734" t="s">
        <v>20</v>
      </c>
      <c r="J3734" t="s">
        <v>20</v>
      </c>
      <c r="K3734" t="s">
        <v>22</v>
      </c>
      <c r="L3734" t="s">
        <v>84</v>
      </c>
      <c r="M3734" t="s">
        <v>125</v>
      </c>
      <c r="N3734">
        <v>40.392125999999998</v>
      </c>
      <c r="O3734">
        <v>-111.91714899999999</v>
      </c>
      <c r="P3734">
        <v>4511.7408910000004</v>
      </c>
      <c r="Q3734">
        <v>1368</v>
      </c>
      <c r="R3734">
        <v>0</v>
      </c>
    </row>
    <row r="3735" spans="1:18" x14ac:dyDescent="0.25">
      <c r="A3735">
        <v>3734</v>
      </c>
      <c r="B3735">
        <v>94</v>
      </c>
      <c r="C3735">
        <v>31567087</v>
      </c>
      <c r="D3735" t="s">
        <v>288</v>
      </c>
      <c r="E3735">
        <v>353.83199999999999</v>
      </c>
      <c r="F3735" t="s">
        <v>21</v>
      </c>
      <c r="G3735" t="s">
        <v>26</v>
      </c>
      <c r="H3735" t="s">
        <v>21</v>
      </c>
      <c r="I3735" t="s">
        <v>20</v>
      </c>
      <c r="J3735" t="s">
        <v>20</v>
      </c>
      <c r="K3735" t="s">
        <v>22</v>
      </c>
      <c r="L3735" t="s">
        <v>234</v>
      </c>
      <c r="M3735" t="s">
        <v>98</v>
      </c>
      <c r="N3735">
        <v>40.473508000000002</v>
      </c>
      <c r="O3735">
        <v>-109.528864</v>
      </c>
      <c r="P3735">
        <v>5275.779063</v>
      </c>
      <c r="Q3735">
        <v>350</v>
      </c>
      <c r="R3735">
        <v>0</v>
      </c>
    </row>
    <row r="3736" spans="1:18" x14ac:dyDescent="0.25">
      <c r="A3736">
        <v>3735</v>
      </c>
      <c r="B3736">
        <v>94</v>
      </c>
      <c r="C3736">
        <v>27867289</v>
      </c>
      <c r="D3736" t="s">
        <v>91</v>
      </c>
      <c r="E3736">
        <v>5.54</v>
      </c>
      <c r="F3736" t="s">
        <v>21</v>
      </c>
      <c r="G3736" t="s">
        <v>26</v>
      </c>
      <c r="H3736" t="s">
        <v>21</v>
      </c>
      <c r="I3736" t="s">
        <v>20</v>
      </c>
      <c r="J3736" t="s">
        <v>20</v>
      </c>
      <c r="K3736" t="s">
        <v>41</v>
      </c>
      <c r="L3736" t="s">
        <v>42</v>
      </c>
      <c r="M3736" t="s">
        <v>73</v>
      </c>
      <c r="N3736">
        <v>41.687801999999998</v>
      </c>
      <c r="O3736">
        <v>-111.967027</v>
      </c>
      <c r="P3736">
        <v>4451.8986359999999</v>
      </c>
      <c r="Q3736">
        <v>1339</v>
      </c>
      <c r="R3736">
        <v>0</v>
      </c>
    </row>
    <row r="3737" spans="1:18" x14ac:dyDescent="0.25">
      <c r="A3737">
        <v>3736</v>
      </c>
      <c r="B3737">
        <v>94</v>
      </c>
      <c r="C3737" t="s">
        <v>633</v>
      </c>
      <c r="D3737" t="s">
        <v>118</v>
      </c>
      <c r="E3737">
        <v>59.758000000000003</v>
      </c>
      <c r="F3737" t="s">
        <v>21</v>
      </c>
      <c r="G3737" t="s">
        <v>20</v>
      </c>
      <c r="H3737" t="s">
        <v>21</v>
      </c>
      <c r="I3737" t="s">
        <v>20</v>
      </c>
      <c r="J3737" t="s">
        <v>20</v>
      </c>
      <c r="K3737" t="s">
        <v>22</v>
      </c>
      <c r="L3737" t="s">
        <v>168</v>
      </c>
      <c r="M3737" t="s">
        <v>120</v>
      </c>
      <c r="N3737">
        <v>40.202616999999996</v>
      </c>
      <c r="O3737">
        <v>-110.877611</v>
      </c>
      <c r="P3737">
        <v>6715.7241649999996</v>
      </c>
      <c r="Q3737">
        <v>310</v>
      </c>
      <c r="R3737">
        <v>0</v>
      </c>
    </row>
    <row r="3738" spans="1:18" x14ac:dyDescent="0.25">
      <c r="A3738">
        <v>3737</v>
      </c>
      <c r="B3738">
        <v>94</v>
      </c>
      <c r="C3738">
        <v>31509284</v>
      </c>
      <c r="D3738" t="s">
        <v>124</v>
      </c>
      <c r="E3738">
        <v>59.780999999999999</v>
      </c>
      <c r="F3738" t="s">
        <v>19</v>
      </c>
      <c r="G3738" t="s">
        <v>20</v>
      </c>
      <c r="H3738" t="s">
        <v>21</v>
      </c>
      <c r="I3738" t="s">
        <v>20</v>
      </c>
      <c r="J3738" t="s">
        <v>20</v>
      </c>
      <c r="K3738" t="s">
        <v>31</v>
      </c>
      <c r="L3738" t="s">
        <v>362</v>
      </c>
      <c r="M3738" t="s">
        <v>365</v>
      </c>
      <c r="N3738">
        <v>40.776142</v>
      </c>
      <c r="O3738">
        <v>-111.93934</v>
      </c>
      <c r="P3738">
        <v>4162.1814020000002</v>
      </c>
      <c r="Q3738">
        <v>1368</v>
      </c>
      <c r="R3738">
        <v>0</v>
      </c>
    </row>
    <row r="3739" spans="1:18" x14ac:dyDescent="0.25">
      <c r="A3739">
        <v>3738</v>
      </c>
      <c r="B3739">
        <v>94</v>
      </c>
      <c r="C3739">
        <v>28046232</v>
      </c>
      <c r="D3739" t="s">
        <v>281</v>
      </c>
      <c r="E3739">
        <v>59.798999999999999</v>
      </c>
      <c r="F3739" t="s">
        <v>21</v>
      </c>
      <c r="G3739" t="s">
        <v>26</v>
      </c>
      <c r="H3739" t="s">
        <v>21</v>
      </c>
      <c r="I3739" t="s">
        <v>20</v>
      </c>
      <c r="J3739" t="s">
        <v>20</v>
      </c>
      <c r="K3739" t="s">
        <v>31</v>
      </c>
      <c r="L3739" t="s">
        <v>282</v>
      </c>
      <c r="M3739" t="s">
        <v>283</v>
      </c>
      <c r="N3739">
        <v>40.609121999999999</v>
      </c>
      <c r="O3739">
        <v>-112.29436</v>
      </c>
      <c r="P3739">
        <v>4327.9153459999998</v>
      </c>
      <c r="Q3739">
        <v>1347</v>
      </c>
      <c r="R3739">
        <v>0</v>
      </c>
    </row>
    <row r="3740" spans="1:18" x14ac:dyDescent="0.25">
      <c r="A3740">
        <v>3739</v>
      </c>
      <c r="B3740">
        <v>94</v>
      </c>
      <c r="C3740">
        <v>28648544</v>
      </c>
      <c r="D3740" t="s">
        <v>142</v>
      </c>
      <c r="E3740">
        <v>59.816000000000003</v>
      </c>
      <c r="F3740" t="s">
        <v>21</v>
      </c>
      <c r="G3740" t="s">
        <v>20</v>
      </c>
      <c r="H3740" t="s">
        <v>21</v>
      </c>
      <c r="I3740" t="s">
        <v>20</v>
      </c>
      <c r="J3740" t="s">
        <v>20</v>
      </c>
      <c r="K3740" t="s">
        <v>27</v>
      </c>
      <c r="L3740" t="s">
        <v>143</v>
      </c>
      <c r="M3740" t="s">
        <v>106</v>
      </c>
      <c r="N3740">
        <v>38.434621999999997</v>
      </c>
      <c r="O3740">
        <v>-113.292349</v>
      </c>
      <c r="P3740">
        <v>5789.2494790000001</v>
      </c>
      <c r="Q3740">
        <v>305</v>
      </c>
      <c r="R3740">
        <v>0</v>
      </c>
    </row>
    <row r="3741" spans="1:18" x14ac:dyDescent="0.25">
      <c r="A3741">
        <v>3740</v>
      </c>
      <c r="B3741">
        <v>94</v>
      </c>
      <c r="C3741">
        <v>28219163</v>
      </c>
      <c r="D3741" t="s">
        <v>220</v>
      </c>
      <c r="E3741">
        <v>59.825000000000003</v>
      </c>
      <c r="F3741" t="s">
        <v>21</v>
      </c>
      <c r="G3741" t="s">
        <v>26</v>
      </c>
      <c r="H3741" t="s">
        <v>21</v>
      </c>
      <c r="I3741" t="s">
        <v>20</v>
      </c>
      <c r="J3741" t="s">
        <v>20</v>
      </c>
      <c r="K3741" t="s">
        <v>27</v>
      </c>
      <c r="L3741" t="s">
        <v>28</v>
      </c>
      <c r="M3741" t="s">
        <v>366</v>
      </c>
      <c r="N3741">
        <v>37.769505000000002</v>
      </c>
      <c r="O3741">
        <v>-111.59449499999999</v>
      </c>
      <c r="P3741">
        <v>5723.9164840000003</v>
      </c>
      <c r="Q3741">
        <v>1328</v>
      </c>
      <c r="R3741">
        <v>0</v>
      </c>
    </row>
    <row r="3742" spans="1:18" x14ac:dyDescent="0.25">
      <c r="A3742">
        <v>3741</v>
      </c>
      <c r="B3742">
        <v>94</v>
      </c>
      <c r="C3742">
        <v>31475373</v>
      </c>
      <c r="D3742" t="s">
        <v>319</v>
      </c>
      <c r="E3742">
        <v>59.838999999999999</v>
      </c>
      <c r="F3742" t="s">
        <v>21</v>
      </c>
      <c r="G3742" t="s">
        <v>26</v>
      </c>
      <c r="H3742" t="s">
        <v>21</v>
      </c>
      <c r="I3742" t="s">
        <v>20</v>
      </c>
      <c r="J3742" t="s">
        <v>20</v>
      </c>
      <c r="K3742" t="s">
        <v>27</v>
      </c>
      <c r="L3742" t="s">
        <v>54</v>
      </c>
      <c r="M3742" t="s">
        <v>55</v>
      </c>
      <c r="N3742">
        <v>37.683056000000001</v>
      </c>
      <c r="O3742">
        <v>-113.091643</v>
      </c>
      <c r="P3742">
        <v>5612.3417129999998</v>
      </c>
      <c r="Q3742">
        <v>314</v>
      </c>
      <c r="R3742">
        <v>0</v>
      </c>
    </row>
    <row r="3743" spans="1:18" x14ac:dyDescent="0.25">
      <c r="A3743">
        <v>3742</v>
      </c>
      <c r="B3743">
        <v>94</v>
      </c>
      <c r="C3743">
        <v>31325200</v>
      </c>
      <c r="D3743" t="s">
        <v>241</v>
      </c>
      <c r="E3743">
        <v>59.875</v>
      </c>
      <c r="F3743" t="s">
        <v>21</v>
      </c>
      <c r="G3743" t="s">
        <v>20</v>
      </c>
      <c r="H3743" t="s">
        <v>21</v>
      </c>
      <c r="I3743" t="s">
        <v>20</v>
      </c>
      <c r="J3743" t="s">
        <v>20</v>
      </c>
      <c r="K3743" t="s">
        <v>27</v>
      </c>
      <c r="L3743" t="s">
        <v>111</v>
      </c>
      <c r="M3743" t="s">
        <v>243</v>
      </c>
      <c r="N3743">
        <v>39.479227000000002</v>
      </c>
      <c r="O3743">
        <v>-110.853116</v>
      </c>
      <c r="P3743">
        <v>5855.8067380000002</v>
      </c>
      <c r="Q3743">
        <v>1327</v>
      </c>
      <c r="R3743">
        <v>0</v>
      </c>
    </row>
    <row r="3744" spans="1:18" x14ac:dyDescent="0.25">
      <c r="A3744">
        <v>3743</v>
      </c>
      <c r="B3744">
        <v>94</v>
      </c>
      <c r="C3744">
        <v>31662994</v>
      </c>
      <c r="D3744" t="s">
        <v>244</v>
      </c>
      <c r="E3744">
        <v>59.896999999999998</v>
      </c>
      <c r="F3744" t="s">
        <v>21</v>
      </c>
      <c r="G3744" t="s">
        <v>26</v>
      </c>
      <c r="H3744" t="s">
        <v>21</v>
      </c>
      <c r="I3744" t="s">
        <v>20</v>
      </c>
      <c r="J3744" t="s">
        <v>20</v>
      </c>
      <c r="K3744" t="s">
        <v>27</v>
      </c>
      <c r="L3744" t="s">
        <v>266</v>
      </c>
      <c r="M3744" t="s">
        <v>386</v>
      </c>
      <c r="N3744">
        <v>38.343277999999998</v>
      </c>
      <c r="O3744">
        <v>-111.553664</v>
      </c>
      <c r="P3744">
        <v>7011.3426499999996</v>
      </c>
      <c r="Q3744">
        <v>1340</v>
      </c>
      <c r="R3744">
        <v>0</v>
      </c>
    </row>
    <row r="3745" spans="1:18" x14ac:dyDescent="0.25">
      <c r="A3745">
        <v>3744</v>
      </c>
      <c r="B3745">
        <v>94</v>
      </c>
      <c r="C3745">
        <v>31826943</v>
      </c>
      <c r="D3745" t="s">
        <v>272</v>
      </c>
      <c r="E3745">
        <v>59.914999999999999</v>
      </c>
      <c r="F3745" t="s">
        <v>21</v>
      </c>
      <c r="G3745" t="s">
        <v>20</v>
      </c>
      <c r="H3745" t="s">
        <v>21</v>
      </c>
      <c r="I3745" t="s">
        <v>20</v>
      </c>
      <c r="J3745" t="s">
        <v>20</v>
      </c>
      <c r="K3745" t="s">
        <v>27</v>
      </c>
      <c r="L3745" t="s">
        <v>259</v>
      </c>
      <c r="M3745" t="s">
        <v>214</v>
      </c>
      <c r="N3745">
        <v>37.024889000000002</v>
      </c>
      <c r="O3745">
        <v>-112.460476</v>
      </c>
      <c r="P3745">
        <v>5004.4035610000001</v>
      </c>
      <c r="Q3745">
        <v>1384</v>
      </c>
      <c r="R3745">
        <v>0</v>
      </c>
    </row>
    <row r="3746" spans="1:18" x14ac:dyDescent="0.25">
      <c r="A3746">
        <v>3745</v>
      </c>
      <c r="B3746">
        <v>94</v>
      </c>
      <c r="C3746">
        <v>31828904</v>
      </c>
      <c r="D3746" t="s">
        <v>272</v>
      </c>
      <c r="E3746">
        <v>60.518000000000001</v>
      </c>
      <c r="F3746" t="s">
        <v>21</v>
      </c>
      <c r="G3746" t="s">
        <v>20</v>
      </c>
      <c r="H3746" t="s">
        <v>21</v>
      </c>
      <c r="I3746" t="s">
        <v>20</v>
      </c>
      <c r="J3746" t="s">
        <v>20</v>
      </c>
      <c r="K3746" t="s">
        <v>27</v>
      </c>
      <c r="L3746" t="s">
        <v>259</v>
      </c>
      <c r="M3746" t="s">
        <v>214</v>
      </c>
      <c r="N3746">
        <v>37.026682999999998</v>
      </c>
      <c r="O3746">
        <v>-112.471191</v>
      </c>
      <c r="P3746">
        <v>4999.8257819999999</v>
      </c>
      <c r="Q3746">
        <v>1384</v>
      </c>
      <c r="R3746">
        <v>0</v>
      </c>
    </row>
    <row r="3747" spans="1:18" x14ac:dyDescent="0.25">
      <c r="A3747">
        <v>3746</v>
      </c>
      <c r="B3747">
        <v>94</v>
      </c>
      <c r="C3747">
        <v>31510673</v>
      </c>
      <c r="D3747" t="s">
        <v>124</v>
      </c>
      <c r="E3747">
        <v>60.530999999999999</v>
      </c>
      <c r="F3747" t="s">
        <v>21</v>
      </c>
      <c r="G3747" t="s">
        <v>26</v>
      </c>
      <c r="H3747" t="s">
        <v>21</v>
      </c>
      <c r="I3747" t="s">
        <v>20</v>
      </c>
      <c r="J3747" t="s">
        <v>20</v>
      </c>
      <c r="K3747" t="s">
        <v>31</v>
      </c>
      <c r="L3747" t="s">
        <v>362</v>
      </c>
      <c r="M3747" t="s">
        <v>365</v>
      </c>
      <c r="N3747">
        <v>40.787041000000002</v>
      </c>
      <c r="O3747">
        <v>-111.939376</v>
      </c>
      <c r="P3747">
        <v>4160.1543959999999</v>
      </c>
      <c r="Q3747">
        <v>1368</v>
      </c>
      <c r="R3747">
        <v>0</v>
      </c>
    </row>
    <row r="3748" spans="1:18" x14ac:dyDescent="0.25">
      <c r="A3748">
        <v>3747</v>
      </c>
      <c r="B3748">
        <v>94</v>
      </c>
      <c r="C3748">
        <v>31480036</v>
      </c>
      <c r="D3748" t="s">
        <v>319</v>
      </c>
      <c r="E3748">
        <v>60.567999999999998</v>
      </c>
      <c r="F3748" t="s">
        <v>19</v>
      </c>
      <c r="G3748" t="s">
        <v>20</v>
      </c>
      <c r="H3748" t="s">
        <v>21</v>
      </c>
      <c r="I3748" t="s">
        <v>20</v>
      </c>
      <c r="J3748" t="s">
        <v>20</v>
      </c>
      <c r="K3748" t="s">
        <v>27</v>
      </c>
      <c r="L3748" t="s">
        <v>54</v>
      </c>
      <c r="M3748" t="s">
        <v>55</v>
      </c>
      <c r="N3748">
        <v>37.680833999999997</v>
      </c>
      <c r="O3748">
        <v>-113.078896</v>
      </c>
      <c r="P3748">
        <v>5674.7309219999997</v>
      </c>
      <c r="Q3748">
        <v>314</v>
      </c>
      <c r="R3748">
        <v>0</v>
      </c>
    </row>
    <row r="3749" spans="1:18" x14ac:dyDescent="0.25">
      <c r="A3749">
        <v>3748</v>
      </c>
      <c r="B3749">
        <v>94</v>
      </c>
      <c r="C3749">
        <v>651558</v>
      </c>
      <c r="D3749" t="s">
        <v>383</v>
      </c>
      <c r="E3749">
        <v>15.154999999999999</v>
      </c>
      <c r="F3749" t="s">
        <v>21</v>
      </c>
      <c r="G3749" t="s">
        <v>26</v>
      </c>
      <c r="H3749" t="s">
        <v>21</v>
      </c>
      <c r="I3749" t="s">
        <v>20</v>
      </c>
      <c r="J3749" t="s">
        <v>20</v>
      </c>
      <c r="K3749" t="s">
        <v>31</v>
      </c>
      <c r="L3749" t="s">
        <v>32</v>
      </c>
      <c r="M3749" t="s">
        <v>384</v>
      </c>
      <c r="N3749">
        <v>40.580416999999997</v>
      </c>
      <c r="O3749">
        <v>-111.840416</v>
      </c>
      <c r="P3749">
        <v>4722.6099999999997</v>
      </c>
      <c r="Q3749">
        <v>414</v>
      </c>
      <c r="R3749">
        <v>0</v>
      </c>
    </row>
    <row r="3750" spans="1:18" x14ac:dyDescent="0.25">
      <c r="A3750">
        <v>3749</v>
      </c>
      <c r="B3750">
        <v>94</v>
      </c>
      <c r="C3750">
        <v>651574</v>
      </c>
      <c r="D3750" t="s">
        <v>383</v>
      </c>
      <c r="E3750">
        <v>15.204000000000001</v>
      </c>
      <c r="F3750" t="s">
        <v>21</v>
      </c>
      <c r="G3750" t="s">
        <v>26</v>
      </c>
      <c r="H3750" t="s">
        <v>21</v>
      </c>
      <c r="I3750" t="s">
        <v>20</v>
      </c>
      <c r="J3750" t="s">
        <v>20</v>
      </c>
      <c r="K3750" t="s">
        <v>31</v>
      </c>
      <c r="L3750" t="s">
        <v>32</v>
      </c>
      <c r="M3750" t="s">
        <v>384</v>
      </c>
      <c r="N3750">
        <v>40.580419999999997</v>
      </c>
      <c r="O3750">
        <v>-111.839479</v>
      </c>
      <c r="P3750">
        <v>4724.9409999999998</v>
      </c>
      <c r="Q3750">
        <v>414</v>
      </c>
      <c r="R3750">
        <v>0</v>
      </c>
    </row>
    <row r="3751" spans="1:18" x14ac:dyDescent="0.25">
      <c r="A3751">
        <v>3750</v>
      </c>
      <c r="B3751">
        <v>94</v>
      </c>
      <c r="C3751">
        <v>654029</v>
      </c>
      <c r="D3751" t="s">
        <v>383</v>
      </c>
      <c r="E3751">
        <v>15.488</v>
      </c>
      <c r="F3751" t="s">
        <v>19</v>
      </c>
      <c r="G3751" t="s">
        <v>20</v>
      </c>
      <c r="H3751" t="s">
        <v>21</v>
      </c>
      <c r="I3751" t="s">
        <v>20</v>
      </c>
      <c r="J3751" t="s">
        <v>20</v>
      </c>
      <c r="K3751" t="s">
        <v>31</v>
      </c>
      <c r="L3751" t="s">
        <v>32</v>
      </c>
      <c r="M3751" t="s">
        <v>384</v>
      </c>
      <c r="N3751">
        <v>40.580390000000001</v>
      </c>
      <c r="O3751">
        <v>-111.83404</v>
      </c>
      <c r="P3751">
        <v>4748.5280000000002</v>
      </c>
      <c r="Q3751">
        <v>414</v>
      </c>
      <c r="R3751">
        <v>0</v>
      </c>
    </row>
    <row r="3752" spans="1:18" x14ac:dyDescent="0.25">
      <c r="A3752">
        <v>3751</v>
      </c>
      <c r="B3752">
        <v>94</v>
      </c>
      <c r="C3752">
        <v>655635</v>
      </c>
      <c r="D3752" t="s">
        <v>383</v>
      </c>
      <c r="E3752">
        <v>15.756</v>
      </c>
      <c r="F3752" t="s">
        <v>19</v>
      </c>
      <c r="G3752" t="s">
        <v>20</v>
      </c>
      <c r="H3752" t="s">
        <v>21</v>
      </c>
      <c r="I3752" t="s">
        <v>20</v>
      </c>
      <c r="J3752" t="s">
        <v>20</v>
      </c>
      <c r="K3752" t="s">
        <v>31</v>
      </c>
      <c r="L3752" t="s">
        <v>32</v>
      </c>
      <c r="M3752" t="s">
        <v>384</v>
      </c>
      <c r="N3752">
        <v>40.580454000000003</v>
      </c>
      <c r="O3752">
        <v>-111.828907</v>
      </c>
      <c r="P3752">
        <v>4785.1080000000002</v>
      </c>
      <c r="Q3752">
        <v>414</v>
      </c>
      <c r="R3752">
        <v>0</v>
      </c>
    </row>
    <row r="3753" spans="1:18" x14ac:dyDescent="0.25">
      <c r="A3753">
        <v>3752</v>
      </c>
      <c r="B3753">
        <v>94</v>
      </c>
      <c r="C3753">
        <v>656998</v>
      </c>
      <c r="D3753" t="s">
        <v>383</v>
      </c>
      <c r="E3753">
        <v>16.097999999999999</v>
      </c>
      <c r="F3753" t="s">
        <v>21</v>
      </c>
      <c r="G3753" t="s">
        <v>26</v>
      </c>
      <c r="H3753" t="s">
        <v>21</v>
      </c>
      <c r="I3753" t="s">
        <v>20</v>
      </c>
      <c r="J3753" t="s">
        <v>20</v>
      </c>
      <c r="K3753" t="s">
        <v>31</v>
      </c>
      <c r="L3753" t="s">
        <v>32</v>
      </c>
      <c r="M3753" t="s">
        <v>384</v>
      </c>
      <c r="N3753">
        <v>40.578533</v>
      </c>
      <c r="O3753">
        <v>-111.823065</v>
      </c>
      <c r="P3753">
        <v>4817.4380000000001</v>
      </c>
      <c r="Q3753">
        <v>414</v>
      </c>
      <c r="R3753">
        <v>0</v>
      </c>
    </row>
    <row r="3754" spans="1:18" x14ac:dyDescent="0.25">
      <c r="A3754">
        <v>3753</v>
      </c>
      <c r="B3754">
        <v>94</v>
      </c>
      <c r="C3754">
        <v>657699</v>
      </c>
      <c r="D3754" t="s">
        <v>383</v>
      </c>
      <c r="E3754">
        <v>16.41</v>
      </c>
      <c r="F3754" t="s">
        <v>21</v>
      </c>
      <c r="G3754" t="s">
        <v>26</v>
      </c>
      <c r="H3754" t="s">
        <v>21</v>
      </c>
      <c r="I3754" t="s">
        <v>20</v>
      </c>
      <c r="J3754" t="s">
        <v>20</v>
      </c>
      <c r="K3754" t="s">
        <v>31</v>
      </c>
      <c r="L3754" t="s">
        <v>32</v>
      </c>
      <c r="M3754" t="s">
        <v>384</v>
      </c>
      <c r="N3754">
        <v>40.576734000000002</v>
      </c>
      <c r="O3754">
        <v>-111.817931</v>
      </c>
      <c r="P3754">
        <v>4957.1949999999997</v>
      </c>
      <c r="Q3754">
        <v>414</v>
      </c>
      <c r="R3754">
        <v>0</v>
      </c>
    </row>
    <row r="3755" spans="1:18" x14ac:dyDescent="0.25">
      <c r="A3755">
        <v>3754</v>
      </c>
      <c r="B3755">
        <v>94</v>
      </c>
      <c r="C3755">
        <v>658764</v>
      </c>
      <c r="D3755" t="s">
        <v>383</v>
      </c>
      <c r="E3755">
        <v>16.483000000000001</v>
      </c>
      <c r="F3755" t="s">
        <v>21</v>
      </c>
      <c r="G3755" t="s">
        <v>26</v>
      </c>
      <c r="H3755" t="s">
        <v>21</v>
      </c>
      <c r="I3755" t="s">
        <v>20</v>
      </c>
      <c r="J3755" t="s">
        <v>20</v>
      </c>
      <c r="K3755" t="s">
        <v>31</v>
      </c>
      <c r="L3755" t="s">
        <v>32</v>
      </c>
      <c r="M3755" t="s">
        <v>384</v>
      </c>
      <c r="N3755">
        <v>40.576739000000003</v>
      </c>
      <c r="O3755">
        <v>-111.816536</v>
      </c>
      <c r="P3755">
        <v>4976.143</v>
      </c>
      <c r="Q3755">
        <v>414</v>
      </c>
      <c r="R3755">
        <v>0</v>
      </c>
    </row>
    <row r="3756" spans="1:18" x14ac:dyDescent="0.25">
      <c r="A3756">
        <v>3755</v>
      </c>
      <c r="B3756">
        <v>94</v>
      </c>
      <c r="C3756">
        <v>658771</v>
      </c>
      <c r="D3756" t="s">
        <v>383</v>
      </c>
      <c r="E3756">
        <v>16.518999999999998</v>
      </c>
      <c r="F3756" t="s">
        <v>21</v>
      </c>
      <c r="G3756" t="s">
        <v>26</v>
      </c>
      <c r="H3756" t="s">
        <v>21</v>
      </c>
      <c r="I3756" t="s">
        <v>20</v>
      </c>
      <c r="J3756" t="s">
        <v>20</v>
      </c>
      <c r="K3756" t="s">
        <v>31</v>
      </c>
      <c r="L3756" t="s">
        <v>32</v>
      </c>
      <c r="M3756" t="s">
        <v>384</v>
      </c>
      <c r="N3756">
        <v>40.576735999999997</v>
      </c>
      <c r="O3756">
        <v>-111.81585</v>
      </c>
      <c r="P3756">
        <v>4982.3630000000003</v>
      </c>
      <c r="Q3756">
        <v>414</v>
      </c>
      <c r="R3756">
        <v>0</v>
      </c>
    </row>
    <row r="3757" spans="1:18" x14ac:dyDescent="0.25">
      <c r="A3757">
        <v>3756</v>
      </c>
      <c r="B3757">
        <v>94</v>
      </c>
      <c r="C3757">
        <v>658778</v>
      </c>
      <c r="D3757" t="s">
        <v>383</v>
      </c>
      <c r="E3757">
        <v>16.594000000000001</v>
      </c>
      <c r="F3757" t="s">
        <v>21</v>
      </c>
      <c r="G3757" t="s">
        <v>26</v>
      </c>
      <c r="H3757" t="s">
        <v>21</v>
      </c>
      <c r="I3757" t="s">
        <v>20</v>
      </c>
      <c r="J3757" t="s">
        <v>20</v>
      </c>
      <c r="K3757" t="s">
        <v>31</v>
      </c>
      <c r="L3757" t="s">
        <v>32</v>
      </c>
      <c r="M3757" t="s">
        <v>384</v>
      </c>
      <c r="N3757">
        <v>40.576739000000003</v>
      </c>
      <c r="O3757">
        <v>-111.814419</v>
      </c>
      <c r="P3757">
        <v>4998.3860000000004</v>
      </c>
      <c r="Q3757">
        <v>414</v>
      </c>
      <c r="R3757">
        <v>0</v>
      </c>
    </row>
    <row r="3758" spans="1:18" x14ac:dyDescent="0.25">
      <c r="A3758">
        <v>3757</v>
      </c>
      <c r="B3758">
        <v>94</v>
      </c>
      <c r="C3758">
        <v>658785</v>
      </c>
      <c r="D3758" t="s">
        <v>383</v>
      </c>
      <c r="E3758">
        <v>16.629000000000001</v>
      </c>
      <c r="F3758" t="s">
        <v>21</v>
      </c>
      <c r="G3758" t="s">
        <v>26</v>
      </c>
      <c r="H3758" t="s">
        <v>21</v>
      </c>
      <c r="I3758" t="s">
        <v>20</v>
      </c>
      <c r="J3758" t="s">
        <v>20</v>
      </c>
      <c r="K3758" t="s">
        <v>31</v>
      </c>
      <c r="L3758" t="s">
        <v>32</v>
      </c>
      <c r="M3758" t="s">
        <v>384</v>
      </c>
      <c r="N3758">
        <v>40.576742000000003</v>
      </c>
      <c r="O3758">
        <v>-111.813731</v>
      </c>
      <c r="P3758">
        <v>5007.9459999999999</v>
      </c>
      <c r="Q3758">
        <v>414</v>
      </c>
      <c r="R3758">
        <v>0</v>
      </c>
    </row>
    <row r="3759" spans="1:18" x14ac:dyDescent="0.25">
      <c r="A3759">
        <v>3758</v>
      </c>
      <c r="B3759">
        <v>94</v>
      </c>
      <c r="C3759">
        <v>31747636</v>
      </c>
      <c r="D3759" t="s">
        <v>290</v>
      </c>
      <c r="E3759">
        <v>57.914999999999999</v>
      </c>
      <c r="F3759" t="s">
        <v>21</v>
      </c>
      <c r="G3759" t="s">
        <v>20</v>
      </c>
      <c r="H3759" t="s">
        <v>21</v>
      </c>
      <c r="I3759" t="s">
        <v>20</v>
      </c>
      <c r="J3759" t="s">
        <v>20</v>
      </c>
      <c r="K3759" t="s">
        <v>41</v>
      </c>
      <c r="L3759" t="s">
        <v>291</v>
      </c>
      <c r="M3759" t="s">
        <v>238</v>
      </c>
      <c r="N3759">
        <v>41.817265999999996</v>
      </c>
      <c r="O3759">
        <v>-113.27157099999999</v>
      </c>
      <c r="P3759">
        <v>5385.790489</v>
      </c>
      <c r="Q3759">
        <v>1343</v>
      </c>
      <c r="R3759">
        <v>0</v>
      </c>
    </row>
    <row r="3760" spans="1:18" x14ac:dyDescent="0.25">
      <c r="A3760">
        <v>3759</v>
      </c>
      <c r="B3760">
        <v>94</v>
      </c>
      <c r="C3760" t="s">
        <v>634</v>
      </c>
      <c r="D3760" t="s">
        <v>118</v>
      </c>
      <c r="E3760">
        <v>57.966999999999999</v>
      </c>
      <c r="F3760" t="s">
        <v>21</v>
      </c>
      <c r="G3760" t="s">
        <v>26</v>
      </c>
      <c r="H3760" t="s">
        <v>21</v>
      </c>
      <c r="I3760" t="s">
        <v>20</v>
      </c>
      <c r="J3760" t="s">
        <v>20</v>
      </c>
      <c r="K3760" t="s">
        <v>22</v>
      </c>
      <c r="L3760" t="s">
        <v>119</v>
      </c>
      <c r="M3760" t="s">
        <v>120</v>
      </c>
      <c r="N3760">
        <v>40.200046</v>
      </c>
      <c r="O3760">
        <v>-110.910037</v>
      </c>
      <c r="P3760">
        <v>6653.6950870000001</v>
      </c>
      <c r="Q3760">
        <v>310</v>
      </c>
      <c r="R3760">
        <v>0</v>
      </c>
    </row>
    <row r="3761" spans="1:18" x14ac:dyDescent="0.25">
      <c r="A3761">
        <v>3760</v>
      </c>
      <c r="B3761">
        <v>94</v>
      </c>
      <c r="C3761">
        <v>31487369</v>
      </c>
      <c r="D3761" t="s">
        <v>213</v>
      </c>
      <c r="E3761">
        <v>57.993000000000002</v>
      </c>
      <c r="F3761" t="s">
        <v>21</v>
      </c>
      <c r="G3761" t="s">
        <v>20</v>
      </c>
      <c r="H3761" t="s">
        <v>21</v>
      </c>
      <c r="I3761" t="s">
        <v>20</v>
      </c>
      <c r="J3761" t="s">
        <v>20</v>
      </c>
      <c r="K3761" t="s">
        <v>27</v>
      </c>
      <c r="L3761" t="s">
        <v>173</v>
      </c>
      <c r="M3761" t="s">
        <v>214</v>
      </c>
      <c r="N3761">
        <v>39.153627</v>
      </c>
      <c r="O3761">
        <v>-113.06341999999999</v>
      </c>
      <c r="P3761">
        <v>4694.5025189999997</v>
      </c>
      <c r="Q3761">
        <v>1332</v>
      </c>
      <c r="R3761">
        <v>0</v>
      </c>
    </row>
    <row r="3762" spans="1:18" x14ac:dyDescent="0.25">
      <c r="A3762">
        <v>3761</v>
      </c>
      <c r="B3762">
        <v>94</v>
      </c>
      <c r="C3762">
        <v>31505836</v>
      </c>
      <c r="D3762" t="s">
        <v>124</v>
      </c>
      <c r="E3762">
        <v>57.999000000000002</v>
      </c>
      <c r="F3762" t="s">
        <v>21</v>
      </c>
      <c r="G3762" t="s">
        <v>26</v>
      </c>
      <c r="H3762" t="s">
        <v>21</v>
      </c>
      <c r="I3762" t="s">
        <v>20</v>
      </c>
      <c r="J3762" t="s">
        <v>20</v>
      </c>
      <c r="K3762" t="s">
        <v>31</v>
      </c>
      <c r="L3762" t="s">
        <v>362</v>
      </c>
      <c r="M3762" t="s">
        <v>365</v>
      </c>
      <c r="N3762">
        <v>40.750248999999997</v>
      </c>
      <c r="O3762">
        <v>-111.939037</v>
      </c>
      <c r="P3762">
        <v>4178.2404660000002</v>
      </c>
      <c r="Q3762">
        <v>1368</v>
      </c>
      <c r="R3762">
        <v>0</v>
      </c>
    </row>
    <row r="3763" spans="1:18" x14ac:dyDescent="0.25">
      <c r="A3763">
        <v>3762</v>
      </c>
      <c r="B3763">
        <v>94</v>
      </c>
      <c r="C3763">
        <v>31505847</v>
      </c>
      <c r="D3763" t="s">
        <v>124</v>
      </c>
      <c r="E3763">
        <v>58.066000000000003</v>
      </c>
      <c r="F3763" t="s">
        <v>19</v>
      </c>
      <c r="G3763" t="s">
        <v>20</v>
      </c>
      <c r="H3763" t="s">
        <v>21</v>
      </c>
      <c r="I3763" t="s">
        <v>20</v>
      </c>
      <c r="J3763" t="s">
        <v>20</v>
      </c>
      <c r="K3763" t="s">
        <v>31</v>
      </c>
      <c r="L3763" t="s">
        <v>362</v>
      </c>
      <c r="M3763" t="s">
        <v>365</v>
      </c>
      <c r="N3763">
        <v>40.751233999999997</v>
      </c>
      <c r="O3763">
        <v>-111.939031</v>
      </c>
      <c r="P3763">
        <v>4176.0259930000002</v>
      </c>
      <c r="Q3763">
        <v>1368</v>
      </c>
      <c r="R3763">
        <v>0</v>
      </c>
    </row>
    <row r="3764" spans="1:18" x14ac:dyDescent="0.25">
      <c r="A3764">
        <v>3763</v>
      </c>
      <c r="B3764">
        <v>94</v>
      </c>
      <c r="C3764" t="e">
        <f>-JORe5rtInHCMOUctXWY3F</f>
        <v>#NAME?</v>
      </c>
      <c r="D3764" t="s">
        <v>244</v>
      </c>
      <c r="E3764">
        <v>7.5890000000000004</v>
      </c>
      <c r="F3764" t="s">
        <v>21</v>
      </c>
      <c r="G3764" t="s">
        <v>26</v>
      </c>
      <c r="H3764" t="s">
        <v>21</v>
      </c>
      <c r="I3764" t="s">
        <v>20</v>
      </c>
      <c r="J3764" t="s">
        <v>20</v>
      </c>
      <c r="K3764" t="s">
        <v>27</v>
      </c>
      <c r="L3764" t="s">
        <v>183</v>
      </c>
      <c r="M3764" t="s">
        <v>58</v>
      </c>
      <c r="N3764">
        <v>38.872666000000002</v>
      </c>
      <c r="O3764">
        <v>-111.960843</v>
      </c>
      <c r="P3764">
        <v>5176.5236459999996</v>
      </c>
      <c r="Q3764">
        <v>1340</v>
      </c>
      <c r="R3764">
        <v>0</v>
      </c>
    </row>
    <row r="3765" spans="1:18" x14ac:dyDescent="0.25">
      <c r="A3765">
        <v>3764</v>
      </c>
      <c r="B3765">
        <v>94</v>
      </c>
      <c r="C3765">
        <v>28123945</v>
      </c>
      <c r="D3765" t="s">
        <v>239</v>
      </c>
      <c r="E3765">
        <v>7.5890000000000004</v>
      </c>
      <c r="F3765" t="s">
        <v>21</v>
      </c>
      <c r="G3765" t="s">
        <v>26</v>
      </c>
      <c r="H3765" t="s">
        <v>21</v>
      </c>
      <c r="I3765" t="s">
        <v>20</v>
      </c>
      <c r="J3765" t="s">
        <v>20</v>
      </c>
      <c r="K3765" t="s">
        <v>41</v>
      </c>
      <c r="L3765" t="s">
        <v>181</v>
      </c>
      <c r="M3765" t="s">
        <v>178</v>
      </c>
      <c r="N3765">
        <v>41.679782000000003</v>
      </c>
      <c r="O3765">
        <v>-112.29684399999999</v>
      </c>
      <c r="P3765">
        <v>4262.2324630000003</v>
      </c>
      <c r="Q3765">
        <v>1392</v>
      </c>
      <c r="R3765">
        <v>0</v>
      </c>
    </row>
    <row r="3766" spans="1:18" x14ac:dyDescent="0.25">
      <c r="A3766">
        <v>3765</v>
      </c>
      <c r="B3766">
        <v>94</v>
      </c>
      <c r="C3766">
        <v>31313235</v>
      </c>
      <c r="D3766" t="s">
        <v>215</v>
      </c>
      <c r="E3766">
        <v>7.5890000000000004</v>
      </c>
      <c r="F3766" t="s">
        <v>19</v>
      </c>
      <c r="G3766" t="s">
        <v>20</v>
      </c>
      <c r="H3766" t="s">
        <v>19</v>
      </c>
      <c r="I3766">
        <v>52</v>
      </c>
      <c r="J3766" t="s">
        <v>20</v>
      </c>
      <c r="K3766" t="s">
        <v>22</v>
      </c>
      <c r="L3766" t="s">
        <v>23</v>
      </c>
      <c r="M3766" t="s">
        <v>85</v>
      </c>
      <c r="N3766">
        <v>40.311841000000001</v>
      </c>
      <c r="O3766">
        <v>-111.73466500000001</v>
      </c>
      <c r="P3766">
        <v>4504.618778</v>
      </c>
      <c r="Q3766">
        <v>330</v>
      </c>
      <c r="R3766">
        <v>0</v>
      </c>
    </row>
    <row r="3767" spans="1:18" x14ac:dyDescent="0.25">
      <c r="A3767">
        <v>3766</v>
      </c>
      <c r="B3767">
        <v>94</v>
      </c>
      <c r="C3767">
        <v>28038312</v>
      </c>
      <c r="D3767" t="s">
        <v>281</v>
      </c>
      <c r="E3767">
        <v>58.701000000000001</v>
      </c>
      <c r="F3767" t="s">
        <v>21</v>
      </c>
      <c r="G3767" t="s">
        <v>26</v>
      </c>
      <c r="H3767" t="s">
        <v>21</v>
      </c>
      <c r="I3767" t="s">
        <v>20</v>
      </c>
      <c r="J3767" t="s">
        <v>20</v>
      </c>
      <c r="K3767" t="s">
        <v>31</v>
      </c>
      <c r="L3767" t="s">
        <v>282</v>
      </c>
      <c r="M3767" t="s">
        <v>283</v>
      </c>
      <c r="N3767">
        <v>40.593274000000001</v>
      </c>
      <c r="O3767">
        <v>-112.294034</v>
      </c>
      <c r="P3767">
        <v>4428.8762669999996</v>
      </c>
      <c r="Q3767">
        <v>1347</v>
      </c>
      <c r="R3767">
        <v>0</v>
      </c>
    </row>
    <row r="3768" spans="1:18" x14ac:dyDescent="0.25">
      <c r="A3768">
        <v>3767</v>
      </c>
      <c r="B3768">
        <v>94</v>
      </c>
      <c r="C3768">
        <v>31757089</v>
      </c>
      <c r="D3768" t="s">
        <v>65</v>
      </c>
      <c r="E3768">
        <v>6.9450000000000003</v>
      </c>
      <c r="F3768" t="s">
        <v>19</v>
      </c>
      <c r="G3768" t="s">
        <v>20</v>
      </c>
      <c r="H3768" t="s">
        <v>21</v>
      </c>
      <c r="I3768" t="s">
        <v>20</v>
      </c>
      <c r="J3768" t="s">
        <v>20</v>
      </c>
      <c r="K3768" t="s">
        <v>31</v>
      </c>
      <c r="L3768" t="s">
        <v>188</v>
      </c>
      <c r="M3768" t="s">
        <v>67</v>
      </c>
      <c r="N3768">
        <v>40.738889999999998</v>
      </c>
      <c r="O3768">
        <v>-111.82494199999999</v>
      </c>
      <c r="P3768">
        <v>4673.7958879999996</v>
      </c>
      <c r="Q3768">
        <v>402</v>
      </c>
      <c r="R3768">
        <v>0</v>
      </c>
    </row>
    <row r="3769" spans="1:18" x14ac:dyDescent="0.25">
      <c r="A3769">
        <v>3768</v>
      </c>
      <c r="B3769">
        <v>94</v>
      </c>
      <c r="C3769">
        <v>31192445</v>
      </c>
      <c r="D3769" t="s">
        <v>309</v>
      </c>
      <c r="E3769">
        <v>6.9480000000000004</v>
      </c>
      <c r="F3769" t="s">
        <v>21</v>
      </c>
      <c r="G3769" t="s">
        <v>26</v>
      </c>
      <c r="H3769" t="s">
        <v>19</v>
      </c>
      <c r="I3769">
        <v>115</v>
      </c>
      <c r="J3769" t="s">
        <v>20</v>
      </c>
      <c r="K3769" t="s">
        <v>22</v>
      </c>
      <c r="L3769" t="s">
        <v>198</v>
      </c>
      <c r="M3769" t="s">
        <v>125</v>
      </c>
      <c r="N3769">
        <v>40.098157999999998</v>
      </c>
      <c r="O3769">
        <v>-111.73094500000001</v>
      </c>
      <c r="P3769">
        <v>4472.8695550000002</v>
      </c>
      <c r="Q3769">
        <v>339</v>
      </c>
      <c r="R3769">
        <v>0</v>
      </c>
    </row>
    <row r="3770" spans="1:18" x14ac:dyDescent="0.25">
      <c r="A3770">
        <v>3769</v>
      </c>
      <c r="B3770">
        <v>94</v>
      </c>
      <c r="C3770">
        <v>31553936</v>
      </c>
      <c r="D3770" t="s">
        <v>213</v>
      </c>
      <c r="E3770">
        <v>88.930999999999997</v>
      </c>
      <c r="F3770" t="s">
        <v>21</v>
      </c>
      <c r="G3770" t="s">
        <v>26</v>
      </c>
      <c r="H3770" t="s">
        <v>21</v>
      </c>
      <c r="I3770" t="s">
        <v>20</v>
      </c>
      <c r="J3770" t="s">
        <v>20</v>
      </c>
      <c r="K3770" t="s">
        <v>27</v>
      </c>
      <c r="L3770" t="s">
        <v>173</v>
      </c>
      <c r="M3770" t="s">
        <v>214</v>
      </c>
      <c r="N3770">
        <v>39.352378000000002</v>
      </c>
      <c r="O3770">
        <v>-112.572509</v>
      </c>
      <c r="P3770">
        <v>4570.5202939999999</v>
      </c>
      <c r="Q3770">
        <v>1332</v>
      </c>
      <c r="R3770">
        <v>0</v>
      </c>
    </row>
    <row r="3771" spans="1:18" x14ac:dyDescent="0.25">
      <c r="A3771">
        <v>3770</v>
      </c>
      <c r="B3771">
        <v>94</v>
      </c>
      <c r="C3771">
        <v>31373315</v>
      </c>
      <c r="D3771" t="s">
        <v>142</v>
      </c>
      <c r="E3771">
        <v>88.94</v>
      </c>
      <c r="F3771" t="s">
        <v>21</v>
      </c>
      <c r="G3771" t="s">
        <v>26</v>
      </c>
      <c r="H3771" t="s">
        <v>21</v>
      </c>
      <c r="I3771" t="s">
        <v>20</v>
      </c>
      <c r="J3771" t="s">
        <v>20</v>
      </c>
      <c r="K3771" t="s">
        <v>27</v>
      </c>
      <c r="L3771" t="s">
        <v>143</v>
      </c>
      <c r="M3771" t="s">
        <v>106</v>
      </c>
      <c r="N3771">
        <v>38.239718000000003</v>
      </c>
      <c r="O3771">
        <v>-112.938025</v>
      </c>
      <c r="P3771">
        <v>5285.1795860000002</v>
      </c>
      <c r="Q3771">
        <v>305</v>
      </c>
      <c r="R3771">
        <v>0</v>
      </c>
    </row>
    <row r="3772" spans="1:18" x14ac:dyDescent="0.25">
      <c r="A3772">
        <v>3771</v>
      </c>
      <c r="B3772">
        <v>94</v>
      </c>
      <c r="C3772">
        <v>31553947</v>
      </c>
      <c r="D3772" t="s">
        <v>213</v>
      </c>
      <c r="E3772">
        <v>89.051000000000002</v>
      </c>
      <c r="F3772" t="s">
        <v>21</v>
      </c>
      <c r="G3772" t="s">
        <v>26</v>
      </c>
      <c r="H3772" t="s">
        <v>21</v>
      </c>
      <c r="I3772" t="s">
        <v>20</v>
      </c>
      <c r="J3772" t="s">
        <v>20</v>
      </c>
      <c r="K3772" t="s">
        <v>27</v>
      </c>
      <c r="L3772" t="s">
        <v>173</v>
      </c>
      <c r="M3772" t="s">
        <v>214</v>
      </c>
      <c r="N3772">
        <v>39.352358000000002</v>
      </c>
      <c r="O3772">
        <v>-112.57025899999999</v>
      </c>
      <c r="P3772">
        <v>4570.6068059999998</v>
      </c>
      <c r="Q3772">
        <v>1332</v>
      </c>
      <c r="R3772">
        <v>0</v>
      </c>
    </row>
    <row r="3773" spans="1:18" x14ac:dyDescent="0.25">
      <c r="A3773">
        <v>3772</v>
      </c>
      <c r="B3773">
        <v>94</v>
      </c>
      <c r="C3773" t="e">
        <f>-JQu5MrsHyHWTP8tfG4vDk</f>
        <v>#NAME?</v>
      </c>
      <c r="D3773" t="s">
        <v>213</v>
      </c>
      <c r="E3773">
        <v>89.111999999999995</v>
      </c>
      <c r="F3773" t="s">
        <v>21</v>
      </c>
      <c r="G3773" t="s">
        <v>20</v>
      </c>
      <c r="H3773" t="s">
        <v>21</v>
      </c>
      <c r="I3773" t="s">
        <v>20</v>
      </c>
      <c r="J3773" t="s">
        <v>20</v>
      </c>
      <c r="K3773" t="s">
        <v>27</v>
      </c>
      <c r="L3773" t="s">
        <v>173</v>
      </c>
      <c r="M3773" t="s">
        <v>214</v>
      </c>
      <c r="N3773">
        <v>39.352296000000003</v>
      </c>
      <c r="O3773">
        <v>-112.569132</v>
      </c>
      <c r="P3773">
        <v>4570.4251990000002</v>
      </c>
      <c r="Q3773">
        <v>1332</v>
      </c>
      <c r="R3773">
        <v>0</v>
      </c>
    </row>
    <row r="3774" spans="1:18" x14ac:dyDescent="0.25">
      <c r="A3774">
        <v>3773</v>
      </c>
      <c r="B3774">
        <v>94</v>
      </c>
      <c r="C3774">
        <v>31430905</v>
      </c>
      <c r="D3774" t="s">
        <v>288</v>
      </c>
      <c r="E3774">
        <v>89.137</v>
      </c>
      <c r="F3774" t="s">
        <v>21</v>
      </c>
      <c r="G3774" t="s">
        <v>20</v>
      </c>
      <c r="H3774" t="s">
        <v>21</v>
      </c>
      <c r="I3774" t="s">
        <v>20</v>
      </c>
      <c r="J3774" t="s">
        <v>20</v>
      </c>
      <c r="K3774" t="s">
        <v>27</v>
      </c>
      <c r="L3774" t="s">
        <v>146</v>
      </c>
      <c r="M3774" t="s">
        <v>147</v>
      </c>
      <c r="N3774">
        <v>38.116</v>
      </c>
      <c r="O3774">
        <v>-109.36548999999999</v>
      </c>
      <c r="P3774">
        <v>5960.3366189999997</v>
      </c>
      <c r="Q3774">
        <v>350</v>
      </c>
      <c r="R3774">
        <v>0</v>
      </c>
    </row>
    <row r="3775" spans="1:18" x14ac:dyDescent="0.25">
      <c r="A3775">
        <v>3774</v>
      </c>
      <c r="B3775">
        <v>94</v>
      </c>
      <c r="C3775">
        <v>31554708</v>
      </c>
      <c r="D3775" t="s">
        <v>213</v>
      </c>
      <c r="E3775">
        <v>89.171000000000006</v>
      </c>
      <c r="F3775" t="s">
        <v>21</v>
      </c>
      <c r="G3775" t="s">
        <v>26</v>
      </c>
      <c r="H3775" t="s">
        <v>21</v>
      </c>
      <c r="I3775" t="s">
        <v>20</v>
      </c>
      <c r="J3775" t="s">
        <v>20</v>
      </c>
      <c r="K3775" t="s">
        <v>27</v>
      </c>
      <c r="L3775" t="s">
        <v>173</v>
      </c>
      <c r="M3775" t="s">
        <v>214</v>
      </c>
      <c r="N3775">
        <v>39.352342999999998</v>
      </c>
      <c r="O3775">
        <v>-112.568015</v>
      </c>
      <c r="P3775">
        <v>4571.3947189999999</v>
      </c>
      <c r="Q3775">
        <v>1332</v>
      </c>
      <c r="R3775">
        <v>0</v>
      </c>
    </row>
    <row r="3776" spans="1:18" x14ac:dyDescent="0.25">
      <c r="A3776">
        <v>3775</v>
      </c>
      <c r="B3776">
        <v>94</v>
      </c>
      <c r="C3776">
        <v>31554719</v>
      </c>
      <c r="D3776" t="s">
        <v>213</v>
      </c>
      <c r="E3776">
        <v>89.228999999999999</v>
      </c>
      <c r="F3776" t="s">
        <v>21</v>
      </c>
      <c r="G3776" t="s">
        <v>26</v>
      </c>
      <c r="H3776" t="s">
        <v>21</v>
      </c>
      <c r="I3776" t="s">
        <v>20</v>
      </c>
      <c r="J3776" t="s">
        <v>20</v>
      </c>
      <c r="K3776" t="s">
        <v>27</v>
      </c>
      <c r="L3776" t="s">
        <v>173</v>
      </c>
      <c r="M3776" t="s">
        <v>214</v>
      </c>
      <c r="N3776">
        <v>39.352341000000003</v>
      </c>
      <c r="O3776">
        <v>-112.566924</v>
      </c>
      <c r="P3776">
        <v>4571.024797</v>
      </c>
      <c r="Q3776">
        <v>1332</v>
      </c>
      <c r="R3776">
        <v>0</v>
      </c>
    </row>
    <row r="3777" spans="1:18" x14ac:dyDescent="0.25">
      <c r="A3777">
        <v>3776</v>
      </c>
      <c r="B3777">
        <v>94</v>
      </c>
      <c r="C3777">
        <v>31554730</v>
      </c>
      <c r="D3777" t="s">
        <v>213</v>
      </c>
      <c r="E3777">
        <v>89.289000000000001</v>
      </c>
      <c r="F3777" t="s">
        <v>21</v>
      </c>
      <c r="G3777" t="s">
        <v>26</v>
      </c>
      <c r="H3777" t="s">
        <v>21</v>
      </c>
      <c r="I3777" t="s">
        <v>20</v>
      </c>
      <c r="J3777" t="s">
        <v>20</v>
      </c>
      <c r="K3777" t="s">
        <v>27</v>
      </c>
      <c r="L3777" t="s">
        <v>173</v>
      </c>
      <c r="M3777" t="s">
        <v>214</v>
      </c>
      <c r="N3777">
        <v>39.352353000000001</v>
      </c>
      <c r="O3777">
        <v>-112.56580700000001</v>
      </c>
      <c r="P3777">
        <v>4570.2160309999999</v>
      </c>
      <c r="Q3777">
        <v>1332</v>
      </c>
      <c r="R3777">
        <v>0</v>
      </c>
    </row>
    <row r="3778" spans="1:18" x14ac:dyDescent="0.25">
      <c r="A3778">
        <v>3777</v>
      </c>
      <c r="B3778">
        <v>94</v>
      </c>
      <c r="C3778">
        <v>31896549</v>
      </c>
      <c r="D3778" t="s">
        <v>272</v>
      </c>
      <c r="E3778">
        <v>89.308999999999997</v>
      </c>
      <c r="F3778" t="s">
        <v>21</v>
      </c>
      <c r="G3778" t="s">
        <v>26</v>
      </c>
      <c r="H3778" t="s">
        <v>21</v>
      </c>
      <c r="I3778" t="s">
        <v>20</v>
      </c>
      <c r="J3778" t="s">
        <v>20</v>
      </c>
      <c r="K3778" t="s">
        <v>27</v>
      </c>
      <c r="L3778" t="s">
        <v>279</v>
      </c>
      <c r="M3778" t="s">
        <v>214</v>
      </c>
      <c r="N3778">
        <v>37.312162000000001</v>
      </c>
      <c r="O3778">
        <v>-112.59754700000001</v>
      </c>
      <c r="P3778">
        <v>5664.6137609999996</v>
      </c>
      <c r="Q3778">
        <v>1384</v>
      </c>
      <c r="R3778">
        <v>0</v>
      </c>
    </row>
    <row r="3779" spans="1:18" x14ac:dyDescent="0.25">
      <c r="A3779">
        <v>3778</v>
      </c>
      <c r="B3779">
        <v>94</v>
      </c>
      <c r="C3779">
        <v>31899360</v>
      </c>
      <c r="D3779" t="s">
        <v>272</v>
      </c>
      <c r="E3779">
        <v>89.38</v>
      </c>
      <c r="F3779" t="s">
        <v>21</v>
      </c>
      <c r="G3779" t="s">
        <v>26</v>
      </c>
      <c r="H3779" t="s">
        <v>21</v>
      </c>
      <c r="I3779" t="s">
        <v>20</v>
      </c>
      <c r="J3779" t="s">
        <v>20</v>
      </c>
      <c r="K3779" t="s">
        <v>27</v>
      </c>
      <c r="L3779" t="s">
        <v>279</v>
      </c>
      <c r="M3779" t="s">
        <v>214</v>
      </c>
      <c r="N3779">
        <v>37.313191000000003</v>
      </c>
      <c r="O3779">
        <v>-112.597503</v>
      </c>
      <c r="P3779">
        <v>5660.0024050000002</v>
      </c>
      <c r="Q3779">
        <v>1384</v>
      </c>
      <c r="R3779">
        <v>0</v>
      </c>
    </row>
    <row r="3780" spans="1:18" x14ac:dyDescent="0.25">
      <c r="A3780">
        <v>3779</v>
      </c>
      <c r="B3780">
        <v>94</v>
      </c>
      <c r="C3780">
        <v>31554741</v>
      </c>
      <c r="D3780" t="s">
        <v>213</v>
      </c>
      <c r="E3780">
        <v>89.397999999999996</v>
      </c>
      <c r="F3780" t="s">
        <v>21</v>
      </c>
      <c r="G3780" t="s">
        <v>26</v>
      </c>
      <c r="H3780" t="s">
        <v>19</v>
      </c>
      <c r="I3780">
        <v>50</v>
      </c>
      <c r="J3780" t="s">
        <v>20</v>
      </c>
      <c r="K3780" t="s">
        <v>27</v>
      </c>
      <c r="L3780" t="s">
        <v>173</v>
      </c>
      <c r="M3780" t="s">
        <v>214</v>
      </c>
      <c r="N3780">
        <v>39.352384999999998</v>
      </c>
      <c r="O3780">
        <v>-112.56368000000001</v>
      </c>
      <c r="P3780">
        <v>4569.9599209999997</v>
      </c>
      <c r="Q3780">
        <v>1332</v>
      </c>
      <c r="R3780">
        <v>0</v>
      </c>
    </row>
    <row r="3781" spans="1:18" x14ac:dyDescent="0.25">
      <c r="A3781">
        <v>3780</v>
      </c>
      <c r="B3781">
        <v>94</v>
      </c>
      <c r="C3781">
        <v>31474408</v>
      </c>
      <c r="D3781" t="s">
        <v>320</v>
      </c>
      <c r="E3781">
        <v>89.402000000000001</v>
      </c>
      <c r="F3781" t="s">
        <v>21</v>
      </c>
      <c r="G3781" t="s">
        <v>26</v>
      </c>
      <c r="H3781" t="s">
        <v>19</v>
      </c>
      <c r="I3781">
        <v>6</v>
      </c>
      <c r="J3781" t="s">
        <v>20</v>
      </c>
      <c r="K3781" t="s">
        <v>27</v>
      </c>
      <c r="L3781" t="s">
        <v>173</v>
      </c>
      <c r="M3781" t="s">
        <v>166</v>
      </c>
      <c r="N3781">
        <v>39.352384999999998</v>
      </c>
      <c r="O3781">
        <v>-112.563687</v>
      </c>
      <c r="P3781">
        <v>4570.0668930000002</v>
      </c>
      <c r="Q3781">
        <v>1356</v>
      </c>
      <c r="R3781">
        <v>0</v>
      </c>
    </row>
    <row r="3782" spans="1:18" x14ac:dyDescent="0.25">
      <c r="A3782">
        <v>3781</v>
      </c>
      <c r="B3782">
        <v>94</v>
      </c>
      <c r="C3782">
        <v>31764664</v>
      </c>
      <c r="D3782" t="s">
        <v>312</v>
      </c>
      <c r="E3782">
        <v>7.7309999999999999</v>
      </c>
      <c r="F3782" t="s">
        <v>21</v>
      </c>
      <c r="G3782" t="s">
        <v>26</v>
      </c>
      <c r="H3782" t="s">
        <v>21</v>
      </c>
      <c r="I3782" t="s">
        <v>20</v>
      </c>
      <c r="J3782" t="s">
        <v>20</v>
      </c>
      <c r="K3782" t="s">
        <v>27</v>
      </c>
      <c r="L3782" t="s">
        <v>143</v>
      </c>
      <c r="M3782" t="s">
        <v>313</v>
      </c>
      <c r="N3782">
        <v>38.505878000000003</v>
      </c>
      <c r="O3782">
        <v>-112.99114</v>
      </c>
      <c r="P3782">
        <v>4871.2377980000001</v>
      </c>
      <c r="Q3782">
        <v>255</v>
      </c>
      <c r="R3782">
        <v>0</v>
      </c>
    </row>
    <row r="3783" spans="1:18" x14ac:dyDescent="0.25">
      <c r="A3783">
        <v>3782</v>
      </c>
      <c r="B3783">
        <v>94</v>
      </c>
      <c r="C3783" t="e">
        <f>-IpPO9xzG2aoLyfhMgE7FV</f>
        <v>#NAME?</v>
      </c>
      <c r="D3783" t="s">
        <v>129</v>
      </c>
      <c r="E3783">
        <v>54.515000000000001</v>
      </c>
      <c r="F3783" t="s">
        <v>21</v>
      </c>
      <c r="G3783" t="s">
        <v>20</v>
      </c>
      <c r="H3783" t="s">
        <v>21</v>
      </c>
      <c r="I3783" t="s">
        <v>20</v>
      </c>
      <c r="J3783" t="s">
        <v>20</v>
      </c>
      <c r="K3783" t="s">
        <v>31</v>
      </c>
      <c r="L3783" t="s">
        <v>130</v>
      </c>
      <c r="M3783" t="s">
        <v>328</v>
      </c>
      <c r="N3783">
        <v>40.994118</v>
      </c>
      <c r="O3783">
        <v>-110.863006</v>
      </c>
      <c r="P3783">
        <v>7787.0981860000002</v>
      </c>
      <c r="Q3783">
        <v>340</v>
      </c>
      <c r="R3783">
        <v>0</v>
      </c>
    </row>
    <row r="3784" spans="1:18" x14ac:dyDescent="0.25">
      <c r="A3784">
        <v>3783</v>
      </c>
      <c r="B3784">
        <v>94</v>
      </c>
      <c r="C3784">
        <v>31517415</v>
      </c>
      <c r="D3784" t="s">
        <v>124</v>
      </c>
      <c r="E3784">
        <v>54.561999999999998</v>
      </c>
      <c r="F3784" t="s">
        <v>21</v>
      </c>
      <c r="G3784" t="s">
        <v>26</v>
      </c>
      <c r="H3784" t="s">
        <v>21</v>
      </c>
      <c r="I3784" t="s">
        <v>20</v>
      </c>
      <c r="J3784" t="s">
        <v>20</v>
      </c>
      <c r="K3784" t="s">
        <v>31</v>
      </c>
      <c r="L3784" t="s">
        <v>362</v>
      </c>
      <c r="M3784" t="s">
        <v>125</v>
      </c>
      <c r="N3784">
        <v>40.700315000000003</v>
      </c>
      <c r="O3784">
        <v>-111.938942</v>
      </c>
      <c r="P3784">
        <v>4194.7527170000003</v>
      </c>
      <c r="Q3784">
        <v>1368</v>
      </c>
      <c r="R3784">
        <v>0</v>
      </c>
    </row>
    <row r="3785" spans="1:18" x14ac:dyDescent="0.25">
      <c r="A3785">
        <v>3784</v>
      </c>
      <c r="B3785">
        <v>94</v>
      </c>
      <c r="C3785">
        <v>28020831</v>
      </c>
      <c r="D3785" t="s">
        <v>281</v>
      </c>
      <c r="E3785">
        <v>54.61</v>
      </c>
      <c r="F3785" t="s">
        <v>19</v>
      </c>
      <c r="G3785" t="s">
        <v>20</v>
      </c>
      <c r="H3785" t="s">
        <v>21</v>
      </c>
      <c r="I3785" t="s">
        <v>20</v>
      </c>
      <c r="J3785" t="s">
        <v>20</v>
      </c>
      <c r="K3785" t="s">
        <v>31</v>
      </c>
      <c r="L3785" t="s">
        <v>282</v>
      </c>
      <c r="M3785" t="s">
        <v>174</v>
      </c>
      <c r="N3785">
        <v>40.534274000000003</v>
      </c>
      <c r="O3785">
        <v>-112.298483</v>
      </c>
      <c r="P3785">
        <v>4950.8391869999996</v>
      </c>
      <c r="Q3785">
        <v>1347</v>
      </c>
      <c r="R3785">
        <v>0</v>
      </c>
    </row>
    <row r="3786" spans="1:18" x14ac:dyDescent="0.25">
      <c r="A3786">
        <v>3785</v>
      </c>
      <c r="B3786">
        <v>94</v>
      </c>
      <c r="C3786">
        <v>31814494</v>
      </c>
      <c r="D3786" t="s">
        <v>272</v>
      </c>
      <c r="E3786">
        <v>54.631</v>
      </c>
      <c r="F3786" t="s">
        <v>21</v>
      </c>
      <c r="G3786" t="s">
        <v>26</v>
      </c>
      <c r="H3786" t="s">
        <v>21</v>
      </c>
      <c r="I3786" t="s">
        <v>20</v>
      </c>
      <c r="J3786" t="s">
        <v>20</v>
      </c>
      <c r="K3786" t="s">
        <v>27</v>
      </c>
      <c r="L3786" t="s">
        <v>259</v>
      </c>
      <c r="M3786" t="s">
        <v>214</v>
      </c>
      <c r="N3786">
        <v>37.037260000000003</v>
      </c>
      <c r="O3786">
        <v>-112.367115</v>
      </c>
      <c r="P3786">
        <v>5024.6236570000001</v>
      </c>
      <c r="Q3786">
        <v>1384</v>
      </c>
      <c r="R3786">
        <v>0</v>
      </c>
    </row>
    <row r="3787" spans="1:18" x14ac:dyDescent="0.25">
      <c r="A3787">
        <v>3786</v>
      </c>
      <c r="B3787">
        <v>94</v>
      </c>
      <c r="C3787">
        <v>2365453</v>
      </c>
      <c r="D3787" t="s">
        <v>113</v>
      </c>
      <c r="E3787">
        <v>6.4790000000000001</v>
      </c>
      <c r="F3787" t="s">
        <v>21</v>
      </c>
      <c r="G3787" t="s">
        <v>26</v>
      </c>
      <c r="H3787" t="s">
        <v>21</v>
      </c>
      <c r="I3787" t="s">
        <v>20</v>
      </c>
      <c r="J3787" t="s">
        <v>20</v>
      </c>
      <c r="K3787" t="s">
        <v>41</v>
      </c>
      <c r="L3787" t="s">
        <v>87</v>
      </c>
      <c r="M3787" t="s">
        <v>58</v>
      </c>
      <c r="N3787">
        <v>41.128915999999997</v>
      </c>
      <c r="O3787">
        <v>-111.923496</v>
      </c>
      <c r="P3787">
        <v>4467.7235220000002</v>
      </c>
      <c r="Q3787">
        <v>1363</v>
      </c>
      <c r="R3787">
        <v>0</v>
      </c>
    </row>
    <row r="3788" spans="1:18" x14ac:dyDescent="0.25">
      <c r="A3788">
        <v>3787</v>
      </c>
      <c r="B3788">
        <v>94</v>
      </c>
      <c r="C3788" t="s">
        <v>635</v>
      </c>
      <c r="D3788" t="s">
        <v>208</v>
      </c>
      <c r="E3788">
        <v>6.4829999999999997</v>
      </c>
      <c r="F3788" t="s">
        <v>21</v>
      </c>
      <c r="G3788" t="s">
        <v>26</v>
      </c>
      <c r="H3788" t="s">
        <v>21</v>
      </c>
      <c r="I3788" t="s">
        <v>20</v>
      </c>
      <c r="J3788" t="s">
        <v>20</v>
      </c>
      <c r="K3788" t="s">
        <v>31</v>
      </c>
      <c r="L3788" t="s">
        <v>209</v>
      </c>
      <c r="M3788" t="s">
        <v>131</v>
      </c>
      <c r="N3788">
        <v>40.665216999999998</v>
      </c>
      <c r="O3788">
        <v>-111.513921</v>
      </c>
      <c r="P3788">
        <v>6744.4077779999998</v>
      </c>
      <c r="Q3788">
        <v>357</v>
      </c>
      <c r="R3788">
        <v>0</v>
      </c>
    </row>
    <row r="3789" spans="1:18" x14ac:dyDescent="0.25">
      <c r="A3789">
        <v>3788</v>
      </c>
      <c r="B3789">
        <v>94</v>
      </c>
      <c r="C3789">
        <v>27507786</v>
      </c>
      <c r="D3789" t="s">
        <v>96</v>
      </c>
      <c r="E3789">
        <v>6.4850000000000003</v>
      </c>
      <c r="F3789" t="s">
        <v>21</v>
      </c>
      <c r="G3789" t="s">
        <v>26</v>
      </c>
      <c r="H3789" t="s">
        <v>21</v>
      </c>
      <c r="I3789" t="s">
        <v>20</v>
      </c>
      <c r="J3789" t="s">
        <v>20</v>
      </c>
      <c r="K3789" t="s">
        <v>22</v>
      </c>
      <c r="L3789" t="s">
        <v>97</v>
      </c>
      <c r="M3789" t="s">
        <v>98</v>
      </c>
      <c r="N3789">
        <v>40.979985999999997</v>
      </c>
      <c r="O3789">
        <v>-109.7466</v>
      </c>
      <c r="P3789">
        <v>6529.3765670000003</v>
      </c>
      <c r="Q3789">
        <v>311</v>
      </c>
      <c r="R3789">
        <v>0</v>
      </c>
    </row>
    <row r="3790" spans="1:18" x14ac:dyDescent="0.25">
      <c r="A3790">
        <v>3789</v>
      </c>
      <c r="B3790">
        <v>94</v>
      </c>
      <c r="C3790">
        <v>31334017</v>
      </c>
      <c r="D3790" t="s">
        <v>241</v>
      </c>
      <c r="E3790">
        <v>68.212999999999994</v>
      </c>
      <c r="F3790" t="s">
        <v>21</v>
      </c>
      <c r="G3790" t="s">
        <v>26</v>
      </c>
      <c r="H3790" t="s">
        <v>21</v>
      </c>
      <c r="I3790" t="s">
        <v>20</v>
      </c>
      <c r="J3790" t="s">
        <v>20</v>
      </c>
      <c r="K3790" t="s">
        <v>27</v>
      </c>
      <c r="L3790" t="s">
        <v>158</v>
      </c>
      <c r="M3790" t="s">
        <v>243</v>
      </c>
      <c r="N3790">
        <v>39.592165999999999</v>
      </c>
      <c r="O3790">
        <v>-110.811221</v>
      </c>
      <c r="P3790">
        <v>5457.047802</v>
      </c>
      <c r="Q3790">
        <v>1327</v>
      </c>
      <c r="R3790">
        <v>0</v>
      </c>
    </row>
    <row r="3791" spans="1:18" x14ac:dyDescent="0.25">
      <c r="A3791">
        <v>3790</v>
      </c>
      <c r="B3791">
        <v>94</v>
      </c>
      <c r="C3791">
        <v>31859094</v>
      </c>
      <c r="D3791" t="s">
        <v>312</v>
      </c>
      <c r="E3791">
        <v>68.239999999999995</v>
      </c>
      <c r="F3791" t="s">
        <v>21</v>
      </c>
      <c r="G3791" t="s">
        <v>26</v>
      </c>
      <c r="H3791" t="s">
        <v>21</v>
      </c>
      <c r="I3791" t="s">
        <v>20</v>
      </c>
      <c r="J3791" t="s">
        <v>20</v>
      </c>
      <c r="K3791" t="s">
        <v>27</v>
      </c>
      <c r="L3791" t="s">
        <v>173</v>
      </c>
      <c r="M3791" t="s">
        <v>313</v>
      </c>
      <c r="N3791">
        <v>39.316136999999998</v>
      </c>
      <c r="O3791">
        <v>-112.65243599999999</v>
      </c>
      <c r="P3791">
        <v>4532.3607579999998</v>
      </c>
      <c r="Q3791">
        <v>255</v>
      </c>
      <c r="R3791">
        <v>0</v>
      </c>
    </row>
    <row r="3792" spans="1:18" x14ac:dyDescent="0.25">
      <c r="A3792">
        <v>3791</v>
      </c>
      <c r="B3792">
        <v>94</v>
      </c>
      <c r="C3792">
        <v>31768017</v>
      </c>
      <c r="D3792" t="s">
        <v>118</v>
      </c>
      <c r="E3792">
        <v>68.244</v>
      </c>
      <c r="F3792" t="s">
        <v>21</v>
      </c>
      <c r="G3792" t="s">
        <v>26</v>
      </c>
      <c r="H3792" t="s">
        <v>19</v>
      </c>
      <c r="I3792">
        <v>208</v>
      </c>
      <c r="J3792" t="s">
        <v>20</v>
      </c>
      <c r="K3792" t="s">
        <v>22</v>
      </c>
      <c r="L3792" t="s">
        <v>168</v>
      </c>
      <c r="M3792" t="s">
        <v>120</v>
      </c>
      <c r="N3792">
        <v>40.206235</v>
      </c>
      <c r="O3792">
        <v>-110.731235</v>
      </c>
      <c r="P3792">
        <v>6618.3451219999997</v>
      </c>
      <c r="Q3792">
        <v>310</v>
      </c>
      <c r="R3792">
        <v>0</v>
      </c>
    </row>
    <row r="3793" spans="1:18" x14ac:dyDescent="0.25">
      <c r="A3793">
        <v>3792</v>
      </c>
      <c r="B3793">
        <v>94</v>
      </c>
      <c r="C3793">
        <v>31714965</v>
      </c>
      <c r="D3793" t="s">
        <v>244</v>
      </c>
      <c r="E3793">
        <v>68.259</v>
      </c>
      <c r="F3793" t="s">
        <v>21</v>
      </c>
      <c r="G3793" t="s">
        <v>26</v>
      </c>
      <c r="H3793" t="s">
        <v>21</v>
      </c>
      <c r="I3793" t="s">
        <v>20</v>
      </c>
      <c r="J3793" t="s">
        <v>20</v>
      </c>
      <c r="K3793" t="s">
        <v>27</v>
      </c>
      <c r="L3793" t="s">
        <v>266</v>
      </c>
      <c r="M3793" t="s">
        <v>270</v>
      </c>
      <c r="N3793">
        <v>38.299055000000003</v>
      </c>
      <c r="O3793">
        <v>-111.42547399999999</v>
      </c>
      <c r="P3793">
        <v>6788.7563030000001</v>
      </c>
      <c r="Q3793">
        <v>1340</v>
      </c>
      <c r="R3793">
        <v>0</v>
      </c>
    </row>
    <row r="3794" spans="1:18" x14ac:dyDescent="0.25">
      <c r="A3794">
        <v>3793</v>
      </c>
      <c r="B3794">
        <v>94</v>
      </c>
      <c r="C3794">
        <v>31334028</v>
      </c>
      <c r="D3794" t="s">
        <v>241</v>
      </c>
      <c r="E3794">
        <v>68.317999999999998</v>
      </c>
      <c r="F3794" t="s">
        <v>21</v>
      </c>
      <c r="G3794" t="s">
        <v>26</v>
      </c>
      <c r="H3794" t="s">
        <v>21</v>
      </c>
      <c r="I3794" t="s">
        <v>20</v>
      </c>
      <c r="J3794" t="s">
        <v>20</v>
      </c>
      <c r="K3794" t="s">
        <v>27</v>
      </c>
      <c r="L3794" t="s">
        <v>158</v>
      </c>
      <c r="M3794" t="s">
        <v>243</v>
      </c>
      <c r="N3794">
        <v>39.593696999999999</v>
      </c>
      <c r="O3794">
        <v>-110.811232</v>
      </c>
      <c r="P3794">
        <v>5467.5503490000001</v>
      </c>
      <c r="Q3794">
        <v>1327</v>
      </c>
      <c r="R3794">
        <v>0</v>
      </c>
    </row>
    <row r="3795" spans="1:18" x14ac:dyDescent="0.25">
      <c r="A3795">
        <v>3794</v>
      </c>
      <c r="B3795">
        <v>94</v>
      </c>
      <c r="C3795">
        <v>31714976</v>
      </c>
      <c r="D3795" t="s">
        <v>244</v>
      </c>
      <c r="E3795">
        <v>68.379000000000005</v>
      </c>
      <c r="F3795" t="s">
        <v>21</v>
      </c>
      <c r="G3795" t="s">
        <v>26</v>
      </c>
      <c r="H3795" t="s">
        <v>21</v>
      </c>
      <c r="I3795" t="s">
        <v>20</v>
      </c>
      <c r="J3795" t="s">
        <v>20</v>
      </c>
      <c r="K3795" t="s">
        <v>27</v>
      </c>
      <c r="L3795" t="s">
        <v>266</v>
      </c>
      <c r="M3795" t="s">
        <v>270</v>
      </c>
      <c r="N3795">
        <v>38.299050000000001</v>
      </c>
      <c r="O3795">
        <v>-111.423264</v>
      </c>
      <c r="P3795">
        <v>6784.1893319999999</v>
      </c>
      <c r="Q3795">
        <v>1340</v>
      </c>
      <c r="R3795">
        <v>0</v>
      </c>
    </row>
    <row r="3796" spans="1:18" x14ac:dyDescent="0.25">
      <c r="A3796">
        <v>3795</v>
      </c>
      <c r="B3796">
        <v>94</v>
      </c>
      <c r="C3796">
        <v>31334039</v>
      </c>
      <c r="D3796" t="s">
        <v>241</v>
      </c>
      <c r="E3796">
        <v>68.42</v>
      </c>
      <c r="F3796" t="s">
        <v>21</v>
      </c>
      <c r="G3796" t="s">
        <v>26</v>
      </c>
      <c r="H3796" t="s">
        <v>21</v>
      </c>
      <c r="I3796" t="s">
        <v>20</v>
      </c>
      <c r="J3796" t="s">
        <v>20</v>
      </c>
      <c r="K3796" t="s">
        <v>27</v>
      </c>
      <c r="L3796" t="s">
        <v>158</v>
      </c>
      <c r="M3796" t="s">
        <v>243</v>
      </c>
      <c r="N3796">
        <v>39.595174999999998</v>
      </c>
      <c r="O3796">
        <v>-110.811222</v>
      </c>
      <c r="P3796">
        <v>5475.6019699999997</v>
      </c>
      <c r="Q3796">
        <v>1327</v>
      </c>
      <c r="R3796">
        <v>0</v>
      </c>
    </row>
    <row r="3797" spans="1:18" x14ac:dyDescent="0.25">
      <c r="A3797">
        <v>3796</v>
      </c>
      <c r="B3797">
        <v>94</v>
      </c>
      <c r="C3797">
        <v>31596689</v>
      </c>
      <c r="D3797" t="s">
        <v>145</v>
      </c>
      <c r="E3797">
        <v>8.4429999999999996</v>
      </c>
      <c r="F3797" t="s">
        <v>21</v>
      </c>
      <c r="G3797" t="s">
        <v>26</v>
      </c>
      <c r="H3797" t="s">
        <v>21</v>
      </c>
      <c r="I3797" t="s">
        <v>20</v>
      </c>
      <c r="J3797" t="s">
        <v>20</v>
      </c>
      <c r="K3797" t="s">
        <v>27</v>
      </c>
      <c r="L3797" t="s">
        <v>146</v>
      </c>
      <c r="M3797" t="s">
        <v>147</v>
      </c>
      <c r="N3797">
        <v>37.856197000000002</v>
      </c>
      <c r="O3797">
        <v>-109.190984</v>
      </c>
      <c r="P3797">
        <v>6781.7902409999997</v>
      </c>
      <c r="Q3797">
        <v>1291</v>
      </c>
      <c r="R3797">
        <v>0</v>
      </c>
    </row>
    <row r="3798" spans="1:18" x14ac:dyDescent="0.25">
      <c r="A3798">
        <v>3797</v>
      </c>
      <c r="B3798">
        <v>94</v>
      </c>
      <c r="C3798">
        <v>31367189</v>
      </c>
      <c r="D3798" t="s">
        <v>229</v>
      </c>
      <c r="E3798">
        <v>8.4469999999999992</v>
      </c>
      <c r="F3798" t="s">
        <v>21</v>
      </c>
      <c r="G3798" t="s">
        <v>26</v>
      </c>
      <c r="H3798" t="s">
        <v>21</v>
      </c>
      <c r="I3798" t="s">
        <v>20</v>
      </c>
      <c r="J3798" t="s">
        <v>20</v>
      </c>
      <c r="K3798" t="s">
        <v>27</v>
      </c>
      <c r="L3798" t="s">
        <v>230</v>
      </c>
      <c r="M3798" t="s">
        <v>82</v>
      </c>
      <c r="N3798">
        <v>39.482335999999997</v>
      </c>
      <c r="O3798">
        <v>-111.497821</v>
      </c>
      <c r="P3798">
        <v>5748.6439739999996</v>
      </c>
      <c r="Q3798">
        <v>331</v>
      </c>
      <c r="R3798">
        <v>0</v>
      </c>
    </row>
    <row r="3799" spans="1:18" x14ac:dyDescent="0.25">
      <c r="A3799">
        <v>3798</v>
      </c>
      <c r="B3799">
        <v>94</v>
      </c>
      <c r="C3799">
        <v>27378551</v>
      </c>
      <c r="D3799" t="s">
        <v>185</v>
      </c>
      <c r="E3799">
        <v>8.4480000000000004</v>
      </c>
      <c r="F3799" t="s">
        <v>21</v>
      </c>
      <c r="G3799" t="s">
        <v>361</v>
      </c>
      <c r="H3799" t="s">
        <v>21</v>
      </c>
      <c r="I3799" t="s">
        <v>20</v>
      </c>
      <c r="J3799" t="s">
        <v>20</v>
      </c>
      <c r="K3799" t="s">
        <v>41</v>
      </c>
      <c r="L3799" t="s">
        <v>57</v>
      </c>
      <c r="M3799" t="s">
        <v>58</v>
      </c>
      <c r="N3799">
        <v>41.189377999999998</v>
      </c>
      <c r="O3799">
        <v>-112.122472</v>
      </c>
      <c r="P3799">
        <v>4172.5053690000004</v>
      </c>
      <c r="Q3799">
        <v>309</v>
      </c>
      <c r="R3799">
        <v>0</v>
      </c>
    </row>
    <row r="3800" spans="1:18" x14ac:dyDescent="0.25">
      <c r="A3800">
        <v>3799</v>
      </c>
      <c r="B3800">
        <v>94</v>
      </c>
      <c r="C3800">
        <v>31195708</v>
      </c>
      <c r="D3800" t="s">
        <v>126</v>
      </c>
      <c r="E3800">
        <v>8.4489999999999998</v>
      </c>
      <c r="F3800" t="s">
        <v>21</v>
      </c>
      <c r="G3800" t="s">
        <v>26</v>
      </c>
      <c r="H3800" t="s">
        <v>21</v>
      </c>
      <c r="I3800" t="s">
        <v>20</v>
      </c>
      <c r="J3800" t="s">
        <v>20</v>
      </c>
      <c r="K3800" t="s">
        <v>41</v>
      </c>
      <c r="L3800" t="s">
        <v>57</v>
      </c>
      <c r="M3800" t="s">
        <v>93</v>
      </c>
      <c r="N3800">
        <v>41.305397999999997</v>
      </c>
      <c r="O3800">
        <v>-112.080814</v>
      </c>
      <c r="P3800">
        <v>4184.2052119999998</v>
      </c>
      <c r="Q3800">
        <v>1412</v>
      </c>
      <c r="R3800">
        <v>0</v>
      </c>
    </row>
    <row r="3801" spans="1:18" x14ac:dyDescent="0.25">
      <c r="A3801">
        <v>3800</v>
      </c>
      <c r="B3801">
        <v>94</v>
      </c>
      <c r="C3801">
        <v>31390322</v>
      </c>
      <c r="D3801" t="s">
        <v>184</v>
      </c>
      <c r="E3801">
        <v>8.4499999999999993</v>
      </c>
      <c r="F3801" t="s">
        <v>21</v>
      </c>
      <c r="G3801" t="s">
        <v>26</v>
      </c>
      <c r="H3801" t="s">
        <v>21</v>
      </c>
      <c r="I3801" t="s">
        <v>20</v>
      </c>
      <c r="J3801" t="s">
        <v>20</v>
      </c>
      <c r="K3801" t="s">
        <v>27</v>
      </c>
      <c r="L3801" t="s">
        <v>54</v>
      </c>
      <c r="M3801" t="s">
        <v>55</v>
      </c>
      <c r="N3801">
        <v>37.760322000000002</v>
      </c>
      <c r="O3801">
        <v>-113.055286</v>
      </c>
      <c r="P3801">
        <v>5428.2420549999997</v>
      </c>
      <c r="Q3801">
        <v>1410</v>
      </c>
      <c r="R3801">
        <v>0</v>
      </c>
    </row>
    <row r="3802" spans="1:18" x14ac:dyDescent="0.25">
      <c r="A3802">
        <v>3801</v>
      </c>
      <c r="B3802">
        <v>94</v>
      </c>
      <c r="C3802">
        <v>1025226</v>
      </c>
      <c r="D3802" t="s">
        <v>171</v>
      </c>
      <c r="E3802">
        <v>6.01</v>
      </c>
      <c r="F3802" t="s">
        <v>19</v>
      </c>
      <c r="G3802" t="s">
        <v>20</v>
      </c>
      <c r="H3802" t="s">
        <v>21</v>
      </c>
      <c r="I3802" t="s">
        <v>20</v>
      </c>
      <c r="J3802" t="s">
        <v>20</v>
      </c>
      <c r="K3802" t="s">
        <v>31</v>
      </c>
      <c r="L3802" t="s">
        <v>362</v>
      </c>
      <c r="M3802" t="s">
        <v>79</v>
      </c>
      <c r="N3802">
        <v>40.696590999999998</v>
      </c>
      <c r="O3802">
        <v>-111.97708799999999</v>
      </c>
      <c r="P3802">
        <v>4210.1395160000002</v>
      </c>
      <c r="Q3802">
        <v>346</v>
      </c>
      <c r="R3802">
        <v>0</v>
      </c>
    </row>
    <row r="3803" spans="1:18" x14ac:dyDescent="0.25">
      <c r="A3803">
        <v>3802</v>
      </c>
      <c r="B3803">
        <v>94</v>
      </c>
      <c r="C3803">
        <v>31191841</v>
      </c>
      <c r="D3803" t="s">
        <v>339</v>
      </c>
      <c r="E3803">
        <v>5.8129999999999997</v>
      </c>
      <c r="F3803" t="s">
        <v>21</v>
      </c>
      <c r="G3803" t="s">
        <v>26</v>
      </c>
      <c r="H3803" t="s">
        <v>21</v>
      </c>
      <c r="I3803" t="s">
        <v>20</v>
      </c>
      <c r="J3803" t="s">
        <v>20</v>
      </c>
      <c r="K3803" t="s">
        <v>41</v>
      </c>
      <c r="L3803" t="s">
        <v>95</v>
      </c>
      <c r="M3803" t="s">
        <v>73</v>
      </c>
      <c r="N3803">
        <v>41.91966</v>
      </c>
      <c r="O3803">
        <v>-112.029134</v>
      </c>
      <c r="P3803">
        <v>4750.7986609999998</v>
      </c>
      <c r="Q3803">
        <v>1417</v>
      </c>
      <c r="R3803">
        <v>0</v>
      </c>
    </row>
    <row r="3804" spans="1:18" x14ac:dyDescent="0.25">
      <c r="A3804">
        <v>3803</v>
      </c>
      <c r="B3804">
        <v>94</v>
      </c>
      <c r="C3804">
        <v>31579274</v>
      </c>
      <c r="D3804" t="s">
        <v>409</v>
      </c>
      <c r="E3804">
        <v>5.82</v>
      </c>
      <c r="F3804" t="s">
        <v>21</v>
      </c>
      <c r="G3804" t="s">
        <v>20</v>
      </c>
      <c r="H3804" t="s">
        <v>21</v>
      </c>
      <c r="I3804" t="s">
        <v>20</v>
      </c>
      <c r="J3804" t="s">
        <v>20</v>
      </c>
      <c r="K3804" t="s">
        <v>27</v>
      </c>
      <c r="L3804" t="s">
        <v>51</v>
      </c>
      <c r="M3804" t="s">
        <v>117</v>
      </c>
      <c r="N3804">
        <v>38.062452</v>
      </c>
      <c r="O3804">
        <v>-112.591919</v>
      </c>
      <c r="P3804">
        <v>6936.1754410000003</v>
      </c>
      <c r="Q3804">
        <v>1337</v>
      </c>
      <c r="R3804">
        <v>0</v>
      </c>
    </row>
    <row r="3805" spans="1:18" x14ac:dyDescent="0.25">
      <c r="A3805">
        <v>3804</v>
      </c>
      <c r="B3805">
        <v>94</v>
      </c>
      <c r="C3805">
        <v>545435</v>
      </c>
      <c r="D3805" t="s">
        <v>77</v>
      </c>
      <c r="E3805">
        <v>5.82</v>
      </c>
      <c r="F3805" t="s">
        <v>21</v>
      </c>
      <c r="G3805" t="s">
        <v>26</v>
      </c>
      <c r="H3805" t="s">
        <v>21</v>
      </c>
      <c r="I3805" t="s">
        <v>20</v>
      </c>
      <c r="J3805" t="s">
        <v>20</v>
      </c>
      <c r="K3805" t="s">
        <v>31</v>
      </c>
      <c r="L3805" t="s">
        <v>78</v>
      </c>
      <c r="M3805" t="s">
        <v>79</v>
      </c>
      <c r="N3805">
        <v>40.722997999999997</v>
      </c>
      <c r="O3805">
        <v>-112.024834</v>
      </c>
      <c r="P3805">
        <v>4189.0902290000004</v>
      </c>
      <c r="Q3805">
        <v>1436</v>
      </c>
      <c r="R3805">
        <v>0</v>
      </c>
    </row>
    <row r="3806" spans="1:18" x14ac:dyDescent="0.25">
      <c r="A3806">
        <v>3805</v>
      </c>
      <c r="B3806">
        <v>94</v>
      </c>
      <c r="C3806" t="e">
        <f>-JNPeZw-HMPskcAMf8Y9vF</f>
        <v>#NAME?</v>
      </c>
      <c r="D3806" t="s">
        <v>310</v>
      </c>
      <c r="E3806">
        <v>5.8239999999999998</v>
      </c>
      <c r="F3806" t="s">
        <v>21</v>
      </c>
      <c r="G3806" t="s">
        <v>20</v>
      </c>
      <c r="H3806" t="s">
        <v>21</v>
      </c>
      <c r="I3806" t="s">
        <v>20</v>
      </c>
      <c r="J3806" t="s">
        <v>20</v>
      </c>
      <c r="K3806" t="s">
        <v>31</v>
      </c>
      <c r="L3806" t="s">
        <v>285</v>
      </c>
      <c r="M3806" t="s">
        <v>206</v>
      </c>
      <c r="N3806">
        <v>40.639133000000001</v>
      </c>
      <c r="O3806">
        <v>-112.522571</v>
      </c>
      <c r="P3806">
        <v>4223.7867079999996</v>
      </c>
      <c r="Q3806">
        <v>1414</v>
      </c>
      <c r="R3806">
        <v>0</v>
      </c>
    </row>
    <row r="3807" spans="1:18" x14ac:dyDescent="0.25">
      <c r="A3807">
        <v>3806</v>
      </c>
      <c r="B3807">
        <v>94</v>
      </c>
      <c r="C3807" t="e">
        <f>-JNdMuIDHNLsUxC432ldrV</f>
        <v>#NAME?</v>
      </c>
      <c r="D3807" t="s">
        <v>281</v>
      </c>
      <c r="E3807">
        <v>57.036999999999999</v>
      </c>
      <c r="F3807" t="s">
        <v>21</v>
      </c>
      <c r="G3807" t="s">
        <v>20</v>
      </c>
      <c r="H3807" t="s">
        <v>21</v>
      </c>
      <c r="I3807" t="s">
        <v>20</v>
      </c>
      <c r="J3807" t="s">
        <v>20</v>
      </c>
      <c r="K3807" t="s">
        <v>31</v>
      </c>
      <c r="L3807" t="s">
        <v>282</v>
      </c>
      <c r="M3807" t="s">
        <v>283</v>
      </c>
      <c r="N3807">
        <v>40.569268000000001</v>
      </c>
      <c r="O3807">
        <v>-112.295366</v>
      </c>
      <c r="P3807">
        <v>4648.3278419999997</v>
      </c>
      <c r="Q3807">
        <v>1347</v>
      </c>
      <c r="R3807">
        <v>0</v>
      </c>
    </row>
    <row r="3808" spans="1:18" x14ac:dyDescent="0.25">
      <c r="A3808">
        <v>3807</v>
      </c>
      <c r="B3808">
        <v>94</v>
      </c>
      <c r="C3808">
        <v>31342585</v>
      </c>
      <c r="D3808" t="s">
        <v>303</v>
      </c>
      <c r="E3808">
        <v>57.072000000000003</v>
      </c>
      <c r="F3808" t="s">
        <v>21</v>
      </c>
      <c r="G3808" t="s">
        <v>26</v>
      </c>
      <c r="H3808" t="s">
        <v>21</v>
      </c>
      <c r="I3808" t="s">
        <v>20</v>
      </c>
      <c r="J3808" t="s">
        <v>20</v>
      </c>
      <c r="K3808" t="s">
        <v>27</v>
      </c>
      <c r="L3808" t="s">
        <v>279</v>
      </c>
      <c r="M3808" t="s">
        <v>29</v>
      </c>
      <c r="N3808">
        <v>37.223244999999999</v>
      </c>
      <c r="O3808">
        <v>-112.681124</v>
      </c>
      <c r="P3808">
        <v>5124.3008570000002</v>
      </c>
      <c r="Q3808">
        <v>1326</v>
      </c>
      <c r="R3808">
        <v>0</v>
      </c>
    </row>
    <row r="3809" spans="1:18" x14ac:dyDescent="0.25">
      <c r="A3809">
        <v>3808</v>
      </c>
      <c r="B3809">
        <v>94</v>
      </c>
      <c r="C3809">
        <v>31504498</v>
      </c>
      <c r="D3809" t="s">
        <v>124</v>
      </c>
      <c r="E3809">
        <v>57.143000000000001</v>
      </c>
      <c r="F3809" t="s">
        <v>19</v>
      </c>
      <c r="G3809" t="s">
        <v>20</v>
      </c>
      <c r="H3809" t="s">
        <v>21</v>
      </c>
      <c r="I3809" t="s">
        <v>20</v>
      </c>
      <c r="J3809" t="s">
        <v>20</v>
      </c>
      <c r="K3809" t="s">
        <v>31</v>
      </c>
      <c r="L3809" t="s">
        <v>362</v>
      </c>
      <c r="M3809" t="s">
        <v>365</v>
      </c>
      <c r="N3809">
        <v>40.737803999999997</v>
      </c>
      <c r="O3809">
        <v>-111.939058</v>
      </c>
      <c r="P3809">
        <v>4174.8920799999996</v>
      </c>
      <c r="Q3809">
        <v>1368</v>
      </c>
      <c r="R3809">
        <v>0</v>
      </c>
    </row>
    <row r="3810" spans="1:18" x14ac:dyDescent="0.25">
      <c r="A3810">
        <v>3809</v>
      </c>
      <c r="B3810">
        <v>94</v>
      </c>
      <c r="C3810" t="e">
        <f>-IrrFOD6GSikWNEsFMlNwF</f>
        <v>#NAME?</v>
      </c>
      <c r="D3810" t="s">
        <v>124</v>
      </c>
      <c r="E3810">
        <v>57.203000000000003</v>
      </c>
      <c r="F3810" t="s">
        <v>21</v>
      </c>
      <c r="G3810" t="s">
        <v>26</v>
      </c>
      <c r="H3810" t="s">
        <v>21</v>
      </c>
      <c r="I3810" t="s">
        <v>20</v>
      </c>
      <c r="J3810" t="s">
        <v>20</v>
      </c>
      <c r="K3810" t="s">
        <v>31</v>
      </c>
      <c r="L3810" t="s">
        <v>362</v>
      </c>
      <c r="M3810" t="s">
        <v>365</v>
      </c>
      <c r="N3810">
        <v>40.738683999999999</v>
      </c>
      <c r="O3810">
        <v>-111.93904999999999</v>
      </c>
      <c r="P3810">
        <v>4174.1475959999998</v>
      </c>
      <c r="Q3810">
        <v>1368</v>
      </c>
      <c r="R3810">
        <v>0</v>
      </c>
    </row>
    <row r="3811" spans="1:18" x14ac:dyDescent="0.25">
      <c r="A3811">
        <v>3810</v>
      </c>
      <c r="B3811">
        <v>94</v>
      </c>
      <c r="C3811">
        <v>31325178</v>
      </c>
      <c r="D3811" t="s">
        <v>241</v>
      </c>
      <c r="E3811">
        <v>57.210999999999999</v>
      </c>
      <c r="F3811" t="s">
        <v>21</v>
      </c>
      <c r="G3811" t="s">
        <v>26</v>
      </c>
      <c r="H3811" t="s">
        <v>21</v>
      </c>
      <c r="I3811" t="s">
        <v>20</v>
      </c>
      <c r="J3811" t="s">
        <v>20</v>
      </c>
      <c r="K3811" t="s">
        <v>27</v>
      </c>
      <c r="L3811" t="s">
        <v>111</v>
      </c>
      <c r="M3811" t="s">
        <v>243</v>
      </c>
      <c r="N3811">
        <v>39.441707000000001</v>
      </c>
      <c r="O3811">
        <v>-110.865182</v>
      </c>
      <c r="P3811">
        <v>5765.4856579999996</v>
      </c>
      <c r="Q3811">
        <v>1327</v>
      </c>
      <c r="R3811">
        <v>0</v>
      </c>
    </row>
    <row r="3812" spans="1:18" x14ac:dyDescent="0.25">
      <c r="A3812">
        <v>3811</v>
      </c>
      <c r="B3812">
        <v>94</v>
      </c>
      <c r="C3812">
        <v>28647974</v>
      </c>
      <c r="D3812" t="s">
        <v>142</v>
      </c>
      <c r="E3812">
        <v>57.264000000000003</v>
      </c>
      <c r="F3812" t="s">
        <v>21</v>
      </c>
      <c r="G3812" t="s">
        <v>26</v>
      </c>
      <c r="H3812" t="s">
        <v>21</v>
      </c>
      <c r="I3812" t="s">
        <v>20</v>
      </c>
      <c r="J3812" t="s">
        <v>20</v>
      </c>
      <c r="K3812" t="s">
        <v>27</v>
      </c>
      <c r="L3812" t="s">
        <v>143</v>
      </c>
      <c r="M3812" t="s">
        <v>106</v>
      </c>
      <c r="N3812">
        <v>38.447363000000003</v>
      </c>
      <c r="O3812">
        <v>-113.336021</v>
      </c>
      <c r="P3812">
        <v>5196.4062039999999</v>
      </c>
      <c r="Q3812">
        <v>305</v>
      </c>
      <c r="R3812">
        <v>0</v>
      </c>
    </row>
    <row r="3813" spans="1:18" x14ac:dyDescent="0.25">
      <c r="A3813">
        <v>3812</v>
      </c>
      <c r="B3813">
        <v>94</v>
      </c>
      <c r="C3813">
        <v>28035209</v>
      </c>
      <c r="D3813" t="s">
        <v>281</v>
      </c>
      <c r="E3813">
        <v>57.286000000000001</v>
      </c>
      <c r="F3813" t="s">
        <v>19</v>
      </c>
      <c r="G3813" t="s">
        <v>20</v>
      </c>
      <c r="H3813" t="s">
        <v>21</v>
      </c>
      <c r="I3813" t="s">
        <v>20</v>
      </c>
      <c r="J3813" t="s">
        <v>20</v>
      </c>
      <c r="K3813" t="s">
        <v>31</v>
      </c>
      <c r="L3813" t="s">
        <v>282</v>
      </c>
      <c r="M3813" t="s">
        <v>283</v>
      </c>
      <c r="N3813">
        <v>40.572856999999999</v>
      </c>
      <c r="O3813">
        <v>-112.29499199999999</v>
      </c>
      <c r="P3813">
        <v>4623.7065549999998</v>
      </c>
      <c r="Q3813">
        <v>1347</v>
      </c>
      <c r="R3813">
        <v>0</v>
      </c>
    </row>
    <row r="3814" spans="1:18" x14ac:dyDescent="0.25">
      <c r="A3814">
        <v>3813</v>
      </c>
      <c r="B3814">
        <v>94</v>
      </c>
      <c r="C3814">
        <v>31584011</v>
      </c>
      <c r="D3814" t="s">
        <v>172</v>
      </c>
      <c r="E3814">
        <v>57.305999999999997</v>
      </c>
      <c r="F3814" t="s">
        <v>21</v>
      </c>
      <c r="G3814" t="s">
        <v>26</v>
      </c>
      <c r="H3814" t="s">
        <v>21</v>
      </c>
      <c r="I3814" t="s">
        <v>20</v>
      </c>
      <c r="J3814" t="s">
        <v>20</v>
      </c>
      <c r="K3814" t="s">
        <v>27</v>
      </c>
      <c r="L3814" t="s">
        <v>230</v>
      </c>
      <c r="M3814" t="s">
        <v>174</v>
      </c>
      <c r="N3814">
        <v>39.504728</v>
      </c>
      <c r="O3814">
        <v>-111.567672</v>
      </c>
      <c r="P3814">
        <v>5521.11042</v>
      </c>
      <c r="Q3814">
        <v>1411</v>
      </c>
      <c r="R3814">
        <v>0</v>
      </c>
    </row>
    <row r="3815" spans="1:18" x14ac:dyDescent="0.25">
      <c r="A3815">
        <v>3814</v>
      </c>
      <c r="B3815">
        <v>94</v>
      </c>
      <c r="C3815">
        <v>31505074</v>
      </c>
      <c r="D3815" t="s">
        <v>124</v>
      </c>
      <c r="E3815">
        <v>57.341000000000001</v>
      </c>
      <c r="F3815" t="s">
        <v>19</v>
      </c>
      <c r="G3815" t="s">
        <v>20</v>
      </c>
      <c r="H3815" t="s">
        <v>21</v>
      </c>
      <c r="I3815" t="s">
        <v>20</v>
      </c>
      <c r="J3815" t="s">
        <v>20</v>
      </c>
      <c r="K3815" t="s">
        <v>31</v>
      </c>
      <c r="L3815" t="s">
        <v>362</v>
      </c>
      <c r="M3815" t="s">
        <v>365</v>
      </c>
      <c r="N3815">
        <v>40.740687999999999</v>
      </c>
      <c r="O3815">
        <v>-111.93903299999999</v>
      </c>
      <c r="P3815">
        <v>4174.6119490000001</v>
      </c>
      <c r="Q3815">
        <v>1368</v>
      </c>
      <c r="R3815">
        <v>0</v>
      </c>
    </row>
    <row r="3816" spans="1:18" x14ac:dyDescent="0.25">
      <c r="A3816">
        <v>3815</v>
      </c>
      <c r="B3816">
        <v>94</v>
      </c>
      <c r="C3816">
        <v>31584022</v>
      </c>
      <c r="D3816" t="s">
        <v>172</v>
      </c>
      <c r="E3816">
        <v>57.344999999999999</v>
      </c>
      <c r="F3816" t="s">
        <v>21</v>
      </c>
      <c r="G3816" t="s">
        <v>26</v>
      </c>
      <c r="H3816" t="s">
        <v>21</v>
      </c>
      <c r="I3816" t="s">
        <v>20</v>
      </c>
      <c r="J3816" t="s">
        <v>20</v>
      </c>
      <c r="K3816" t="s">
        <v>27</v>
      </c>
      <c r="L3816" t="s">
        <v>230</v>
      </c>
      <c r="M3816" t="s">
        <v>174</v>
      </c>
      <c r="N3816">
        <v>39.504190000000001</v>
      </c>
      <c r="O3816">
        <v>-111.567443</v>
      </c>
      <c r="P3816">
        <v>5527.7974340000001</v>
      </c>
      <c r="Q3816">
        <v>1411</v>
      </c>
      <c r="R3816">
        <v>0</v>
      </c>
    </row>
    <row r="3817" spans="1:18" x14ac:dyDescent="0.25">
      <c r="A3817">
        <v>3816</v>
      </c>
      <c r="B3817">
        <v>94</v>
      </c>
      <c r="C3817">
        <v>31630762</v>
      </c>
      <c r="D3817" t="s">
        <v>121</v>
      </c>
      <c r="E3817">
        <v>57.356000000000002</v>
      </c>
      <c r="F3817" t="s">
        <v>21</v>
      </c>
      <c r="G3817" t="s">
        <v>20</v>
      </c>
      <c r="H3817" t="s">
        <v>21</v>
      </c>
      <c r="I3817" t="s">
        <v>20</v>
      </c>
      <c r="J3817" t="s">
        <v>20</v>
      </c>
      <c r="K3817" t="s">
        <v>27</v>
      </c>
      <c r="L3817" t="s">
        <v>327</v>
      </c>
      <c r="M3817" t="s">
        <v>123</v>
      </c>
      <c r="N3817">
        <v>37.421166999999997</v>
      </c>
      <c r="O3817">
        <v>-110.50527599999999</v>
      </c>
      <c r="P3817">
        <v>4726.843777</v>
      </c>
      <c r="Q3817">
        <v>1283</v>
      </c>
      <c r="R3817">
        <v>0</v>
      </c>
    </row>
    <row r="3818" spans="1:18" x14ac:dyDescent="0.25">
      <c r="A3818">
        <v>3817</v>
      </c>
      <c r="B3818">
        <v>94</v>
      </c>
      <c r="C3818">
        <v>31467647</v>
      </c>
      <c r="D3818" t="s">
        <v>319</v>
      </c>
      <c r="E3818">
        <v>57.37</v>
      </c>
      <c r="F3818" t="s">
        <v>21</v>
      </c>
      <c r="G3818" t="s">
        <v>26</v>
      </c>
      <c r="H3818" t="s">
        <v>21</v>
      </c>
      <c r="I3818" t="s">
        <v>20</v>
      </c>
      <c r="J3818" t="s">
        <v>20</v>
      </c>
      <c r="K3818" t="s">
        <v>27</v>
      </c>
      <c r="L3818" t="s">
        <v>54</v>
      </c>
      <c r="M3818" t="s">
        <v>55</v>
      </c>
      <c r="N3818">
        <v>37.684992999999999</v>
      </c>
      <c r="O3818">
        <v>-113.136258</v>
      </c>
      <c r="P3818">
        <v>5457.9626959999996</v>
      </c>
      <c r="Q3818">
        <v>314</v>
      </c>
      <c r="R3818">
        <v>0</v>
      </c>
    </row>
    <row r="3819" spans="1:18" x14ac:dyDescent="0.25">
      <c r="A3819">
        <v>3818</v>
      </c>
      <c r="B3819">
        <v>94</v>
      </c>
      <c r="C3819">
        <v>31826910</v>
      </c>
      <c r="D3819" t="s">
        <v>272</v>
      </c>
      <c r="E3819">
        <v>57.371000000000002</v>
      </c>
      <c r="F3819" t="s">
        <v>21</v>
      </c>
      <c r="G3819" t="s">
        <v>26</v>
      </c>
      <c r="H3819" t="s">
        <v>21</v>
      </c>
      <c r="I3819" t="s">
        <v>20</v>
      </c>
      <c r="J3819" t="s">
        <v>20</v>
      </c>
      <c r="K3819" t="s">
        <v>27</v>
      </c>
      <c r="L3819" t="s">
        <v>259</v>
      </c>
      <c r="M3819" t="s">
        <v>214</v>
      </c>
      <c r="N3819">
        <v>37.027296</v>
      </c>
      <c r="O3819">
        <v>-112.415218</v>
      </c>
      <c r="P3819">
        <v>5140.6647009999997</v>
      </c>
      <c r="Q3819">
        <v>1384</v>
      </c>
      <c r="R3819">
        <v>0</v>
      </c>
    </row>
    <row r="3820" spans="1:18" x14ac:dyDescent="0.25">
      <c r="A3820">
        <v>3819</v>
      </c>
      <c r="B3820">
        <v>94</v>
      </c>
      <c r="C3820" t="e">
        <f>-Ip-FygCIliekzNQarygNk</f>
        <v>#NAME?</v>
      </c>
      <c r="D3820" t="s">
        <v>203</v>
      </c>
      <c r="E3820">
        <v>57.417999999999999</v>
      </c>
      <c r="F3820" t="s">
        <v>21</v>
      </c>
      <c r="G3820" t="s">
        <v>20</v>
      </c>
      <c r="H3820" t="s">
        <v>21</v>
      </c>
      <c r="I3820" t="s">
        <v>20</v>
      </c>
      <c r="J3820" t="s">
        <v>20</v>
      </c>
      <c r="K3820" t="s">
        <v>41</v>
      </c>
      <c r="L3820" t="s">
        <v>325</v>
      </c>
      <c r="M3820" t="s">
        <v>204</v>
      </c>
      <c r="N3820">
        <v>41.486333999999999</v>
      </c>
      <c r="O3820">
        <v>-111.34115199999999</v>
      </c>
      <c r="P3820">
        <v>7000.7123099999999</v>
      </c>
      <c r="Q3820">
        <v>1349</v>
      </c>
      <c r="R3820">
        <v>0</v>
      </c>
    </row>
    <row r="3821" spans="1:18" x14ac:dyDescent="0.25">
      <c r="A3821">
        <v>3820</v>
      </c>
      <c r="B3821">
        <v>94</v>
      </c>
      <c r="C3821">
        <v>31584033</v>
      </c>
      <c r="D3821" t="s">
        <v>172</v>
      </c>
      <c r="E3821">
        <v>57.527000000000001</v>
      </c>
      <c r="F3821" t="s">
        <v>21</v>
      </c>
      <c r="G3821" t="s">
        <v>26</v>
      </c>
      <c r="H3821" t="s">
        <v>21</v>
      </c>
      <c r="I3821" t="s">
        <v>20</v>
      </c>
      <c r="J3821" t="s">
        <v>20</v>
      </c>
      <c r="K3821" t="s">
        <v>27</v>
      </c>
      <c r="L3821" t="s">
        <v>230</v>
      </c>
      <c r="M3821" t="s">
        <v>174</v>
      </c>
      <c r="N3821">
        <v>39.501677000000001</v>
      </c>
      <c r="O3821">
        <v>-111.56635300000001</v>
      </c>
      <c r="P3821">
        <v>5544.9970519999997</v>
      </c>
      <c r="Q3821">
        <v>1411</v>
      </c>
      <c r="R3821">
        <v>0</v>
      </c>
    </row>
    <row r="3822" spans="1:18" x14ac:dyDescent="0.25">
      <c r="A3822">
        <v>3821</v>
      </c>
      <c r="B3822">
        <v>94</v>
      </c>
      <c r="C3822">
        <v>31505814</v>
      </c>
      <c r="D3822" t="s">
        <v>124</v>
      </c>
      <c r="E3822">
        <v>57.542000000000002</v>
      </c>
      <c r="F3822" t="s">
        <v>21</v>
      </c>
      <c r="G3822" t="s">
        <v>26</v>
      </c>
      <c r="H3822" t="s">
        <v>21</v>
      </c>
      <c r="I3822" t="s">
        <v>20</v>
      </c>
      <c r="J3822" t="s">
        <v>20</v>
      </c>
      <c r="K3822" t="s">
        <v>31</v>
      </c>
      <c r="L3822" t="s">
        <v>362</v>
      </c>
      <c r="M3822" t="s">
        <v>365</v>
      </c>
      <c r="N3822">
        <v>40.743616000000003</v>
      </c>
      <c r="O3822">
        <v>-111.93904499999999</v>
      </c>
      <c r="P3822">
        <v>4174.3932450000002</v>
      </c>
      <c r="Q3822">
        <v>1368</v>
      </c>
      <c r="R3822">
        <v>0</v>
      </c>
    </row>
    <row r="3823" spans="1:18" x14ac:dyDescent="0.25">
      <c r="A3823">
        <v>3822</v>
      </c>
      <c r="B3823">
        <v>94</v>
      </c>
      <c r="C3823">
        <v>31468908</v>
      </c>
      <c r="D3823" t="s">
        <v>319</v>
      </c>
      <c r="E3823">
        <v>57.582999999999998</v>
      </c>
      <c r="F3823" t="s">
        <v>21</v>
      </c>
      <c r="G3823" t="s">
        <v>26</v>
      </c>
      <c r="H3823" t="s">
        <v>21</v>
      </c>
      <c r="I3823" t="s">
        <v>20</v>
      </c>
      <c r="J3823" t="s">
        <v>20</v>
      </c>
      <c r="K3823" t="s">
        <v>27</v>
      </c>
      <c r="L3823" t="s">
        <v>54</v>
      </c>
      <c r="M3823" t="s">
        <v>55</v>
      </c>
      <c r="N3823">
        <v>37.685003999999999</v>
      </c>
      <c r="O3823">
        <v>-113.132374</v>
      </c>
      <c r="P3823">
        <v>5461.9818619999996</v>
      </c>
      <c r="Q3823">
        <v>314</v>
      </c>
      <c r="R3823">
        <v>0</v>
      </c>
    </row>
    <row r="3824" spans="1:18" x14ac:dyDescent="0.25">
      <c r="A3824">
        <v>3823</v>
      </c>
      <c r="B3824">
        <v>94</v>
      </c>
      <c r="C3824">
        <v>27539911</v>
      </c>
      <c r="D3824" t="s">
        <v>636</v>
      </c>
      <c r="E3824">
        <v>1.7829999999999999</v>
      </c>
      <c r="F3824" t="s">
        <v>21</v>
      </c>
      <c r="G3824" t="s">
        <v>26</v>
      </c>
      <c r="H3824" t="s">
        <v>21</v>
      </c>
      <c r="I3824" t="s">
        <v>20</v>
      </c>
      <c r="J3824" t="s">
        <v>20</v>
      </c>
      <c r="K3824" t="s">
        <v>31</v>
      </c>
      <c r="L3824" t="s">
        <v>48</v>
      </c>
      <c r="M3824" t="s">
        <v>335</v>
      </c>
      <c r="N3824">
        <v>40.609513999999997</v>
      </c>
      <c r="O3824">
        <v>-111.94301</v>
      </c>
      <c r="P3824">
        <v>4331.2370000000001</v>
      </c>
      <c r="Q3824">
        <v>312</v>
      </c>
      <c r="R3824">
        <v>0</v>
      </c>
    </row>
    <row r="3825" spans="1:18" x14ac:dyDescent="0.25">
      <c r="A3825">
        <v>3824</v>
      </c>
      <c r="B3825">
        <v>94</v>
      </c>
      <c r="C3825">
        <v>27540217</v>
      </c>
      <c r="D3825" t="s">
        <v>636</v>
      </c>
      <c r="E3825">
        <v>1.871</v>
      </c>
      <c r="F3825" t="s">
        <v>21</v>
      </c>
      <c r="G3825" t="s">
        <v>26</v>
      </c>
      <c r="H3825" t="s">
        <v>21</v>
      </c>
      <c r="I3825" t="s">
        <v>20</v>
      </c>
      <c r="J3825" t="s">
        <v>20</v>
      </c>
      <c r="K3825" t="s">
        <v>31</v>
      </c>
      <c r="L3825" t="s">
        <v>48</v>
      </c>
      <c r="M3825" t="s">
        <v>335</v>
      </c>
      <c r="N3825">
        <v>40.609504999999999</v>
      </c>
      <c r="O3825">
        <v>-111.941332</v>
      </c>
      <c r="P3825">
        <v>4326.1790000000001</v>
      </c>
      <c r="Q3825">
        <v>312</v>
      </c>
      <c r="R3825">
        <v>0</v>
      </c>
    </row>
    <row r="3826" spans="1:18" x14ac:dyDescent="0.25">
      <c r="A3826">
        <v>3825</v>
      </c>
      <c r="B3826">
        <v>94</v>
      </c>
      <c r="C3826" t="e">
        <f>-JYgpuvcFO1PASFRDOYh-V</f>
        <v>#NAME?</v>
      </c>
      <c r="D3826" t="s">
        <v>383</v>
      </c>
      <c r="E3826">
        <v>12.483000000000001</v>
      </c>
      <c r="F3826" t="s">
        <v>21</v>
      </c>
      <c r="G3826" t="s">
        <v>26</v>
      </c>
      <c r="H3826" t="s">
        <v>21</v>
      </c>
      <c r="I3826" t="s">
        <v>20</v>
      </c>
      <c r="J3826" t="s">
        <v>20</v>
      </c>
      <c r="K3826" t="s">
        <v>31</v>
      </c>
      <c r="L3826" t="s">
        <v>89</v>
      </c>
      <c r="M3826" t="s">
        <v>62</v>
      </c>
      <c r="N3826">
        <v>40.588149999999999</v>
      </c>
      <c r="O3826">
        <v>-111.885041</v>
      </c>
      <c r="P3826">
        <v>4419.0439999999999</v>
      </c>
      <c r="Q3826">
        <v>414</v>
      </c>
      <c r="R3826">
        <v>0</v>
      </c>
    </row>
    <row r="3827" spans="1:18" x14ac:dyDescent="0.25">
      <c r="A3827">
        <v>3826</v>
      </c>
      <c r="B3827">
        <v>94</v>
      </c>
      <c r="C3827" t="e">
        <f>-JXVCl-tIHyhqEAJ2-hZPk</f>
        <v>#NAME?</v>
      </c>
      <c r="D3827" t="s">
        <v>239</v>
      </c>
      <c r="E3827">
        <v>6.8380000000000001</v>
      </c>
      <c r="F3827" t="s">
        <v>21</v>
      </c>
      <c r="G3827" t="s">
        <v>20</v>
      </c>
      <c r="H3827" t="s">
        <v>21</v>
      </c>
      <c r="I3827" t="s">
        <v>20</v>
      </c>
      <c r="J3827" t="s">
        <v>20</v>
      </c>
      <c r="K3827" t="s">
        <v>41</v>
      </c>
      <c r="L3827" t="s">
        <v>181</v>
      </c>
      <c r="M3827" t="s">
        <v>178</v>
      </c>
      <c r="N3827">
        <v>41.668892999999997</v>
      </c>
      <c r="O3827">
        <v>-112.296554</v>
      </c>
      <c r="P3827">
        <v>4260.8679830000001</v>
      </c>
      <c r="Q3827">
        <v>1392</v>
      </c>
      <c r="R3827">
        <v>0</v>
      </c>
    </row>
    <row r="3828" spans="1:18" x14ac:dyDescent="0.25">
      <c r="A3828">
        <v>3827</v>
      </c>
      <c r="B3828">
        <v>94</v>
      </c>
      <c r="C3828">
        <v>31444946</v>
      </c>
      <c r="D3828" t="s">
        <v>91</v>
      </c>
      <c r="E3828">
        <v>6.8449999999999998</v>
      </c>
      <c r="F3828" t="s">
        <v>21</v>
      </c>
      <c r="G3828" t="s">
        <v>26</v>
      </c>
      <c r="H3828" t="s">
        <v>21</v>
      </c>
      <c r="I3828" t="s">
        <v>20</v>
      </c>
      <c r="J3828" t="s">
        <v>20</v>
      </c>
      <c r="K3828" t="s">
        <v>41</v>
      </c>
      <c r="L3828" t="s">
        <v>42</v>
      </c>
      <c r="M3828" t="s">
        <v>73</v>
      </c>
      <c r="N3828">
        <v>41.704214</v>
      </c>
      <c r="O3828">
        <v>-111.97938000000001</v>
      </c>
      <c r="P3828">
        <v>4475.898021</v>
      </c>
      <c r="Q3828">
        <v>1339</v>
      </c>
      <c r="R3828">
        <v>0</v>
      </c>
    </row>
    <row r="3829" spans="1:18" x14ac:dyDescent="0.25">
      <c r="A3829">
        <v>3828</v>
      </c>
      <c r="B3829">
        <v>94</v>
      </c>
      <c r="C3829">
        <v>31701277</v>
      </c>
      <c r="D3829" t="s">
        <v>96</v>
      </c>
      <c r="E3829">
        <v>6.8460000000000001</v>
      </c>
      <c r="F3829" t="s">
        <v>21</v>
      </c>
      <c r="G3829" t="s">
        <v>20</v>
      </c>
      <c r="H3829" t="s">
        <v>21</v>
      </c>
      <c r="I3829" t="s">
        <v>20</v>
      </c>
      <c r="J3829" t="s">
        <v>20</v>
      </c>
      <c r="K3829" t="s">
        <v>22</v>
      </c>
      <c r="L3829" t="s">
        <v>97</v>
      </c>
      <c r="M3829" t="s">
        <v>98</v>
      </c>
      <c r="N3829">
        <v>40.982895999999997</v>
      </c>
      <c r="O3829">
        <v>-109.740972</v>
      </c>
      <c r="P3829">
        <v>6488.9624700000004</v>
      </c>
      <c r="Q3829">
        <v>311</v>
      </c>
      <c r="R3829">
        <v>0</v>
      </c>
    </row>
    <row r="3830" spans="1:18" x14ac:dyDescent="0.25">
      <c r="A3830">
        <v>3829</v>
      </c>
      <c r="B3830">
        <v>94</v>
      </c>
      <c r="C3830">
        <v>27638943</v>
      </c>
      <c r="D3830" t="s">
        <v>354</v>
      </c>
      <c r="E3830">
        <v>6.8479999999999999</v>
      </c>
      <c r="F3830" t="s">
        <v>21</v>
      </c>
      <c r="G3830" t="s">
        <v>26</v>
      </c>
      <c r="H3830" t="s">
        <v>19</v>
      </c>
      <c r="I3830">
        <v>62</v>
      </c>
      <c r="J3830" t="s">
        <v>20</v>
      </c>
      <c r="K3830" t="s">
        <v>27</v>
      </c>
      <c r="L3830" t="s">
        <v>64</v>
      </c>
      <c r="M3830" t="s">
        <v>58</v>
      </c>
      <c r="N3830">
        <v>38.166077000000001</v>
      </c>
      <c r="O3830">
        <v>-112.026937</v>
      </c>
      <c r="P3830">
        <v>6278.6433340000003</v>
      </c>
      <c r="Q3830">
        <v>1338</v>
      </c>
      <c r="R3830">
        <v>0</v>
      </c>
    </row>
    <row r="3831" spans="1:18" x14ac:dyDescent="0.25">
      <c r="A3831">
        <v>3830</v>
      </c>
      <c r="B3831">
        <v>94</v>
      </c>
      <c r="C3831">
        <v>31390994</v>
      </c>
      <c r="D3831" t="s">
        <v>124</v>
      </c>
      <c r="E3831">
        <v>7.0490000000000004</v>
      </c>
      <c r="F3831" t="s">
        <v>21</v>
      </c>
      <c r="G3831" t="s">
        <v>26</v>
      </c>
      <c r="H3831" t="s">
        <v>21</v>
      </c>
      <c r="I3831" t="s">
        <v>20</v>
      </c>
      <c r="J3831" t="s">
        <v>20</v>
      </c>
      <c r="K3831" t="s">
        <v>22</v>
      </c>
      <c r="L3831" t="s">
        <v>193</v>
      </c>
      <c r="M3831" t="s">
        <v>194</v>
      </c>
      <c r="N3831">
        <v>40.054299</v>
      </c>
      <c r="O3831">
        <v>-111.95831699999999</v>
      </c>
      <c r="P3831">
        <v>4571.5973809999996</v>
      </c>
      <c r="Q3831">
        <v>1368</v>
      </c>
      <c r="R3831">
        <v>0</v>
      </c>
    </row>
    <row r="3832" spans="1:18" x14ac:dyDescent="0.25">
      <c r="A3832">
        <v>3831</v>
      </c>
      <c r="B3832">
        <v>94</v>
      </c>
      <c r="C3832">
        <v>31813285</v>
      </c>
      <c r="D3832" t="s">
        <v>61</v>
      </c>
      <c r="E3832">
        <v>7.0540000000000003</v>
      </c>
      <c r="F3832" t="s">
        <v>21</v>
      </c>
      <c r="G3832" t="s">
        <v>26</v>
      </c>
      <c r="H3832" t="s">
        <v>21</v>
      </c>
      <c r="I3832" t="s">
        <v>20</v>
      </c>
      <c r="J3832" t="s">
        <v>20</v>
      </c>
      <c r="K3832" t="s">
        <v>22</v>
      </c>
      <c r="L3832" t="s">
        <v>60</v>
      </c>
      <c r="M3832" t="s">
        <v>62</v>
      </c>
      <c r="N3832">
        <v>40.307713999999997</v>
      </c>
      <c r="O3832">
        <v>-111.65525700000001</v>
      </c>
      <c r="P3832">
        <v>4747.5617160000002</v>
      </c>
      <c r="Q3832">
        <v>403</v>
      </c>
      <c r="R3832">
        <v>0</v>
      </c>
    </row>
    <row r="3833" spans="1:18" x14ac:dyDescent="0.25">
      <c r="A3833">
        <v>3832</v>
      </c>
      <c r="B3833">
        <v>94</v>
      </c>
      <c r="C3833">
        <v>27378155</v>
      </c>
      <c r="D3833" t="s">
        <v>185</v>
      </c>
      <c r="E3833">
        <v>7.0579999999999998</v>
      </c>
      <c r="F3833" t="s">
        <v>21</v>
      </c>
      <c r="G3833" t="s">
        <v>26</v>
      </c>
      <c r="H3833" t="s">
        <v>21</v>
      </c>
      <c r="I3833" t="s">
        <v>20</v>
      </c>
      <c r="J3833" t="s">
        <v>20</v>
      </c>
      <c r="K3833" t="s">
        <v>41</v>
      </c>
      <c r="L3833" t="s">
        <v>57</v>
      </c>
      <c r="M3833" t="s">
        <v>58</v>
      </c>
      <c r="N3833">
        <v>41.169269999999997</v>
      </c>
      <c r="O3833">
        <v>-112.122702</v>
      </c>
      <c r="P3833">
        <v>4184.4460250000002</v>
      </c>
      <c r="Q3833">
        <v>309</v>
      </c>
      <c r="R3833">
        <v>0</v>
      </c>
    </row>
    <row r="3834" spans="1:18" x14ac:dyDescent="0.25">
      <c r="A3834">
        <v>3833</v>
      </c>
      <c r="B3834">
        <v>94</v>
      </c>
      <c r="C3834">
        <v>31391119</v>
      </c>
      <c r="D3834" t="s">
        <v>352</v>
      </c>
      <c r="E3834">
        <v>7.0579999999999998</v>
      </c>
      <c r="F3834" t="s">
        <v>21</v>
      </c>
      <c r="G3834" t="s">
        <v>26</v>
      </c>
      <c r="H3834" t="s">
        <v>21</v>
      </c>
      <c r="I3834" t="s">
        <v>20</v>
      </c>
      <c r="J3834" t="s">
        <v>20</v>
      </c>
      <c r="K3834" t="s">
        <v>31</v>
      </c>
      <c r="L3834" t="s">
        <v>282</v>
      </c>
      <c r="M3834" t="s">
        <v>206</v>
      </c>
      <c r="N3834">
        <v>40.310172999999999</v>
      </c>
      <c r="O3834">
        <v>-112.63834300000001</v>
      </c>
      <c r="P3834">
        <v>4954.7972790000003</v>
      </c>
      <c r="Q3834">
        <v>409</v>
      </c>
      <c r="R3834">
        <v>0</v>
      </c>
    </row>
    <row r="3835" spans="1:18" x14ac:dyDescent="0.25">
      <c r="A3835">
        <v>3834</v>
      </c>
      <c r="B3835">
        <v>94</v>
      </c>
      <c r="C3835" t="e">
        <f>-JN06n8jFMaKp_cCo11P-V</f>
        <v>#NAME?</v>
      </c>
      <c r="D3835" t="s">
        <v>184</v>
      </c>
      <c r="E3835">
        <v>7.06</v>
      </c>
      <c r="F3835" t="s">
        <v>21</v>
      </c>
      <c r="G3835" t="s">
        <v>20</v>
      </c>
      <c r="H3835" t="s">
        <v>21</v>
      </c>
      <c r="I3835" t="s">
        <v>20</v>
      </c>
      <c r="J3835" t="s">
        <v>20</v>
      </c>
      <c r="K3835" t="s">
        <v>27</v>
      </c>
      <c r="L3835" t="s">
        <v>54</v>
      </c>
      <c r="M3835" t="s">
        <v>55</v>
      </c>
      <c r="N3835">
        <v>37.740344</v>
      </c>
      <c r="O3835">
        <v>-113.05525</v>
      </c>
      <c r="P3835">
        <v>5524.9716429999999</v>
      </c>
      <c r="Q3835">
        <v>1410</v>
      </c>
      <c r="R3835">
        <v>0</v>
      </c>
    </row>
    <row r="3836" spans="1:18" x14ac:dyDescent="0.25">
      <c r="A3836">
        <v>3835</v>
      </c>
      <c r="B3836">
        <v>94</v>
      </c>
      <c r="C3836">
        <v>31528704</v>
      </c>
      <c r="D3836" t="s">
        <v>236</v>
      </c>
      <c r="E3836">
        <v>7.0620000000000003</v>
      </c>
      <c r="F3836" t="s">
        <v>21</v>
      </c>
      <c r="G3836" t="s">
        <v>26</v>
      </c>
      <c r="H3836" t="s">
        <v>21</v>
      </c>
      <c r="I3836" t="s">
        <v>20</v>
      </c>
      <c r="J3836" t="s">
        <v>20</v>
      </c>
      <c r="K3836" t="s">
        <v>31</v>
      </c>
      <c r="L3836" t="s">
        <v>78</v>
      </c>
      <c r="M3836" t="s">
        <v>79</v>
      </c>
      <c r="N3836">
        <v>40.666854000000001</v>
      </c>
      <c r="O3836">
        <v>-112.091657</v>
      </c>
      <c r="P3836">
        <v>4795.6738429999996</v>
      </c>
      <c r="Q3836">
        <v>1398</v>
      </c>
      <c r="R3836">
        <v>0</v>
      </c>
    </row>
    <row r="3837" spans="1:18" x14ac:dyDescent="0.25">
      <c r="A3837">
        <v>3836</v>
      </c>
      <c r="B3837">
        <v>94</v>
      </c>
      <c r="C3837">
        <v>31448769</v>
      </c>
      <c r="D3837" t="s">
        <v>254</v>
      </c>
      <c r="E3837">
        <v>7.0640000000000001</v>
      </c>
      <c r="F3837" t="s">
        <v>21</v>
      </c>
      <c r="G3837" t="s">
        <v>26</v>
      </c>
      <c r="H3837" t="s">
        <v>21</v>
      </c>
      <c r="I3837" t="s">
        <v>20</v>
      </c>
      <c r="J3837" t="s">
        <v>20</v>
      </c>
      <c r="K3837" t="s">
        <v>41</v>
      </c>
      <c r="L3837" t="s">
        <v>255</v>
      </c>
      <c r="M3837" t="s">
        <v>204</v>
      </c>
      <c r="N3837">
        <v>41.339798000000002</v>
      </c>
      <c r="O3837">
        <v>-111.82558</v>
      </c>
      <c r="P3837">
        <v>5428.1793989999996</v>
      </c>
      <c r="Q3837">
        <v>1429</v>
      </c>
      <c r="R3837">
        <v>0</v>
      </c>
    </row>
    <row r="3838" spans="1:18" x14ac:dyDescent="0.25">
      <c r="A3838">
        <v>3837</v>
      </c>
      <c r="B3838">
        <v>94</v>
      </c>
      <c r="C3838">
        <v>31523768</v>
      </c>
      <c r="D3838" t="s">
        <v>231</v>
      </c>
      <c r="E3838">
        <v>7.0679999999999996</v>
      </c>
      <c r="F3838" t="s">
        <v>21</v>
      </c>
      <c r="G3838" t="s">
        <v>20</v>
      </c>
      <c r="H3838" t="s">
        <v>21</v>
      </c>
      <c r="I3838" t="s">
        <v>20</v>
      </c>
      <c r="J3838" t="s">
        <v>20</v>
      </c>
      <c r="K3838" t="s">
        <v>41</v>
      </c>
      <c r="L3838" t="s">
        <v>57</v>
      </c>
      <c r="M3838" t="s">
        <v>93</v>
      </c>
      <c r="N3838">
        <v>41.137199000000003</v>
      </c>
      <c r="O3838">
        <v>-112.02605699999999</v>
      </c>
      <c r="P3838">
        <v>4515.1892369999996</v>
      </c>
      <c r="Q3838">
        <v>1409</v>
      </c>
      <c r="R3838">
        <v>0</v>
      </c>
    </row>
    <row r="3839" spans="1:18" x14ac:dyDescent="0.25">
      <c r="A3839">
        <v>3838</v>
      </c>
      <c r="B3839">
        <v>94</v>
      </c>
      <c r="C3839">
        <v>31389125</v>
      </c>
      <c r="D3839" t="s">
        <v>364</v>
      </c>
      <c r="E3839">
        <v>7.07</v>
      </c>
      <c r="F3839" t="s">
        <v>21</v>
      </c>
      <c r="G3839" t="s">
        <v>26</v>
      </c>
      <c r="H3839" t="s">
        <v>21</v>
      </c>
      <c r="I3839" t="s">
        <v>20</v>
      </c>
      <c r="J3839" t="s">
        <v>20</v>
      </c>
      <c r="K3839" t="s">
        <v>22</v>
      </c>
      <c r="L3839" t="s">
        <v>140</v>
      </c>
      <c r="M3839" t="s">
        <v>85</v>
      </c>
      <c r="N3839">
        <v>40.107978000000003</v>
      </c>
      <c r="O3839">
        <v>-111.67699500000001</v>
      </c>
      <c r="P3839">
        <v>4511.8661780000002</v>
      </c>
      <c r="Q3839">
        <v>1401</v>
      </c>
      <c r="R3839">
        <v>0</v>
      </c>
    </row>
    <row r="3840" spans="1:18" x14ac:dyDescent="0.25">
      <c r="A3840">
        <v>3839</v>
      </c>
      <c r="B3840">
        <v>94</v>
      </c>
      <c r="C3840">
        <v>31391255</v>
      </c>
      <c r="D3840" t="s">
        <v>124</v>
      </c>
      <c r="E3840">
        <v>7.0720000000000001</v>
      </c>
      <c r="F3840" t="s">
        <v>21</v>
      </c>
      <c r="G3840" t="s">
        <v>26</v>
      </c>
      <c r="H3840" t="s">
        <v>21</v>
      </c>
      <c r="I3840" t="s">
        <v>20</v>
      </c>
      <c r="J3840" t="s">
        <v>20</v>
      </c>
      <c r="K3840" t="s">
        <v>22</v>
      </c>
      <c r="L3840" t="s">
        <v>193</v>
      </c>
      <c r="M3840" t="s">
        <v>194</v>
      </c>
      <c r="N3840">
        <v>40.054627000000004</v>
      </c>
      <c r="O3840">
        <v>-111.958325</v>
      </c>
      <c r="P3840">
        <v>4571.5771400000003</v>
      </c>
      <c r="Q3840">
        <v>1368</v>
      </c>
      <c r="R3840">
        <v>0</v>
      </c>
    </row>
    <row r="3841" spans="1:18" x14ac:dyDescent="0.25">
      <c r="A3841">
        <v>3840</v>
      </c>
      <c r="B3841">
        <v>94</v>
      </c>
      <c r="C3841">
        <v>838261</v>
      </c>
      <c r="D3841" t="s">
        <v>68</v>
      </c>
      <c r="E3841">
        <v>7.0730000000000004</v>
      </c>
      <c r="F3841" t="s">
        <v>21</v>
      </c>
      <c r="G3841" t="s">
        <v>26</v>
      </c>
      <c r="H3841" t="s">
        <v>21</v>
      </c>
      <c r="I3841" t="s">
        <v>20</v>
      </c>
      <c r="J3841" t="s">
        <v>20</v>
      </c>
      <c r="K3841" t="s">
        <v>31</v>
      </c>
      <c r="L3841" t="s">
        <v>32</v>
      </c>
      <c r="M3841" t="s">
        <v>70</v>
      </c>
      <c r="N3841">
        <v>40.674905000000003</v>
      </c>
      <c r="O3841">
        <v>-111.82128400000001</v>
      </c>
      <c r="P3841">
        <v>4494.2580189999999</v>
      </c>
      <c r="Q3841">
        <v>431</v>
      </c>
      <c r="R3841">
        <v>0</v>
      </c>
    </row>
    <row r="3842" spans="1:18" x14ac:dyDescent="0.25">
      <c r="A3842">
        <v>3841</v>
      </c>
      <c r="B3842">
        <v>94</v>
      </c>
      <c r="C3842">
        <v>31526133</v>
      </c>
      <c r="D3842" t="s">
        <v>390</v>
      </c>
      <c r="E3842">
        <v>7.077</v>
      </c>
      <c r="F3842" t="s">
        <v>21</v>
      </c>
      <c r="G3842" t="s">
        <v>26</v>
      </c>
      <c r="H3842" t="s">
        <v>21</v>
      </c>
      <c r="I3842" t="s">
        <v>20</v>
      </c>
      <c r="J3842" t="s">
        <v>20</v>
      </c>
      <c r="K3842" t="s">
        <v>22</v>
      </c>
      <c r="L3842" t="s">
        <v>84</v>
      </c>
      <c r="M3842" t="s">
        <v>335</v>
      </c>
      <c r="N3842">
        <v>40.431961999999999</v>
      </c>
      <c r="O3842">
        <v>-111.761421</v>
      </c>
      <c r="P3842">
        <v>4933.2774239999999</v>
      </c>
      <c r="Q3842">
        <v>1386</v>
      </c>
      <c r="R3842">
        <v>0</v>
      </c>
    </row>
    <row r="3843" spans="1:18" x14ac:dyDescent="0.25">
      <c r="A3843">
        <v>3842</v>
      </c>
      <c r="B3843">
        <v>94</v>
      </c>
      <c r="C3843">
        <v>1012940</v>
      </c>
      <c r="D3843" t="s">
        <v>65</v>
      </c>
      <c r="E3843">
        <v>7.0789999999999997</v>
      </c>
      <c r="F3843" t="s">
        <v>21</v>
      </c>
      <c r="G3843" t="s">
        <v>26</v>
      </c>
      <c r="H3843" t="s">
        <v>21</v>
      </c>
      <c r="I3843" t="s">
        <v>20</v>
      </c>
      <c r="J3843" t="s">
        <v>20</v>
      </c>
      <c r="K3843" t="s">
        <v>31</v>
      </c>
      <c r="L3843" t="s">
        <v>188</v>
      </c>
      <c r="M3843" t="s">
        <v>67</v>
      </c>
      <c r="N3843">
        <v>40.737273000000002</v>
      </c>
      <c r="O3843">
        <v>-111.823515</v>
      </c>
      <c r="P3843">
        <v>4685.3598920000004</v>
      </c>
      <c r="Q3843">
        <v>402</v>
      </c>
      <c r="R3843">
        <v>0</v>
      </c>
    </row>
    <row r="3844" spans="1:18" x14ac:dyDescent="0.25">
      <c r="A3844">
        <v>3843</v>
      </c>
      <c r="B3844">
        <v>94</v>
      </c>
      <c r="C3844" t="e">
        <f>-JXVDfpjGnmAdCrjsgYndk</f>
        <v>#NAME?</v>
      </c>
      <c r="D3844" t="s">
        <v>239</v>
      </c>
      <c r="E3844">
        <v>7.0839999999999996</v>
      </c>
      <c r="F3844" t="s">
        <v>21</v>
      </c>
      <c r="G3844" t="s">
        <v>20</v>
      </c>
      <c r="H3844" t="s">
        <v>21</v>
      </c>
      <c r="I3844" t="s">
        <v>20</v>
      </c>
      <c r="J3844" t="s">
        <v>20</v>
      </c>
      <c r="K3844" t="s">
        <v>41</v>
      </c>
      <c r="L3844" t="s">
        <v>181</v>
      </c>
      <c r="M3844" t="s">
        <v>178</v>
      </c>
      <c r="N3844">
        <v>41.672469</v>
      </c>
      <c r="O3844">
        <v>-112.29664099999999</v>
      </c>
      <c r="P3844">
        <v>4259.2773209999996</v>
      </c>
      <c r="Q3844">
        <v>1392</v>
      </c>
      <c r="R3844">
        <v>0</v>
      </c>
    </row>
    <row r="3845" spans="1:18" x14ac:dyDescent="0.25">
      <c r="A3845">
        <v>3844</v>
      </c>
      <c r="B3845">
        <v>94</v>
      </c>
      <c r="C3845">
        <v>28832825</v>
      </c>
      <c r="D3845" t="s">
        <v>316</v>
      </c>
      <c r="E3845">
        <v>7.0860000000000003</v>
      </c>
      <c r="F3845" t="s">
        <v>21</v>
      </c>
      <c r="G3845" t="s">
        <v>26</v>
      </c>
      <c r="H3845" t="s">
        <v>21</v>
      </c>
      <c r="I3845" t="s">
        <v>20</v>
      </c>
      <c r="J3845" t="s">
        <v>20</v>
      </c>
      <c r="K3845" t="s">
        <v>31</v>
      </c>
      <c r="L3845" t="s">
        <v>130</v>
      </c>
      <c r="M3845" t="s">
        <v>302</v>
      </c>
      <c r="N3845">
        <v>40.559688999999999</v>
      </c>
      <c r="O3845">
        <v>-111.17841</v>
      </c>
      <c r="P3845">
        <v>6878.7843970000004</v>
      </c>
      <c r="Q3845">
        <v>1346</v>
      </c>
      <c r="R3845">
        <v>0</v>
      </c>
    </row>
    <row r="3846" spans="1:18" x14ac:dyDescent="0.25">
      <c r="A3846">
        <v>3845</v>
      </c>
      <c r="B3846">
        <v>94</v>
      </c>
      <c r="C3846">
        <v>31313224</v>
      </c>
      <c r="D3846" t="s">
        <v>215</v>
      </c>
      <c r="E3846">
        <v>7.0869999999999997</v>
      </c>
      <c r="F3846" t="s">
        <v>21</v>
      </c>
      <c r="G3846" t="s">
        <v>26</v>
      </c>
      <c r="H3846" t="s">
        <v>21</v>
      </c>
      <c r="I3846" t="s">
        <v>20</v>
      </c>
      <c r="J3846" t="s">
        <v>20</v>
      </c>
      <c r="K3846" t="s">
        <v>22</v>
      </c>
      <c r="L3846" t="s">
        <v>23</v>
      </c>
      <c r="M3846" t="s">
        <v>85</v>
      </c>
      <c r="N3846">
        <v>40.304639000000002</v>
      </c>
      <c r="O3846">
        <v>-111.733298</v>
      </c>
      <c r="P3846">
        <v>4507.978255</v>
      </c>
      <c r="Q3846">
        <v>330</v>
      </c>
      <c r="R3846">
        <v>0</v>
      </c>
    </row>
    <row r="3847" spans="1:18" x14ac:dyDescent="0.25">
      <c r="A3847">
        <v>3846</v>
      </c>
      <c r="B3847">
        <v>94</v>
      </c>
      <c r="C3847">
        <v>31395750</v>
      </c>
      <c r="D3847" t="s">
        <v>114</v>
      </c>
      <c r="E3847">
        <v>7.0990000000000002</v>
      </c>
      <c r="F3847" t="s">
        <v>21</v>
      </c>
      <c r="G3847" t="s">
        <v>26</v>
      </c>
      <c r="H3847" t="s">
        <v>21</v>
      </c>
      <c r="I3847" t="s">
        <v>20</v>
      </c>
      <c r="J3847" t="s">
        <v>20</v>
      </c>
      <c r="K3847" t="s">
        <v>41</v>
      </c>
      <c r="L3847" t="s">
        <v>87</v>
      </c>
      <c r="M3847" t="s">
        <v>82</v>
      </c>
      <c r="N3847">
        <v>41.101840000000003</v>
      </c>
      <c r="O3847">
        <v>-111.93282600000001</v>
      </c>
      <c r="P3847">
        <v>4772.1125529999999</v>
      </c>
      <c r="Q3847">
        <v>405</v>
      </c>
      <c r="R3847">
        <v>0</v>
      </c>
    </row>
    <row r="3848" spans="1:18" x14ac:dyDescent="0.25">
      <c r="A3848">
        <v>3847</v>
      </c>
      <c r="B3848">
        <v>94</v>
      </c>
      <c r="C3848">
        <v>31757312</v>
      </c>
      <c r="D3848" t="s">
        <v>65</v>
      </c>
      <c r="E3848">
        <v>7.242</v>
      </c>
      <c r="F3848" t="s">
        <v>21</v>
      </c>
      <c r="G3848" t="s">
        <v>26</v>
      </c>
      <c r="H3848" t="s">
        <v>21</v>
      </c>
      <c r="I3848" t="s">
        <v>20</v>
      </c>
      <c r="J3848" t="s">
        <v>20</v>
      </c>
      <c r="K3848" t="s">
        <v>31</v>
      </c>
      <c r="L3848" t="s">
        <v>188</v>
      </c>
      <c r="M3848" t="s">
        <v>67</v>
      </c>
      <c r="N3848">
        <v>40.735275000000001</v>
      </c>
      <c r="O3848">
        <v>-111.821789</v>
      </c>
      <c r="P3848">
        <v>4687.5578779999996</v>
      </c>
      <c r="Q3848">
        <v>402</v>
      </c>
      <c r="R3848">
        <v>0</v>
      </c>
    </row>
    <row r="3849" spans="1:18" x14ac:dyDescent="0.25">
      <c r="A3849">
        <v>3848</v>
      </c>
      <c r="B3849">
        <v>94</v>
      </c>
      <c r="C3849">
        <v>27867839</v>
      </c>
      <c r="D3849" t="s">
        <v>91</v>
      </c>
      <c r="E3849">
        <v>7.2450000000000001</v>
      </c>
      <c r="F3849" t="s">
        <v>21</v>
      </c>
      <c r="G3849" t="s">
        <v>26</v>
      </c>
      <c r="H3849" t="s">
        <v>21</v>
      </c>
      <c r="I3849" t="s">
        <v>20</v>
      </c>
      <c r="J3849" t="s">
        <v>20</v>
      </c>
      <c r="K3849" t="s">
        <v>41</v>
      </c>
      <c r="L3849" t="s">
        <v>42</v>
      </c>
      <c r="M3849" t="s">
        <v>73</v>
      </c>
      <c r="N3849">
        <v>41.709986000000001</v>
      </c>
      <c r="O3849">
        <v>-111.97918900000001</v>
      </c>
      <c r="P3849">
        <v>4451.0373589999999</v>
      </c>
      <c r="Q3849">
        <v>1339</v>
      </c>
      <c r="R3849">
        <v>0</v>
      </c>
    </row>
    <row r="3850" spans="1:18" x14ac:dyDescent="0.25">
      <c r="A3850">
        <v>3849</v>
      </c>
      <c r="B3850">
        <v>94</v>
      </c>
      <c r="C3850">
        <v>27600812</v>
      </c>
      <c r="D3850" t="s">
        <v>110</v>
      </c>
      <c r="E3850">
        <v>7.2460000000000004</v>
      </c>
      <c r="F3850" t="s">
        <v>21</v>
      </c>
      <c r="G3850" t="s">
        <v>20</v>
      </c>
      <c r="H3850" t="s">
        <v>21</v>
      </c>
      <c r="I3850" t="s">
        <v>20</v>
      </c>
      <c r="J3850" t="s">
        <v>20</v>
      </c>
      <c r="K3850" t="s">
        <v>27</v>
      </c>
      <c r="L3850" t="s">
        <v>111</v>
      </c>
      <c r="M3850" t="s">
        <v>112</v>
      </c>
      <c r="N3850">
        <v>39.262608</v>
      </c>
      <c r="O3850">
        <v>-111.09907699999999</v>
      </c>
      <c r="P3850">
        <v>6056.893317</v>
      </c>
      <c r="Q3850">
        <v>1361</v>
      </c>
      <c r="R3850">
        <v>0</v>
      </c>
    </row>
    <row r="3851" spans="1:18" x14ac:dyDescent="0.25">
      <c r="A3851">
        <v>3850</v>
      </c>
      <c r="B3851">
        <v>94</v>
      </c>
      <c r="C3851">
        <v>31526405</v>
      </c>
      <c r="D3851" t="s">
        <v>390</v>
      </c>
      <c r="E3851">
        <v>7.2489999999999997</v>
      </c>
      <c r="F3851" t="s">
        <v>21</v>
      </c>
      <c r="G3851" t="s">
        <v>26</v>
      </c>
      <c r="H3851" t="s">
        <v>21</v>
      </c>
      <c r="I3851" t="s">
        <v>20</v>
      </c>
      <c r="J3851" t="s">
        <v>20</v>
      </c>
      <c r="K3851" t="s">
        <v>22</v>
      </c>
      <c r="L3851" t="s">
        <v>84</v>
      </c>
      <c r="M3851" t="s">
        <v>335</v>
      </c>
      <c r="N3851">
        <v>40.431829999999998</v>
      </c>
      <c r="O3851">
        <v>-111.758139</v>
      </c>
      <c r="P3851">
        <v>4939.5651319999997</v>
      </c>
      <c r="Q3851">
        <v>1386</v>
      </c>
      <c r="R3851">
        <v>0</v>
      </c>
    </row>
    <row r="3852" spans="1:18" x14ac:dyDescent="0.25">
      <c r="A3852">
        <v>3851</v>
      </c>
      <c r="B3852">
        <v>94</v>
      </c>
      <c r="C3852">
        <v>31389834</v>
      </c>
      <c r="D3852" t="s">
        <v>184</v>
      </c>
      <c r="E3852">
        <v>7.2510000000000003</v>
      </c>
      <c r="F3852" t="s">
        <v>21</v>
      </c>
      <c r="G3852" t="s">
        <v>26</v>
      </c>
      <c r="H3852" t="s">
        <v>21</v>
      </c>
      <c r="I3852" t="s">
        <v>20</v>
      </c>
      <c r="J3852" t="s">
        <v>20</v>
      </c>
      <c r="K3852" t="s">
        <v>27</v>
      </c>
      <c r="L3852" t="s">
        <v>54</v>
      </c>
      <c r="M3852" t="s">
        <v>55</v>
      </c>
      <c r="N3852">
        <v>37.743087000000003</v>
      </c>
      <c r="O3852">
        <v>-113.055256</v>
      </c>
      <c r="P3852">
        <v>5505.8180110000003</v>
      </c>
      <c r="Q3852">
        <v>1410</v>
      </c>
      <c r="R3852">
        <v>0</v>
      </c>
    </row>
    <row r="3853" spans="1:18" x14ac:dyDescent="0.25">
      <c r="A3853">
        <v>3852</v>
      </c>
      <c r="B3853">
        <v>94</v>
      </c>
      <c r="C3853">
        <v>1035769</v>
      </c>
      <c r="D3853" t="s">
        <v>171</v>
      </c>
      <c r="E3853">
        <v>7.2510000000000003</v>
      </c>
      <c r="F3853" t="s">
        <v>19</v>
      </c>
      <c r="G3853" t="s">
        <v>20</v>
      </c>
      <c r="H3853" t="s">
        <v>21</v>
      </c>
      <c r="I3853" t="s">
        <v>20</v>
      </c>
      <c r="J3853" t="s">
        <v>20</v>
      </c>
      <c r="K3853" t="s">
        <v>31</v>
      </c>
      <c r="L3853" t="s">
        <v>362</v>
      </c>
      <c r="M3853" t="s">
        <v>79</v>
      </c>
      <c r="N3853">
        <v>40.696615999999999</v>
      </c>
      <c r="O3853">
        <v>-111.953513</v>
      </c>
      <c r="P3853">
        <v>4195.8609550000001</v>
      </c>
      <c r="Q3853">
        <v>346</v>
      </c>
      <c r="R3853">
        <v>0</v>
      </c>
    </row>
    <row r="3854" spans="1:18" x14ac:dyDescent="0.25">
      <c r="A3854">
        <v>3853</v>
      </c>
      <c r="B3854">
        <v>94</v>
      </c>
      <c r="C3854">
        <v>31583367</v>
      </c>
      <c r="D3854" t="s">
        <v>172</v>
      </c>
      <c r="E3854">
        <v>55.838999999999999</v>
      </c>
      <c r="F3854" t="s">
        <v>21</v>
      </c>
      <c r="G3854" t="s">
        <v>26</v>
      </c>
      <c r="H3854" t="s">
        <v>21</v>
      </c>
      <c r="I3854" t="s">
        <v>20</v>
      </c>
      <c r="J3854" t="s">
        <v>20</v>
      </c>
      <c r="K3854" t="s">
        <v>27</v>
      </c>
      <c r="L3854" t="s">
        <v>230</v>
      </c>
      <c r="M3854" t="s">
        <v>174</v>
      </c>
      <c r="N3854">
        <v>39.524903999999999</v>
      </c>
      <c r="O3854">
        <v>-111.576252</v>
      </c>
      <c r="P3854">
        <v>5494.4219089999997</v>
      </c>
      <c r="Q3854">
        <v>1411</v>
      </c>
      <c r="R3854">
        <v>0</v>
      </c>
    </row>
    <row r="3855" spans="1:18" x14ac:dyDescent="0.25">
      <c r="A3855">
        <v>3854</v>
      </c>
      <c r="B3855">
        <v>94</v>
      </c>
      <c r="C3855">
        <v>31500845</v>
      </c>
      <c r="D3855" t="s">
        <v>124</v>
      </c>
      <c r="E3855">
        <v>55.860999999999997</v>
      </c>
      <c r="F3855" t="s">
        <v>21</v>
      </c>
      <c r="G3855" t="s">
        <v>26</v>
      </c>
      <c r="H3855" t="s">
        <v>21</v>
      </c>
      <c r="I3855" t="s">
        <v>20</v>
      </c>
      <c r="J3855" t="s">
        <v>20</v>
      </c>
      <c r="K3855" t="s">
        <v>31</v>
      </c>
      <c r="L3855" t="s">
        <v>362</v>
      </c>
      <c r="M3855" t="s">
        <v>125</v>
      </c>
      <c r="N3855">
        <v>40.719194000000002</v>
      </c>
      <c r="O3855">
        <v>-111.938981</v>
      </c>
      <c r="P3855">
        <v>4184.0078480000002</v>
      </c>
      <c r="Q3855">
        <v>1368</v>
      </c>
      <c r="R3855">
        <v>0</v>
      </c>
    </row>
    <row r="3856" spans="1:18" x14ac:dyDescent="0.25">
      <c r="A3856">
        <v>3855</v>
      </c>
      <c r="B3856">
        <v>94</v>
      </c>
      <c r="C3856" t="e">
        <f>-JYm6FwSINmTEcGmBC79bV</f>
        <v>#NAME?</v>
      </c>
      <c r="D3856" t="s">
        <v>636</v>
      </c>
      <c r="E3856">
        <v>3.4249999999999998</v>
      </c>
      <c r="F3856" t="s">
        <v>21</v>
      </c>
      <c r="G3856" t="s">
        <v>26</v>
      </c>
      <c r="H3856" t="s">
        <v>21</v>
      </c>
      <c r="I3856" t="s">
        <v>20</v>
      </c>
      <c r="J3856" t="s">
        <v>20</v>
      </c>
      <c r="K3856" t="s">
        <v>31</v>
      </c>
      <c r="L3856" t="s">
        <v>48</v>
      </c>
      <c r="M3856" t="s">
        <v>33</v>
      </c>
      <c r="N3856">
        <v>40.620876000000003</v>
      </c>
      <c r="O3856">
        <v>-111.91253500000001</v>
      </c>
      <c r="P3856">
        <v>4239.393</v>
      </c>
      <c r="Q3856">
        <v>312</v>
      </c>
      <c r="R3856">
        <v>0</v>
      </c>
    </row>
    <row r="3857" spans="1:18" x14ac:dyDescent="0.25">
      <c r="A3857">
        <v>3856</v>
      </c>
      <c r="B3857">
        <v>94</v>
      </c>
      <c r="C3857">
        <v>27533307</v>
      </c>
      <c r="D3857" t="s">
        <v>636</v>
      </c>
      <c r="E3857">
        <v>0.223</v>
      </c>
      <c r="F3857" t="s">
        <v>21</v>
      </c>
      <c r="G3857" t="s">
        <v>26</v>
      </c>
      <c r="H3857" t="s">
        <v>21</v>
      </c>
      <c r="I3857" t="s">
        <v>20</v>
      </c>
      <c r="J3857" t="s">
        <v>20</v>
      </c>
      <c r="K3857" t="s">
        <v>31</v>
      </c>
      <c r="L3857" t="s">
        <v>48</v>
      </c>
      <c r="M3857" t="s">
        <v>335</v>
      </c>
      <c r="N3857">
        <v>40.609465</v>
      </c>
      <c r="O3857">
        <v>-111.972908</v>
      </c>
      <c r="P3857">
        <v>4452.5609999999997</v>
      </c>
      <c r="Q3857">
        <v>312</v>
      </c>
      <c r="R3857">
        <v>0</v>
      </c>
    </row>
    <row r="3858" spans="1:18" x14ac:dyDescent="0.25">
      <c r="A3858">
        <v>3857</v>
      </c>
      <c r="B3858">
        <v>94</v>
      </c>
      <c r="C3858">
        <v>27533351</v>
      </c>
      <c r="D3858" t="s">
        <v>636</v>
      </c>
      <c r="E3858">
        <v>0.28100000000000003</v>
      </c>
      <c r="F3858" t="s">
        <v>21</v>
      </c>
      <c r="G3858" t="s">
        <v>26</v>
      </c>
      <c r="H3858" t="s">
        <v>21</v>
      </c>
      <c r="I3858" t="s">
        <v>20</v>
      </c>
      <c r="J3858" t="s">
        <v>20</v>
      </c>
      <c r="K3858" t="s">
        <v>31</v>
      </c>
      <c r="L3858" t="s">
        <v>48</v>
      </c>
      <c r="M3858" t="s">
        <v>335</v>
      </c>
      <c r="N3858">
        <v>40.609471999999997</v>
      </c>
      <c r="O3858">
        <v>-111.971796</v>
      </c>
      <c r="P3858">
        <v>4447.9080000000004</v>
      </c>
      <c r="Q3858">
        <v>312</v>
      </c>
      <c r="R3858">
        <v>0</v>
      </c>
    </row>
    <row r="3859" spans="1:18" x14ac:dyDescent="0.25">
      <c r="A3859">
        <v>3858</v>
      </c>
      <c r="B3859">
        <v>94</v>
      </c>
      <c r="C3859">
        <v>27533631</v>
      </c>
      <c r="D3859" t="s">
        <v>636</v>
      </c>
      <c r="E3859">
        <v>0.4</v>
      </c>
      <c r="F3859" t="s">
        <v>19</v>
      </c>
      <c r="G3859" t="s">
        <v>20</v>
      </c>
      <c r="H3859" t="s">
        <v>21</v>
      </c>
      <c r="I3859" t="s">
        <v>20</v>
      </c>
      <c r="J3859" t="s">
        <v>20</v>
      </c>
      <c r="K3859" t="s">
        <v>31</v>
      </c>
      <c r="L3859" t="s">
        <v>48</v>
      </c>
      <c r="M3859" t="s">
        <v>335</v>
      </c>
      <c r="N3859">
        <v>40.609447000000003</v>
      </c>
      <c r="O3859">
        <v>-111.96951799999999</v>
      </c>
      <c r="P3859">
        <v>4439.0389999999998</v>
      </c>
      <c r="Q3859">
        <v>312</v>
      </c>
      <c r="R3859">
        <v>0</v>
      </c>
    </row>
    <row r="3860" spans="1:18" x14ac:dyDescent="0.25">
      <c r="A3860">
        <v>3859</v>
      </c>
      <c r="B3860">
        <v>94</v>
      </c>
      <c r="C3860">
        <v>27534705</v>
      </c>
      <c r="D3860" t="s">
        <v>636</v>
      </c>
      <c r="E3860">
        <v>0.50800000000000001</v>
      </c>
      <c r="F3860" t="s">
        <v>19</v>
      </c>
      <c r="G3860" t="s">
        <v>20</v>
      </c>
      <c r="H3860" t="s">
        <v>21</v>
      </c>
      <c r="I3860" t="s">
        <v>20</v>
      </c>
      <c r="J3860" t="s">
        <v>20</v>
      </c>
      <c r="K3860" t="s">
        <v>31</v>
      </c>
      <c r="L3860" t="s">
        <v>48</v>
      </c>
      <c r="M3860" t="s">
        <v>335</v>
      </c>
      <c r="N3860">
        <v>40.609450000000002</v>
      </c>
      <c r="O3860">
        <v>-111.967451</v>
      </c>
      <c r="P3860">
        <v>4432.9970000000003</v>
      </c>
      <c r="Q3860">
        <v>312</v>
      </c>
      <c r="R3860">
        <v>0</v>
      </c>
    </row>
    <row r="3861" spans="1:18" x14ac:dyDescent="0.25">
      <c r="A3861">
        <v>3860</v>
      </c>
      <c r="B3861">
        <v>94</v>
      </c>
      <c r="C3861">
        <v>27535279</v>
      </c>
      <c r="D3861" t="s">
        <v>636</v>
      </c>
      <c r="E3861">
        <v>0.79200000000000004</v>
      </c>
      <c r="F3861" t="s">
        <v>21</v>
      </c>
      <c r="G3861" t="s">
        <v>26</v>
      </c>
      <c r="H3861" t="s">
        <v>21</v>
      </c>
      <c r="I3861" t="s">
        <v>20</v>
      </c>
      <c r="J3861" t="s">
        <v>20</v>
      </c>
      <c r="K3861" t="s">
        <v>31</v>
      </c>
      <c r="L3861" t="s">
        <v>48</v>
      </c>
      <c r="M3861" t="s">
        <v>335</v>
      </c>
      <c r="N3861">
        <v>40.609484000000002</v>
      </c>
      <c r="O3861">
        <v>-111.962025</v>
      </c>
      <c r="P3861">
        <v>4409.8230000000003</v>
      </c>
      <c r="Q3861">
        <v>312</v>
      </c>
      <c r="R3861">
        <v>0</v>
      </c>
    </row>
    <row r="3862" spans="1:18" x14ac:dyDescent="0.25">
      <c r="A3862">
        <v>3861</v>
      </c>
      <c r="B3862">
        <v>94</v>
      </c>
      <c r="C3862">
        <v>27535556</v>
      </c>
      <c r="D3862" t="s">
        <v>636</v>
      </c>
      <c r="E3862">
        <v>0.88400000000000001</v>
      </c>
      <c r="F3862" t="s">
        <v>21</v>
      </c>
      <c r="G3862" t="s">
        <v>26</v>
      </c>
      <c r="H3862" t="s">
        <v>21</v>
      </c>
      <c r="I3862" t="s">
        <v>20</v>
      </c>
      <c r="J3862" t="s">
        <v>20</v>
      </c>
      <c r="K3862" t="s">
        <v>31</v>
      </c>
      <c r="L3862" t="s">
        <v>48</v>
      </c>
      <c r="M3862" t="s">
        <v>335</v>
      </c>
      <c r="N3862">
        <v>40.609495000000003</v>
      </c>
      <c r="O3862">
        <v>-111.960251</v>
      </c>
      <c r="P3862">
        <v>4401.7380000000003</v>
      </c>
      <c r="Q3862">
        <v>312</v>
      </c>
      <c r="R3862">
        <v>0</v>
      </c>
    </row>
    <row r="3863" spans="1:18" x14ac:dyDescent="0.25">
      <c r="A3863">
        <v>3862</v>
      </c>
      <c r="B3863">
        <v>94</v>
      </c>
      <c r="C3863">
        <v>27536643</v>
      </c>
      <c r="D3863" t="s">
        <v>636</v>
      </c>
      <c r="E3863">
        <v>1.0109999999999999</v>
      </c>
      <c r="F3863" t="s">
        <v>19</v>
      </c>
      <c r="G3863" t="s">
        <v>20</v>
      </c>
      <c r="H3863" t="s">
        <v>21</v>
      </c>
      <c r="I3863" t="s">
        <v>20</v>
      </c>
      <c r="J3863" t="s">
        <v>20</v>
      </c>
      <c r="K3863" t="s">
        <v>31</v>
      </c>
      <c r="L3863" t="s">
        <v>48</v>
      </c>
      <c r="M3863" t="s">
        <v>335</v>
      </c>
      <c r="N3863">
        <v>40.609479</v>
      </c>
      <c r="O3863">
        <v>-111.95782</v>
      </c>
      <c r="P3863">
        <v>4393.5469999999996</v>
      </c>
      <c r="Q3863">
        <v>312</v>
      </c>
      <c r="R3863">
        <v>0</v>
      </c>
    </row>
    <row r="3864" spans="1:18" x14ac:dyDescent="0.25">
      <c r="A3864">
        <v>3863</v>
      </c>
      <c r="B3864">
        <v>94</v>
      </c>
      <c r="C3864">
        <v>27537417</v>
      </c>
      <c r="D3864" t="s">
        <v>636</v>
      </c>
      <c r="E3864">
        <v>1.2330000000000001</v>
      </c>
      <c r="F3864" t="s">
        <v>21</v>
      </c>
      <c r="G3864" t="s">
        <v>26</v>
      </c>
      <c r="H3864" t="s">
        <v>21</v>
      </c>
      <c r="I3864" t="s">
        <v>20</v>
      </c>
      <c r="J3864" t="s">
        <v>20</v>
      </c>
      <c r="K3864" t="s">
        <v>31</v>
      </c>
      <c r="L3864" t="s">
        <v>48</v>
      </c>
      <c r="M3864" t="s">
        <v>335</v>
      </c>
      <c r="N3864">
        <v>40.609437</v>
      </c>
      <c r="O3864">
        <v>-111.95356200000001</v>
      </c>
      <c r="P3864">
        <v>4374.16</v>
      </c>
      <c r="Q3864">
        <v>312</v>
      </c>
      <c r="R3864">
        <v>0</v>
      </c>
    </row>
    <row r="3865" spans="1:18" x14ac:dyDescent="0.25">
      <c r="A3865">
        <v>3864</v>
      </c>
      <c r="B3865">
        <v>94</v>
      </c>
      <c r="C3865">
        <v>28696682</v>
      </c>
      <c r="D3865" t="s">
        <v>142</v>
      </c>
      <c r="E3865">
        <v>69.391000000000005</v>
      </c>
      <c r="F3865" t="s">
        <v>21</v>
      </c>
      <c r="G3865" t="s">
        <v>20</v>
      </c>
      <c r="H3865" t="s">
        <v>21</v>
      </c>
      <c r="I3865" t="s">
        <v>20</v>
      </c>
      <c r="J3865" t="s">
        <v>20</v>
      </c>
      <c r="K3865" t="s">
        <v>27</v>
      </c>
      <c r="L3865" t="s">
        <v>143</v>
      </c>
      <c r="M3865" t="s">
        <v>106</v>
      </c>
      <c r="N3865">
        <v>38.435436000000003</v>
      </c>
      <c r="O3865">
        <v>-113.13950699999999</v>
      </c>
      <c r="P3865">
        <v>5487.2086680000002</v>
      </c>
      <c r="Q3865">
        <v>305</v>
      </c>
      <c r="R3865">
        <v>0</v>
      </c>
    </row>
    <row r="3866" spans="1:18" x14ac:dyDescent="0.25">
      <c r="A3866">
        <v>3865</v>
      </c>
      <c r="B3866">
        <v>94</v>
      </c>
      <c r="C3866">
        <v>31516001</v>
      </c>
      <c r="D3866" t="s">
        <v>124</v>
      </c>
      <c r="E3866">
        <v>69.412000000000006</v>
      </c>
      <c r="F3866" t="s">
        <v>21</v>
      </c>
      <c r="G3866" t="s">
        <v>26</v>
      </c>
      <c r="H3866" t="s">
        <v>21</v>
      </c>
      <c r="I3866" t="s">
        <v>20</v>
      </c>
      <c r="J3866" t="s">
        <v>20</v>
      </c>
      <c r="K3866" t="s">
        <v>41</v>
      </c>
      <c r="L3866" t="s">
        <v>45</v>
      </c>
      <c r="M3866" t="s">
        <v>365</v>
      </c>
      <c r="N3866">
        <v>40.884250000000002</v>
      </c>
      <c r="O3866">
        <v>-111.888373</v>
      </c>
      <c r="P3866">
        <v>4305.7928650000003</v>
      </c>
      <c r="Q3866">
        <v>1368</v>
      </c>
      <c r="R3866">
        <v>0</v>
      </c>
    </row>
    <row r="3867" spans="1:18" x14ac:dyDescent="0.25">
      <c r="A3867">
        <v>3866</v>
      </c>
      <c r="B3867">
        <v>94</v>
      </c>
      <c r="C3867">
        <v>31768050</v>
      </c>
      <c r="D3867" t="s">
        <v>118</v>
      </c>
      <c r="E3867">
        <v>69.465000000000003</v>
      </c>
      <c r="F3867" t="s">
        <v>21</v>
      </c>
      <c r="G3867" t="s">
        <v>26</v>
      </c>
      <c r="H3867" t="s">
        <v>21</v>
      </c>
      <c r="I3867" t="s">
        <v>20</v>
      </c>
      <c r="J3867" t="s">
        <v>20</v>
      </c>
      <c r="K3867" t="s">
        <v>22</v>
      </c>
      <c r="L3867" t="s">
        <v>253</v>
      </c>
      <c r="M3867" t="s">
        <v>120</v>
      </c>
      <c r="N3867">
        <v>40.201915999999997</v>
      </c>
      <c r="O3867">
        <v>-110.70877400000001</v>
      </c>
      <c r="P3867">
        <v>6744.6574650000002</v>
      </c>
      <c r="Q3867">
        <v>310</v>
      </c>
      <c r="R3867">
        <v>0</v>
      </c>
    </row>
    <row r="3868" spans="1:18" x14ac:dyDescent="0.25">
      <c r="A3868">
        <v>3867</v>
      </c>
      <c r="B3868">
        <v>94</v>
      </c>
      <c r="C3868">
        <v>31788110</v>
      </c>
      <c r="D3868" t="s">
        <v>118</v>
      </c>
      <c r="E3868">
        <v>98.605999999999995</v>
      </c>
      <c r="F3868" t="s">
        <v>21</v>
      </c>
      <c r="G3868" t="s">
        <v>26</v>
      </c>
      <c r="H3868" t="s">
        <v>21</v>
      </c>
      <c r="I3868" t="s">
        <v>20</v>
      </c>
      <c r="J3868" t="s">
        <v>20</v>
      </c>
      <c r="K3868" t="s">
        <v>22</v>
      </c>
      <c r="L3868" t="s">
        <v>133</v>
      </c>
      <c r="M3868" t="s">
        <v>169</v>
      </c>
      <c r="N3868">
        <v>40.157536999999998</v>
      </c>
      <c r="O3868">
        <v>-110.18062999999999</v>
      </c>
      <c r="P3868">
        <v>5193.9247720000003</v>
      </c>
      <c r="Q3868">
        <v>310</v>
      </c>
      <c r="R3868">
        <v>0</v>
      </c>
    </row>
    <row r="3869" spans="1:18" x14ac:dyDescent="0.25">
      <c r="A3869">
        <v>3868</v>
      </c>
      <c r="B3869">
        <v>94</v>
      </c>
      <c r="C3869">
        <v>31777309</v>
      </c>
      <c r="D3869" t="s">
        <v>290</v>
      </c>
      <c r="E3869">
        <v>98.671999999999997</v>
      </c>
      <c r="F3869" t="s">
        <v>21</v>
      </c>
      <c r="G3869" t="s">
        <v>26</v>
      </c>
      <c r="H3869" t="s">
        <v>21</v>
      </c>
      <c r="I3869" t="s">
        <v>20</v>
      </c>
      <c r="J3869" t="s">
        <v>20</v>
      </c>
      <c r="K3869" t="s">
        <v>41</v>
      </c>
      <c r="L3869" t="s">
        <v>223</v>
      </c>
      <c r="M3869" t="s">
        <v>152</v>
      </c>
      <c r="N3869">
        <v>41.786102</v>
      </c>
      <c r="O3869">
        <v>-112.02748200000001</v>
      </c>
      <c r="P3869">
        <v>4824.7285119999997</v>
      </c>
      <c r="Q3869">
        <v>1343</v>
      </c>
      <c r="R3869">
        <v>0</v>
      </c>
    </row>
    <row r="3870" spans="1:18" x14ac:dyDescent="0.25">
      <c r="A3870">
        <v>3869</v>
      </c>
      <c r="B3870">
        <v>94</v>
      </c>
      <c r="C3870">
        <v>31375402</v>
      </c>
      <c r="D3870" t="s">
        <v>142</v>
      </c>
      <c r="E3870">
        <v>98.801000000000002</v>
      </c>
      <c r="F3870" t="s">
        <v>21</v>
      </c>
      <c r="G3870" t="s">
        <v>26</v>
      </c>
      <c r="H3870" t="s">
        <v>21</v>
      </c>
      <c r="I3870" t="s">
        <v>20</v>
      </c>
      <c r="J3870" t="s">
        <v>20</v>
      </c>
      <c r="K3870" t="s">
        <v>27</v>
      </c>
      <c r="L3870" t="s">
        <v>143</v>
      </c>
      <c r="M3870" t="s">
        <v>106</v>
      </c>
      <c r="N3870">
        <v>38.239235000000001</v>
      </c>
      <c r="O3870">
        <v>-112.78843000000001</v>
      </c>
      <c r="P3870">
        <v>5513.4757639999998</v>
      </c>
      <c r="Q3870">
        <v>305</v>
      </c>
      <c r="R3870">
        <v>0</v>
      </c>
    </row>
    <row r="3871" spans="1:18" x14ac:dyDescent="0.25">
      <c r="A3871">
        <v>3870</v>
      </c>
      <c r="B3871">
        <v>94</v>
      </c>
      <c r="C3871">
        <v>31902403</v>
      </c>
      <c r="D3871" t="s">
        <v>272</v>
      </c>
      <c r="E3871">
        <v>98.998000000000005</v>
      </c>
      <c r="F3871" t="s">
        <v>21</v>
      </c>
      <c r="G3871" t="s">
        <v>26</v>
      </c>
      <c r="H3871" t="s">
        <v>21</v>
      </c>
      <c r="I3871" t="s">
        <v>20</v>
      </c>
      <c r="J3871" t="s">
        <v>20</v>
      </c>
      <c r="K3871" t="s">
        <v>27</v>
      </c>
      <c r="L3871" t="s">
        <v>279</v>
      </c>
      <c r="M3871" t="s">
        <v>214</v>
      </c>
      <c r="N3871">
        <v>37.426993000000003</v>
      </c>
      <c r="O3871">
        <v>-112.538222</v>
      </c>
      <c r="P3871">
        <v>6881.9326060000003</v>
      </c>
      <c r="Q3871">
        <v>1384</v>
      </c>
      <c r="R3871">
        <v>0</v>
      </c>
    </row>
    <row r="3872" spans="1:18" x14ac:dyDescent="0.25">
      <c r="A3872">
        <v>3871</v>
      </c>
      <c r="B3872">
        <v>94</v>
      </c>
      <c r="C3872">
        <v>31726945</v>
      </c>
      <c r="D3872" t="s">
        <v>244</v>
      </c>
      <c r="E3872">
        <v>99.278000000000006</v>
      </c>
      <c r="F3872" t="s">
        <v>21</v>
      </c>
      <c r="G3872" t="s">
        <v>20</v>
      </c>
      <c r="H3872" t="s">
        <v>21</v>
      </c>
      <c r="I3872" t="s">
        <v>20</v>
      </c>
      <c r="J3872" t="s">
        <v>20</v>
      </c>
      <c r="K3872" t="s">
        <v>27</v>
      </c>
      <c r="L3872" t="s">
        <v>122</v>
      </c>
      <c r="M3872" t="s">
        <v>270</v>
      </c>
      <c r="N3872">
        <v>38.340049999999998</v>
      </c>
      <c r="O3872">
        <v>-110.999093</v>
      </c>
      <c r="P3872">
        <v>4533.8892239999996</v>
      </c>
      <c r="Q3872">
        <v>1340</v>
      </c>
      <c r="R3872">
        <v>0</v>
      </c>
    </row>
    <row r="3873" spans="1:18" x14ac:dyDescent="0.25">
      <c r="A3873">
        <v>3872</v>
      </c>
      <c r="B3873">
        <v>94</v>
      </c>
      <c r="C3873">
        <v>31727606</v>
      </c>
      <c r="D3873" t="s">
        <v>244</v>
      </c>
      <c r="E3873">
        <v>99.35</v>
      </c>
      <c r="F3873" t="s">
        <v>21</v>
      </c>
      <c r="G3873" t="s">
        <v>20</v>
      </c>
      <c r="H3873" t="s">
        <v>21</v>
      </c>
      <c r="I3873" t="s">
        <v>20</v>
      </c>
      <c r="J3873" t="s">
        <v>20</v>
      </c>
      <c r="K3873" t="s">
        <v>27</v>
      </c>
      <c r="L3873" t="s">
        <v>122</v>
      </c>
      <c r="M3873" t="s">
        <v>270</v>
      </c>
      <c r="N3873">
        <v>38.340381000000001</v>
      </c>
      <c r="O3873">
        <v>-110.997845</v>
      </c>
      <c r="P3873">
        <v>4534.1945809999997</v>
      </c>
      <c r="Q3873">
        <v>1340</v>
      </c>
      <c r="R3873">
        <v>0</v>
      </c>
    </row>
    <row r="3874" spans="1:18" x14ac:dyDescent="0.25">
      <c r="A3874">
        <v>3873</v>
      </c>
      <c r="B3874">
        <v>94</v>
      </c>
      <c r="C3874">
        <v>31788121</v>
      </c>
      <c r="D3874" t="s">
        <v>118</v>
      </c>
      <c r="E3874">
        <v>99.397999999999996</v>
      </c>
      <c r="F3874" t="s">
        <v>21</v>
      </c>
      <c r="G3874" t="s">
        <v>26</v>
      </c>
      <c r="H3874" t="s">
        <v>21</v>
      </c>
      <c r="I3874" t="s">
        <v>20</v>
      </c>
      <c r="J3874" t="s">
        <v>20</v>
      </c>
      <c r="K3874" t="s">
        <v>22</v>
      </c>
      <c r="L3874" t="s">
        <v>133</v>
      </c>
      <c r="M3874" t="s">
        <v>169</v>
      </c>
      <c r="N3874">
        <v>40.160697999999996</v>
      </c>
      <c r="O3874">
        <v>-110.166354</v>
      </c>
      <c r="P3874">
        <v>5170.7617479999999</v>
      </c>
      <c r="Q3874">
        <v>310</v>
      </c>
      <c r="R3874">
        <v>0</v>
      </c>
    </row>
    <row r="3875" spans="1:18" x14ac:dyDescent="0.25">
      <c r="A3875">
        <v>3874</v>
      </c>
      <c r="B3875">
        <v>94</v>
      </c>
      <c r="C3875">
        <v>31777320</v>
      </c>
      <c r="D3875" t="s">
        <v>290</v>
      </c>
      <c r="E3875">
        <v>99.497</v>
      </c>
      <c r="F3875" t="s">
        <v>21</v>
      </c>
      <c r="G3875" t="s">
        <v>26</v>
      </c>
      <c r="H3875" t="s">
        <v>21</v>
      </c>
      <c r="I3875" t="s">
        <v>20</v>
      </c>
      <c r="J3875" t="s">
        <v>20</v>
      </c>
      <c r="K3875" t="s">
        <v>41</v>
      </c>
      <c r="L3875" t="s">
        <v>223</v>
      </c>
      <c r="M3875" t="s">
        <v>152</v>
      </c>
      <c r="N3875">
        <v>41.775699000000003</v>
      </c>
      <c r="O3875">
        <v>-112.01966</v>
      </c>
      <c r="P3875">
        <v>4869.2731679999997</v>
      </c>
      <c r="Q3875">
        <v>1343</v>
      </c>
      <c r="R3875">
        <v>0</v>
      </c>
    </row>
    <row r="3876" spans="1:18" x14ac:dyDescent="0.25">
      <c r="A3876">
        <v>3875</v>
      </c>
      <c r="B3876">
        <v>94</v>
      </c>
      <c r="C3876">
        <v>31561656</v>
      </c>
      <c r="D3876" t="s">
        <v>213</v>
      </c>
      <c r="E3876">
        <v>99.596000000000004</v>
      </c>
      <c r="F3876" t="s">
        <v>21</v>
      </c>
      <c r="G3876" t="s">
        <v>26</v>
      </c>
      <c r="H3876" t="s">
        <v>21</v>
      </c>
      <c r="I3876" t="s">
        <v>20</v>
      </c>
      <c r="J3876" t="s">
        <v>20</v>
      </c>
      <c r="K3876" t="s">
        <v>27</v>
      </c>
      <c r="L3876" t="s">
        <v>173</v>
      </c>
      <c r="M3876" t="s">
        <v>214</v>
      </c>
      <c r="N3876">
        <v>39.460372999999997</v>
      </c>
      <c r="O3876">
        <v>-112.43472</v>
      </c>
      <c r="P3876">
        <v>4721.0777710000002</v>
      </c>
      <c r="Q3876">
        <v>1332</v>
      </c>
      <c r="R3876">
        <v>0</v>
      </c>
    </row>
    <row r="3877" spans="1:18" x14ac:dyDescent="0.25">
      <c r="A3877">
        <v>3876</v>
      </c>
      <c r="B3877">
        <v>94</v>
      </c>
      <c r="C3877">
        <v>31433534</v>
      </c>
      <c r="D3877" t="s">
        <v>288</v>
      </c>
      <c r="E3877">
        <v>99.623000000000005</v>
      </c>
      <c r="F3877" t="s">
        <v>21</v>
      </c>
      <c r="G3877" t="s">
        <v>20</v>
      </c>
      <c r="H3877" t="s">
        <v>21</v>
      </c>
      <c r="I3877" t="s">
        <v>20</v>
      </c>
      <c r="J3877" t="s">
        <v>20</v>
      </c>
      <c r="K3877" t="s">
        <v>27</v>
      </c>
      <c r="L3877" t="s">
        <v>146</v>
      </c>
      <c r="M3877" t="s">
        <v>147</v>
      </c>
      <c r="N3877">
        <v>38.264149000000003</v>
      </c>
      <c r="O3877">
        <v>-109.377075</v>
      </c>
      <c r="P3877">
        <v>5940.6165579999997</v>
      </c>
      <c r="Q3877">
        <v>350</v>
      </c>
      <c r="R3877">
        <v>0</v>
      </c>
    </row>
    <row r="3878" spans="1:18" x14ac:dyDescent="0.25">
      <c r="A3878">
        <v>3877</v>
      </c>
      <c r="B3878">
        <v>94</v>
      </c>
      <c r="C3878">
        <v>31375413</v>
      </c>
      <c r="D3878" t="s">
        <v>142</v>
      </c>
      <c r="E3878">
        <v>99.688999999999993</v>
      </c>
      <c r="F3878" t="s">
        <v>21</v>
      </c>
      <c r="G3878" t="s">
        <v>20</v>
      </c>
      <c r="H3878" t="s">
        <v>21</v>
      </c>
      <c r="I3878" t="s">
        <v>20</v>
      </c>
      <c r="J3878" t="s">
        <v>20</v>
      </c>
      <c r="K3878" t="s">
        <v>27</v>
      </c>
      <c r="L3878" t="s">
        <v>143</v>
      </c>
      <c r="M3878" t="s">
        <v>106</v>
      </c>
      <c r="N3878">
        <v>38.247503000000002</v>
      </c>
      <c r="O3878">
        <v>-112.775885</v>
      </c>
      <c r="P3878">
        <v>5503.2181769999997</v>
      </c>
      <c r="Q3878">
        <v>305</v>
      </c>
      <c r="R3878">
        <v>0</v>
      </c>
    </row>
    <row r="3879" spans="1:18" x14ac:dyDescent="0.25">
      <c r="A3879">
        <v>3878</v>
      </c>
      <c r="B3879">
        <v>94</v>
      </c>
      <c r="C3879">
        <v>31727617</v>
      </c>
      <c r="D3879" t="s">
        <v>244</v>
      </c>
      <c r="E3879">
        <v>99.69</v>
      </c>
      <c r="F3879" t="s">
        <v>21</v>
      </c>
      <c r="G3879" t="s">
        <v>20</v>
      </c>
      <c r="H3879" t="s">
        <v>21</v>
      </c>
      <c r="I3879" t="s">
        <v>20</v>
      </c>
      <c r="J3879" t="s">
        <v>20</v>
      </c>
      <c r="K3879" t="s">
        <v>27</v>
      </c>
      <c r="L3879" t="s">
        <v>122</v>
      </c>
      <c r="M3879" t="s">
        <v>270</v>
      </c>
      <c r="N3879">
        <v>38.342573000000002</v>
      </c>
      <c r="O3879">
        <v>-110.99221900000001</v>
      </c>
      <c r="P3879">
        <v>4533.4454599999999</v>
      </c>
      <c r="Q3879">
        <v>1340</v>
      </c>
      <c r="R3879">
        <v>0</v>
      </c>
    </row>
    <row r="3880" spans="1:18" x14ac:dyDescent="0.25">
      <c r="A3880">
        <v>3879</v>
      </c>
      <c r="B3880">
        <v>94</v>
      </c>
      <c r="C3880">
        <v>31493481</v>
      </c>
      <c r="D3880" t="s">
        <v>124</v>
      </c>
      <c r="E3880">
        <v>51.591999999999999</v>
      </c>
      <c r="F3880" t="s">
        <v>21</v>
      </c>
      <c r="G3880" t="s">
        <v>26</v>
      </c>
      <c r="H3880" t="s">
        <v>21</v>
      </c>
      <c r="I3880" t="s">
        <v>20</v>
      </c>
      <c r="J3880" t="s">
        <v>20</v>
      </c>
      <c r="K3880" t="s">
        <v>31</v>
      </c>
      <c r="L3880" t="s">
        <v>69</v>
      </c>
      <c r="M3880" t="s">
        <v>125</v>
      </c>
      <c r="N3880">
        <v>40.657172000000003</v>
      </c>
      <c r="O3880">
        <v>-111.93884300000001</v>
      </c>
      <c r="P3880">
        <v>4256.8915569999999</v>
      </c>
      <c r="Q3880">
        <v>1368</v>
      </c>
      <c r="R3880">
        <v>0</v>
      </c>
    </row>
    <row r="3881" spans="1:18" x14ac:dyDescent="0.25">
      <c r="A3881">
        <v>3880</v>
      </c>
      <c r="B3881">
        <v>94</v>
      </c>
      <c r="C3881">
        <v>31343690</v>
      </c>
      <c r="D3881" t="s">
        <v>288</v>
      </c>
      <c r="E3881">
        <v>51.645000000000003</v>
      </c>
      <c r="F3881" t="s">
        <v>21</v>
      </c>
      <c r="G3881" t="s">
        <v>26</v>
      </c>
      <c r="H3881" t="s">
        <v>21</v>
      </c>
      <c r="I3881" t="s">
        <v>20</v>
      </c>
      <c r="J3881" t="s">
        <v>20</v>
      </c>
      <c r="K3881" t="s">
        <v>27</v>
      </c>
      <c r="L3881" t="s">
        <v>327</v>
      </c>
      <c r="M3881" t="s">
        <v>147</v>
      </c>
      <c r="N3881">
        <v>37.628117000000003</v>
      </c>
      <c r="O3881">
        <v>-109.471947</v>
      </c>
      <c r="P3881">
        <v>6005.0294029999995</v>
      </c>
      <c r="Q3881">
        <v>350</v>
      </c>
      <c r="R3881">
        <v>0</v>
      </c>
    </row>
    <row r="3882" spans="1:18" x14ac:dyDescent="0.25">
      <c r="A3882">
        <v>3881</v>
      </c>
      <c r="B3882">
        <v>94</v>
      </c>
      <c r="C3882">
        <v>31526677</v>
      </c>
      <c r="D3882" t="s">
        <v>231</v>
      </c>
      <c r="E3882">
        <v>9.1280000000000001</v>
      </c>
      <c r="F3882" t="s">
        <v>19</v>
      </c>
      <c r="G3882" t="s">
        <v>20</v>
      </c>
      <c r="H3882" t="s">
        <v>19</v>
      </c>
      <c r="I3882">
        <v>26</v>
      </c>
      <c r="J3882" t="s">
        <v>20</v>
      </c>
      <c r="K3882" t="s">
        <v>41</v>
      </c>
      <c r="L3882" t="s">
        <v>57</v>
      </c>
      <c r="M3882" t="s">
        <v>93</v>
      </c>
      <c r="N3882">
        <v>41.167397999999999</v>
      </c>
      <c r="O3882">
        <v>-112.025941</v>
      </c>
      <c r="P3882">
        <v>4481.1750679999996</v>
      </c>
      <c r="Q3882">
        <v>1409</v>
      </c>
      <c r="R3882">
        <v>0</v>
      </c>
    </row>
    <row r="3883" spans="1:18" x14ac:dyDescent="0.25">
      <c r="A3883">
        <v>3882</v>
      </c>
      <c r="B3883">
        <v>94</v>
      </c>
      <c r="C3883">
        <v>31534049</v>
      </c>
      <c r="D3883" t="s">
        <v>412</v>
      </c>
      <c r="E3883">
        <v>9.1359999999999992</v>
      </c>
      <c r="F3883" t="s">
        <v>21</v>
      </c>
      <c r="G3883" t="s">
        <v>26</v>
      </c>
      <c r="H3883" t="s">
        <v>21</v>
      </c>
      <c r="I3883" t="s">
        <v>20</v>
      </c>
      <c r="J3883" t="s">
        <v>20</v>
      </c>
      <c r="K3883" t="s">
        <v>27</v>
      </c>
      <c r="L3883" t="s">
        <v>173</v>
      </c>
      <c r="M3883" t="s">
        <v>267</v>
      </c>
      <c r="N3883">
        <v>39.372759000000002</v>
      </c>
      <c r="O3883">
        <v>-112.33607000000001</v>
      </c>
      <c r="P3883">
        <v>5061.6016120000004</v>
      </c>
      <c r="Q3883">
        <v>1408</v>
      </c>
      <c r="R3883">
        <v>0</v>
      </c>
    </row>
    <row r="3884" spans="1:18" x14ac:dyDescent="0.25">
      <c r="A3884">
        <v>3883</v>
      </c>
      <c r="B3884">
        <v>94</v>
      </c>
      <c r="C3884" t="e">
        <f>-Iov1X8MHUyyXvzcSySLjV</f>
        <v>#NAME?</v>
      </c>
      <c r="D3884" t="s">
        <v>176</v>
      </c>
      <c r="E3884">
        <v>9.1489999999999991</v>
      </c>
      <c r="F3884" t="s">
        <v>21</v>
      </c>
      <c r="G3884" t="s">
        <v>26</v>
      </c>
      <c r="H3884" t="s">
        <v>19</v>
      </c>
      <c r="I3884">
        <v>83</v>
      </c>
      <c r="J3884" t="s">
        <v>20</v>
      </c>
      <c r="K3884" t="s">
        <v>41</v>
      </c>
      <c r="L3884" t="s">
        <v>177</v>
      </c>
      <c r="M3884" t="s">
        <v>178</v>
      </c>
      <c r="N3884">
        <v>41.555104999999998</v>
      </c>
      <c r="O3884">
        <v>-112.12955100000001</v>
      </c>
      <c r="P3884">
        <v>4183.0888960000002</v>
      </c>
      <c r="Q3884">
        <v>1329</v>
      </c>
      <c r="R3884">
        <v>0</v>
      </c>
    </row>
    <row r="3885" spans="1:18" x14ac:dyDescent="0.25">
      <c r="A3885">
        <v>3884</v>
      </c>
      <c r="B3885">
        <v>94</v>
      </c>
      <c r="C3885" t="s">
        <v>637</v>
      </c>
      <c r="D3885" t="s">
        <v>316</v>
      </c>
      <c r="E3885">
        <v>61.183</v>
      </c>
      <c r="F3885" t="s">
        <v>21</v>
      </c>
      <c r="G3885" t="s">
        <v>20</v>
      </c>
      <c r="H3885" t="s">
        <v>21</v>
      </c>
      <c r="I3885" t="s">
        <v>20</v>
      </c>
      <c r="J3885" t="s">
        <v>20</v>
      </c>
      <c r="K3885" t="s">
        <v>22</v>
      </c>
      <c r="L3885" t="s">
        <v>168</v>
      </c>
      <c r="M3885" t="s">
        <v>302</v>
      </c>
      <c r="N3885">
        <v>40.252896999999997</v>
      </c>
      <c r="O3885">
        <v>-110.40047</v>
      </c>
      <c r="P3885">
        <v>5870.7497549999998</v>
      </c>
      <c r="Q3885">
        <v>1346</v>
      </c>
      <c r="R3885">
        <v>0</v>
      </c>
    </row>
    <row r="3886" spans="1:18" x14ac:dyDescent="0.25">
      <c r="A3886">
        <v>3885</v>
      </c>
      <c r="B3886">
        <v>94</v>
      </c>
      <c r="C3886">
        <v>31515075</v>
      </c>
      <c r="D3886" t="s">
        <v>124</v>
      </c>
      <c r="E3886">
        <v>68.477000000000004</v>
      </c>
      <c r="F3886" t="s">
        <v>21</v>
      </c>
      <c r="G3886" t="s">
        <v>26</v>
      </c>
      <c r="H3886" t="s">
        <v>21</v>
      </c>
      <c r="I3886" t="s">
        <v>20</v>
      </c>
      <c r="J3886" t="s">
        <v>20</v>
      </c>
      <c r="K3886" t="s">
        <v>41</v>
      </c>
      <c r="L3886" t="s">
        <v>45</v>
      </c>
      <c r="M3886" t="s">
        <v>365</v>
      </c>
      <c r="N3886">
        <v>40.884172</v>
      </c>
      <c r="O3886">
        <v>-111.906266</v>
      </c>
      <c r="P3886">
        <v>4216.413834</v>
      </c>
      <c r="Q3886">
        <v>1368</v>
      </c>
      <c r="R3886">
        <v>0</v>
      </c>
    </row>
    <row r="3887" spans="1:18" x14ac:dyDescent="0.25">
      <c r="A3887">
        <v>3886</v>
      </c>
      <c r="B3887">
        <v>94</v>
      </c>
      <c r="C3887">
        <v>31714987</v>
      </c>
      <c r="D3887" t="s">
        <v>244</v>
      </c>
      <c r="E3887">
        <v>68.497</v>
      </c>
      <c r="F3887" t="s">
        <v>21</v>
      </c>
      <c r="G3887" t="s">
        <v>26</v>
      </c>
      <c r="H3887" t="s">
        <v>21</v>
      </c>
      <c r="I3887" t="s">
        <v>20</v>
      </c>
      <c r="J3887" t="s">
        <v>20</v>
      </c>
      <c r="K3887" t="s">
        <v>27</v>
      </c>
      <c r="L3887" t="s">
        <v>266</v>
      </c>
      <c r="M3887" t="s">
        <v>270</v>
      </c>
      <c r="N3887">
        <v>38.299047999999999</v>
      </c>
      <c r="O3887">
        <v>-111.421077</v>
      </c>
      <c r="P3887">
        <v>6783.6295380000001</v>
      </c>
      <c r="Q3887">
        <v>1340</v>
      </c>
      <c r="R3887">
        <v>0</v>
      </c>
    </row>
    <row r="3888" spans="1:18" x14ac:dyDescent="0.25">
      <c r="A3888">
        <v>3887</v>
      </c>
      <c r="B3888">
        <v>94</v>
      </c>
      <c r="C3888" t="s">
        <v>638</v>
      </c>
      <c r="D3888" t="s">
        <v>241</v>
      </c>
      <c r="E3888">
        <v>68.516999999999996</v>
      </c>
      <c r="F3888" t="s">
        <v>21</v>
      </c>
      <c r="G3888" t="s">
        <v>26</v>
      </c>
      <c r="H3888" t="s">
        <v>21</v>
      </c>
      <c r="I3888" t="s">
        <v>20</v>
      </c>
      <c r="J3888" t="s">
        <v>20</v>
      </c>
      <c r="K3888" t="s">
        <v>27</v>
      </c>
      <c r="L3888" t="s">
        <v>158</v>
      </c>
      <c r="M3888" t="s">
        <v>243</v>
      </c>
      <c r="N3888">
        <v>39.59657</v>
      </c>
      <c r="O3888">
        <v>-110.81124699999999</v>
      </c>
      <c r="P3888">
        <v>5486.2989680000001</v>
      </c>
      <c r="Q3888">
        <v>1327</v>
      </c>
      <c r="R3888">
        <v>0</v>
      </c>
    </row>
    <row r="3889" spans="1:18" x14ac:dyDescent="0.25">
      <c r="A3889">
        <v>3888</v>
      </c>
      <c r="B3889">
        <v>94</v>
      </c>
      <c r="C3889">
        <v>31515086</v>
      </c>
      <c r="D3889" t="s">
        <v>124</v>
      </c>
      <c r="E3889">
        <v>68.536000000000001</v>
      </c>
      <c r="F3889" t="s">
        <v>21</v>
      </c>
      <c r="G3889" t="s">
        <v>20</v>
      </c>
      <c r="H3889" t="s">
        <v>21</v>
      </c>
      <c r="I3889" t="s">
        <v>20</v>
      </c>
      <c r="J3889" t="s">
        <v>20</v>
      </c>
      <c r="K3889" t="s">
        <v>41</v>
      </c>
      <c r="L3889" t="s">
        <v>45</v>
      </c>
      <c r="M3889" t="s">
        <v>365</v>
      </c>
      <c r="N3889">
        <v>40.884140000000002</v>
      </c>
      <c r="O3889">
        <v>-111.905146</v>
      </c>
      <c r="P3889">
        <v>4219.7434640000001</v>
      </c>
      <c r="Q3889">
        <v>1368</v>
      </c>
      <c r="R3889">
        <v>0</v>
      </c>
    </row>
    <row r="3890" spans="1:18" x14ac:dyDescent="0.25">
      <c r="A3890">
        <v>3889</v>
      </c>
      <c r="B3890">
        <v>94</v>
      </c>
      <c r="C3890">
        <v>31409946</v>
      </c>
      <c r="D3890" t="s">
        <v>224</v>
      </c>
      <c r="E3890">
        <v>8.9670000000000005</v>
      </c>
      <c r="F3890" t="s">
        <v>21</v>
      </c>
      <c r="G3890" t="s">
        <v>26</v>
      </c>
      <c r="H3890" t="s">
        <v>21</v>
      </c>
      <c r="I3890" t="s">
        <v>20</v>
      </c>
      <c r="J3890" t="s">
        <v>20</v>
      </c>
      <c r="K3890" t="s">
        <v>22</v>
      </c>
      <c r="L3890" t="s">
        <v>198</v>
      </c>
      <c r="M3890" t="s">
        <v>194</v>
      </c>
      <c r="N3890">
        <v>40.058847</v>
      </c>
      <c r="O3890">
        <v>-111.669639</v>
      </c>
      <c r="P3890">
        <v>4542.7209069999999</v>
      </c>
      <c r="Q3890">
        <v>408</v>
      </c>
      <c r="R3890">
        <v>0</v>
      </c>
    </row>
    <row r="3891" spans="1:18" x14ac:dyDescent="0.25">
      <c r="A3891">
        <v>3890</v>
      </c>
      <c r="B3891">
        <v>94</v>
      </c>
      <c r="C3891" t="e">
        <f>-JXVLmdsF3q8HknLjzAmEV</f>
        <v>#NAME?</v>
      </c>
      <c r="D3891" t="s">
        <v>239</v>
      </c>
      <c r="E3891">
        <v>8.9700000000000006</v>
      </c>
      <c r="F3891" t="s">
        <v>21</v>
      </c>
      <c r="G3891" t="s">
        <v>20</v>
      </c>
      <c r="H3891" t="s">
        <v>21</v>
      </c>
      <c r="I3891" t="s">
        <v>20</v>
      </c>
      <c r="J3891" t="s">
        <v>20</v>
      </c>
      <c r="K3891" t="s">
        <v>41</v>
      </c>
      <c r="L3891" t="s">
        <v>181</v>
      </c>
      <c r="M3891" t="s">
        <v>178</v>
      </c>
      <c r="N3891">
        <v>41.694493999999999</v>
      </c>
      <c r="O3891">
        <v>-112.287657</v>
      </c>
      <c r="P3891">
        <v>4253.4865959999997</v>
      </c>
      <c r="Q3891">
        <v>1392</v>
      </c>
      <c r="R3891">
        <v>0</v>
      </c>
    </row>
    <row r="3892" spans="1:18" x14ac:dyDescent="0.25">
      <c r="A3892">
        <v>3891</v>
      </c>
      <c r="B3892">
        <v>94</v>
      </c>
      <c r="C3892">
        <v>31420995</v>
      </c>
      <c r="D3892" t="s">
        <v>319</v>
      </c>
      <c r="E3892">
        <v>8.9710000000000001</v>
      </c>
      <c r="F3892" t="s">
        <v>21</v>
      </c>
      <c r="G3892" t="s">
        <v>26</v>
      </c>
      <c r="H3892" t="s">
        <v>21</v>
      </c>
      <c r="I3892" t="s">
        <v>20</v>
      </c>
      <c r="J3892" t="s">
        <v>20</v>
      </c>
      <c r="K3892" t="s">
        <v>27</v>
      </c>
      <c r="L3892" t="s">
        <v>162</v>
      </c>
      <c r="M3892" t="s">
        <v>55</v>
      </c>
      <c r="N3892">
        <v>37.802461000000001</v>
      </c>
      <c r="O3892">
        <v>-113.925815</v>
      </c>
      <c r="P3892">
        <v>5419.2539960000004</v>
      </c>
      <c r="Q3892">
        <v>314</v>
      </c>
      <c r="R3892">
        <v>0</v>
      </c>
    </row>
    <row r="3893" spans="1:18" x14ac:dyDescent="0.25">
      <c r="A3893">
        <v>3892</v>
      </c>
      <c r="B3893">
        <v>94</v>
      </c>
      <c r="C3893">
        <v>31370490</v>
      </c>
      <c r="D3893" t="s">
        <v>345</v>
      </c>
      <c r="E3893">
        <v>8.9749999999999996</v>
      </c>
      <c r="F3893" t="s">
        <v>21</v>
      </c>
      <c r="G3893" t="s">
        <v>26</v>
      </c>
      <c r="H3893" t="s">
        <v>21</v>
      </c>
      <c r="I3893" t="s">
        <v>20</v>
      </c>
      <c r="J3893" t="s">
        <v>20</v>
      </c>
      <c r="K3893" t="s">
        <v>27</v>
      </c>
      <c r="L3893" t="s">
        <v>75</v>
      </c>
      <c r="M3893" t="s">
        <v>76</v>
      </c>
      <c r="N3893">
        <v>38.673020999999999</v>
      </c>
      <c r="O3893">
        <v>-112.120946</v>
      </c>
      <c r="P3893">
        <v>5245.6825820000004</v>
      </c>
      <c r="Q3893">
        <v>1403</v>
      </c>
      <c r="R3893">
        <v>0</v>
      </c>
    </row>
    <row r="3894" spans="1:18" x14ac:dyDescent="0.25">
      <c r="A3894">
        <v>3893</v>
      </c>
      <c r="B3894">
        <v>94</v>
      </c>
      <c r="C3894">
        <v>28715025</v>
      </c>
      <c r="D3894" t="s">
        <v>192</v>
      </c>
      <c r="E3894">
        <v>8.9760000000000009</v>
      </c>
      <c r="F3894" t="s">
        <v>21</v>
      </c>
      <c r="G3894" t="s">
        <v>26</v>
      </c>
      <c r="H3894" t="s">
        <v>21</v>
      </c>
      <c r="I3894" t="s">
        <v>20</v>
      </c>
      <c r="J3894" t="s">
        <v>20</v>
      </c>
      <c r="K3894" t="s">
        <v>22</v>
      </c>
      <c r="L3894" t="s">
        <v>140</v>
      </c>
      <c r="M3894" t="s">
        <v>125</v>
      </c>
      <c r="N3894">
        <v>40.161116</v>
      </c>
      <c r="O3894">
        <v>-111.61247899999999</v>
      </c>
      <c r="P3894">
        <v>4522.0157989999998</v>
      </c>
      <c r="Q3894">
        <v>1375</v>
      </c>
      <c r="R3894">
        <v>0</v>
      </c>
    </row>
    <row r="3895" spans="1:18" x14ac:dyDescent="0.25">
      <c r="A3895">
        <v>3894</v>
      </c>
      <c r="B3895">
        <v>94</v>
      </c>
      <c r="C3895" t="s">
        <v>639</v>
      </c>
      <c r="D3895" t="s">
        <v>115</v>
      </c>
      <c r="E3895">
        <v>8.9770000000000003</v>
      </c>
      <c r="F3895" t="s">
        <v>21</v>
      </c>
      <c r="G3895" t="s">
        <v>26</v>
      </c>
      <c r="H3895" t="s">
        <v>21</v>
      </c>
      <c r="I3895" t="s">
        <v>20</v>
      </c>
      <c r="J3895" t="s">
        <v>20</v>
      </c>
      <c r="K3895" t="s">
        <v>31</v>
      </c>
      <c r="L3895" t="s">
        <v>69</v>
      </c>
      <c r="M3895" t="s">
        <v>70</v>
      </c>
      <c r="N3895">
        <v>40.654224999999997</v>
      </c>
      <c r="O3895">
        <v>-111.90655099999999</v>
      </c>
      <c r="P3895">
        <v>4236.1398259999996</v>
      </c>
      <c r="Q3895">
        <v>1437</v>
      </c>
      <c r="R3895">
        <v>0</v>
      </c>
    </row>
    <row r="3896" spans="1:18" x14ac:dyDescent="0.25">
      <c r="A3896">
        <v>3895</v>
      </c>
      <c r="B3896">
        <v>94</v>
      </c>
      <c r="C3896">
        <v>31534038</v>
      </c>
      <c r="D3896" t="s">
        <v>412</v>
      </c>
      <c r="E3896">
        <v>8.9830000000000005</v>
      </c>
      <c r="F3896" t="s">
        <v>21</v>
      </c>
      <c r="G3896" t="s">
        <v>26</v>
      </c>
      <c r="H3896" t="s">
        <v>21</v>
      </c>
      <c r="I3896" t="s">
        <v>20</v>
      </c>
      <c r="J3896" t="s">
        <v>20</v>
      </c>
      <c r="K3896" t="s">
        <v>27</v>
      </c>
      <c r="L3896" t="s">
        <v>173</v>
      </c>
      <c r="M3896" t="s">
        <v>267</v>
      </c>
      <c r="N3896">
        <v>39.370545</v>
      </c>
      <c r="O3896">
        <v>-112.33607600000001</v>
      </c>
      <c r="P3896">
        <v>5071.1842049999996</v>
      </c>
      <c r="Q3896">
        <v>1408</v>
      </c>
      <c r="R3896">
        <v>0</v>
      </c>
    </row>
    <row r="3897" spans="1:18" x14ac:dyDescent="0.25">
      <c r="A3897">
        <v>3896</v>
      </c>
      <c r="B3897">
        <v>94</v>
      </c>
      <c r="C3897">
        <v>31526455</v>
      </c>
      <c r="D3897" t="s">
        <v>231</v>
      </c>
      <c r="E3897">
        <v>8.9939999999999998</v>
      </c>
      <c r="F3897" t="s">
        <v>19</v>
      </c>
      <c r="G3897" t="s">
        <v>20</v>
      </c>
      <c r="H3897" t="s">
        <v>21</v>
      </c>
      <c r="I3897" t="s">
        <v>20</v>
      </c>
      <c r="J3897" t="s">
        <v>20</v>
      </c>
      <c r="K3897" t="s">
        <v>41</v>
      </c>
      <c r="L3897" t="s">
        <v>57</v>
      </c>
      <c r="M3897" t="s">
        <v>93</v>
      </c>
      <c r="N3897">
        <v>41.165325000000003</v>
      </c>
      <c r="O3897">
        <v>-112.025998</v>
      </c>
      <c r="P3897">
        <v>4481.891834</v>
      </c>
      <c r="Q3897">
        <v>1409</v>
      </c>
      <c r="R3897">
        <v>0</v>
      </c>
    </row>
    <row r="3898" spans="1:18" x14ac:dyDescent="0.25">
      <c r="A3898">
        <v>3897</v>
      </c>
      <c r="B3898">
        <v>94</v>
      </c>
      <c r="C3898">
        <v>31410307</v>
      </c>
      <c r="D3898" t="s">
        <v>224</v>
      </c>
      <c r="E3898">
        <v>8.9949999999999992</v>
      </c>
      <c r="F3898" t="s">
        <v>21</v>
      </c>
      <c r="G3898" t="s">
        <v>26</v>
      </c>
      <c r="H3898" t="s">
        <v>21</v>
      </c>
      <c r="I3898" t="s">
        <v>20</v>
      </c>
      <c r="J3898" t="s">
        <v>20</v>
      </c>
      <c r="K3898" t="s">
        <v>22</v>
      </c>
      <c r="L3898" t="s">
        <v>198</v>
      </c>
      <c r="M3898" t="s">
        <v>194</v>
      </c>
      <c r="N3898">
        <v>40.059187000000001</v>
      </c>
      <c r="O3898">
        <v>-111.669375</v>
      </c>
      <c r="P3898">
        <v>4543.9677810000003</v>
      </c>
      <c r="Q3898">
        <v>408</v>
      </c>
      <c r="R3898">
        <v>0</v>
      </c>
    </row>
    <row r="3899" spans="1:18" x14ac:dyDescent="0.25">
      <c r="A3899">
        <v>3898</v>
      </c>
      <c r="B3899">
        <v>94</v>
      </c>
      <c r="C3899">
        <v>1503622</v>
      </c>
      <c r="D3899" t="s">
        <v>88</v>
      </c>
      <c r="E3899">
        <v>8.9949999999999992</v>
      </c>
      <c r="F3899" t="s">
        <v>21</v>
      </c>
      <c r="G3899" t="s">
        <v>26</v>
      </c>
      <c r="H3899" t="s">
        <v>21</v>
      </c>
      <c r="I3899" t="s">
        <v>20</v>
      </c>
      <c r="J3899" t="s">
        <v>20</v>
      </c>
      <c r="K3899" t="s">
        <v>31</v>
      </c>
      <c r="L3899" t="s">
        <v>89</v>
      </c>
      <c r="M3899" t="s">
        <v>90</v>
      </c>
      <c r="N3899">
        <v>40.570121999999998</v>
      </c>
      <c r="O3899">
        <v>-111.872162</v>
      </c>
      <c r="P3899">
        <v>4476.551273</v>
      </c>
      <c r="Q3899">
        <v>318</v>
      </c>
      <c r="R3899">
        <v>0</v>
      </c>
    </row>
    <row r="3900" spans="1:18" x14ac:dyDescent="0.25">
      <c r="A3900">
        <v>3899</v>
      </c>
      <c r="B3900">
        <v>94</v>
      </c>
      <c r="C3900">
        <v>27378861</v>
      </c>
      <c r="D3900" t="s">
        <v>185</v>
      </c>
      <c r="E3900">
        <v>8.9969999999999999</v>
      </c>
      <c r="F3900" t="s">
        <v>21</v>
      </c>
      <c r="G3900" t="s">
        <v>26</v>
      </c>
      <c r="H3900" t="s">
        <v>21</v>
      </c>
      <c r="I3900" t="s">
        <v>20</v>
      </c>
      <c r="J3900" t="s">
        <v>20</v>
      </c>
      <c r="K3900" t="s">
        <v>41</v>
      </c>
      <c r="L3900" t="s">
        <v>57</v>
      </c>
      <c r="M3900" t="s">
        <v>58</v>
      </c>
      <c r="N3900">
        <v>41.190711999999998</v>
      </c>
      <c r="O3900">
        <v>-112.11269299999999</v>
      </c>
      <c r="P3900">
        <v>4177.8979179999997</v>
      </c>
      <c r="Q3900">
        <v>309</v>
      </c>
      <c r="R3900">
        <v>0</v>
      </c>
    </row>
    <row r="3901" spans="1:18" x14ac:dyDescent="0.25">
      <c r="A3901">
        <v>3900</v>
      </c>
      <c r="B3901">
        <v>94</v>
      </c>
      <c r="C3901">
        <v>31402992</v>
      </c>
      <c r="D3901" t="s">
        <v>124</v>
      </c>
      <c r="E3901">
        <v>45.43</v>
      </c>
      <c r="F3901" t="s">
        <v>21</v>
      </c>
      <c r="G3901" t="s">
        <v>26</v>
      </c>
      <c r="H3901" t="s">
        <v>21</v>
      </c>
      <c r="I3901" t="s">
        <v>20</v>
      </c>
      <c r="J3901" t="s">
        <v>20</v>
      </c>
      <c r="K3901" t="s">
        <v>31</v>
      </c>
      <c r="L3901" t="s">
        <v>48</v>
      </c>
      <c r="M3901" t="s">
        <v>125</v>
      </c>
      <c r="N3901">
        <v>40.567627000000002</v>
      </c>
      <c r="O3901">
        <v>-111.938669</v>
      </c>
      <c r="P3901">
        <v>4405.7225829999998</v>
      </c>
      <c r="Q3901">
        <v>1368</v>
      </c>
      <c r="R3901">
        <v>0</v>
      </c>
    </row>
    <row r="3902" spans="1:18" x14ac:dyDescent="0.25">
      <c r="A3902">
        <v>3901</v>
      </c>
      <c r="B3902">
        <v>94</v>
      </c>
      <c r="C3902">
        <v>31309646</v>
      </c>
      <c r="D3902" t="s">
        <v>203</v>
      </c>
      <c r="E3902">
        <v>45.468000000000004</v>
      </c>
      <c r="F3902" t="s">
        <v>21</v>
      </c>
      <c r="G3902" t="s">
        <v>20</v>
      </c>
      <c r="H3902" t="s">
        <v>21</v>
      </c>
      <c r="I3902" t="s">
        <v>20</v>
      </c>
      <c r="J3902" t="s">
        <v>20</v>
      </c>
      <c r="K3902" t="s">
        <v>41</v>
      </c>
      <c r="L3902" t="s">
        <v>325</v>
      </c>
      <c r="M3902" t="s">
        <v>204</v>
      </c>
      <c r="N3902">
        <v>41.436441000000002</v>
      </c>
      <c r="O3902">
        <v>-111.503212</v>
      </c>
      <c r="P3902">
        <v>8916.7749039999999</v>
      </c>
      <c r="Q3902">
        <v>1349</v>
      </c>
      <c r="R3902">
        <v>0</v>
      </c>
    </row>
    <row r="3903" spans="1:18" x14ac:dyDescent="0.25">
      <c r="A3903">
        <v>3902</v>
      </c>
      <c r="B3903">
        <v>94</v>
      </c>
      <c r="C3903" t="s">
        <v>640</v>
      </c>
      <c r="D3903" t="s">
        <v>171</v>
      </c>
      <c r="E3903">
        <v>5.22</v>
      </c>
      <c r="F3903" t="s">
        <v>21</v>
      </c>
      <c r="G3903" t="s">
        <v>26</v>
      </c>
      <c r="H3903" t="s">
        <v>21</v>
      </c>
      <c r="I3903" t="s">
        <v>20</v>
      </c>
      <c r="J3903" t="s">
        <v>20</v>
      </c>
      <c r="K3903" t="s">
        <v>31</v>
      </c>
      <c r="L3903" t="s">
        <v>78</v>
      </c>
      <c r="M3903" t="s">
        <v>79</v>
      </c>
      <c r="N3903">
        <v>40.696604999999998</v>
      </c>
      <c r="O3903">
        <v>-111.99213399999999</v>
      </c>
      <c r="P3903">
        <v>4213.9217909999998</v>
      </c>
      <c r="Q3903">
        <v>346</v>
      </c>
      <c r="R3903">
        <v>0</v>
      </c>
    </row>
    <row r="3904" spans="1:18" x14ac:dyDescent="0.25">
      <c r="A3904">
        <v>3903</v>
      </c>
      <c r="B3904">
        <v>94</v>
      </c>
      <c r="C3904">
        <v>28503532</v>
      </c>
      <c r="D3904" t="s">
        <v>99</v>
      </c>
      <c r="E3904">
        <v>5.22</v>
      </c>
      <c r="F3904" t="s">
        <v>21</v>
      </c>
      <c r="G3904" t="s">
        <v>20</v>
      </c>
      <c r="H3904" t="s">
        <v>21</v>
      </c>
      <c r="I3904" t="s">
        <v>20</v>
      </c>
      <c r="J3904" t="s">
        <v>20</v>
      </c>
      <c r="K3904" t="s">
        <v>41</v>
      </c>
      <c r="L3904" t="s">
        <v>81</v>
      </c>
      <c r="M3904" t="s">
        <v>82</v>
      </c>
      <c r="N3904">
        <v>41.210315000000001</v>
      </c>
      <c r="O3904">
        <v>-111.977712</v>
      </c>
      <c r="P3904">
        <v>4257.5261</v>
      </c>
      <c r="Q3904">
        <v>1376</v>
      </c>
      <c r="R3904">
        <v>0</v>
      </c>
    </row>
    <row r="3905" spans="1:18" x14ac:dyDescent="0.25">
      <c r="A3905">
        <v>3904</v>
      </c>
      <c r="B3905">
        <v>94</v>
      </c>
      <c r="C3905">
        <v>31693034</v>
      </c>
      <c r="D3905" t="s">
        <v>96</v>
      </c>
      <c r="E3905">
        <v>5.2279999999999998</v>
      </c>
      <c r="F3905" t="s">
        <v>21</v>
      </c>
      <c r="G3905" t="s">
        <v>20</v>
      </c>
      <c r="H3905" t="s">
        <v>21</v>
      </c>
      <c r="I3905" t="s">
        <v>20</v>
      </c>
      <c r="J3905" t="s">
        <v>20</v>
      </c>
      <c r="K3905" t="s">
        <v>22</v>
      </c>
      <c r="L3905" t="s">
        <v>97</v>
      </c>
      <c r="M3905" t="s">
        <v>98</v>
      </c>
      <c r="N3905">
        <v>40.975588999999999</v>
      </c>
      <c r="O3905">
        <v>-109.768659</v>
      </c>
      <c r="P3905">
        <v>6676.9291910000002</v>
      </c>
      <c r="Q3905">
        <v>311</v>
      </c>
      <c r="R3905">
        <v>0</v>
      </c>
    </row>
    <row r="3906" spans="1:18" x14ac:dyDescent="0.25">
      <c r="A3906">
        <v>3905</v>
      </c>
      <c r="B3906">
        <v>94</v>
      </c>
      <c r="C3906">
        <v>31661975</v>
      </c>
      <c r="D3906" t="s">
        <v>306</v>
      </c>
      <c r="E3906">
        <v>5.2439999999999998</v>
      </c>
      <c r="F3906" t="s">
        <v>21</v>
      </c>
      <c r="G3906" t="s">
        <v>20</v>
      </c>
      <c r="H3906" t="s">
        <v>21</v>
      </c>
      <c r="I3906" t="s">
        <v>20</v>
      </c>
      <c r="J3906" t="s">
        <v>20</v>
      </c>
      <c r="K3906" t="s">
        <v>27</v>
      </c>
      <c r="L3906" t="s">
        <v>230</v>
      </c>
      <c r="M3906" t="s">
        <v>82</v>
      </c>
      <c r="N3906">
        <v>39.644011999999996</v>
      </c>
      <c r="O3906">
        <v>-111.246595</v>
      </c>
      <c r="P3906">
        <v>8619.0645839999997</v>
      </c>
      <c r="Q3906">
        <v>430</v>
      </c>
      <c r="R3906">
        <v>0</v>
      </c>
    </row>
    <row r="3907" spans="1:18" x14ac:dyDescent="0.25">
      <c r="A3907">
        <v>3906</v>
      </c>
      <c r="B3907">
        <v>94</v>
      </c>
      <c r="C3907">
        <v>1009525</v>
      </c>
      <c r="D3907" t="s">
        <v>171</v>
      </c>
      <c r="E3907">
        <v>5.2560000000000002</v>
      </c>
      <c r="F3907" t="s">
        <v>21</v>
      </c>
      <c r="G3907" t="s">
        <v>26</v>
      </c>
      <c r="H3907" t="s">
        <v>21</v>
      </c>
      <c r="I3907" t="s">
        <v>20</v>
      </c>
      <c r="J3907" t="s">
        <v>20</v>
      </c>
      <c r="K3907" t="s">
        <v>31</v>
      </c>
      <c r="L3907" t="s">
        <v>78</v>
      </c>
      <c r="M3907" t="s">
        <v>79</v>
      </c>
      <c r="N3907">
        <v>40.696609000000002</v>
      </c>
      <c r="O3907">
        <v>-111.99142999999999</v>
      </c>
      <c r="P3907">
        <v>4213.89372</v>
      </c>
      <c r="Q3907">
        <v>346</v>
      </c>
      <c r="R3907">
        <v>0</v>
      </c>
    </row>
    <row r="3908" spans="1:18" x14ac:dyDescent="0.25">
      <c r="A3908">
        <v>3907</v>
      </c>
      <c r="B3908">
        <v>94</v>
      </c>
      <c r="C3908" t="e">
        <f>-IpOdiPuHtimxTH0u5AhjV</f>
        <v>#NAME?</v>
      </c>
      <c r="D3908" t="s">
        <v>272</v>
      </c>
      <c r="E3908">
        <v>389.45</v>
      </c>
      <c r="F3908" t="s">
        <v>21</v>
      </c>
      <c r="G3908" t="s">
        <v>26</v>
      </c>
      <c r="H3908" t="s">
        <v>21</v>
      </c>
      <c r="I3908" t="s">
        <v>20</v>
      </c>
      <c r="J3908" t="s">
        <v>20</v>
      </c>
      <c r="K3908" t="s">
        <v>41</v>
      </c>
      <c r="L3908" t="s">
        <v>45</v>
      </c>
      <c r="M3908" t="s">
        <v>49</v>
      </c>
      <c r="N3908">
        <v>40.898705999999997</v>
      </c>
      <c r="O3908">
        <v>-111.892155</v>
      </c>
      <c r="P3908">
        <v>4225.3256309999997</v>
      </c>
      <c r="Q3908">
        <v>1384</v>
      </c>
      <c r="R3908">
        <v>0</v>
      </c>
    </row>
    <row r="3909" spans="1:18" x14ac:dyDescent="0.25">
      <c r="A3909">
        <v>3908</v>
      </c>
      <c r="B3909">
        <v>94</v>
      </c>
      <c r="C3909">
        <v>31591643</v>
      </c>
      <c r="D3909" t="s">
        <v>288</v>
      </c>
      <c r="E3909">
        <v>389.53800000000001</v>
      </c>
      <c r="F3909" t="s">
        <v>21</v>
      </c>
      <c r="G3909" t="s">
        <v>26</v>
      </c>
      <c r="H3909" t="s">
        <v>21</v>
      </c>
      <c r="I3909" t="s">
        <v>20</v>
      </c>
      <c r="J3909" t="s">
        <v>20</v>
      </c>
      <c r="K3909" t="s">
        <v>22</v>
      </c>
      <c r="L3909" t="s">
        <v>97</v>
      </c>
      <c r="M3909" t="s">
        <v>98</v>
      </c>
      <c r="N3909">
        <v>40.886445999999999</v>
      </c>
      <c r="O3909">
        <v>-109.45530100000001</v>
      </c>
      <c r="P3909">
        <v>6870.4892030000001</v>
      </c>
      <c r="Q3909">
        <v>350</v>
      </c>
      <c r="R3909">
        <v>0</v>
      </c>
    </row>
    <row r="3910" spans="1:18" x14ac:dyDescent="0.25">
      <c r="A3910">
        <v>3909</v>
      </c>
      <c r="B3910">
        <v>94</v>
      </c>
      <c r="C3910">
        <v>31591754</v>
      </c>
      <c r="D3910" t="s">
        <v>288</v>
      </c>
      <c r="E3910">
        <v>389.887</v>
      </c>
      <c r="F3910" t="s">
        <v>21</v>
      </c>
      <c r="G3910" t="s">
        <v>26</v>
      </c>
      <c r="H3910" t="s">
        <v>21</v>
      </c>
      <c r="I3910" t="s">
        <v>20</v>
      </c>
      <c r="J3910" t="s">
        <v>20</v>
      </c>
      <c r="K3910" t="s">
        <v>22</v>
      </c>
      <c r="L3910" t="s">
        <v>97</v>
      </c>
      <c r="M3910" t="s">
        <v>98</v>
      </c>
      <c r="N3910">
        <v>40.890898999999997</v>
      </c>
      <c r="O3910">
        <v>-109.45749600000001</v>
      </c>
      <c r="P3910">
        <v>6845.6651570000004</v>
      </c>
      <c r="Q3910">
        <v>350</v>
      </c>
      <c r="R3910">
        <v>0</v>
      </c>
    </row>
    <row r="3911" spans="1:18" x14ac:dyDescent="0.25">
      <c r="A3911">
        <v>3910</v>
      </c>
      <c r="B3911">
        <v>94</v>
      </c>
      <c r="C3911">
        <v>31377073</v>
      </c>
      <c r="D3911" t="s">
        <v>199</v>
      </c>
      <c r="E3911">
        <v>39.039000000000001</v>
      </c>
      <c r="F3911" t="s">
        <v>21</v>
      </c>
      <c r="G3911" t="s">
        <v>20</v>
      </c>
      <c r="H3911" t="s">
        <v>21</v>
      </c>
      <c r="I3911" t="s">
        <v>20</v>
      </c>
      <c r="J3911" t="s">
        <v>20</v>
      </c>
      <c r="K3911" t="s">
        <v>27</v>
      </c>
      <c r="L3911" t="s">
        <v>64</v>
      </c>
      <c r="M3911" t="s">
        <v>200</v>
      </c>
      <c r="N3911">
        <v>38.250762000000002</v>
      </c>
      <c r="O3911">
        <v>-112.23933700000001</v>
      </c>
      <c r="P3911">
        <v>6124.2827749999997</v>
      </c>
      <c r="Q3911">
        <v>341</v>
      </c>
      <c r="R3911">
        <v>0</v>
      </c>
    </row>
    <row r="3912" spans="1:18" x14ac:dyDescent="0.25">
      <c r="A3912">
        <v>3911</v>
      </c>
      <c r="B3912">
        <v>94</v>
      </c>
      <c r="C3912" t="e">
        <f>-Iov7nvRFEyg9JjrAuzG_F</f>
        <v>#NAME?</v>
      </c>
      <c r="D3912" t="s">
        <v>221</v>
      </c>
      <c r="E3912">
        <v>39.043999999999997</v>
      </c>
      <c r="F3912" t="s">
        <v>21</v>
      </c>
      <c r="G3912" t="s">
        <v>26</v>
      </c>
      <c r="H3912" t="s">
        <v>21</v>
      </c>
      <c r="I3912" t="s">
        <v>20</v>
      </c>
      <c r="J3912" t="s">
        <v>20</v>
      </c>
      <c r="K3912" t="s">
        <v>22</v>
      </c>
      <c r="L3912" t="s">
        <v>155</v>
      </c>
      <c r="M3912" t="s">
        <v>174</v>
      </c>
      <c r="N3912">
        <v>39.685184</v>
      </c>
      <c r="O3912">
        <v>-111.83779699999999</v>
      </c>
      <c r="P3912">
        <v>5068.1581999999999</v>
      </c>
      <c r="Q3912">
        <v>1342</v>
      </c>
      <c r="R3912">
        <v>0</v>
      </c>
    </row>
    <row r="3913" spans="1:18" x14ac:dyDescent="0.25">
      <c r="A3913">
        <v>3912</v>
      </c>
      <c r="B3913">
        <v>94</v>
      </c>
      <c r="C3913">
        <v>31325911</v>
      </c>
      <c r="D3913" t="s">
        <v>288</v>
      </c>
      <c r="E3913">
        <v>39.049999999999997</v>
      </c>
      <c r="F3913" t="s">
        <v>21</v>
      </c>
      <c r="G3913" t="s">
        <v>26</v>
      </c>
      <c r="H3913" t="s">
        <v>21</v>
      </c>
      <c r="I3913" t="s">
        <v>20</v>
      </c>
      <c r="J3913" t="s">
        <v>20</v>
      </c>
      <c r="K3913" t="s">
        <v>27</v>
      </c>
      <c r="L3913" t="s">
        <v>327</v>
      </c>
      <c r="M3913" t="s">
        <v>212</v>
      </c>
      <c r="N3913">
        <v>37.460216000000003</v>
      </c>
      <c r="O3913">
        <v>-109.467023</v>
      </c>
      <c r="P3913">
        <v>5247.5440909999998</v>
      </c>
      <c r="Q3913">
        <v>350</v>
      </c>
      <c r="R3913">
        <v>0</v>
      </c>
    </row>
    <row r="3914" spans="1:18" x14ac:dyDescent="0.25">
      <c r="A3914">
        <v>3913</v>
      </c>
      <c r="B3914">
        <v>94</v>
      </c>
      <c r="C3914">
        <v>31537877</v>
      </c>
      <c r="D3914" t="s">
        <v>244</v>
      </c>
      <c r="E3914">
        <v>39.094000000000001</v>
      </c>
      <c r="F3914" t="s">
        <v>21</v>
      </c>
      <c r="G3914" t="s">
        <v>26</v>
      </c>
      <c r="H3914" t="s">
        <v>19</v>
      </c>
      <c r="I3914">
        <v>25</v>
      </c>
      <c r="J3914" t="s">
        <v>20</v>
      </c>
      <c r="K3914" t="s">
        <v>27</v>
      </c>
      <c r="L3914" t="s">
        <v>266</v>
      </c>
      <c r="M3914" t="s">
        <v>58</v>
      </c>
      <c r="N3914">
        <v>38.472324999999998</v>
      </c>
      <c r="O3914">
        <v>-111.833129</v>
      </c>
      <c r="P3914">
        <v>8153.7815609999998</v>
      </c>
      <c r="Q3914">
        <v>1340</v>
      </c>
      <c r="R3914">
        <v>0</v>
      </c>
    </row>
    <row r="3915" spans="1:18" x14ac:dyDescent="0.25">
      <c r="A3915">
        <v>3914</v>
      </c>
      <c r="B3915">
        <v>94</v>
      </c>
      <c r="C3915">
        <v>31576576</v>
      </c>
      <c r="D3915" t="s">
        <v>172</v>
      </c>
      <c r="E3915">
        <v>39.115000000000002</v>
      </c>
      <c r="F3915" t="s">
        <v>21</v>
      </c>
      <c r="G3915" t="s">
        <v>26</v>
      </c>
      <c r="H3915" t="s">
        <v>21</v>
      </c>
      <c r="I3915" t="s">
        <v>20</v>
      </c>
      <c r="J3915" t="s">
        <v>20</v>
      </c>
      <c r="K3915" t="s">
        <v>22</v>
      </c>
      <c r="L3915" t="s">
        <v>155</v>
      </c>
      <c r="M3915" t="s">
        <v>174</v>
      </c>
      <c r="N3915">
        <v>39.718446999999998</v>
      </c>
      <c r="O3915">
        <v>-111.731183</v>
      </c>
      <c r="P3915">
        <v>5739.4601839999996</v>
      </c>
      <c r="Q3915">
        <v>1411</v>
      </c>
      <c r="R3915">
        <v>0</v>
      </c>
    </row>
    <row r="3916" spans="1:18" x14ac:dyDescent="0.25">
      <c r="A3916">
        <v>3915</v>
      </c>
      <c r="B3916">
        <v>94</v>
      </c>
      <c r="C3916">
        <v>27540664</v>
      </c>
      <c r="D3916" t="s">
        <v>636</v>
      </c>
      <c r="E3916">
        <v>1.986</v>
      </c>
      <c r="F3916" t="s">
        <v>19</v>
      </c>
      <c r="G3916" t="s">
        <v>20</v>
      </c>
      <c r="H3916" t="s">
        <v>19</v>
      </c>
      <c r="I3916">
        <v>68</v>
      </c>
      <c r="J3916" t="s">
        <v>20</v>
      </c>
      <c r="K3916" t="s">
        <v>31</v>
      </c>
      <c r="L3916" t="s">
        <v>48</v>
      </c>
      <c r="M3916" t="s">
        <v>33</v>
      </c>
      <c r="N3916">
        <v>40.624001</v>
      </c>
      <c r="O3916">
        <v>-111.938739</v>
      </c>
      <c r="P3916">
        <v>4314.0110000000004</v>
      </c>
      <c r="Q3916">
        <v>312</v>
      </c>
      <c r="R3916">
        <v>0</v>
      </c>
    </row>
    <row r="3917" spans="1:18" x14ac:dyDescent="0.25">
      <c r="A3917">
        <v>3916</v>
      </c>
      <c r="B3917">
        <v>94</v>
      </c>
      <c r="C3917">
        <v>27541130</v>
      </c>
      <c r="D3917" t="s">
        <v>636</v>
      </c>
      <c r="E3917">
        <v>2.234</v>
      </c>
      <c r="F3917" t="s">
        <v>21</v>
      </c>
      <c r="G3917" t="s">
        <v>26</v>
      </c>
      <c r="H3917" t="s">
        <v>21</v>
      </c>
      <c r="I3917" t="s">
        <v>20</v>
      </c>
      <c r="J3917" t="s">
        <v>20</v>
      </c>
      <c r="K3917" t="s">
        <v>31</v>
      </c>
      <c r="L3917" t="s">
        <v>48</v>
      </c>
      <c r="M3917" t="s">
        <v>33</v>
      </c>
      <c r="N3917">
        <v>40.624053000000004</v>
      </c>
      <c r="O3917">
        <v>-111.934102</v>
      </c>
      <c r="P3917">
        <v>4298.0910000000003</v>
      </c>
      <c r="Q3917">
        <v>312</v>
      </c>
      <c r="R3917">
        <v>0</v>
      </c>
    </row>
    <row r="3918" spans="1:18" x14ac:dyDescent="0.25">
      <c r="A3918">
        <v>3917</v>
      </c>
      <c r="B3918">
        <v>94</v>
      </c>
      <c r="C3918">
        <v>27541225</v>
      </c>
      <c r="D3918" t="s">
        <v>636</v>
      </c>
      <c r="E3918">
        <v>2.2480000000000002</v>
      </c>
      <c r="F3918" t="s">
        <v>19</v>
      </c>
      <c r="G3918" t="s">
        <v>20</v>
      </c>
      <c r="H3918" t="s">
        <v>21</v>
      </c>
      <c r="I3918" t="s">
        <v>20</v>
      </c>
      <c r="J3918" t="s">
        <v>20</v>
      </c>
      <c r="K3918" t="s">
        <v>31</v>
      </c>
      <c r="L3918" t="s">
        <v>48</v>
      </c>
      <c r="M3918" t="s">
        <v>33</v>
      </c>
      <c r="N3918">
        <v>40.624042000000003</v>
      </c>
      <c r="O3918">
        <v>-111.933825</v>
      </c>
      <c r="P3918">
        <v>4296.9319999999998</v>
      </c>
      <c r="Q3918">
        <v>312</v>
      </c>
      <c r="R3918">
        <v>0</v>
      </c>
    </row>
    <row r="3919" spans="1:18" x14ac:dyDescent="0.25">
      <c r="A3919">
        <v>3918</v>
      </c>
      <c r="B3919">
        <v>94</v>
      </c>
      <c r="C3919">
        <v>27544981</v>
      </c>
      <c r="D3919" t="s">
        <v>636</v>
      </c>
      <c r="E3919">
        <v>2.4900000000000002</v>
      </c>
      <c r="F3919" t="s">
        <v>19</v>
      </c>
      <c r="G3919" t="s">
        <v>20</v>
      </c>
      <c r="H3919" t="s">
        <v>21</v>
      </c>
      <c r="I3919" t="s">
        <v>20</v>
      </c>
      <c r="J3919" t="s">
        <v>20</v>
      </c>
      <c r="K3919" t="s">
        <v>31</v>
      </c>
      <c r="L3919" t="s">
        <v>48</v>
      </c>
      <c r="M3919" t="s">
        <v>33</v>
      </c>
      <c r="N3919">
        <v>40.624037999999999</v>
      </c>
      <c r="O3919">
        <v>-111.929239</v>
      </c>
      <c r="P3919">
        <v>4279.3469999999998</v>
      </c>
      <c r="Q3919">
        <v>312</v>
      </c>
      <c r="R3919">
        <v>0</v>
      </c>
    </row>
    <row r="3920" spans="1:18" x14ac:dyDescent="0.25">
      <c r="A3920">
        <v>3919</v>
      </c>
      <c r="B3920">
        <v>94</v>
      </c>
      <c r="C3920">
        <v>27545723</v>
      </c>
      <c r="D3920" t="s">
        <v>636</v>
      </c>
      <c r="E3920">
        <v>2.8839999999999999</v>
      </c>
      <c r="F3920" t="s">
        <v>21</v>
      </c>
      <c r="G3920" t="s">
        <v>26</v>
      </c>
      <c r="H3920" t="s">
        <v>21</v>
      </c>
      <c r="I3920" t="s">
        <v>20</v>
      </c>
      <c r="J3920" t="s">
        <v>20</v>
      </c>
      <c r="K3920" t="s">
        <v>31</v>
      </c>
      <c r="L3920" t="s">
        <v>48</v>
      </c>
      <c r="M3920" t="s">
        <v>33</v>
      </c>
      <c r="N3920">
        <v>40.623750000000001</v>
      </c>
      <c r="O3920">
        <v>-111.921696</v>
      </c>
      <c r="P3920">
        <v>4236.683</v>
      </c>
      <c r="Q3920">
        <v>312</v>
      </c>
      <c r="R3920">
        <v>0</v>
      </c>
    </row>
    <row r="3921" spans="1:18" x14ac:dyDescent="0.25">
      <c r="A3921">
        <v>3920</v>
      </c>
      <c r="B3921">
        <v>94</v>
      </c>
      <c r="C3921" t="s">
        <v>641</v>
      </c>
      <c r="D3921" t="s">
        <v>272</v>
      </c>
      <c r="E3921">
        <v>371.22500000000002</v>
      </c>
      <c r="F3921" t="s">
        <v>19</v>
      </c>
      <c r="G3921" t="s">
        <v>20</v>
      </c>
      <c r="H3921" t="s">
        <v>21</v>
      </c>
      <c r="I3921" t="s">
        <v>20</v>
      </c>
      <c r="J3921" t="s">
        <v>20</v>
      </c>
      <c r="K3921" t="s">
        <v>31</v>
      </c>
      <c r="L3921" t="s">
        <v>69</v>
      </c>
      <c r="M3921" t="s">
        <v>49</v>
      </c>
      <c r="N3921">
        <v>40.652490999999998</v>
      </c>
      <c r="O3921">
        <v>-111.88841600000001</v>
      </c>
      <c r="P3921">
        <v>4273.9902830000001</v>
      </c>
      <c r="Q3921">
        <v>1384</v>
      </c>
      <c r="R3921">
        <v>0</v>
      </c>
    </row>
    <row r="3922" spans="1:18" x14ac:dyDescent="0.25">
      <c r="A3922">
        <v>3921</v>
      </c>
      <c r="B3922">
        <v>94</v>
      </c>
      <c r="C3922">
        <v>968805</v>
      </c>
      <c r="D3922" t="s">
        <v>65</v>
      </c>
      <c r="E3922">
        <v>3.1059999999999999</v>
      </c>
      <c r="F3922" t="s">
        <v>19</v>
      </c>
      <c r="G3922" t="s">
        <v>20</v>
      </c>
      <c r="H3922" t="s">
        <v>21</v>
      </c>
      <c r="I3922" t="s">
        <v>20</v>
      </c>
      <c r="J3922" t="s">
        <v>20</v>
      </c>
      <c r="K3922" t="s">
        <v>31</v>
      </c>
      <c r="L3922" t="s">
        <v>66</v>
      </c>
      <c r="M3922" t="s">
        <v>67</v>
      </c>
      <c r="N3922">
        <v>40.760654000000002</v>
      </c>
      <c r="O3922">
        <v>-111.87965199999999</v>
      </c>
      <c r="P3922">
        <v>4224.2788019999998</v>
      </c>
      <c r="Q3922">
        <v>402</v>
      </c>
      <c r="R3922">
        <v>0</v>
      </c>
    </row>
    <row r="3923" spans="1:18" x14ac:dyDescent="0.25">
      <c r="A3923">
        <v>3922</v>
      </c>
      <c r="B3923">
        <v>94</v>
      </c>
      <c r="C3923">
        <v>31557740</v>
      </c>
      <c r="D3923" t="s">
        <v>102</v>
      </c>
      <c r="E3923">
        <v>3.1070000000000002</v>
      </c>
      <c r="F3923" t="s">
        <v>21</v>
      </c>
      <c r="G3923" t="s">
        <v>26</v>
      </c>
      <c r="H3923" t="s">
        <v>21</v>
      </c>
      <c r="I3923" t="s">
        <v>20</v>
      </c>
      <c r="J3923" t="s">
        <v>20</v>
      </c>
      <c r="K3923" t="s">
        <v>27</v>
      </c>
      <c r="L3923" t="s">
        <v>103</v>
      </c>
      <c r="M3923" t="s">
        <v>104</v>
      </c>
      <c r="N3923">
        <v>38.290115</v>
      </c>
      <c r="O3923">
        <v>-112.641479</v>
      </c>
      <c r="P3923">
        <v>5892.7610759999998</v>
      </c>
      <c r="Q3923">
        <v>1430</v>
      </c>
      <c r="R3923">
        <v>0</v>
      </c>
    </row>
    <row r="3924" spans="1:18" x14ac:dyDescent="0.25">
      <c r="A3924">
        <v>3923</v>
      </c>
      <c r="B3924">
        <v>94</v>
      </c>
      <c r="C3924">
        <v>27866686</v>
      </c>
      <c r="D3924" t="s">
        <v>91</v>
      </c>
      <c r="E3924">
        <v>3.113</v>
      </c>
      <c r="F3924" t="s">
        <v>21</v>
      </c>
      <c r="G3924" t="s">
        <v>20</v>
      </c>
      <c r="H3924" t="s">
        <v>21</v>
      </c>
      <c r="I3924" t="s">
        <v>20</v>
      </c>
      <c r="J3924" t="s">
        <v>20</v>
      </c>
      <c r="K3924" t="s">
        <v>41</v>
      </c>
      <c r="L3924" t="s">
        <v>42</v>
      </c>
      <c r="M3924" t="s">
        <v>73</v>
      </c>
      <c r="N3924">
        <v>41.657164999999999</v>
      </c>
      <c r="O3924">
        <v>-111.944225</v>
      </c>
      <c r="P3924">
        <v>4523.3637449999997</v>
      </c>
      <c r="Q3924">
        <v>1339</v>
      </c>
      <c r="R3924">
        <v>0</v>
      </c>
    </row>
    <row r="3925" spans="1:18" x14ac:dyDescent="0.25">
      <c r="A3925">
        <v>3924</v>
      </c>
      <c r="B3925">
        <v>94</v>
      </c>
      <c r="C3925">
        <v>28030655</v>
      </c>
      <c r="D3925" t="s">
        <v>59</v>
      </c>
      <c r="E3925">
        <v>3.32</v>
      </c>
      <c r="F3925" t="s">
        <v>21</v>
      </c>
      <c r="G3925" t="s">
        <v>26</v>
      </c>
      <c r="H3925" t="s">
        <v>21</v>
      </c>
      <c r="I3925" t="s">
        <v>20</v>
      </c>
      <c r="J3925" t="s">
        <v>20</v>
      </c>
      <c r="K3925" t="s">
        <v>22</v>
      </c>
      <c r="L3925" t="s">
        <v>60</v>
      </c>
      <c r="M3925" t="s">
        <v>24</v>
      </c>
      <c r="N3925">
        <v>40.311950000000003</v>
      </c>
      <c r="O3925">
        <v>-111.671952</v>
      </c>
      <c r="P3925">
        <v>4795.974408</v>
      </c>
      <c r="Q3925">
        <v>313</v>
      </c>
      <c r="R3925">
        <v>0</v>
      </c>
    </row>
    <row r="3926" spans="1:18" x14ac:dyDescent="0.25">
      <c r="A3926">
        <v>3925</v>
      </c>
      <c r="B3926">
        <v>94</v>
      </c>
      <c r="C3926">
        <v>541467</v>
      </c>
      <c r="D3926" t="s">
        <v>77</v>
      </c>
      <c r="E3926">
        <v>3.3239999999999998</v>
      </c>
      <c r="F3926" t="s">
        <v>21</v>
      </c>
      <c r="G3926" t="s">
        <v>26</v>
      </c>
      <c r="H3926" t="s">
        <v>21</v>
      </c>
      <c r="I3926" t="s">
        <v>20</v>
      </c>
      <c r="J3926" t="s">
        <v>20</v>
      </c>
      <c r="K3926" t="s">
        <v>31</v>
      </c>
      <c r="L3926" t="s">
        <v>78</v>
      </c>
      <c r="M3926" t="s">
        <v>79</v>
      </c>
      <c r="N3926">
        <v>40.686850999999997</v>
      </c>
      <c r="O3926">
        <v>-112.024793</v>
      </c>
      <c r="P3926">
        <v>4361.4269560000002</v>
      </c>
      <c r="Q3926">
        <v>1436</v>
      </c>
      <c r="R3926">
        <v>0</v>
      </c>
    </row>
    <row r="3927" spans="1:18" x14ac:dyDescent="0.25">
      <c r="A3927">
        <v>3926</v>
      </c>
      <c r="B3927">
        <v>94</v>
      </c>
      <c r="C3927">
        <v>31601083</v>
      </c>
      <c r="D3927" t="s">
        <v>50</v>
      </c>
      <c r="E3927">
        <v>3.3260000000000001</v>
      </c>
      <c r="F3927" t="s">
        <v>21</v>
      </c>
      <c r="G3927" t="s">
        <v>26</v>
      </c>
      <c r="H3927" t="s">
        <v>21</v>
      </c>
      <c r="I3927" t="s">
        <v>20</v>
      </c>
      <c r="J3927" t="s">
        <v>20</v>
      </c>
      <c r="K3927" t="s">
        <v>27</v>
      </c>
      <c r="L3927" t="s">
        <v>51</v>
      </c>
      <c r="M3927" t="s">
        <v>52</v>
      </c>
      <c r="N3927">
        <v>37.837670000000003</v>
      </c>
      <c r="O3927">
        <v>-112.81939800000001</v>
      </c>
      <c r="P3927">
        <v>6025.7635019999998</v>
      </c>
      <c r="Q3927">
        <v>1418</v>
      </c>
      <c r="R3927">
        <v>0</v>
      </c>
    </row>
    <row r="3928" spans="1:18" x14ac:dyDescent="0.25">
      <c r="A3928">
        <v>3927</v>
      </c>
      <c r="B3928">
        <v>94</v>
      </c>
      <c r="C3928">
        <v>31468555</v>
      </c>
      <c r="D3928" t="s">
        <v>264</v>
      </c>
      <c r="E3928">
        <v>3.3290000000000002</v>
      </c>
      <c r="F3928" t="s">
        <v>21</v>
      </c>
      <c r="G3928" t="s">
        <v>26</v>
      </c>
      <c r="H3928" t="s">
        <v>21</v>
      </c>
      <c r="I3928" t="s">
        <v>20</v>
      </c>
      <c r="J3928" t="s">
        <v>20</v>
      </c>
      <c r="K3928" t="s">
        <v>22</v>
      </c>
      <c r="L3928" t="s">
        <v>35</v>
      </c>
      <c r="M3928" t="s">
        <v>36</v>
      </c>
      <c r="N3928">
        <v>40.544339000000001</v>
      </c>
      <c r="O3928">
        <v>-111.48605000000001</v>
      </c>
      <c r="P3928">
        <v>5846.4685829999999</v>
      </c>
      <c r="Q3928">
        <v>420</v>
      </c>
      <c r="R3928">
        <v>0</v>
      </c>
    </row>
    <row r="3929" spans="1:18" x14ac:dyDescent="0.25">
      <c r="A3929">
        <v>3928</v>
      </c>
      <c r="B3929">
        <v>94</v>
      </c>
      <c r="C3929">
        <v>31349861</v>
      </c>
      <c r="D3929" t="s">
        <v>34</v>
      </c>
      <c r="E3929">
        <v>3.3370000000000002</v>
      </c>
      <c r="F3929" t="s">
        <v>21</v>
      </c>
      <c r="G3929" t="s">
        <v>26</v>
      </c>
      <c r="H3929" t="s">
        <v>21</v>
      </c>
      <c r="I3929" t="s">
        <v>20</v>
      </c>
      <c r="J3929" t="s">
        <v>20</v>
      </c>
      <c r="K3929" t="s">
        <v>22</v>
      </c>
      <c r="L3929" t="s">
        <v>35</v>
      </c>
      <c r="M3929" t="s">
        <v>36</v>
      </c>
      <c r="N3929">
        <v>40.503912</v>
      </c>
      <c r="O3929">
        <v>-111.47238</v>
      </c>
      <c r="P3929">
        <v>5469.9281950000004</v>
      </c>
      <c r="Q3929">
        <v>1400</v>
      </c>
      <c r="R3929">
        <v>0</v>
      </c>
    </row>
    <row r="3930" spans="1:18" x14ac:dyDescent="0.25">
      <c r="A3930">
        <v>3929</v>
      </c>
      <c r="B3930">
        <v>94</v>
      </c>
      <c r="C3930">
        <v>31388431</v>
      </c>
      <c r="D3930" t="s">
        <v>364</v>
      </c>
      <c r="E3930">
        <v>3.339</v>
      </c>
      <c r="F3930" t="s">
        <v>21</v>
      </c>
      <c r="G3930" t="s">
        <v>26</v>
      </c>
      <c r="H3930" t="s">
        <v>21</v>
      </c>
      <c r="I3930" t="s">
        <v>20</v>
      </c>
      <c r="J3930" t="s">
        <v>20</v>
      </c>
      <c r="K3930" t="s">
        <v>22</v>
      </c>
      <c r="L3930" t="s">
        <v>198</v>
      </c>
      <c r="M3930" t="s">
        <v>85</v>
      </c>
      <c r="N3930">
        <v>40.093017000000003</v>
      </c>
      <c r="O3930">
        <v>-111.730935</v>
      </c>
      <c r="P3930">
        <v>4470.4809569999998</v>
      </c>
      <c r="Q3930">
        <v>1401</v>
      </c>
      <c r="R3930">
        <v>0</v>
      </c>
    </row>
    <row r="3931" spans="1:18" x14ac:dyDescent="0.25">
      <c r="A3931">
        <v>3930</v>
      </c>
      <c r="B3931">
        <v>94</v>
      </c>
      <c r="C3931">
        <v>1244653</v>
      </c>
      <c r="D3931" t="s">
        <v>189</v>
      </c>
      <c r="E3931">
        <v>3.3410000000000002</v>
      </c>
      <c r="F3931" t="s">
        <v>21</v>
      </c>
      <c r="G3931" t="s">
        <v>26</v>
      </c>
      <c r="H3931" t="s">
        <v>21</v>
      </c>
      <c r="I3931" t="s">
        <v>20</v>
      </c>
      <c r="J3931" t="s">
        <v>20</v>
      </c>
      <c r="K3931" t="s">
        <v>41</v>
      </c>
      <c r="L3931" t="s">
        <v>81</v>
      </c>
      <c r="M3931" t="s">
        <v>190</v>
      </c>
      <c r="N3931">
        <v>41.201568999999999</v>
      </c>
      <c r="O3931">
        <v>-111.94869199999999</v>
      </c>
      <c r="P3931">
        <v>4465.4395780000004</v>
      </c>
      <c r="Q3931">
        <v>412</v>
      </c>
      <c r="R3931">
        <v>0</v>
      </c>
    </row>
    <row r="3932" spans="1:18" x14ac:dyDescent="0.25">
      <c r="A3932">
        <v>3931</v>
      </c>
      <c r="B3932">
        <v>94</v>
      </c>
      <c r="C3932">
        <v>1318269</v>
      </c>
      <c r="D3932" t="s">
        <v>191</v>
      </c>
      <c r="E3932">
        <v>3.3450000000000002</v>
      </c>
      <c r="F3932" t="s">
        <v>21</v>
      </c>
      <c r="G3932" t="s">
        <v>26</v>
      </c>
      <c r="H3932" t="s">
        <v>21</v>
      </c>
      <c r="I3932" t="s">
        <v>20</v>
      </c>
      <c r="J3932" t="s">
        <v>20</v>
      </c>
      <c r="K3932" t="s">
        <v>41</v>
      </c>
      <c r="L3932" t="s">
        <v>57</v>
      </c>
      <c r="M3932" t="s">
        <v>190</v>
      </c>
      <c r="N3932">
        <v>41.137672000000002</v>
      </c>
      <c r="O3932">
        <v>-112.112532</v>
      </c>
      <c r="P3932">
        <v>4181.6931000000004</v>
      </c>
      <c r="Q3932">
        <v>329</v>
      </c>
      <c r="R3932">
        <v>0</v>
      </c>
    </row>
    <row r="3933" spans="1:18" x14ac:dyDescent="0.25">
      <c r="A3933">
        <v>3932</v>
      </c>
      <c r="B3933">
        <v>94</v>
      </c>
      <c r="C3933">
        <v>28335701</v>
      </c>
      <c r="D3933" t="s">
        <v>160</v>
      </c>
      <c r="E3933">
        <v>3.3620000000000001</v>
      </c>
      <c r="F3933" t="s">
        <v>21</v>
      </c>
      <c r="G3933" t="s">
        <v>26</v>
      </c>
      <c r="H3933" t="s">
        <v>21</v>
      </c>
      <c r="I3933" t="s">
        <v>20</v>
      </c>
      <c r="J3933" t="s">
        <v>20</v>
      </c>
      <c r="K3933" t="s">
        <v>27</v>
      </c>
      <c r="L3933" t="s">
        <v>72</v>
      </c>
      <c r="M3933" t="s">
        <v>73</v>
      </c>
      <c r="N3933">
        <v>37.256087000000001</v>
      </c>
      <c r="O3933">
        <v>-113.28552999999999</v>
      </c>
      <c r="P3933">
        <v>3309.7834870000002</v>
      </c>
      <c r="Q3933">
        <v>1335</v>
      </c>
      <c r="R3933">
        <v>0</v>
      </c>
    </row>
    <row r="3934" spans="1:18" x14ac:dyDescent="0.25">
      <c r="A3934">
        <v>3933</v>
      </c>
      <c r="B3934">
        <v>94</v>
      </c>
      <c r="C3934">
        <v>31435958</v>
      </c>
      <c r="D3934" t="s">
        <v>107</v>
      </c>
      <c r="E3934">
        <v>3.363</v>
      </c>
      <c r="F3934" t="s">
        <v>21</v>
      </c>
      <c r="G3934" t="s">
        <v>26</v>
      </c>
      <c r="H3934" t="s">
        <v>21</v>
      </c>
      <c r="I3934" t="s">
        <v>20</v>
      </c>
      <c r="J3934" t="s">
        <v>20</v>
      </c>
      <c r="K3934" t="s">
        <v>41</v>
      </c>
      <c r="L3934" t="s">
        <v>81</v>
      </c>
      <c r="M3934" t="s">
        <v>93</v>
      </c>
      <c r="N3934">
        <v>41.241363999999997</v>
      </c>
      <c r="O3934">
        <v>-111.978393</v>
      </c>
      <c r="P3934">
        <v>4233.0014590000001</v>
      </c>
      <c r="Q3934">
        <v>413</v>
      </c>
      <c r="R3934">
        <v>0</v>
      </c>
    </row>
    <row r="3935" spans="1:18" x14ac:dyDescent="0.25">
      <c r="A3935">
        <v>3934</v>
      </c>
      <c r="B3935">
        <v>94</v>
      </c>
      <c r="C3935">
        <v>31388442</v>
      </c>
      <c r="D3935" t="s">
        <v>364</v>
      </c>
      <c r="E3935">
        <v>3.3639999999999999</v>
      </c>
      <c r="F3935" t="s">
        <v>21</v>
      </c>
      <c r="G3935" t="s">
        <v>26</v>
      </c>
      <c r="H3935" t="s">
        <v>21</v>
      </c>
      <c r="I3935" t="s">
        <v>20</v>
      </c>
      <c r="J3935" t="s">
        <v>20</v>
      </c>
      <c r="K3935" t="s">
        <v>22</v>
      </c>
      <c r="L3935" t="s">
        <v>198</v>
      </c>
      <c r="M3935" t="s">
        <v>85</v>
      </c>
      <c r="N3935">
        <v>40.093384</v>
      </c>
      <c r="O3935">
        <v>-111.73093799999999</v>
      </c>
      <c r="P3935">
        <v>4470.6284610000002</v>
      </c>
      <c r="Q3935">
        <v>1401</v>
      </c>
      <c r="R3935">
        <v>0</v>
      </c>
    </row>
    <row r="3936" spans="1:18" x14ac:dyDescent="0.25">
      <c r="A3936">
        <v>3935</v>
      </c>
      <c r="B3936">
        <v>94</v>
      </c>
      <c r="C3936">
        <v>31364333</v>
      </c>
      <c r="D3936" t="s">
        <v>343</v>
      </c>
      <c r="E3936">
        <v>3.3639999999999999</v>
      </c>
      <c r="F3936" t="s">
        <v>21</v>
      </c>
      <c r="G3936" t="s">
        <v>26</v>
      </c>
      <c r="H3936" t="s">
        <v>21</v>
      </c>
      <c r="I3936" t="s">
        <v>20</v>
      </c>
      <c r="J3936" t="s">
        <v>20</v>
      </c>
      <c r="K3936" t="s">
        <v>27</v>
      </c>
      <c r="L3936" t="s">
        <v>230</v>
      </c>
      <c r="M3936" t="s">
        <v>82</v>
      </c>
      <c r="N3936">
        <v>39.546610000000001</v>
      </c>
      <c r="O3936">
        <v>-111.524603</v>
      </c>
      <c r="P3936">
        <v>5605.484418</v>
      </c>
      <c r="Q3936">
        <v>1402</v>
      </c>
      <c r="R3936">
        <v>0</v>
      </c>
    </row>
    <row r="3937" spans="1:18" x14ac:dyDescent="0.25">
      <c r="A3937">
        <v>3936</v>
      </c>
      <c r="B3937">
        <v>94</v>
      </c>
      <c r="C3937">
        <v>1150348</v>
      </c>
      <c r="D3937" t="s">
        <v>56</v>
      </c>
      <c r="E3937">
        <v>4.7640000000000002</v>
      </c>
      <c r="F3937" t="s">
        <v>21</v>
      </c>
      <c r="G3937" t="s">
        <v>20</v>
      </c>
      <c r="H3937" t="s">
        <v>21</v>
      </c>
      <c r="I3937" t="s">
        <v>20</v>
      </c>
      <c r="J3937" t="s">
        <v>20</v>
      </c>
      <c r="K3937" t="s">
        <v>41</v>
      </c>
      <c r="L3937" t="s">
        <v>57</v>
      </c>
      <c r="M3937" t="s">
        <v>58</v>
      </c>
      <c r="N3937">
        <v>41.161682999999996</v>
      </c>
      <c r="O3937">
        <v>-112.03236099999999</v>
      </c>
      <c r="P3937">
        <v>4458.8426879999997</v>
      </c>
      <c r="Q3937">
        <v>1459</v>
      </c>
      <c r="R3937">
        <v>0</v>
      </c>
    </row>
    <row r="3938" spans="1:18" x14ac:dyDescent="0.25">
      <c r="A3938">
        <v>3937</v>
      </c>
      <c r="B3938">
        <v>94</v>
      </c>
      <c r="C3938" t="e">
        <f>-JWX5BSXG153kQmpNM0NOk</f>
        <v>#NAME?</v>
      </c>
      <c r="D3938" t="s">
        <v>114</v>
      </c>
      <c r="E3938">
        <v>4.7729999999999997</v>
      </c>
      <c r="F3938" t="s">
        <v>21</v>
      </c>
      <c r="G3938" t="s">
        <v>26</v>
      </c>
      <c r="H3938" t="s">
        <v>21</v>
      </c>
      <c r="I3938" t="s">
        <v>20</v>
      </c>
      <c r="J3938" t="s">
        <v>20</v>
      </c>
      <c r="K3938" t="s">
        <v>41</v>
      </c>
      <c r="L3938" t="s">
        <v>87</v>
      </c>
      <c r="M3938" t="s">
        <v>82</v>
      </c>
      <c r="N3938">
        <v>41.103549000000001</v>
      </c>
      <c r="O3938">
        <v>-111.97716200000001</v>
      </c>
      <c r="P3938">
        <v>4688.8046020000002</v>
      </c>
      <c r="Q3938">
        <v>405</v>
      </c>
      <c r="R3938">
        <v>0</v>
      </c>
    </row>
    <row r="3939" spans="1:18" x14ac:dyDescent="0.25">
      <c r="A3939">
        <v>3938</v>
      </c>
      <c r="B3939">
        <v>94</v>
      </c>
      <c r="C3939">
        <v>31192804</v>
      </c>
      <c r="D3939" t="s">
        <v>153</v>
      </c>
      <c r="E3939">
        <v>4.0940000000000003</v>
      </c>
      <c r="F3939" t="s">
        <v>21</v>
      </c>
      <c r="G3939" t="s">
        <v>26</v>
      </c>
      <c r="H3939" t="s">
        <v>21</v>
      </c>
      <c r="I3939" t="s">
        <v>20</v>
      </c>
      <c r="J3939" t="s">
        <v>20</v>
      </c>
      <c r="K3939" t="s">
        <v>22</v>
      </c>
      <c r="L3939" t="s">
        <v>84</v>
      </c>
      <c r="M3939" t="s">
        <v>85</v>
      </c>
      <c r="N3939">
        <v>40.414921999999997</v>
      </c>
      <c r="O3939">
        <v>-111.75220899999999</v>
      </c>
      <c r="P3939">
        <v>4945.4476619999996</v>
      </c>
      <c r="R3939">
        <v>0</v>
      </c>
    </row>
    <row r="3940" spans="1:18" x14ac:dyDescent="0.25">
      <c r="A3940">
        <v>3939</v>
      </c>
      <c r="B3940">
        <v>94</v>
      </c>
      <c r="C3940">
        <v>31477187</v>
      </c>
      <c r="D3940" t="s">
        <v>244</v>
      </c>
      <c r="E3940">
        <v>4.101</v>
      </c>
      <c r="F3940" t="s">
        <v>21</v>
      </c>
      <c r="G3940" t="s">
        <v>26</v>
      </c>
      <c r="H3940" t="s">
        <v>21</v>
      </c>
      <c r="I3940" t="s">
        <v>20</v>
      </c>
      <c r="J3940" t="s">
        <v>20</v>
      </c>
      <c r="K3940" t="s">
        <v>27</v>
      </c>
      <c r="L3940" t="s">
        <v>183</v>
      </c>
      <c r="M3940" t="s">
        <v>58</v>
      </c>
      <c r="N3940">
        <v>38.916663</v>
      </c>
      <c r="O3940">
        <v>-111.92918</v>
      </c>
      <c r="P3940">
        <v>5098.7964030000003</v>
      </c>
      <c r="Q3940">
        <v>1340</v>
      </c>
      <c r="R3940">
        <v>0</v>
      </c>
    </row>
    <row r="3941" spans="1:18" x14ac:dyDescent="0.25">
      <c r="A3941">
        <v>3940</v>
      </c>
      <c r="B3941">
        <v>94</v>
      </c>
      <c r="C3941">
        <v>31411556</v>
      </c>
      <c r="D3941" t="s">
        <v>129</v>
      </c>
      <c r="E3941">
        <v>4.101</v>
      </c>
      <c r="F3941" t="s">
        <v>21</v>
      </c>
      <c r="G3941" t="s">
        <v>26</v>
      </c>
      <c r="H3941" t="s">
        <v>21</v>
      </c>
      <c r="I3941" t="s">
        <v>20</v>
      </c>
      <c r="J3941" t="s">
        <v>20</v>
      </c>
      <c r="K3941" t="s">
        <v>31</v>
      </c>
      <c r="L3941" t="s">
        <v>130</v>
      </c>
      <c r="M3941" t="s">
        <v>131</v>
      </c>
      <c r="N3941">
        <v>40.61795</v>
      </c>
      <c r="O3941">
        <v>-111.214167</v>
      </c>
      <c r="P3941">
        <v>6806.2116349999997</v>
      </c>
      <c r="Q3941">
        <v>340</v>
      </c>
      <c r="R3941">
        <v>0</v>
      </c>
    </row>
    <row r="3942" spans="1:18" x14ac:dyDescent="0.25">
      <c r="A3942">
        <v>3941</v>
      </c>
      <c r="B3942">
        <v>94</v>
      </c>
      <c r="C3942">
        <v>31754960</v>
      </c>
      <c r="D3942" t="s">
        <v>47</v>
      </c>
      <c r="E3942">
        <v>4.1050000000000004</v>
      </c>
      <c r="F3942" t="s">
        <v>21</v>
      </c>
      <c r="G3942" t="s">
        <v>26</v>
      </c>
      <c r="H3942" t="s">
        <v>21</v>
      </c>
      <c r="I3942" t="s">
        <v>20</v>
      </c>
      <c r="J3942" t="s">
        <v>20</v>
      </c>
      <c r="K3942" t="s">
        <v>31</v>
      </c>
      <c r="L3942" t="s">
        <v>89</v>
      </c>
      <c r="M3942" t="s">
        <v>49</v>
      </c>
      <c r="N3942">
        <v>40.544221</v>
      </c>
      <c r="O3942">
        <v>-111.905699</v>
      </c>
      <c r="P3942">
        <v>4326.4386729999997</v>
      </c>
      <c r="Q3942">
        <v>6715</v>
      </c>
      <c r="R3942">
        <v>0</v>
      </c>
    </row>
    <row r="3943" spans="1:18" x14ac:dyDescent="0.25">
      <c r="A3943">
        <v>3942</v>
      </c>
      <c r="B3943">
        <v>94</v>
      </c>
      <c r="C3943">
        <v>28881413</v>
      </c>
      <c r="D3943" t="s">
        <v>18</v>
      </c>
      <c r="E3943">
        <v>4.1059999999999999</v>
      </c>
      <c r="F3943" t="s">
        <v>19</v>
      </c>
      <c r="G3943" t="s">
        <v>20</v>
      </c>
      <c r="H3943" t="s">
        <v>21</v>
      </c>
      <c r="I3943" t="s">
        <v>20</v>
      </c>
      <c r="J3943" t="s">
        <v>20</v>
      </c>
      <c r="K3943" t="s">
        <v>22</v>
      </c>
      <c r="L3943" t="s">
        <v>23</v>
      </c>
      <c r="M3943" t="s">
        <v>24</v>
      </c>
      <c r="N3943">
        <v>40.257859000000003</v>
      </c>
      <c r="O3943">
        <v>-111.661818</v>
      </c>
      <c r="P3943">
        <v>4563.0902180000003</v>
      </c>
      <c r="Q3943">
        <v>1281</v>
      </c>
      <c r="R3943">
        <v>0</v>
      </c>
    </row>
    <row r="3944" spans="1:18" x14ac:dyDescent="0.25">
      <c r="A3944">
        <v>3943</v>
      </c>
      <c r="B3944">
        <v>94</v>
      </c>
      <c r="C3944">
        <v>1008782</v>
      </c>
      <c r="D3944" t="s">
        <v>171</v>
      </c>
      <c r="E3944">
        <v>4.1070000000000002</v>
      </c>
      <c r="F3944" t="s">
        <v>21</v>
      </c>
      <c r="G3944" t="s">
        <v>26</v>
      </c>
      <c r="H3944" t="s">
        <v>21</v>
      </c>
      <c r="I3944" t="s">
        <v>20</v>
      </c>
      <c r="J3944" t="s">
        <v>20</v>
      </c>
      <c r="K3944" t="s">
        <v>31</v>
      </c>
      <c r="L3944" t="s">
        <v>78</v>
      </c>
      <c r="M3944" t="s">
        <v>79</v>
      </c>
      <c r="N3944">
        <v>40.696570000000001</v>
      </c>
      <c r="O3944">
        <v>-112.01336999999999</v>
      </c>
      <c r="P3944">
        <v>4227.6083680000002</v>
      </c>
      <c r="Q3944">
        <v>346</v>
      </c>
      <c r="R3944">
        <v>0</v>
      </c>
    </row>
    <row r="3945" spans="1:18" x14ac:dyDescent="0.25">
      <c r="A3945">
        <v>3944</v>
      </c>
      <c r="B3945">
        <v>94</v>
      </c>
      <c r="C3945" t="e">
        <f>-JLkeVIBFgLHW_Gtg3RJ6V</f>
        <v>#NAME?</v>
      </c>
      <c r="D3945" t="s">
        <v>153</v>
      </c>
      <c r="E3945">
        <v>4.1070000000000002</v>
      </c>
      <c r="F3945" t="s">
        <v>21</v>
      </c>
      <c r="G3945" t="s">
        <v>26</v>
      </c>
      <c r="H3945" t="s">
        <v>21</v>
      </c>
      <c r="I3945" t="s">
        <v>20</v>
      </c>
      <c r="J3945" t="s">
        <v>20</v>
      </c>
      <c r="K3945" t="s">
        <v>22</v>
      </c>
      <c r="L3945" t="s">
        <v>84</v>
      </c>
      <c r="M3945" t="s">
        <v>85</v>
      </c>
      <c r="N3945">
        <v>40.415106999999999</v>
      </c>
      <c r="O3945">
        <v>-111.752257</v>
      </c>
      <c r="P3945">
        <v>4946.9415230000004</v>
      </c>
      <c r="R3945">
        <v>0</v>
      </c>
    </row>
    <row r="3946" spans="1:18" x14ac:dyDescent="0.25">
      <c r="A3946">
        <v>3945</v>
      </c>
      <c r="B3946">
        <v>94</v>
      </c>
      <c r="C3946">
        <v>31662778</v>
      </c>
      <c r="D3946" t="s">
        <v>244</v>
      </c>
      <c r="E3946">
        <v>55.898000000000003</v>
      </c>
      <c r="F3946" t="s">
        <v>21</v>
      </c>
      <c r="G3946" t="s">
        <v>26</v>
      </c>
      <c r="H3946" t="s">
        <v>21</v>
      </c>
      <c r="I3946" t="s">
        <v>20</v>
      </c>
      <c r="J3946" t="s">
        <v>20</v>
      </c>
      <c r="K3946" t="s">
        <v>27</v>
      </c>
      <c r="L3946" t="s">
        <v>266</v>
      </c>
      <c r="M3946" t="s">
        <v>386</v>
      </c>
      <c r="N3946">
        <v>38.389142</v>
      </c>
      <c r="O3946">
        <v>-111.58837800000001</v>
      </c>
      <c r="P3946">
        <v>7079.026699</v>
      </c>
      <c r="Q3946">
        <v>1340</v>
      </c>
      <c r="R3946">
        <v>0</v>
      </c>
    </row>
    <row r="3947" spans="1:18" x14ac:dyDescent="0.25">
      <c r="A3947">
        <v>3946</v>
      </c>
      <c r="B3947">
        <v>94</v>
      </c>
      <c r="C3947">
        <v>28029260</v>
      </c>
      <c r="D3947" t="s">
        <v>281</v>
      </c>
      <c r="E3947">
        <v>55.914000000000001</v>
      </c>
      <c r="F3947" t="s">
        <v>21</v>
      </c>
      <c r="G3947" t="s">
        <v>26</v>
      </c>
      <c r="H3947" t="s">
        <v>21</v>
      </c>
      <c r="I3947" t="s">
        <v>20</v>
      </c>
      <c r="J3947" t="s">
        <v>20</v>
      </c>
      <c r="K3947" t="s">
        <v>31</v>
      </c>
      <c r="L3947" t="s">
        <v>282</v>
      </c>
      <c r="M3947" t="s">
        <v>174</v>
      </c>
      <c r="N3947">
        <v>40.553125999999999</v>
      </c>
      <c r="O3947">
        <v>-112.29778</v>
      </c>
      <c r="P3947">
        <v>4779.9555739999996</v>
      </c>
      <c r="Q3947">
        <v>1347</v>
      </c>
      <c r="R3947">
        <v>0</v>
      </c>
    </row>
    <row r="3948" spans="1:18" x14ac:dyDescent="0.25">
      <c r="A3948">
        <v>3947</v>
      </c>
      <c r="B3948">
        <v>94</v>
      </c>
      <c r="C3948" t="e">
        <f>-Ip4pqbWIWyn9Vhcmf-vzk</f>
        <v>#NAME?</v>
      </c>
      <c r="D3948" t="s">
        <v>312</v>
      </c>
      <c r="E3948">
        <v>55.942999999999998</v>
      </c>
      <c r="F3948" t="s">
        <v>21</v>
      </c>
      <c r="G3948" t="s">
        <v>20</v>
      </c>
      <c r="H3948" t="s">
        <v>21</v>
      </c>
      <c r="I3948" t="s">
        <v>20</v>
      </c>
      <c r="J3948" t="s">
        <v>20</v>
      </c>
      <c r="K3948" t="s">
        <v>27</v>
      </c>
      <c r="L3948" t="s">
        <v>173</v>
      </c>
      <c r="M3948" t="s">
        <v>313</v>
      </c>
      <c r="N3948">
        <v>39.149380999999998</v>
      </c>
      <c r="O3948">
        <v>-112.719655</v>
      </c>
      <c r="P3948">
        <v>4509.9237560000001</v>
      </c>
      <c r="Q3948">
        <v>255</v>
      </c>
      <c r="R3948">
        <v>0</v>
      </c>
    </row>
    <row r="3949" spans="1:18" x14ac:dyDescent="0.25">
      <c r="A3949">
        <v>3948</v>
      </c>
      <c r="B3949">
        <v>94</v>
      </c>
      <c r="C3949">
        <v>31583378</v>
      </c>
      <c r="D3949" t="s">
        <v>172</v>
      </c>
      <c r="E3949">
        <v>55.945999999999998</v>
      </c>
      <c r="F3949" t="s">
        <v>21</v>
      </c>
      <c r="G3949" t="s">
        <v>26</v>
      </c>
      <c r="H3949" t="s">
        <v>21</v>
      </c>
      <c r="I3949" t="s">
        <v>20</v>
      </c>
      <c r="J3949" t="s">
        <v>20</v>
      </c>
      <c r="K3949" t="s">
        <v>27</v>
      </c>
      <c r="L3949" t="s">
        <v>230</v>
      </c>
      <c r="M3949" t="s">
        <v>174</v>
      </c>
      <c r="N3949">
        <v>39.523488999999998</v>
      </c>
      <c r="O3949">
        <v>-111.575728</v>
      </c>
      <c r="P3949">
        <v>5481.7700629999999</v>
      </c>
      <c r="Q3949">
        <v>1411</v>
      </c>
      <c r="R3949">
        <v>0</v>
      </c>
    </row>
    <row r="3950" spans="1:18" x14ac:dyDescent="0.25">
      <c r="A3950">
        <v>3949</v>
      </c>
      <c r="B3950">
        <v>94</v>
      </c>
      <c r="C3950">
        <v>31467131</v>
      </c>
      <c r="D3950" t="s">
        <v>319</v>
      </c>
      <c r="E3950">
        <v>55.966000000000001</v>
      </c>
      <c r="F3950" t="s">
        <v>21</v>
      </c>
      <c r="G3950" t="s">
        <v>26</v>
      </c>
      <c r="H3950" t="s">
        <v>21</v>
      </c>
      <c r="I3950" t="s">
        <v>20</v>
      </c>
      <c r="J3950" t="s">
        <v>20</v>
      </c>
      <c r="K3950" t="s">
        <v>27</v>
      </c>
      <c r="L3950" t="s">
        <v>54</v>
      </c>
      <c r="M3950" t="s">
        <v>55</v>
      </c>
      <c r="N3950">
        <v>37.684764000000001</v>
      </c>
      <c r="O3950">
        <v>-113.16195999999999</v>
      </c>
      <c r="P3950">
        <v>5422.3190640000003</v>
      </c>
      <c r="Q3950">
        <v>314</v>
      </c>
      <c r="R3950">
        <v>0</v>
      </c>
    </row>
    <row r="3951" spans="1:18" x14ac:dyDescent="0.25">
      <c r="A3951">
        <v>3950</v>
      </c>
      <c r="B3951">
        <v>94</v>
      </c>
      <c r="C3951">
        <v>31501056</v>
      </c>
      <c r="D3951" t="s">
        <v>124</v>
      </c>
      <c r="E3951">
        <v>55.972999999999999</v>
      </c>
      <c r="F3951" t="s">
        <v>19</v>
      </c>
      <c r="G3951" t="s">
        <v>20</v>
      </c>
      <c r="H3951" t="s">
        <v>21</v>
      </c>
      <c r="I3951" t="s">
        <v>20</v>
      </c>
      <c r="J3951" t="s">
        <v>20</v>
      </c>
      <c r="K3951" t="s">
        <v>31</v>
      </c>
      <c r="L3951" t="s">
        <v>362</v>
      </c>
      <c r="M3951" t="s">
        <v>125</v>
      </c>
      <c r="N3951">
        <v>40.720818999999999</v>
      </c>
      <c r="O3951">
        <v>-111.938986</v>
      </c>
      <c r="P3951">
        <v>4183.5098790000002</v>
      </c>
      <c r="Q3951">
        <v>1368</v>
      </c>
      <c r="R3951">
        <v>0</v>
      </c>
    </row>
    <row r="3952" spans="1:18" x14ac:dyDescent="0.25">
      <c r="A3952">
        <v>3951</v>
      </c>
      <c r="B3952">
        <v>94</v>
      </c>
      <c r="C3952">
        <v>28029790</v>
      </c>
      <c r="D3952" t="s">
        <v>281</v>
      </c>
      <c r="E3952">
        <v>55.975000000000001</v>
      </c>
      <c r="F3952" t="s">
        <v>21</v>
      </c>
      <c r="G3952" t="s">
        <v>26</v>
      </c>
      <c r="H3952" t="s">
        <v>21</v>
      </c>
      <c r="I3952" t="s">
        <v>20</v>
      </c>
      <c r="J3952" t="s">
        <v>20</v>
      </c>
      <c r="K3952" t="s">
        <v>31</v>
      </c>
      <c r="L3952" t="s">
        <v>282</v>
      </c>
      <c r="M3952" t="s">
        <v>174</v>
      </c>
      <c r="N3952">
        <v>40.553997000000003</v>
      </c>
      <c r="O3952">
        <v>-112.29767200000001</v>
      </c>
      <c r="P3952">
        <v>4773.1476270000003</v>
      </c>
      <c r="Q3952">
        <v>1347</v>
      </c>
      <c r="R3952">
        <v>0</v>
      </c>
    </row>
    <row r="3953" spans="1:18" x14ac:dyDescent="0.25">
      <c r="A3953">
        <v>3952</v>
      </c>
      <c r="B3953">
        <v>94</v>
      </c>
      <c r="C3953">
        <v>31583389</v>
      </c>
      <c r="D3953" t="s">
        <v>172</v>
      </c>
      <c r="E3953">
        <v>55.987000000000002</v>
      </c>
      <c r="F3953" t="s">
        <v>21</v>
      </c>
      <c r="G3953" t="s">
        <v>26</v>
      </c>
      <c r="H3953" t="s">
        <v>21</v>
      </c>
      <c r="I3953" t="s">
        <v>20</v>
      </c>
      <c r="J3953" t="s">
        <v>20</v>
      </c>
      <c r="K3953" t="s">
        <v>27</v>
      </c>
      <c r="L3953" t="s">
        <v>230</v>
      </c>
      <c r="M3953" t="s">
        <v>174</v>
      </c>
      <c r="N3953">
        <v>39.522914</v>
      </c>
      <c r="O3953">
        <v>-111.57548</v>
      </c>
      <c r="P3953">
        <v>5478.1220899999998</v>
      </c>
      <c r="Q3953">
        <v>1411</v>
      </c>
      <c r="R3953">
        <v>0</v>
      </c>
    </row>
    <row r="3954" spans="1:18" x14ac:dyDescent="0.25">
      <c r="A3954">
        <v>3953</v>
      </c>
      <c r="B3954">
        <v>94</v>
      </c>
      <c r="C3954">
        <v>31467142</v>
      </c>
      <c r="D3954" t="s">
        <v>319</v>
      </c>
      <c r="E3954">
        <v>55.988999999999997</v>
      </c>
      <c r="F3954" t="s">
        <v>21</v>
      </c>
      <c r="G3954" t="s">
        <v>26</v>
      </c>
      <c r="H3954" t="s">
        <v>21</v>
      </c>
      <c r="I3954" t="s">
        <v>20</v>
      </c>
      <c r="J3954" t="s">
        <v>20</v>
      </c>
      <c r="K3954" t="s">
        <v>27</v>
      </c>
      <c r="L3954" t="s">
        <v>54</v>
      </c>
      <c r="M3954" t="s">
        <v>55</v>
      </c>
      <c r="N3954">
        <v>37.684859000000003</v>
      </c>
      <c r="O3954">
        <v>-113.16146500000001</v>
      </c>
      <c r="P3954">
        <v>5422.9310349999996</v>
      </c>
      <c r="Q3954">
        <v>314</v>
      </c>
      <c r="R3954">
        <v>0</v>
      </c>
    </row>
    <row r="3955" spans="1:18" x14ac:dyDescent="0.25">
      <c r="A3955">
        <v>3954</v>
      </c>
      <c r="B3955">
        <v>94</v>
      </c>
      <c r="C3955">
        <v>31507089</v>
      </c>
      <c r="D3955" t="s">
        <v>124</v>
      </c>
      <c r="E3955">
        <v>58.715000000000003</v>
      </c>
      <c r="F3955" t="s">
        <v>19</v>
      </c>
      <c r="G3955" t="s">
        <v>20</v>
      </c>
      <c r="H3955" t="s">
        <v>21</v>
      </c>
      <c r="I3955" t="s">
        <v>20</v>
      </c>
      <c r="J3955" t="s">
        <v>20</v>
      </c>
      <c r="K3955" t="s">
        <v>31</v>
      </c>
      <c r="L3955" t="s">
        <v>362</v>
      </c>
      <c r="M3955" t="s">
        <v>365</v>
      </c>
      <c r="N3955">
        <v>40.760649999999998</v>
      </c>
      <c r="O3955">
        <v>-111.939059</v>
      </c>
      <c r="P3955">
        <v>4175.0253329999996</v>
      </c>
      <c r="Q3955">
        <v>1368</v>
      </c>
      <c r="R3955">
        <v>0</v>
      </c>
    </row>
    <row r="3956" spans="1:18" x14ac:dyDescent="0.25">
      <c r="A3956">
        <v>3955</v>
      </c>
      <c r="B3956">
        <v>94</v>
      </c>
      <c r="C3956" t="e">
        <f>-IowKegtGSDXdnC8irJ93F</f>
        <v>#NAME?</v>
      </c>
      <c r="D3956" t="s">
        <v>118</v>
      </c>
      <c r="E3956">
        <v>58.74</v>
      </c>
      <c r="F3956" t="s">
        <v>21</v>
      </c>
      <c r="G3956" t="s">
        <v>20</v>
      </c>
      <c r="H3956" t="s">
        <v>21</v>
      </c>
      <c r="I3956" t="s">
        <v>20</v>
      </c>
      <c r="J3956" t="s">
        <v>20</v>
      </c>
      <c r="K3956" t="s">
        <v>22</v>
      </c>
      <c r="L3956" t="s">
        <v>168</v>
      </c>
      <c r="M3956" t="s">
        <v>120</v>
      </c>
      <c r="N3956">
        <v>40.198645999999997</v>
      </c>
      <c r="O3956">
        <v>-110.89573300000001</v>
      </c>
      <c r="P3956">
        <v>6625.3933909999996</v>
      </c>
      <c r="Q3956">
        <v>310</v>
      </c>
      <c r="R3956">
        <v>0</v>
      </c>
    </row>
    <row r="3957" spans="1:18" x14ac:dyDescent="0.25">
      <c r="A3957">
        <v>3956</v>
      </c>
      <c r="B3957">
        <v>94</v>
      </c>
      <c r="C3957">
        <v>31468930</v>
      </c>
      <c r="D3957" t="s">
        <v>319</v>
      </c>
      <c r="E3957">
        <v>58.75</v>
      </c>
      <c r="F3957" t="s">
        <v>19</v>
      </c>
      <c r="G3957" t="s">
        <v>20</v>
      </c>
      <c r="H3957" t="s">
        <v>21</v>
      </c>
      <c r="I3957" t="s">
        <v>20</v>
      </c>
      <c r="J3957" t="s">
        <v>20</v>
      </c>
      <c r="K3957" t="s">
        <v>27</v>
      </c>
      <c r="L3957" t="s">
        <v>54</v>
      </c>
      <c r="M3957" t="s">
        <v>55</v>
      </c>
      <c r="N3957">
        <v>37.685025000000003</v>
      </c>
      <c r="O3957">
        <v>-113.111085</v>
      </c>
      <c r="P3957">
        <v>5497.3782460000002</v>
      </c>
      <c r="Q3957">
        <v>314</v>
      </c>
      <c r="R3957">
        <v>0</v>
      </c>
    </row>
    <row r="3958" spans="1:18" x14ac:dyDescent="0.25">
      <c r="A3958">
        <v>3957</v>
      </c>
      <c r="B3958">
        <v>94</v>
      </c>
      <c r="C3958">
        <v>28215868</v>
      </c>
      <c r="D3958" t="s">
        <v>220</v>
      </c>
      <c r="E3958">
        <v>58.773000000000003</v>
      </c>
      <c r="F3958" t="s">
        <v>21</v>
      </c>
      <c r="G3958" t="s">
        <v>26</v>
      </c>
      <c r="H3958" t="s">
        <v>21</v>
      </c>
      <c r="I3958" t="s">
        <v>20</v>
      </c>
      <c r="J3958" t="s">
        <v>20</v>
      </c>
      <c r="K3958" t="s">
        <v>27</v>
      </c>
      <c r="L3958" t="s">
        <v>28</v>
      </c>
      <c r="M3958" t="s">
        <v>366</v>
      </c>
      <c r="N3958">
        <v>37.772289999999998</v>
      </c>
      <c r="O3958">
        <v>-111.61282</v>
      </c>
      <c r="P3958">
        <v>5828.1782279999998</v>
      </c>
      <c r="Q3958">
        <v>1328</v>
      </c>
      <c r="R3958">
        <v>0</v>
      </c>
    </row>
    <row r="3959" spans="1:18" x14ac:dyDescent="0.25">
      <c r="A3959">
        <v>3958</v>
      </c>
      <c r="B3959">
        <v>94</v>
      </c>
      <c r="C3959">
        <v>28215901</v>
      </c>
      <c r="D3959" t="s">
        <v>220</v>
      </c>
      <c r="E3959">
        <v>58.860999999999997</v>
      </c>
      <c r="F3959" t="s">
        <v>21</v>
      </c>
      <c r="G3959" t="s">
        <v>26</v>
      </c>
      <c r="H3959" t="s">
        <v>21</v>
      </c>
      <c r="I3959" t="s">
        <v>20</v>
      </c>
      <c r="J3959" t="s">
        <v>20</v>
      </c>
      <c r="K3959" t="s">
        <v>27</v>
      </c>
      <c r="L3959" t="s">
        <v>28</v>
      </c>
      <c r="M3959" t="s">
        <v>366</v>
      </c>
      <c r="N3959">
        <v>37.771557999999999</v>
      </c>
      <c r="O3959">
        <v>-111.611493</v>
      </c>
      <c r="P3959">
        <v>5830.2310189999998</v>
      </c>
      <c r="Q3959">
        <v>1328</v>
      </c>
      <c r="R3959">
        <v>0</v>
      </c>
    </row>
    <row r="3960" spans="1:18" x14ac:dyDescent="0.25">
      <c r="A3960">
        <v>3959</v>
      </c>
      <c r="B3960">
        <v>94</v>
      </c>
      <c r="C3960">
        <v>31632689</v>
      </c>
      <c r="D3960" t="s">
        <v>227</v>
      </c>
      <c r="E3960">
        <v>8.2449999999999992</v>
      </c>
      <c r="F3960" t="s">
        <v>21</v>
      </c>
      <c r="G3960" t="s">
        <v>26</v>
      </c>
      <c r="H3960" t="s">
        <v>21</v>
      </c>
      <c r="I3960" t="s">
        <v>20</v>
      </c>
      <c r="J3960" t="s">
        <v>20</v>
      </c>
      <c r="K3960" t="s">
        <v>27</v>
      </c>
      <c r="L3960" t="s">
        <v>158</v>
      </c>
      <c r="M3960" t="s">
        <v>190</v>
      </c>
      <c r="N3960">
        <v>39.541829</v>
      </c>
      <c r="O3960">
        <v>-110.422723</v>
      </c>
      <c r="P3960">
        <v>6192.9932410000001</v>
      </c>
      <c r="Q3960">
        <v>1407</v>
      </c>
      <c r="R3960">
        <v>0</v>
      </c>
    </row>
    <row r="3961" spans="1:18" x14ac:dyDescent="0.25">
      <c r="A3961">
        <v>3960</v>
      </c>
      <c r="B3961">
        <v>94</v>
      </c>
      <c r="C3961" t="e">
        <f>-JMIq-LAHIyMH3YnmZwU0V</f>
        <v>#NAME?</v>
      </c>
      <c r="D3961" t="s">
        <v>417</v>
      </c>
      <c r="E3961">
        <v>8.2530000000000001</v>
      </c>
      <c r="F3961" t="s">
        <v>21</v>
      </c>
      <c r="G3961" t="s">
        <v>26</v>
      </c>
      <c r="H3961" t="s">
        <v>21</v>
      </c>
      <c r="I3961" t="s">
        <v>20</v>
      </c>
      <c r="J3961" t="s">
        <v>20</v>
      </c>
      <c r="K3961" t="s">
        <v>31</v>
      </c>
      <c r="L3961" t="s">
        <v>84</v>
      </c>
      <c r="M3961" t="s">
        <v>24</v>
      </c>
      <c r="N3961">
        <v>40.511519</v>
      </c>
      <c r="O3961">
        <v>-112.005066</v>
      </c>
      <c r="P3961">
        <v>4713.9524579999998</v>
      </c>
      <c r="Q3961">
        <v>6765</v>
      </c>
      <c r="R3961">
        <v>0</v>
      </c>
    </row>
    <row r="3962" spans="1:18" x14ac:dyDescent="0.25">
      <c r="A3962">
        <v>3961</v>
      </c>
      <c r="B3962">
        <v>94</v>
      </c>
      <c r="C3962" t="s">
        <v>642</v>
      </c>
      <c r="D3962" t="s">
        <v>176</v>
      </c>
      <c r="E3962">
        <v>8.2550000000000008</v>
      </c>
      <c r="F3962" t="s">
        <v>21</v>
      </c>
      <c r="G3962" t="s">
        <v>26</v>
      </c>
      <c r="H3962" t="s">
        <v>21</v>
      </c>
      <c r="I3962" t="s">
        <v>20</v>
      </c>
      <c r="J3962" t="s">
        <v>20</v>
      </c>
      <c r="K3962" t="s">
        <v>41</v>
      </c>
      <c r="L3962" t="s">
        <v>177</v>
      </c>
      <c r="M3962" t="s">
        <v>178</v>
      </c>
      <c r="N3962">
        <v>41.551609999999997</v>
      </c>
      <c r="O3962">
        <v>-112.112853</v>
      </c>
      <c r="P3962">
        <v>4179.924078</v>
      </c>
      <c r="Q3962">
        <v>1329</v>
      </c>
      <c r="R3962">
        <v>0</v>
      </c>
    </row>
    <row r="3963" spans="1:18" x14ac:dyDescent="0.25">
      <c r="A3963">
        <v>3962</v>
      </c>
      <c r="B3963">
        <v>94</v>
      </c>
      <c r="C3963">
        <v>31391803</v>
      </c>
      <c r="D3963" t="s">
        <v>203</v>
      </c>
      <c r="E3963">
        <v>8.2629999999999999</v>
      </c>
      <c r="F3963" t="s">
        <v>21</v>
      </c>
      <c r="G3963" t="s">
        <v>26</v>
      </c>
      <c r="H3963" t="s">
        <v>21</v>
      </c>
      <c r="I3963" t="s">
        <v>20</v>
      </c>
      <c r="J3963" t="s">
        <v>20</v>
      </c>
      <c r="K3963" t="s">
        <v>41</v>
      </c>
      <c r="L3963" t="s">
        <v>255</v>
      </c>
      <c r="M3963" t="s">
        <v>204</v>
      </c>
      <c r="N3963">
        <v>41.239566000000003</v>
      </c>
      <c r="O3963">
        <v>-111.93540299999999</v>
      </c>
      <c r="P3963">
        <v>4342.0732879999996</v>
      </c>
      <c r="Q3963">
        <v>1349</v>
      </c>
      <c r="R3963">
        <v>0</v>
      </c>
    </row>
    <row r="3964" spans="1:18" x14ac:dyDescent="0.25">
      <c r="A3964">
        <v>3963</v>
      </c>
      <c r="B3964">
        <v>94</v>
      </c>
      <c r="C3964">
        <v>31698494</v>
      </c>
      <c r="D3964" t="s">
        <v>96</v>
      </c>
      <c r="E3964">
        <v>8.27</v>
      </c>
      <c r="F3964" t="s">
        <v>21</v>
      </c>
      <c r="G3964" t="s">
        <v>20</v>
      </c>
      <c r="H3964" t="s">
        <v>21</v>
      </c>
      <c r="I3964" t="s">
        <v>20</v>
      </c>
      <c r="J3964" t="s">
        <v>20</v>
      </c>
      <c r="K3964" t="s">
        <v>22</v>
      </c>
      <c r="L3964" t="s">
        <v>97</v>
      </c>
      <c r="M3964" t="s">
        <v>98</v>
      </c>
      <c r="N3964">
        <v>40.988309000000001</v>
      </c>
      <c r="O3964">
        <v>-109.71623200000001</v>
      </c>
      <c r="P3964">
        <v>6252.9441360000001</v>
      </c>
      <c r="Q3964">
        <v>311</v>
      </c>
      <c r="R3964">
        <v>0</v>
      </c>
    </row>
    <row r="3965" spans="1:18" x14ac:dyDescent="0.25">
      <c r="A3965">
        <v>3964</v>
      </c>
      <c r="B3965">
        <v>94</v>
      </c>
      <c r="C3965">
        <v>31330976</v>
      </c>
      <c r="D3965" t="s">
        <v>333</v>
      </c>
      <c r="E3965">
        <v>8.2789999999999999</v>
      </c>
      <c r="F3965" t="s">
        <v>19</v>
      </c>
      <c r="G3965" t="s">
        <v>20</v>
      </c>
      <c r="H3965" t="s">
        <v>19</v>
      </c>
      <c r="I3965">
        <v>175</v>
      </c>
      <c r="J3965" t="s">
        <v>20</v>
      </c>
      <c r="K3965" t="s">
        <v>31</v>
      </c>
      <c r="L3965" t="s">
        <v>48</v>
      </c>
      <c r="M3965" t="s">
        <v>49</v>
      </c>
      <c r="N3965">
        <v>40.544176</v>
      </c>
      <c r="O3965">
        <v>-111.98419</v>
      </c>
      <c r="P3965">
        <v>4594.8595740000001</v>
      </c>
      <c r="Q3965">
        <v>1426</v>
      </c>
      <c r="R3965">
        <v>0</v>
      </c>
    </row>
    <row r="3966" spans="1:18" x14ac:dyDescent="0.25">
      <c r="A3966">
        <v>3965</v>
      </c>
      <c r="B3966">
        <v>94</v>
      </c>
      <c r="C3966">
        <v>31278574</v>
      </c>
      <c r="D3966" t="s">
        <v>288</v>
      </c>
      <c r="E3966">
        <v>8.2880000000000003</v>
      </c>
      <c r="F3966" t="s">
        <v>21</v>
      </c>
      <c r="G3966" t="s">
        <v>20</v>
      </c>
      <c r="H3966" t="s">
        <v>21</v>
      </c>
      <c r="I3966" t="s">
        <v>20</v>
      </c>
      <c r="J3966" t="s">
        <v>20</v>
      </c>
      <c r="K3966" t="s">
        <v>27</v>
      </c>
      <c r="L3966" t="s">
        <v>211</v>
      </c>
      <c r="M3966" t="s">
        <v>318</v>
      </c>
      <c r="N3966">
        <v>37.099916999999998</v>
      </c>
      <c r="O3966">
        <v>-109.54727200000001</v>
      </c>
      <c r="P3966">
        <v>4677.0286889999998</v>
      </c>
      <c r="Q3966">
        <v>350</v>
      </c>
      <c r="R3966">
        <v>0</v>
      </c>
    </row>
    <row r="3967" spans="1:18" x14ac:dyDescent="0.25">
      <c r="A3967">
        <v>3966</v>
      </c>
      <c r="B3967">
        <v>94</v>
      </c>
      <c r="C3967">
        <v>1440838</v>
      </c>
      <c r="D3967" t="s">
        <v>304</v>
      </c>
      <c r="E3967">
        <v>8.2899999999999991</v>
      </c>
      <c r="F3967" t="s">
        <v>21</v>
      </c>
      <c r="G3967" t="s">
        <v>26</v>
      </c>
      <c r="H3967" t="s">
        <v>19</v>
      </c>
      <c r="I3967">
        <v>240</v>
      </c>
      <c r="J3967" t="s">
        <v>20</v>
      </c>
      <c r="K3967" t="s">
        <v>41</v>
      </c>
      <c r="L3967" t="s">
        <v>177</v>
      </c>
      <c r="M3967" t="s">
        <v>43</v>
      </c>
      <c r="N3967">
        <v>41.634720000000002</v>
      </c>
      <c r="O3967">
        <v>-112.079526</v>
      </c>
      <c r="P3967">
        <v>4225.900036</v>
      </c>
      <c r="Q3967">
        <v>1348</v>
      </c>
      <c r="R3967">
        <v>0</v>
      </c>
    </row>
    <row r="3968" spans="1:18" x14ac:dyDescent="0.25">
      <c r="A3968">
        <v>3967</v>
      </c>
      <c r="B3968">
        <v>94</v>
      </c>
      <c r="C3968">
        <v>31373326</v>
      </c>
      <c r="D3968" t="s">
        <v>142</v>
      </c>
      <c r="E3968">
        <v>89.796999999999997</v>
      </c>
      <c r="F3968" t="s">
        <v>21</v>
      </c>
      <c r="G3968" t="s">
        <v>26</v>
      </c>
      <c r="H3968" t="s">
        <v>21</v>
      </c>
      <c r="I3968" t="s">
        <v>20</v>
      </c>
      <c r="J3968" t="s">
        <v>20</v>
      </c>
      <c r="K3968" t="s">
        <v>27</v>
      </c>
      <c r="L3968" t="s">
        <v>143</v>
      </c>
      <c r="M3968" t="s">
        <v>106</v>
      </c>
      <c r="N3968">
        <v>38.228678000000002</v>
      </c>
      <c r="O3968">
        <v>-112.93093399999999</v>
      </c>
      <c r="P3968">
        <v>5215.7031020000004</v>
      </c>
      <c r="Q3968">
        <v>305</v>
      </c>
      <c r="R3968">
        <v>0</v>
      </c>
    </row>
    <row r="3969" spans="1:18" x14ac:dyDescent="0.25">
      <c r="A3969">
        <v>3968</v>
      </c>
      <c r="B3969">
        <v>94</v>
      </c>
      <c r="C3969">
        <v>31634367</v>
      </c>
      <c r="D3969" t="s">
        <v>121</v>
      </c>
      <c r="E3969">
        <v>89.811999999999998</v>
      </c>
      <c r="F3969" t="s">
        <v>21</v>
      </c>
      <c r="G3969" t="s">
        <v>26</v>
      </c>
      <c r="H3969" t="s">
        <v>19</v>
      </c>
      <c r="I3969">
        <v>95</v>
      </c>
      <c r="J3969" t="s">
        <v>20</v>
      </c>
      <c r="K3969" t="s">
        <v>27</v>
      </c>
      <c r="L3969" t="s">
        <v>327</v>
      </c>
      <c r="M3969" t="s">
        <v>123</v>
      </c>
      <c r="N3969">
        <v>37.562572000000003</v>
      </c>
      <c r="O3969">
        <v>-110.0188</v>
      </c>
      <c r="P3969">
        <v>6129.4487179999996</v>
      </c>
      <c r="Q3969">
        <v>1283</v>
      </c>
      <c r="R3969">
        <v>0</v>
      </c>
    </row>
    <row r="3970" spans="1:18" x14ac:dyDescent="0.25">
      <c r="A3970">
        <v>3969</v>
      </c>
      <c r="B3970">
        <v>94</v>
      </c>
      <c r="C3970">
        <v>31900054</v>
      </c>
      <c r="D3970" t="s">
        <v>272</v>
      </c>
      <c r="E3970">
        <v>89.819000000000003</v>
      </c>
      <c r="F3970" t="s">
        <v>21</v>
      </c>
      <c r="G3970" t="s">
        <v>26</v>
      </c>
      <c r="H3970" t="s">
        <v>21</v>
      </c>
      <c r="I3970" t="s">
        <v>20</v>
      </c>
      <c r="J3970" t="s">
        <v>20</v>
      </c>
      <c r="K3970" t="s">
        <v>27</v>
      </c>
      <c r="L3970" t="s">
        <v>279</v>
      </c>
      <c r="M3970" t="s">
        <v>214</v>
      </c>
      <c r="N3970">
        <v>37.319555000000001</v>
      </c>
      <c r="O3970">
        <v>-112.59755800000001</v>
      </c>
      <c r="P3970">
        <v>5715.2769310000003</v>
      </c>
      <c r="Q3970">
        <v>1384</v>
      </c>
      <c r="R3970">
        <v>0</v>
      </c>
    </row>
    <row r="3971" spans="1:18" x14ac:dyDescent="0.25">
      <c r="A3971">
        <v>3970</v>
      </c>
      <c r="B3971">
        <v>94</v>
      </c>
      <c r="C3971">
        <v>565573</v>
      </c>
      <c r="D3971" t="s">
        <v>115</v>
      </c>
      <c r="E3971">
        <v>6.2009999999999996</v>
      </c>
      <c r="F3971" t="s">
        <v>21</v>
      </c>
      <c r="G3971" t="s">
        <v>26</v>
      </c>
      <c r="H3971" t="s">
        <v>21</v>
      </c>
      <c r="I3971" t="s">
        <v>20</v>
      </c>
      <c r="J3971" t="s">
        <v>20</v>
      </c>
      <c r="K3971" t="s">
        <v>31</v>
      </c>
      <c r="L3971" t="s">
        <v>48</v>
      </c>
      <c r="M3971" t="s">
        <v>70</v>
      </c>
      <c r="N3971">
        <v>40.653095999999998</v>
      </c>
      <c r="O3971">
        <v>-111.95914399999999</v>
      </c>
      <c r="P3971">
        <v>4362.9300919999996</v>
      </c>
      <c r="Q3971">
        <v>1437</v>
      </c>
      <c r="R3971">
        <v>0</v>
      </c>
    </row>
    <row r="3972" spans="1:18" x14ac:dyDescent="0.25">
      <c r="A3972">
        <v>3971</v>
      </c>
      <c r="B3972">
        <v>94</v>
      </c>
      <c r="C3972">
        <v>27940729</v>
      </c>
      <c r="D3972" t="s">
        <v>346</v>
      </c>
      <c r="E3972">
        <v>6.2030000000000003</v>
      </c>
      <c r="F3972" t="s">
        <v>21</v>
      </c>
      <c r="G3972" t="s">
        <v>26</v>
      </c>
      <c r="H3972" t="s">
        <v>21</v>
      </c>
      <c r="I3972" t="s">
        <v>20</v>
      </c>
      <c r="J3972" t="s">
        <v>20</v>
      </c>
      <c r="K3972" t="s">
        <v>27</v>
      </c>
      <c r="L3972" t="s">
        <v>307</v>
      </c>
      <c r="M3972" t="s">
        <v>159</v>
      </c>
      <c r="N3972">
        <v>39.728729999999999</v>
      </c>
      <c r="O3972">
        <v>-111.15935899999999</v>
      </c>
      <c r="P3972">
        <v>7632.0828110000002</v>
      </c>
      <c r="Q3972">
        <v>1389</v>
      </c>
      <c r="R3972">
        <v>0</v>
      </c>
    </row>
    <row r="3973" spans="1:18" x14ac:dyDescent="0.25">
      <c r="A3973">
        <v>3972</v>
      </c>
      <c r="B3973">
        <v>94</v>
      </c>
      <c r="C3973">
        <v>31387831</v>
      </c>
      <c r="D3973" t="s">
        <v>184</v>
      </c>
      <c r="E3973">
        <v>5.15</v>
      </c>
      <c r="F3973" t="s">
        <v>21</v>
      </c>
      <c r="G3973" t="s">
        <v>26</v>
      </c>
      <c r="H3973" t="s">
        <v>21</v>
      </c>
      <c r="I3973" t="s">
        <v>20</v>
      </c>
      <c r="J3973" t="s">
        <v>20</v>
      </c>
      <c r="K3973" t="s">
        <v>27</v>
      </c>
      <c r="L3973" t="s">
        <v>54</v>
      </c>
      <c r="M3973" t="s">
        <v>55</v>
      </c>
      <c r="N3973">
        <v>37.718353999999998</v>
      </c>
      <c r="O3973">
        <v>-113.058941</v>
      </c>
      <c r="P3973">
        <v>5638.2405529999996</v>
      </c>
      <c r="Q3973">
        <v>1410</v>
      </c>
      <c r="R3973">
        <v>0</v>
      </c>
    </row>
    <row r="3974" spans="1:18" x14ac:dyDescent="0.25">
      <c r="A3974">
        <v>3973</v>
      </c>
      <c r="B3974">
        <v>94</v>
      </c>
      <c r="C3974">
        <v>28496621</v>
      </c>
      <c r="D3974" t="s">
        <v>99</v>
      </c>
      <c r="E3974">
        <v>5.15</v>
      </c>
      <c r="F3974" t="s">
        <v>19</v>
      </c>
      <c r="G3974" t="s">
        <v>20</v>
      </c>
      <c r="H3974" t="s">
        <v>21</v>
      </c>
      <c r="I3974" t="s">
        <v>20</v>
      </c>
      <c r="J3974" t="s">
        <v>20</v>
      </c>
      <c r="K3974" t="s">
        <v>41</v>
      </c>
      <c r="L3974" t="s">
        <v>81</v>
      </c>
      <c r="M3974" t="s">
        <v>82</v>
      </c>
      <c r="N3974">
        <v>41.210303000000003</v>
      </c>
      <c r="O3974">
        <v>-111.976344</v>
      </c>
      <c r="P3974">
        <v>4258.8603640000001</v>
      </c>
      <c r="Q3974">
        <v>1376</v>
      </c>
      <c r="R3974">
        <v>0</v>
      </c>
    </row>
    <row r="3975" spans="1:18" x14ac:dyDescent="0.25">
      <c r="A3975">
        <v>3974</v>
      </c>
      <c r="B3975">
        <v>94</v>
      </c>
      <c r="C3975">
        <v>31765382</v>
      </c>
      <c r="D3975" t="s">
        <v>262</v>
      </c>
      <c r="E3975">
        <v>5.1509999999999998</v>
      </c>
      <c r="F3975" t="s">
        <v>21</v>
      </c>
      <c r="G3975" t="s">
        <v>26</v>
      </c>
      <c r="H3975" t="s">
        <v>21</v>
      </c>
      <c r="I3975" t="s">
        <v>20</v>
      </c>
      <c r="J3975" t="s">
        <v>20</v>
      </c>
      <c r="K3975" t="s">
        <v>22</v>
      </c>
      <c r="L3975" t="s">
        <v>263</v>
      </c>
      <c r="M3975" t="s">
        <v>125</v>
      </c>
      <c r="N3975">
        <v>40.376922</v>
      </c>
      <c r="O3975">
        <v>-111.822485</v>
      </c>
      <c r="P3975">
        <v>4475.111527</v>
      </c>
      <c r="Q3975">
        <v>1419</v>
      </c>
      <c r="R3975">
        <v>0</v>
      </c>
    </row>
    <row r="3976" spans="1:18" x14ac:dyDescent="0.25">
      <c r="A3976">
        <v>3975</v>
      </c>
      <c r="B3976">
        <v>94</v>
      </c>
      <c r="C3976" t="s">
        <v>643</v>
      </c>
      <c r="D3976" t="s">
        <v>272</v>
      </c>
      <c r="E3976">
        <v>61.209000000000003</v>
      </c>
      <c r="F3976" t="s">
        <v>21</v>
      </c>
      <c r="G3976" t="s">
        <v>26</v>
      </c>
      <c r="H3976" t="s">
        <v>21</v>
      </c>
      <c r="I3976" t="s">
        <v>20</v>
      </c>
      <c r="J3976" t="s">
        <v>20</v>
      </c>
      <c r="K3976" t="s">
        <v>27</v>
      </c>
      <c r="L3976" t="s">
        <v>259</v>
      </c>
      <c r="M3976" t="s">
        <v>214</v>
      </c>
      <c r="N3976">
        <v>37.028773999999999</v>
      </c>
      <c r="O3976">
        <v>-112.483462</v>
      </c>
      <c r="P3976">
        <v>5006.6411129999997</v>
      </c>
      <c r="Q3976">
        <v>1384</v>
      </c>
      <c r="R3976">
        <v>0</v>
      </c>
    </row>
    <row r="3977" spans="1:18" x14ac:dyDescent="0.25">
      <c r="A3977">
        <v>3976</v>
      </c>
      <c r="B3977">
        <v>94</v>
      </c>
      <c r="C3977">
        <v>31482965</v>
      </c>
      <c r="D3977" t="s">
        <v>319</v>
      </c>
      <c r="E3977">
        <v>61.223999999999997</v>
      </c>
      <c r="F3977" t="s">
        <v>19</v>
      </c>
      <c r="G3977" t="s">
        <v>20</v>
      </c>
      <c r="H3977" t="s">
        <v>21</v>
      </c>
      <c r="I3977" t="s">
        <v>20</v>
      </c>
      <c r="J3977" t="s">
        <v>20</v>
      </c>
      <c r="K3977" t="s">
        <v>27</v>
      </c>
      <c r="L3977" t="s">
        <v>54</v>
      </c>
      <c r="M3977" t="s">
        <v>55</v>
      </c>
      <c r="N3977">
        <v>37.680878</v>
      </c>
      <c r="O3977">
        <v>-113.066951</v>
      </c>
      <c r="P3977">
        <v>5720.1629750000002</v>
      </c>
      <c r="Q3977">
        <v>314</v>
      </c>
      <c r="R3977">
        <v>0</v>
      </c>
    </row>
    <row r="3978" spans="1:18" x14ac:dyDescent="0.25">
      <c r="A3978">
        <v>3977</v>
      </c>
      <c r="B3978">
        <v>94</v>
      </c>
      <c r="C3978">
        <v>31511093</v>
      </c>
      <c r="D3978" t="s">
        <v>124</v>
      </c>
      <c r="E3978">
        <v>61.268999999999998</v>
      </c>
      <c r="F3978" t="s">
        <v>21</v>
      </c>
      <c r="G3978" t="s">
        <v>26</v>
      </c>
      <c r="H3978" t="s">
        <v>21</v>
      </c>
      <c r="I3978" t="s">
        <v>20</v>
      </c>
      <c r="J3978" t="s">
        <v>20</v>
      </c>
      <c r="K3978" t="s">
        <v>31</v>
      </c>
      <c r="L3978" t="s">
        <v>362</v>
      </c>
      <c r="M3978" t="s">
        <v>365</v>
      </c>
      <c r="N3978">
        <v>40.797764000000001</v>
      </c>
      <c r="O3978">
        <v>-111.93918499999999</v>
      </c>
      <c r="P3978">
        <v>4159.3887729999997</v>
      </c>
      <c r="Q3978">
        <v>1368</v>
      </c>
      <c r="R3978">
        <v>0</v>
      </c>
    </row>
    <row r="3979" spans="1:18" x14ac:dyDescent="0.25">
      <c r="A3979">
        <v>3978</v>
      </c>
      <c r="B3979">
        <v>94</v>
      </c>
      <c r="C3979">
        <v>28049925</v>
      </c>
      <c r="D3979" t="s">
        <v>281</v>
      </c>
      <c r="E3979">
        <v>61.283000000000001</v>
      </c>
      <c r="F3979" t="s">
        <v>19</v>
      </c>
      <c r="G3979" t="s">
        <v>20</v>
      </c>
      <c r="H3979" t="s">
        <v>21</v>
      </c>
      <c r="I3979" t="s">
        <v>20</v>
      </c>
      <c r="J3979" t="s">
        <v>20</v>
      </c>
      <c r="K3979" t="s">
        <v>31</v>
      </c>
      <c r="L3979" t="s">
        <v>282</v>
      </c>
      <c r="M3979" t="s">
        <v>283</v>
      </c>
      <c r="N3979">
        <v>40.630209000000001</v>
      </c>
      <c r="O3979">
        <v>-112.291065</v>
      </c>
      <c r="P3979">
        <v>4286.419973</v>
      </c>
      <c r="Q3979">
        <v>1347</v>
      </c>
      <c r="R3979">
        <v>0</v>
      </c>
    </row>
    <row r="3980" spans="1:18" x14ac:dyDescent="0.25">
      <c r="A3980">
        <v>3979</v>
      </c>
      <c r="B3980">
        <v>94</v>
      </c>
      <c r="C3980">
        <v>28224014</v>
      </c>
      <c r="D3980" t="s">
        <v>220</v>
      </c>
      <c r="E3980">
        <v>61.317</v>
      </c>
      <c r="F3980" t="s">
        <v>21</v>
      </c>
      <c r="G3980" t="s">
        <v>26</v>
      </c>
      <c r="H3980" t="s">
        <v>21</v>
      </c>
      <c r="I3980" t="s">
        <v>20</v>
      </c>
      <c r="J3980" t="s">
        <v>20</v>
      </c>
      <c r="K3980" t="s">
        <v>27</v>
      </c>
      <c r="L3980" t="s">
        <v>28</v>
      </c>
      <c r="M3980" t="s">
        <v>366</v>
      </c>
      <c r="N3980">
        <v>37.757367000000002</v>
      </c>
      <c r="O3980">
        <v>-111.57209400000001</v>
      </c>
      <c r="P3980">
        <v>5757.1235180000003</v>
      </c>
      <c r="Q3980">
        <v>1328</v>
      </c>
      <c r="R3980">
        <v>0</v>
      </c>
    </row>
    <row r="3981" spans="1:18" x14ac:dyDescent="0.25">
      <c r="A3981">
        <v>3980</v>
      </c>
      <c r="B3981">
        <v>94</v>
      </c>
      <c r="C3981">
        <v>31483298</v>
      </c>
      <c r="D3981" t="s">
        <v>319</v>
      </c>
      <c r="E3981">
        <v>61.320999999999998</v>
      </c>
      <c r="F3981" t="s">
        <v>21</v>
      </c>
      <c r="G3981" t="s">
        <v>26</v>
      </c>
      <c r="H3981" t="s">
        <v>21</v>
      </c>
      <c r="I3981" t="s">
        <v>20</v>
      </c>
      <c r="J3981" t="s">
        <v>20</v>
      </c>
      <c r="K3981" t="s">
        <v>27</v>
      </c>
      <c r="L3981" t="s">
        <v>54</v>
      </c>
      <c r="M3981" t="s">
        <v>55</v>
      </c>
      <c r="N3981">
        <v>37.680891000000003</v>
      </c>
      <c r="O3981">
        <v>-113.06521100000001</v>
      </c>
      <c r="P3981">
        <v>5726.8090849999999</v>
      </c>
      <c r="Q3981">
        <v>314</v>
      </c>
      <c r="R3981">
        <v>0</v>
      </c>
    </row>
    <row r="3982" spans="1:18" x14ac:dyDescent="0.25">
      <c r="A3982">
        <v>3981</v>
      </c>
      <c r="B3982">
        <v>94</v>
      </c>
      <c r="C3982">
        <v>31511604</v>
      </c>
      <c r="D3982" t="s">
        <v>124</v>
      </c>
      <c r="E3982">
        <v>61.381999999999998</v>
      </c>
      <c r="F3982" t="s">
        <v>21</v>
      </c>
      <c r="G3982" t="s">
        <v>26</v>
      </c>
      <c r="H3982" t="s">
        <v>21</v>
      </c>
      <c r="I3982" t="s">
        <v>20</v>
      </c>
      <c r="J3982" t="s">
        <v>20</v>
      </c>
      <c r="K3982" t="s">
        <v>31</v>
      </c>
      <c r="L3982" t="s">
        <v>362</v>
      </c>
      <c r="M3982" t="s">
        <v>365</v>
      </c>
      <c r="N3982">
        <v>40.799405999999998</v>
      </c>
      <c r="O3982">
        <v>-111.939177</v>
      </c>
      <c r="P3982">
        <v>4158.0349299999998</v>
      </c>
      <c r="Q3982">
        <v>1368</v>
      </c>
      <c r="R3982">
        <v>0</v>
      </c>
    </row>
    <row r="3983" spans="1:18" x14ac:dyDescent="0.25">
      <c r="A3983">
        <v>3982</v>
      </c>
      <c r="B3983">
        <v>94</v>
      </c>
      <c r="C3983">
        <v>31713311</v>
      </c>
      <c r="D3983" t="s">
        <v>244</v>
      </c>
      <c r="E3983">
        <v>61.384999999999998</v>
      </c>
      <c r="F3983" t="s">
        <v>21</v>
      </c>
      <c r="G3983" t="s">
        <v>26</v>
      </c>
      <c r="H3983" t="s">
        <v>21</v>
      </c>
      <c r="I3983" t="s">
        <v>20</v>
      </c>
      <c r="J3983" t="s">
        <v>20</v>
      </c>
      <c r="K3983" t="s">
        <v>27</v>
      </c>
      <c r="L3983" t="s">
        <v>266</v>
      </c>
      <c r="M3983" t="s">
        <v>386</v>
      </c>
      <c r="N3983">
        <v>38.331149000000003</v>
      </c>
      <c r="O3983">
        <v>-111.534854</v>
      </c>
      <c r="P3983">
        <v>7031.5120310000002</v>
      </c>
      <c r="Q3983">
        <v>1340</v>
      </c>
      <c r="R3983">
        <v>0</v>
      </c>
    </row>
    <row r="3984" spans="1:18" x14ac:dyDescent="0.25">
      <c r="A3984">
        <v>3983</v>
      </c>
      <c r="B3984">
        <v>94</v>
      </c>
      <c r="C3984">
        <v>31484159</v>
      </c>
      <c r="D3984" t="s">
        <v>319</v>
      </c>
      <c r="E3984">
        <v>61.412999999999997</v>
      </c>
      <c r="F3984" t="s">
        <v>21</v>
      </c>
      <c r="G3984" t="s">
        <v>26</v>
      </c>
      <c r="H3984" t="s">
        <v>21</v>
      </c>
      <c r="I3984" t="s">
        <v>20</v>
      </c>
      <c r="J3984" t="s">
        <v>20</v>
      </c>
      <c r="K3984" t="s">
        <v>27</v>
      </c>
      <c r="L3984" t="s">
        <v>54</v>
      </c>
      <c r="M3984" t="s">
        <v>55</v>
      </c>
      <c r="N3984">
        <v>37.680900999999999</v>
      </c>
      <c r="O3984">
        <v>-113.06352</v>
      </c>
      <c r="P3984">
        <v>5732.522594</v>
      </c>
      <c r="Q3984">
        <v>314</v>
      </c>
      <c r="R3984">
        <v>0</v>
      </c>
    </row>
    <row r="3985" spans="1:18" x14ac:dyDescent="0.25">
      <c r="A3985">
        <v>3984</v>
      </c>
      <c r="B3985">
        <v>94</v>
      </c>
      <c r="C3985">
        <v>31747647</v>
      </c>
      <c r="D3985" t="s">
        <v>290</v>
      </c>
      <c r="E3985">
        <v>61.438000000000002</v>
      </c>
      <c r="F3985" t="s">
        <v>21</v>
      </c>
      <c r="G3985" t="s">
        <v>26</v>
      </c>
      <c r="H3985" t="s">
        <v>21</v>
      </c>
      <c r="I3985" t="s">
        <v>20</v>
      </c>
      <c r="J3985" t="s">
        <v>20</v>
      </c>
      <c r="K3985" t="s">
        <v>41</v>
      </c>
      <c r="L3985" t="s">
        <v>291</v>
      </c>
      <c r="M3985" t="s">
        <v>238</v>
      </c>
      <c r="N3985">
        <v>41.817661999999999</v>
      </c>
      <c r="O3985">
        <v>-113.204122</v>
      </c>
      <c r="P3985">
        <v>4967.4623309999997</v>
      </c>
      <c r="Q3985">
        <v>1343</v>
      </c>
      <c r="R3985">
        <v>0</v>
      </c>
    </row>
    <row r="3986" spans="1:18" x14ac:dyDescent="0.25">
      <c r="A3986">
        <v>3985</v>
      </c>
      <c r="B3986">
        <v>94</v>
      </c>
      <c r="C3986">
        <v>31352021</v>
      </c>
      <c r="D3986" t="s">
        <v>288</v>
      </c>
      <c r="E3986">
        <v>61.442</v>
      </c>
      <c r="F3986" t="s">
        <v>21</v>
      </c>
      <c r="G3986" t="s">
        <v>26</v>
      </c>
      <c r="H3986" t="s">
        <v>21</v>
      </c>
      <c r="I3986" t="s">
        <v>20</v>
      </c>
      <c r="J3986" t="s">
        <v>20</v>
      </c>
      <c r="K3986" t="s">
        <v>27</v>
      </c>
      <c r="L3986" t="s">
        <v>146</v>
      </c>
      <c r="M3986" t="s">
        <v>147</v>
      </c>
      <c r="N3986">
        <v>37.748061999999997</v>
      </c>
      <c r="O3986">
        <v>-109.39995</v>
      </c>
      <c r="P3986">
        <v>7147.812046</v>
      </c>
      <c r="Q3986">
        <v>350</v>
      </c>
      <c r="R3986">
        <v>0</v>
      </c>
    </row>
    <row r="3987" spans="1:18" x14ac:dyDescent="0.25">
      <c r="A3987">
        <v>3986</v>
      </c>
      <c r="B3987">
        <v>94</v>
      </c>
      <c r="C3987">
        <v>31837530</v>
      </c>
      <c r="D3987" t="s">
        <v>290</v>
      </c>
      <c r="E3987">
        <v>61.445999999999998</v>
      </c>
      <c r="F3987" t="s">
        <v>21</v>
      </c>
      <c r="G3987" t="s">
        <v>20</v>
      </c>
      <c r="H3987" t="s">
        <v>21</v>
      </c>
      <c r="I3987" t="s">
        <v>20</v>
      </c>
      <c r="J3987" t="s">
        <v>20</v>
      </c>
      <c r="K3987" t="s">
        <v>41</v>
      </c>
      <c r="L3987" t="s">
        <v>291</v>
      </c>
      <c r="M3987" t="s">
        <v>238</v>
      </c>
      <c r="N3987">
        <v>41.817712</v>
      </c>
      <c r="O3987">
        <v>-113.203991</v>
      </c>
      <c r="P3987">
        <v>4964.907314</v>
      </c>
      <c r="Q3987">
        <v>1343</v>
      </c>
      <c r="R3987">
        <v>0</v>
      </c>
    </row>
    <row r="3988" spans="1:18" x14ac:dyDescent="0.25">
      <c r="A3988">
        <v>3987</v>
      </c>
      <c r="B3988">
        <v>94</v>
      </c>
      <c r="C3988">
        <v>31484170</v>
      </c>
      <c r="D3988" t="s">
        <v>319</v>
      </c>
      <c r="E3988">
        <v>61.493000000000002</v>
      </c>
      <c r="F3988" t="s">
        <v>19</v>
      </c>
      <c r="G3988" t="s">
        <v>20</v>
      </c>
      <c r="H3988" t="s">
        <v>19</v>
      </c>
      <c r="I3988">
        <v>130</v>
      </c>
      <c r="J3988" t="s">
        <v>20</v>
      </c>
      <c r="K3988" t="s">
        <v>27</v>
      </c>
      <c r="L3988" t="s">
        <v>54</v>
      </c>
      <c r="M3988" t="s">
        <v>55</v>
      </c>
      <c r="N3988">
        <v>37.680894000000002</v>
      </c>
      <c r="O3988">
        <v>-113.061809</v>
      </c>
      <c r="P3988">
        <v>5740.1565499999997</v>
      </c>
      <c r="Q3988">
        <v>314</v>
      </c>
      <c r="R3988">
        <v>0</v>
      </c>
    </row>
    <row r="3989" spans="1:18" x14ac:dyDescent="0.25">
      <c r="A3989">
        <v>3988</v>
      </c>
      <c r="B3989">
        <v>94</v>
      </c>
      <c r="C3989">
        <v>31511615</v>
      </c>
      <c r="D3989" t="s">
        <v>124</v>
      </c>
      <c r="E3989">
        <v>61.543999999999997</v>
      </c>
      <c r="F3989" t="s">
        <v>21</v>
      </c>
      <c r="G3989" t="s">
        <v>26</v>
      </c>
      <c r="H3989" t="s">
        <v>21</v>
      </c>
      <c r="I3989" t="s">
        <v>20</v>
      </c>
      <c r="J3989" t="s">
        <v>20</v>
      </c>
      <c r="K3989" t="s">
        <v>31</v>
      </c>
      <c r="L3989" t="s">
        <v>362</v>
      </c>
      <c r="M3989" t="s">
        <v>365</v>
      </c>
      <c r="N3989">
        <v>40.801751000000003</v>
      </c>
      <c r="O3989">
        <v>-111.93916900000001</v>
      </c>
      <c r="P3989">
        <v>4157.3463780000002</v>
      </c>
      <c r="Q3989">
        <v>1368</v>
      </c>
      <c r="R3989">
        <v>0</v>
      </c>
    </row>
    <row r="3990" spans="1:18" x14ac:dyDescent="0.25">
      <c r="A3990">
        <v>3989</v>
      </c>
      <c r="B3990">
        <v>94</v>
      </c>
      <c r="C3990">
        <v>31327572</v>
      </c>
      <c r="D3990" t="s">
        <v>241</v>
      </c>
      <c r="E3990">
        <v>61.582999999999998</v>
      </c>
      <c r="F3990" t="s">
        <v>21</v>
      </c>
      <c r="G3990" t="s">
        <v>26</v>
      </c>
      <c r="H3990" t="s">
        <v>21</v>
      </c>
      <c r="I3990" t="s">
        <v>20</v>
      </c>
      <c r="J3990" t="s">
        <v>20</v>
      </c>
      <c r="K3990" t="s">
        <v>27</v>
      </c>
      <c r="L3990" t="s">
        <v>158</v>
      </c>
      <c r="M3990" t="s">
        <v>243</v>
      </c>
      <c r="N3990">
        <v>39.501634000000003</v>
      </c>
      <c r="O3990">
        <v>-110.839636</v>
      </c>
      <c r="P3990">
        <v>5691.7085399999996</v>
      </c>
      <c r="Q3990">
        <v>1327</v>
      </c>
      <c r="R3990">
        <v>0</v>
      </c>
    </row>
    <row r="3991" spans="1:18" x14ac:dyDescent="0.25">
      <c r="A3991">
        <v>3990</v>
      </c>
      <c r="B3991">
        <v>94</v>
      </c>
      <c r="C3991" t="e">
        <f>-JN08MfgH21rR1wvP5MbqV</f>
        <v>#NAME?</v>
      </c>
      <c r="D3991" t="s">
        <v>184</v>
      </c>
      <c r="E3991">
        <v>7.4560000000000004</v>
      </c>
      <c r="F3991" t="s">
        <v>21</v>
      </c>
      <c r="G3991" t="s">
        <v>26</v>
      </c>
      <c r="H3991" t="s">
        <v>21</v>
      </c>
      <c r="I3991" t="s">
        <v>20</v>
      </c>
      <c r="J3991" t="s">
        <v>20</v>
      </c>
      <c r="K3991" t="s">
        <v>27</v>
      </c>
      <c r="L3991" t="s">
        <v>54</v>
      </c>
      <c r="M3991" t="s">
        <v>55</v>
      </c>
      <c r="N3991">
        <v>37.746045000000002</v>
      </c>
      <c r="O3991">
        <v>-113.055255</v>
      </c>
      <c r="P3991">
        <v>5484.6631790000001</v>
      </c>
      <c r="Q3991">
        <v>1410</v>
      </c>
      <c r="R3991">
        <v>0</v>
      </c>
    </row>
    <row r="3992" spans="1:18" x14ac:dyDescent="0.25">
      <c r="A3992">
        <v>3991</v>
      </c>
      <c r="B3992">
        <v>94</v>
      </c>
      <c r="C3992">
        <v>1038469</v>
      </c>
      <c r="D3992" t="s">
        <v>171</v>
      </c>
      <c r="E3992">
        <v>7.4580000000000002</v>
      </c>
      <c r="F3992" t="s">
        <v>19</v>
      </c>
      <c r="G3992" t="s">
        <v>20</v>
      </c>
      <c r="H3992" t="s">
        <v>21</v>
      </c>
      <c r="I3992" t="s">
        <v>20</v>
      </c>
      <c r="J3992" t="s">
        <v>20</v>
      </c>
      <c r="K3992" t="s">
        <v>31</v>
      </c>
      <c r="L3992" t="s">
        <v>362</v>
      </c>
      <c r="M3992" t="s">
        <v>79</v>
      </c>
      <c r="N3992">
        <v>40.696612999999999</v>
      </c>
      <c r="O3992">
        <v>-111.949606</v>
      </c>
      <c r="P3992">
        <v>4194.6348310000003</v>
      </c>
      <c r="Q3992">
        <v>346</v>
      </c>
      <c r="R3992">
        <v>0</v>
      </c>
    </row>
    <row r="3993" spans="1:18" x14ac:dyDescent="0.25">
      <c r="A3993">
        <v>3992</v>
      </c>
      <c r="B3993">
        <v>94</v>
      </c>
      <c r="C3993" t="e">
        <f>-JMJ0ZQAGTqYlydbS4bpIF</f>
        <v>#NAME?</v>
      </c>
      <c r="D3993" t="s">
        <v>417</v>
      </c>
      <c r="E3993">
        <v>7.4610000000000003</v>
      </c>
      <c r="F3993" t="s">
        <v>21</v>
      </c>
      <c r="G3993" t="s">
        <v>26</v>
      </c>
      <c r="H3993" t="s">
        <v>21</v>
      </c>
      <c r="I3993" t="s">
        <v>20</v>
      </c>
      <c r="J3993" t="s">
        <v>20</v>
      </c>
      <c r="K3993" t="s">
        <v>31</v>
      </c>
      <c r="L3993" t="s">
        <v>84</v>
      </c>
      <c r="M3993" t="s">
        <v>24</v>
      </c>
      <c r="N3993">
        <v>40.499948000000003</v>
      </c>
      <c r="O3993">
        <v>-112.005089</v>
      </c>
      <c r="P3993">
        <v>4746.2983059999997</v>
      </c>
      <c r="Q3993">
        <v>6765</v>
      </c>
      <c r="R3993">
        <v>0</v>
      </c>
    </row>
    <row r="3994" spans="1:18" x14ac:dyDescent="0.25">
      <c r="A3994">
        <v>3993</v>
      </c>
      <c r="B3994">
        <v>94</v>
      </c>
      <c r="C3994">
        <v>31367156</v>
      </c>
      <c r="D3994" t="s">
        <v>229</v>
      </c>
      <c r="E3994">
        <v>7.4619999999999997</v>
      </c>
      <c r="F3994" t="s">
        <v>21</v>
      </c>
      <c r="G3994" t="s">
        <v>20</v>
      </c>
      <c r="H3994" t="s">
        <v>21</v>
      </c>
      <c r="I3994" t="s">
        <v>20</v>
      </c>
      <c r="J3994" t="s">
        <v>20</v>
      </c>
      <c r="K3994" t="s">
        <v>27</v>
      </c>
      <c r="L3994" t="s">
        <v>230</v>
      </c>
      <c r="M3994" t="s">
        <v>82</v>
      </c>
      <c r="N3994">
        <v>39.481037999999998</v>
      </c>
      <c r="O3994">
        <v>-111.515863</v>
      </c>
      <c r="P3994">
        <v>5663.4371680000004</v>
      </c>
      <c r="Q3994">
        <v>331</v>
      </c>
      <c r="R3994">
        <v>0</v>
      </c>
    </row>
    <row r="3995" spans="1:18" x14ac:dyDescent="0.25">
      <c r="A3995">
        <v>3994</v>
      </c>
      <c r="B3995">
        <v>94</v>
      </c>
      <c r="C3995">
        <v>31291234</v>
      </c>
      <c r="D3995" t="s">
        <v>126</v>
      </c>
      <c r="E3995">
        <v>7.4740000000000002</v>
      </c>
      <c r="F3995" t="s">
        <v>21</v>
      </c>
      <c r="G3995" t="s">
        <v>26</v>
      </c>
      <c r="H3995" t="s">
        <v>21</v>
      </c>
      <c r="I3995" t="s">
        <v>20</v>
      </c>
      <c r="J3995" t="s">
        <v>20</v>
      </c>
      <c r="K3995" t="s">
        <v>41</v>
      </c>
      <c r="L3995" t="s">
        <v>57</v>
      </c>
      <c r="M3995" t="s">
        <v>93</v>
      </c>
      <c r="N3995">
        <v>41.298029</v>
      </c>
      <c r="O3995">
        <v>-112.090029</v>
      </c>
      <c r="P3995">
        <v>4185.4985139999999</v>
      </c>
      <c r="Q3995">
        <v>1412</v>
      </c>
      <c r="R3995">
        <v>0</v>
      </c>
    </row>
    <row r="3996" spans="1:18" x14ac:dyDescent="0.25">
      <c r="A3996">
        <v>3995</v>
      </c>
      <c r="B3996">
        <v>94</v>
      </c>
      <c r="C3996">
        <v>1440070</v>
      </c>
      <c r="D3996" t="s">
        <v>304</v>
      </c>
      <c r="E3996">
        <v>6.9189999999999996</v>
      </c>
      <c r="F3996" t="s">
        <v>21</v>
      </c>
      <c r="G3996" t="s">
        <v>26</v>
      </c>
      <c r="H3996" t="s">
        <v>21</v>
      </c>
      <c r="I3996" t="s">
        <v>20</v>
      </c>
      <c r="J3996" t="s">
        <v>20</v>
      </c>
      <c r="K3996" t="s">
        <v>41</v>
      </c>
      <c r="L3996" t="s">
        <v>177</v>
      </c>
      <c r="M3996" t="s">
        <v>43</v>
      </c>
      <c r="N3996">
        <v>41.617049000000002</v>
      </c>
      <c r="O3996">
        <v>-112.06760300000001</v>
      </c>
      <c r="P3996">
        <v>4229.4467329999998</v>
      </c>
      <c r="Q3996">
        <v>1348</v>
      </c>
      <c r="R3996">
        <v>0</v>
      </c>
    </row>
    <row r="3997" spans="1:18" x14ac:dyDescent="0.25">
      <c r="A3997">
        <v>3996</v>
      </c>
      <c r="B3997">
        <v>94</v>
      </c>
      <c r="C3997" t="e">
        <f>-JN6d2-uI_qMl6p9p9V6Lk</f>
        <v>#NAME?</v>
      </c>
      <c r="D3997" t="s">
        <v>383</v>
      </c>
      <c r="E3997">
        <v>14.381</v>
      </c>
      <c r="F3997" t="s">
        <v>21</v>
      </c>
      <c r="G3997" t="s">
        <v>26</v>
      </c>
      <c r="H3997" t="s">
        <v>21</v>
      </c>
      <c r="I3997" t="s">
        <v>20</v>
      </c>
      <c r="J3997" t="s">
        <v>20</v>
      </c>
      <c r="K3997" t="s">
        <v>31</v>
      </c>
      <c r="L3997" t="s">
        <v>32</v>
      </c>
      <c r="M3997" t="s">
        <v>384</v>
      </c>
      <c r="N3997">
        <v>40.580455999999998</v>
      </c>
      <c r="O3997">
        <v>-111.855206</v>
      </c>
      <c r="P3997">
        <v>4646.1620000000003</v>
      </c>
      <c r="Q3997">
        <v>414</v>
      </c>
      <c r="R3997">
        <v>0</v>
      </c>
    </row>
    <row r="3998" spans="1:18" x14ac:dyDescent="0.25">
      <c r="A3998">
        <v>3997</v>
      </c>
      <c r="B3998">
        <v>94</v>
      </c>
      <c r="C3998">
        <v>1488736</v>
      </c>
      <c r="D3998" t="s">
        <v>383</v>
      </c>
      <c r="E3998">
        <v>10.427</v>
      </c>
      <c r="F3998" t="s">
        <v>21</v>
      </c>
      <c r="G3998" t="s">
        <v>26</v>
      </c>
      <c r="H3998" t="s">
        <v>21</v>
      </c>
      <c r="I3998" t="s">
        <v>20</v>
      </c>
      <c r="J3998" t="s">
        <v>20</v>
      </c>
      <c r="K3998" t="s">
        <v>31</v>
      </c>
      <c r="L3998" t="s">
        <v>48</v>
      </c>
      <c r="M3998" t="s">
        <v>384</v>
      </c>
      <c r="N3998">
        <v>40.587800000000001</v>
      </c>
      <c r="O3998">
        <v>-111.924448</v>
      </c>
      <c r="P3998">
        <v>4305.3019999999997</v>
      </c>
      <c r="Q3998">
        <v>414</v>
      </c>
      <c r="R3998">
        <v>0</v>
      </c>
    </row>
    <row r="3999" spans="1:18" x14ac:dyDescent="0.25">
      <c r="A3999">
        <v>3998</v>
      </c>
      <c r="B3999">
        <v>94</v>
      </c>
      <c r="C3999">
        <v>27520290</v>
      </c>
      <c r="D3999" t="s">
        <v>383</v>
      </c>
      <c r="E3999">
        <v>0.77500000000000002</v>
      </c>
      <c r="F3999" t="s">
        <v>21</v>
      </c>
      <c r="G3999" t="s">
        <v>26</v>
      </c>
      <c r="H3999" t="s">
        <v>21</v>
      </c>
      <c r="I3999" t="s">
        <v>20</v>
      </c>
      <c r="J3999" t="s">
        <v>20</v>
      </c>
      <c r="K3999" t="s">
        <v>31</v>
      </c>
      <c r="L3999" t="s">
        <v>48</v>
      </c>
      <c r="M3999" t="s">
        <v>335</v>
      </c>
      <c r="N3999">
        <v>40.565187000000002</v>
      </c>
      <c r="O3999">
        <v>-112.100768</v>
      </c>
      <c r="P3999">
        <v>5438.5559999999996</v>
      </c>
      <c r="Q3999">
        <v>414</v>
      </c>
      <c r="R3999">
        <v>0</v>
      </c>
    </row>
    <row r="4000" spans="1:18" x14ac:dyDescent="0.25">
      <c r="A4000">
        <v>3999</v>
      </c>
      <c r="B4000">
        <v>94</v>
      </c>
      <c r="C4000">
        <v>27520336</v>
      </c>
      <c r="D4000" t="s">
        <v>383</v>
      </c>
      <c r="E4000">
        <v>0.83399999999999996</v>
      </c>
      <c r="F4000" t="s">
        <v>21</v>
      </c>
      <c r="G4000" t="s">
        <v>361</v>
      </c>
      <c r="H4000" t="s">
        <v>21</v>
      </c>
      <c r="I4000" t="s">
        <v>20</v>
      </c>
      <c r="J4000" t="s">
        <v>20</v>
      </c>
      <c r="K4000" t="s">
        <v>31</v>
      </c>
      <c r="L4000" t="s">
        <v>48</v>
      </c>
      <c r="M4000" t="s">
        <v>335</v>
      </c>
      <c r="N4000">
        <v>40.565441</v>
      </c>
      <c r="O4000">
        <v>-112.099712</v>
      </c>
      <c r="P4000">
        <v>5431.2150000000001</v>
      </c>
      <c r="Q4000">
        <v>414</v>
      </c>
      <c r="R4000">
        <v>0</v>
      </c>
    </row>
    <row r="4001" spans="1:18" x14ac:dyDescent="0.25">
      <c r="A4001">
        <v>4000</v>
      </c>
      <c r="B4001">
        <v>94</v>
      </c>
      <c r="C4001">
        <v>991373</v>
      </c>
      <c r="D4001" t="s">
        <v>68</v>
      </c>
      <c r="E4001">
        <v>4.8449999999999998</v>
      </c>
      <c r="F4001" t="s">
        <v>21</v>
      </c>
      <c r="G4001" t="s">
        <v>26</v>
      </c>
      <c r="H4001" t="s">
        <v>21</v>
      </c>
      <c r="I4001" t="s">
        <v>20</v>
      </c>
      <c r="J4001" t="s">
        <v>20</v>
      </c>
      <c r="K4001" t="s">
        <v>31</v>
      </c>
      <c r="L4001" t="s">
        <v>32</v>
      </c>
      <c r="M4001" t="s">
        <v>70</v>
      </c>
      <c r="N4001">
        <v>40.674306000000001</v>
      </c>
      <c r="O4001">
        <v>-111.86338600000001</v>
      </c>
      <c r="P4001">
        <v>4265.2403029999996</v>
      </c>
      <c r="Q4001">
        <v>431</v>
      </c>
      <c r="R4001">
        <v>0</v>
      </c>
    </row>
    <row r="4002" spans="1:18" x14ac:dyDescent="0.25">
      <c r="A4002">
        <v>4001</v>
      </c>
      <c r="B4002">
        <v>94</v>
      </c>
      <c r="C4002">
        <v>31191501</v>
      </c>
      <c r="D4002" t="s">
        <v>339</v>
      </c>
      <c r="E4002">
        <v>4.8479999999999999</v>
      </c>
      <c r="F4002" t="s">
        <v>21</v>
      </c>
      <c r="G4002" t="s">
        <v>26</v>
      </c>
      <c r="H4002" t="s">
        <v>21</v>
      </c>
      <c r="I4002" t="s">
        <v>20</v>
      </c>
      <c r="J4002" t="s">
        <v>20</v>
      </c>
      <c r="K4002" t="s">
        <v>41</v>
      </c>
      <c r="L4002" t="s">
        <v>95</v>
      </c>
      <c r="M4002" t="s">
        <v>73</v>
      </c>
      <c r="N4002">
        <v>41.917921999999997</v>
      </c>
      <c r="O4002">
        <v>-112.045117</v>
      </c>
      <c r="P4002">
        <v>4770.835008</v>
      </c>
      <c r="Q4002">
        <v>1417</v>
      </c>
      <c r="R4002">
        <v>0</v>
      </c>
    </row>
    <row r="4003" spans="1:18" x14ac:dyDescent="0.25">
      <c r="A4003">
        <v>4002</v>
      </c>
      <c r="B4003">
        <v>94</v>
      </c>
      <c r="C4003">
        <v>28504781</v>
      </c>
      <c r="D4003" t="s">
        <v>99</v>
      </c>
      <c r="E4003">
        <v>5.298</v>
      </c>
      <c r="F4003" t="s">
        <v>19</v>
      </c>
      <c r="G4003" t="s">
        <v>20</v>
      </c>
      <c r="H4003" t="s">
        <v>19</v>
      </c>
      <c r="I4003">
        <v>204</v>
      </c>
      <c r="J4003" t="s">
        <v>20</v>
      </c>
      <c r="K4003" t="s">
        <v>41</v>
      </c>
      <c r="L4003" t="s">
        <v>81</v>
      </c>
      <c r="M4003" t="s">
        <v>82</v>
      </c>
      <c r="N4003">
        <v>41.210355</v>
      </c>
      <c r="O4003">
        <v>-111.979235</v>
      </c>
      <c r="P4003">
        <v>4257.4176219999999</v>
      </c>
      <c r="Q4003">
        <v>1376</v>
      </c>
      <c r="R4003">
        <v>0</v>
      </c>
    </row>
    <row r="4004" spans="1:18" x14ac:dyDescent="0.25">
      <c r="A4004">
        <v>4003</v>
      </c>
      <c r="B4004">
        <v>94</v>
      </c>
      <c r="C4004">
        <v>27948225</v>
      </c>
      <c r="D4004" t="s">
        <v>265</v>
      </c>
      <c r="E4004">
        <v>4.4400000000000004</v>
      </c>
      <c r="F4004" t="s">
        <v>21</v>
      </c>
      <c r="G4004" t="s">
        <v>26</v>
      </c>
      <c r="H4004" t="s">
        <v>21</v>
      </c>
      <c r="I4004" t="s">
        <v>20</v>
      </c>
      <c r="J4004" t="s">
        <v>20</v>
      </c>
      <c r="K4004" t="s">
        <v>27</v>
      </c>
      <c r="L4004" t="s">
        <v>266</v>
      </c>
      <c r="M4004" t="s">
        <v>267</v>
      </c>
      <c r="N4004">
        <v>38.457526000000001</v>
      </c>
      <c r="O4004">
        <v>-111.615771</v>
      </c>
      <c r="P4004">
        <v>7146.1333089999998</v>
      </c>
      <c r="Q4004">
        <v>1371</v>
      </c>
      <c r="R4004">
        <v>0</v>
      </c>
    </row>
    <row r="4005" spans="1:18" x14ac:dyDescent="0.25">
      <c r="A4005">
        <v>4004</v>
      </c>
      <c r="B4005">
        <v>94</v>
      </c>
      <c r="C4005">
        <v>28478536</v>
      </c>
      <c r="D4005" t="s">
        <v>99</v>
      </c>
      <c r="E4005">
        <v>4.4450000000000003</v>
      </c>
      <c r="F4005" t="s">
        <v>21</v>
      </c>
      <c r="G4005" t="s">
        <v>20</v>
      </c>
      <c r="H4005" t="s">
        <v>21</v>
      </c>
      <c r="I4005" t="s">
        <v>20</v>
      </c>
      <c r="J4005" t="s">
        <v>20</v>
      </c>
      <c r="K4005" t="s">
        <v>41</v>
      </c>
      <c r="L4005" t="s">
        <v>81</v>
      </c>
      <c r="M4005" t="s">
        <v>82</v>
      </c>
      <c r="N4005">
        <v>41.210003999999998</v>
      </c>
      <c r="O4005">
        <v>-111.956749</v>
      </c>
      <c r="P4005">
        <v>4377.9275319999997</v>
      </c>
      <c r="Q4005">
        <v>1376</v>
      </c>
      <c r="R4005">
        <v>0</v>
      </c>
    </row>
    <row r="4006" spans="1:18" x14ac:dyDescent="0.25">
      <c r="A4006">
        <v>4005</v>
      </c>
      <c r="B4006">
        <v>94</v>
      </c>
      <c r="C4006">
        <v>31286756</v>
      </c>
      <c r="D4006" t="s">
        <v>241</v>
      </c>
      <c r="E4006">
        <v>39.151000000000003</v>
      </c>
      <c r="F4006" t="s">
        <v>21</v>
      </c>
      <c r="G4006" t="s">
        <v>26</v>
      </c>
      <c r="H4006" t="s">
        <v>21</v>
      </c>
      <c r="I4006" t="s">
        <v>20</v>
      </c>
      <c r="J4006" t="s">
        <v>20</v>
      </c>
      <c r="K4006" t="s">
        <v>27</v>
      </c>
      <c r="L4006" t="s">
        <v>111</v>
      </c>
      <c r="M4006" t="s">
        <v>243</v>
      </c>
      <c r="N4006">
        <v>39.216490999999998</v>
      </c>
      <c r="O4006">
        <v>-110.999196</v>
      </c>
      <c r="P4006">
        <v>5603.1446900000001</v>
      </c>
      <c r="Q4006">
        <v>1327</v>
      </c>
      <c r="R4006">
        <v>0</v>
      </c>
    </row>
    <row r="4007" spans="1:18" x14ac:dyDescent="0.25">
      <c r="A4007">
        <v>4006</v>
      </c>
      <c r="B4007">
        <v>94</v>
      </c>
      <c r="C4007">
        <v>31523007</v>
      </c>
      <c r="D4007" t="s">
        <v>132</v>
      </c>
      <c r="E4007">
        <v>39.156999999999996</v>
      </c>
      <c r="F4007" t="s">
        <v>21</v>
      </c>
      <c r="G4007" t="s">
        <v>26</v>
      </c>
      <c r="H4007" t="s">
        <v>21</v>
      </c>
      <c r="I4007" t="s">
        <v>20</v>
      </c>
      <c r="J4007" t="s">
        <v>20</v>
      </c>
      <c r="K4007" t="s">
        <v>22</v>
      </c>
      <c r="L4007" t="s">
        <v>234</v>
      </c>
      <c r="M4007" t="s">
        <v>277</v>
      </c>
      <c r="N4007">
        <v>40.462760000000003</v>
      </c>
      <c r="O4007">
        <v>-109.55071700000001</v>
      </c>
      <c r="P4007">
        <v>5365.0469679999997</v>
      </c>
      <c r="Q4007">
        <v>1405</v>
      </c>
      <c r="R4007">
        <v>0</v>
      </c>
    </row>
    <row r="4008" spans="1:18" x14ac:dyDescent="0.25">
      <c r="A4008">
        <v>4007</v>
      </c>
      <c r="B4008">
        <v>94</v>
      </c>
      <c r="C4008" t="e">
        <f>-IpQ14EqFLewAiDK96Tg7F</f>
        <v>#NAME?</v>
      </c>
      <c r="D4008" t="s">
        <v>317</v>
      </c>
      <c r="E4008">
        <v>39.161000000000001</v>
      </c>
      <c r="F4008" t="s">
        <v>21</v>
      </c>
      <c r="G4008" t="s">
        <v>20</v>
      </c>
      <c r="H4008" t="s">
        <v>21</v>
      </c>
      <c r="I4008" t="s">
        <v>20</v>
      </c>
      <c r="J4008" t="s">
        <v>20</v>
      </c>
      <c r="K4008" t="s">
        <v>27</v>
      </c>
      <c r="L4008" t="s">
        <v>211</v>
      </c>
      <c r="M4008" t="s">
        <v>212</v>
      </c>
      <c r="N4008">
        <v>37.260393999999998</v>
      </c>
      <c r="O4008">
        <v>-109.665448</v>
      </c>
      <c r="P4008">
        <v>4483.9677879999999</v>
      </c>
      <c r="Q4008">
        <v>1432</v>
      </c>
      <c r="R4008">
        <v>0</v>
      </c>
    </row>
    <row r="4009" spans="1:18" x14ac:dyDescent="0.25">
      <c r="A4009">
        <v>4008</v>
      </c>
      <c r="B4009">
        <v>94</v>
      </c>
      <c r="C4009">
        <v>31397669</v>
      </c>
      <c r="D4009" t="s">
        <v>124</v>
      </c>
      <c r="E4009">
        <v>39.167999999999999</v>
      </c>
      <c r="F4009" t="s">
        <v>21</v>
      </c>
      <c r="G4009" t="s">
        <v>26</v>
      </c>
      <c r="H4009" t="s">
        <v>21</v>
      </c>
      <c r="I4009" t="s">
        <v>20</v>
      </c>
      <c r="J4009" t="s">
        <v>20</v>
      </c>
      <c r="K4009" t="s">
        <v>31</v>
      </c>
      <c r="L4009" t="s">
        <v>89</v>
      </c>
      <c r="M4009" t="s">
        <v>125</v>
      </c>
      <c r="N4009">
        <v>40.477386000000003</v>
      </c>
      <c r="O4009">
        <v>-111.945487</v>
      </c>
      <c r="P4009">
        <v>4521.9005749999997</v>
      </c>
      <c r="Q4009">
        <v>1368</v>
      </c>
      <c r="R4009">
        <v>0</v>
      </c>
    </row>
    <row r="4010" spans="1:18" x14ac:dyDescent="0.25">
      <c r="A4010">
        <v>4009</v>
      </c>
      <c r="B4010">
        <v>94</v>
      </c>
      <c r="C4010">
        <v>31384034</v>
      </c>
      <c r="D4010" t="s">
        <v>116</v>
      </c>
      <c r="E4010">
        <v>39.17</v>
      </c>
      <c r="F4010" t="s">
        <v>21</v>
      </c>
      <c r="G4010" t="s">
        <v>26</v>
      </c>
      <c r="H4010" t="s">
        <v>21</v>
      </c>
      <c r="I4010" t="s">
        <v>20</v>
      </c>
      <c r="J4010" t="s">
        <v>20</v>
      </c>
      <c r="K4010" t="s">
        <v>41</v>
      </c>
      <c r="L4010" t="s">
        <v>95</v>
      </c>
      <c r="M4010" t="s">
        <v>117</v>
      </c>
      <c r="N4010">
        <v>41.910612999999998</v>
      </c>
      <c r="O4010">
        <v>-111.814617</v>
      </c>
      <c r="P4010">
        <v>4561.6747050000004</v>
      </c>
      <c r="Q4010">
        <v>324</v>
      </c>
      <c r="R4010">
        <v>0</v>
      </c>
    </row>
    <row r="4011" spans="1:18" x14ac:dyDescent="0.25">
      <c r="A4011">
        <v>4010</v>
      </c>
      <c r="B4011">
        <v>94</v>
      </c>
      <c r="C4011">
        <v>31397680</v>
      </c>
      <c r="D4011" t="s">
        <v>124</v>
      </c>
      <c r="E4011">
        <v>39.180999999999997</v>
      </c>
      <c r="F4011" t="s">
        <v>21</v>
      </c>
      <c r="G4011" t="s">
        <v>26</v>
      </c>
      <c r="H4011" t="s">
        <v>21</v>
      </c>
      <c r="I4011" t="s">
        <v>20</v>
      </c>
      <c r="J4011" t="s">
        <v>20</v>
      </c>
      <c r="K4011" t="s">
        <v>31</v>
      </c>
      <c r="L4011" t="s">
        <v>89</v>
      </c>
      <c r="M4011" t="s">
        <v>125</v>
      </c>
      <c r="N4011">
        <v>40.477563000000004</v>
      </c>
      <c r="O4011">
        <v>-111.94542300000001</v>
      </c>
      <c r="P4011">
        <v>4520.4842650000001</v>
      </c>
      <c r="Q4011">
        <v>1368</v>
      </c>
      <c r="R4011">
        <v>0</v>
      </c>
    </row>
    <row r="4012" spans="1:18" x14ac:dyDescent="0.25">
      <c r="A4012">
        <v>4011</v>
      </c>
      <c r="B4012">
        <v>94</v>
      </c>
      <c r="C4012">
        <v>31428405</v>
      </c>
      <c r="D4012" t="s">
        <v>221</v>
      </c>
      <c r="E4012">
        <v>29.97</v>
      </c>
      <c r="F4012" t="s">
        <v>21</v>
      </c>
      <c r="G4012" t="s">
        <v>26</v>
      </c>
      <c r="H4012" t="s">
        <v>19</v>
      </c>
      <c r="I4012">
        <v>78</v>
      </c>
      <c r="J4012" t="s">
        <v>20</v>
      </c>
      <c r="K4012" t="s">
        <v>22</v>
      </c>
      <c r="L4012" t="s">
        <v>155</v>
      </c>
      <c r="M4012" t="s">
        <v>174</v>
      </c>
      <c r="N4012">
        <v>39.55885</v>
      </c>
      <c r="O4012">
        <v>-111.86381299999999</v>
      </c>
      <c r="P4012">
        <v>5251.88112</v>
      </c>
      <c r="Q4012">
        <v>1342</v>
      </c>
      <c r="R4012">
        <v>0</v>
      </c>
    </row>
    <row r="4013" spans="1:18" x14ac:dyDescent="0.25">
      <c r="A4013">
        <v>4012</v>
      </c>
      <c r="B4013">
        <v>94</v>
      </c>
      <c r="C4013" t="e">
        <f>-JNOgzo9IaiJjG59NnlFBk</f>
        <v>#NAME?</v>
      </c>
      <c r="D4013" t="s">
        <v>124</v>
      </c>
      <c r="E4013">
        <v>29.972999999999999</v>
      </c>
      <c r="F4013" t="s">
        <v>21</v>
      </c>
      <c r="G4013" t="s">
        <v>20</v>
      </c>
      <c r="H4013" t="s">
        <v>21</v>
      </c>
      <c r="I4013" t="s">
        <v>20</v>
      </c>
      <c r="J4013" t="s">
        <v>20</v>
      </c>
      <c r="K4013" t="s">
        <v>22</v>
      </c>
      <c r="L4013" t="s">
        <v>84</v>
      </c>
      <c r="M4013" t="s">
        <v>194</v>
      </c>
      <c r="N4013">
        <v>40.347490999999998</v>
      </c>
      <c r="O4013">
        <v>-111.9164</v>
      </c>
      <c r="P4013">
        <v>4497.4012730000004</v>
      </c>
      <c r="Q4013">
        <v>1368</v>
      </c>
      <c r="R4013">
        <v>0</v>
      </c>
    </row>
    <row r="4014" spans="1:18" x14ac:dyDescent="0.25">
      <c r="A4014">
        <v>4013</v>
      </c>
      <c r="B4014">
        <v>94</v>
      </c>
      <c r="C4014">
        <v>31380951</v>
      </c>
      <c r="D4014" t="s">
        <v>116</v>
      </c>
      <c r="E4014">
        <v>29.974</v>
      </c>
      <c r="F4014" t="s">
        <v>21</v>
      </c>
      <c r="G4014" t="s">
        <v>26</v>
      </c>
      <c r="H4014" t="s">
        <v>21</v>
      </c>
      <c r="I4014" t="s">
        <v>20</v>
      </c>
      <c r="J4014" t="s">
        <v>20</v>
      </c>
      <c r="K4014" t="s">
        <v>41</v>
      </c>
      <c r="L4014" t="s">
        <v>95</v>
      </c>
      <c r="M4014" t="s">
        <v>117</v>
      </c>
      <c r="N4014">
        <v>41.780002000000003</v>
      </c>
      <c r="O4014">
        <v>-111.833915</v>
      </c>
      <c r="P4014">
        <v>4429.8569100000004</v>
      </c>
      <c r="Q4014">
        <v>324</v>
      </c>
      <c r="R4014">
        <v>0</v>
      </c>
    </row>
    <row r="4015" spans="1:18" x14ac:dyDescent="0.25">
      <c r="A4015">
        <v>4014</v>
      </c>
      <c r="B4015">
        <v>94</v>
      </c>
      <c r="C4015">
        <v>31508067</v>
      </c>
      <c r="D4015" t="s">
        <v>37</v>
      </c>
      <c r="E4015">
        <v>29.995000000000001</v>
      </c>
      <c r="F4015" t="s">
        <v>21</v>
      </c>
      <c r="G4015" t="s">
        <v>20</v>
      </c>
      <c r="H4015" t="s">
        <v>21</v>
      </c>
      <c r="I4015" t="s">
        <v>20</v>
      </c>
      <c r="J4015" t="s">
        <v>20</v>
      </c>
      <c r="K4015" t="s">
        <v>27</v>
      </c>
      <c r="L4015" t="s">
        <v>405</v>
      </c>
      <c r="M4015" t="s">
        <v>39</v>
      </c>
      <c r="N4015">
        <v>38.813377000000003</v>
      </c>
      <c r="O4015">
        <v>-109.302842</v>
      </c>
      <c r="P4015">
        <v>4064.3371870000001</v>
      </c>
      <c r="Q4015">
        <v>1319</v>
      </c>
      <c r="R4015">
        <v>0</v>
      </c>
    </row>
    <row r="4016" spans="1:18" x14ac:dyDescent="0.25">
      <c r="A4016">
        <v>4015</v>
      </c>
      <c r="B4016">
        <v>94</v>
      </c>
      <c r="C4016">
        <v>31561206</v>
      </c>
      <c r="D4016" t="s">
        <v>288</v>
      </c>
      <c r="E4016">
        <v>291.40600000000001</v>
      </c>
      <c r="F4016" t="s">
        <v>21</v>
      </c>
      <c r="G4016" t="s">
        <v>20</v>
      </c>
      <c r="H4016" t="s">
        <v>21</v>
      </c>
      <c r="I4016" t="s">
        <v>20</v>
      </c>
      <c r="J4016" t="s">
        <v>20</v>
      </c>
      <c r="K4016" t="s">
        <v>22</v>
      </c>
      <c r="L4016" t="s">
        <v>253</v>
      </c>
      <c r="M4016" t="s">
        <v>120</v>
      </c>
      <c r="N4016">
        <v>40.126018999999999</v>
      </c>
      <c r="O4016">
        <v>-110.44186500000001</v>
      </c>
      <c r="P4016">
        <v>5771.4374170000001</v>
      </c>
      <c r="Q4016">
        <v>350</v>
      </c>
      <c r="R4016">
        <v>0</v>
      </c>
    </row>
    <row r="4017" spans="1:18" x14ac:dyDescent="0.25">
      <c r="A4017">
        <v>4016</v>
      </c>
      <c r="B4017">
        <v>94</v>
      </c>
      <c r="C4017">
        <v>31730711</v>
      </c>
      <c r="D4017" t="s">
        <v>213</v>
      </c>
      <c r="E4017">
        <v>291.86700000000002</v>
      </c>
      <c r="F4017" t="s">
        <v>21</v>
      </c>
      <c r="G4017" t="s">
        <v>20</v>
      </c>
      <c r="H4017" t="s">
        <v>21</v>
      </c>
      <c r="I4017" t="s">
        <v>20</v>
      </c>
      <c r="J4017" t="s">
        <v>20</v>
      </c>
      <c r="K4017" t="s">
        <v>27</v>
      </c>
      <c r="L4017" t="s">
        <v>158</v>
      </c>
      <c r="M4017" t="s">
        <v>422</v>
      </c>
      <c r="N4017">
        <v>39.072364999999998</v>
      </c>
      <c r="O4017">
        <v>-110.31578399999999</v>
      </c>
      <c r="P4017">
        <v>4383.4900420000004</v>
      </c>
      <c r="Q4017">
        <v>1332</v>
      </c>
      <c r="R4017">
        <v>0</v>
      </c>
    </row>
    <row r="4018" spans="1:18" x14ac:dyDescent="0.25">
      <c r="A4018">
        <v>4017</v>
      </c>
      <c r="B4018">
        <v>94</v>
      </c>
      <c r="C4018">
        <v>31561217</v>
      </c>
      <c r="D4018" t="s">
        <v>288</v>
      </c>
      <c r="E4018">
        <v>292.53500000000003</v>
      </c>
      <c r="F4018" t="s">
        <v>21</v>
      </c>
      <c r="G4018" t="s">
        <v>26</v>
      </c>
      <c r="H4018" t="s">
        <v>21</v>
      </c>
      <c r="I4018" t="s">
        <v>20</v>
      </c>
      <c r="J4018" t="s">
        <v>20</v>
      </c>
      <c r="K4018" t="s">
        <v>22</v>
      </c>
      <c r="L4018" t="s">
        <v>253</v>
      </c>
      <c r="M4018" t="s">
        <v>120</v>
      </c>
      <c r="N4018">
        <v>40.136648000000001</v>
      </c>
      <c r="O4018">
        <v>-110.425954</v>
      </c>
      <c r="P4018">
        <v>5661.408453</v>
      </c>
      <c r="Q4018">
        <v>350</v>
      </c>
      <c r="R4018">
        <v>0</v>
      </c>
    </row>
    <row r="4019" spans="1:18" x14ac:dyDescent="0.25">
      <c r="A4019">
        <v>4018</v>
      </c>
      <c r="B4019">
        <v>94</v>
      </c>
      <c r="C4019" t="e">
        <f>-IoN7_YeG05nWkixk-fqpF</f>
        <v>#NAME?</v>
      </c>
      <c r="D4019" t="s">
        <v>272</v>
      </c>
      <c r="E4019">
        <v>293.202</v>
      </c>
      <c r="F4019" t="s">
        <v>21</v>
      </c>
      <c r="G4019" t="s">
        <v>26</v>
      </c>
      <c r="H4019" t="s">
        <v>21</v>
      </c>
      <c r="I4019" t="s">
        <v>20</v>
      </c>
      <c r="J4019" t="s">
        <v>20</v>
      </c>
      <c r="K4019" t="s">
        <v>27</v>
      </c>
      <c r="L4019" t="s">
        <v>230</v>
      </c>
      <c r="M4019" t="s">
        <v>174</v>
      </c>
      <c r="N4019">
        <v>39.759501</v>
      </c>
      <c r="O4019">
        <v>-111.482219</v>
      </c>
      <c r="P4019">
        <v>5981.326583</v>
      </c>
      <c r="Q4019">
        <v>1384</v>
      </c>
      <c r="R4019">
        <v>0</v>
      </c>
    </row>
    <row r="4020" spans="1:18" x14ac:dyDescent="0.25">
      <c r="A4020">
        <v>4019</v>
      </c>
      <c r="B4020">
        <v>94</v>
      </c>
      <c r="C4020">
        <v>31435969</v>
      </c>
      <c r="D4020" t="s">
        <v>107</v>
      </c>
      <c r="E4020">
        <v>3.1720000000000002</v>
      </c>
      <c r="F4020" t="s">
        <v>21</v>
      </c>
      <c r="G4020" t="s">
        <v>20</v>
      </c>
      <c r="H4020" t="s">
        <v>21</v>
      </c>
      <c r="I4020" t="s">
        <v>20</v>
      </c>
      <c r="J4020" t="s">
        <v>20</v>
      </c>
      <c r="K4020" t="s">
        <v>41</v>
      </c>
      <c r="L4020" t="s">
        <v>81</v>
      </c>
      <c r="M4020" t="s">
        <v>93</v>
      </c>
      <c r="N4020">
        <v>41.238604000000002</v>
      </c>
      <c r="O4020">
        <v>-111.97852</v>
      </c>
      <c r="P4020">
        <v>4234.1637449999998</v>
      </c>
      <c r="Q4020">
        <v>413</v>
      </c>
      <c r="R4020">
        <v>0</v>
      </c>
    </row>
    <row r="4021" spans="1:18" x14ac:dyDescent="0.25">
      <c r="A4021">
        <v>4020</v>
      </c>
      <c r="B4021">
        <v>94</v>
      </c>
      <c r="C4021">
        <v>31332024</v>
      </c>
      <c r="D4021" t="s">
        <v>303</v>
      </c>
      <c r="E4021">
        <v>30.196999999999999</v>
      </c>
      <c r="F4021" t="s">
        <v>21</v>
      </c>
      <c r="G4021" t="s">
        <v>20</v>
      </c>
      <c r="H4021" t="s">
        <v>21</v>
      </c>
      <c r="I4021" t="s">
        <v>20</v>
      </c>
      <c r="J4021" t="s">
        <v>20</v>
      </c>
      <c r="K4021" t="s">
        <v>27</v>
      </c>
      <c r="L4021" t="s">
        <v>72</v>
      </c>
      <c r="M4021" t="s">
        <v>73</v>
      </c>
      <c r="N4021">
        <v>37.172324000000003</v>
      </c>
      <c r="O4021">
        <v>-113.013255</v>
      </c>
      <c r="P4021">
        <v>3737.916667</v>
      </c>
      <c r="Q4021">
        <v>1326</v>
      </c>
      <c r="R4021">
        <v>0</v>
      </c>
    </row>
    <row r="4022" spans="1:18" x14ac:dyDescent="0.25">
      <c r="A4022">
        <v>4021</v>
      </c>
      <c r="B4022">
        <v>94</v>
      </c>
      <c r="C4022">
        <v>31741500</v>
      </c>
      <c r="D4022" t="s">
        <v>290</v>
      </c>
      <c r="E4022">
        <v>30.199000000000002</v>
      </c>
      <c r="F4022" t="s">
        <v>21</v>
      </c>
      <c r="G4022" t="s">
        <v>20</v>
      </c>
      <c r="H4022" t="s">
        <v>21</v>
      </c>
      <c r="I4022" t="s">
        <v>20</v>
      </c>
      <c r="J4022" t="s">
        <v>20</v>
      </c>
      <c r="K4022" t="s">
        <v>41</v>
      </c>
      <c r="L4022" t="s">
        <v>291</v>
      </c>
      <c r="M4022" t="s">
        <v>238</v>
      </c>
      <c r="N4022">
        <v>41.570650999999998</v>
      </c>
      <c r="O4022">
        <v>-113.579697</v>
      </c>
      <c r="P4022">
        <v>4800.374511</v>
      </c>
      <c r="Q4022">
        <v>1343</v>
      </c>
      <c r="R4022">
        <v>0</v>
      </c>
    </row>
    <row r="4023" spans="1:18" x14ac:dyDescent="0.25">
      <c r="A4023">
        <v>4022</v>
      </c>
      <c r="B4023">
        <v>94</v>
      </c>
      <c r="C4023">
        <v>31617527</v>
      </c>
      <c r="D4023" t="s">
        <v>50</v>
      </c>
      <c r="E4023">
        <v>30.212</v>
      </c>
      <c r="F4023" t="s">
        <v>21</v>
      </c>
      <c r="G4023" t="s">
        <v>20</v>
      </c>
      <c r="H4023" t="s">
        <v>21</v>
      </c>
      <c r="I4023" t="s">
        <v>20</v>
      </c>
      <c r="J4023" t="s">
        <v>20</v>
      </c>
      <c r="K4023" t="s">
        <v>27</v>
      </c>
      <c r="L4023" t="s">
        <v>247</v>
      </c>
      <c r="M4023" t="s">
        <v>52</v>
      </c>
      <c r="N4023">
        <v>37.671855999999998</v>
      </c>
      <c r="O4023">
        <v>-112.667315</v>
      </c>
      <c r="P4023">
        <v>8423.3941909999994</v>
      </c>
      <c r="Q4023">
        <v>1418</v>
      </c>
      <c r="R4023">
        <v>0</v>
      </c>
    </row>
    <row r="4024" spans="1:18" x14ac:dyDescent="0.25">
      <c r="A4024">
        <v>4023</v>
      </c>
      <c r="B4024">
        <v>94</v>
      </c>
      <c r="C4024">
        <v>31335559</v>
      </c>
      <c r="D4024" t="s">
        <v>303</v>
      </c>
      <c r="E4024">
        <v>31.984999999999999</v>
      </c>
      <c r="F4024" t="s">
        <v>21</v>
      </c>
      <c r="G4024" t="s">
        <v>20</v>
      </c>
      <c r="H4024" t="s">
        <v>21</v>
      </c>
      <c r="I4024" t="s">
        <v>20</v>
      </c>
      <c r="J4024" t="s">
        <v>20</v>
      </c>
      <c r="K4024" t="s">
        <v>27</v>
      </c>
      <c r="L4024" t="s">
        <v>72</v>
      </c>
      <c r="M4024" t="s">
        <v>73</v>
      </c>
      <c r="N4024">
        <v>37.191865999999997</v>
      </c>
      <c r="O4024">
        <v>-112.993878</v>
      </c>
      <c r="P4024">
        <v>3827.1162039999999</v>
      </c>
      <c r="Q4024">
        <v>1326</v>
      </c>
      <c r="R4024">
        <v>0</v>
      </c>
    </row>
    <row r="4025" spans="1:18" x14ac:dyDescent="0.25">
      <c r="A4025">
        <v>4024</v>
      </c>
      <c r="B4025">
        <v>94</v>
      </c>
      <c r="C4025">
        <v>27720499</v>
      </c>
      <c r="D4025" t="s">
        <v>217</v>
      </c>
      <c r="E4025">
        <v>31.988</v>
      </c>
      <c r="F4025" t="s">
        <v>21</v>
      </c>
      <c r="G4025" t="s">
        <v>26</v>
      </c>
      <c r="H4025" t="s">
        <v>21</v>
      </c>
      <c r="I4025" t="s">
        <v>20</v>
      </c>
      <c r="J4025" t="s">
        <v>20</v>
      </c>
      <c r="K4025" t="s">
        <v>27</v>
      </c>
      <c r="L4025" t="s">
        <v>162</v>
      </c>
      <c r="M4025" t="s">
        <v>163</v>
      </c>
      <c r="N4025">
        <v>37.484287000000002</v>
      </c>
      <c r="O4025">
        <v>-113.629091</v>
      </c>
      <c r="P4025">
        <v>5767.7366229999998</v>
      </c>
      <c r="Q4025">
        <v>304</v>
      </c>
      <c r="R4025">
        <v>0</v>
      </c>
    </row>
    <row r="4026" spans="1:18" x14ac:dyDescent="0.25">
      <c r="A4026">
        <v>4025</v>
      </c>
      <c r="B4026">
        <v>94</v>
      </c>
      <c r="C4026">
        <v>31429371</v>
      </c>
      <c r="D4026" t="s">
        <v>221</v>
      </c>
      <c r="E4026">
        <v>31.997</v>
      </c>
      <c r="F4026" t="s">
        <v>21</v>
      </c>
      <c r="G4026" t="s">
        <v>26</v>
      </c>
      <c r="H4026" t="s">
        <v>21</v>
      </c>
      <c r="I4026" t="s">
        <v>20</v>
      </c>
      <c r="J4026" t="s">
        <v>20</v>
      </c>
      <c r="K4026" t="s">
        <v>22</v>
      </c>
      <c r="L4026" t="s">
        <v>155</v>
      </c>
      <c r="M4026" t="s">
        <v>174</v>
      </c>
      <c r="N4026">
        <v>39.587454999999999</v>
      </c>
      <c r="O4026">
        <v>-111.86174</v>
      </c>
      <c r="P4026">
        <v>5212.6839419999997</v>
      </c>
      <c r="Q4026">
        <v>1342</v>
      </c>
      <c r="R4026">
        <v>0</v>
      </c>
    </row>
    <row r="4027" spans="1:18" x14ac:dyDescent="0.25">
      <c r="A4027">
        <v>4026</v>
      </c>
      <c r="B4027">
        <v>94</v>
      </c>
      <c r="C4027" t="s">
        <v>644</v>
      </c>
      <c r="D4027" t="s">
        <v>272</v>
      </c>
      <c r="E4027">
        <v>311.35700000000003</v>
      </c>
      <c r="F4027" t="s">
        <v>21</v>
      </c>
      <c r="G4027" t="s">
        <v>26</v>
      </c>
      <c r="H4027" t="s">
        <v>21</v>
      </c>
      <c r="I4027" t="s">
        <v>20</v>
      </c>
      <c r="J4027" t="s">
        <v>20</v>
      </c>
      <c r="K4027" t="s">
        <v>22</v>
      </c>
      <c r="L4027" t="s">
        <v>140</v>
      </c>
      <c r="M4027" t="s">
        <v>174</v>
      </c>
      <c r="N4027">
        <v>39.993954000000002</v>
      </c>
      <c r="O4027">
        <v>-111.49421</v>
      </c>
      <c r="P4027">
        <v>5018.084073</v>
      </c>
      <c r="Q4027">
        <v>1384</v>
      </c>
      <c r="R4027">
        <v>0</v>
      </c>
    </row>
    <row r="4028" spans="1:18" x14ac:dyDescent="0.25">
      <c r="A4028">
        <v>4027</v>
      </c>
      <c r="B4028">
        <v>94</v>
      </c>
      <c r="C4028" t="e">
        <f>-IpiWXPjGMuLyMWdo3Dztk</f>
        <v>#NAME?</v>
      </c>
      <c r="D4028" t="s">
        <v>272</v>
      </c>
      <c r="E4028">
        <v>311.51600000000002</v>
      </c>
      <c r="F4028" t="s">
        <v>21</v>
      </c>
      <c r="G4028" t="s">
        <v>20</v>
      </c>
      <c r="H4028" t="s">
        <v>21</v>
      </c>
      <c r="I4028" t="s">
        <v>20</v>
      </c>
      <c r="J4028" t="s">
        <v>20</v>
      </c>
      <c r="K4028" t="s">
        <v>22</v>
      </c>
      <c r="L4028" t="s">
        <v>140</v>
      </c>
      <c r="M4028" t="s">
        <v>174</v>
      </c>
      <c r="N4028">
        <v>39.994441000000002</v>
      </c>
      <c r="O4028">
        <v>-111.49131199999999</v>
      </c>
      <c r="P4028">
        <v>5014.8634890000003</v>
      </c>
      <c r="Q4028">
        <v>1384</v>
      </c>
      <c r="R4028">
        <v>0</v>
      </c>
    </row>
    <row r="4029" spans="1:18" x14ac:dyDescent="0.25">
      <c r="A4029">
        <v>4028</v>
      </c>
      <c r="B4029">
        <v>94</v>
      </c>
      <c r="C4029">
        <v>31301173</v>
      </c>
      <c r="D4029" t="s">
        <v>316</v>
      </c>
      <c r="E4029">
        <v>32.027999999999999</v>
      </c>
      <c r="F4029" t="s">
        <v>21</v>
      </c>
      <c r="G4029" t="s">
        <v>26</v>
      </c>
      <c r="H4029" t="s">
        <v>21</v>
      </c>
      <c r="I4029" t="s">
        <v>20</v>
      </c>
      <c r="J4029" t="s">
        <v>20</v>
      </c>
      <c r="K4029" t="s">
        <v>22</v>
      </c>
      <c r="L4029" t="s">
        <v>168</v>
      </c>
      <c r="M4029" t="s">
        <v>302</v>
      </c>
      <c r="N4029">
        <v>40.462963000000002</v>
      </c>
      <c r="O4029">
        <v>-110.832339</v>
      </c>
      <c r="P4029">
        <v>6938.2215569999998</v>
      </c>
      <c r="Q4029">
        <v>1346</v>
      </c>
      <c r="R4029">
        <v>0</v>
      </c>
    </row>
    <row r="4030" spans="1:18" x14ac:dyDescent="0.25">
      <c r="A4030">
        <v>4029</v>
      </c>
      <c r="B4030">
        <v>94</v>
      </c>
      <c r="C4030">
        <v>31534704</v>
      </c>
      <c r="D4030" t="s">
        <v>121</v>
      </c>
      <c r="E4030">
        <v>32.048000000000002</v>
      </c>
      <c r="F4030" t="s">
        <v>21</v>
      </c>
      <c r="G4030" t="s">
        <v>26</v>
      </c>
      <c r="H4030" t="s">
        <v>21</v>
      </c>
      <c r="I4030" t="s">
        <v>20</v>
      </c>
      <c r="J4030" t="s">
        <v>20</v>
      </c>
      <c r="K4030" t="s">
        <v>27</v>
      </c>
      <c r="L4030" t="s">
        <v>122</v>
      </c>
      <c r="M4030" t="s">
        <v>123</v>
      </c>
      <c r="N4030">
        <v>37.615383999999999</v>
      </c>
      <c r="O4030">
        <v>-110.720197</v>
      </c>
      <c r="P4030">
        <v>3845.8491330000002</v>
      </c>
      <c r="Q4030">
        <v>1283</v>
      </c>
      <c r="R4030">
        <v>0</v>
      </c>
    </row>
    <row r="4031" spans="1:18" x14ac:dyDescent="0.25">
      <c r="A4031">
        <v>4030</v>
      </c>
      <c r="B4031">
        <v>94</v>
      </c>
      <c r="C4031">
        <v>31342601</v>
      </c>
      <c r="D4031" t="s">
        <v>303</v>
      </c>
      <c r="E4031">
        <v>32.076999999999998</v>
      </c>
      <c r="F4031" t="s">
        <v>21</v>
      </c>
      <c r="G4031" t="s">
        <v>26</v>
      </c>
      <c r="H4031" t="s">
        <v>21</v>
      </c>
      <c r="I4031" t="s">
        <v>20</v>
      </c>
      <c r="J4031" t="s">
        <v>20</v>
      </c>
      <c r="K4031" t="s">
        <v>27</v>
      </c>
      <c r="L4031" t="s">
        <v>72</v>
      </c>
      <c r="M4031" t="s">
        <v>73</v>
      </c>
      <c r="N4031">
        <v>37.193128000000002</v>
      </c>
      <c r="O4031">
        <v>-112.99340100000001</v>
      </c>
      <c r="P4031">
        <v>3843.5855689999999</v>
      </c>
      <c r="Q4031">
        <v>1326</v>
      </c>
      <c r="R4031">
        <v>0</v>
      </c>
    </row>
    <row r="4032" spans="1:18" x14ac:dyDescent="0.25">
      <c r="A4032">
        <v>4031</v>
      </c>
      <c r="B4032">
        <v>94</v>
      </c>
      <c r="C4032">
        <v>31501182</v>
      </c>
      <c r="D4032" t="s">
        <v>129</v>
      </c>
      <c r="E4032">
        <v>32.122999999999998</v>
      </c>
      <c r="F4032" t="s">
        <v>21</v>
      </c>
      <c r="G4032" t="s">
        <v>20</v>
      </c>
      <c r="H4032" t="s">
        <v>21</v>
      </c>
      <c r="I4032" t="s">
        <v>20</v>
      </c>
      <c r="J4032" t="s">
        <v>20</v>
      </c>
      <c r="K4032" t="s">
        <v>31</v>
      </c>
      <c r="L4032" t="s">
        <v>130</v>
      </c>
      <c r="M4032" t="s">
        <v>302</v>
      </c>
      <c r="N4032">
        <v>40.713379000000003</v>
      </c>
      <c r="O4032">
        <v>-110.891853</v>
      </c>
      <c r="P4032">
        <v>10079.384699</v>
      </c>
      <c r="Q4032">
        <v>340</v>
      </c>
      <c r="R4032">
        <v>0</v>
      </c>
    </row>
    <row r="4033" spans="1:18" x14ac:dyDescent="0.25">
      <c r="A4033">
        <v>4032</v>
      </c>
      <c r="B4033">
        <v>94</v>
      </c>
      <c r="C4033">
        <v>31391432</v>
      </c>
      <c r="D4033" t="s">
        <v>184</v>
      </c>
      <c r="E4033">
        <v>32.128</v>
      </c>
      <c r="F4033" t="s">
        <v>21</v>
      </c>
      <c r="G4033" t="s">
        <v>26</v>
      </c>
      <c r="H4033" t="s">
        <v>21</v>
      </c>
      <c r="I4033" t="s">
        <v>20</v>
      </c>
      <c r="J4033" t="s">
        <v>20</v>
      </c>
      <c r="K4033" t="s">
        <v>27</v>
      </c>
      <c r="L4033" t="s">
        <v>143</v>
      </c>
      <c r="M4033" t="s">
        <v>55</v>
      </c>
      <c r="N4033">
        <v>38.075792</v>
      </c>
      <c r="O4033">
        <v>-112.95804</v>
      </c>
      <c r="P4033">
        <v>6428.8067520000004</v>
      </c>
      <c r="Q4033">
        <v>1410</v>
      </c>
      <c r="R4033">
        <v>0</v>
      </c>
    </row>
    <row r="4034" spans="1:18" x14ac:dyDescent="0.25">
      <c r="A4034">
        <v>4033</v>
      </c>
      <c r="B4034">
        <v>94</v>
      </c>
      <c r="C4034">
        <v>31335570</v>
      </c>
      <c r="D4034" t="s">
        <v>303</v>
      </c>
      <c r="E4034">
        <v>32.130000000000003</v>
      </c>
      <c r="F4034" t="s">
        <v>21</v>
      </c>
      <c r="G4034" t="s">
        <v>26</v>
      </c>
      <c r="H4034" t="s">
        <v>21</v>
      </c>
      <c r="I4034" t="s">
        <v>20</v>
      </c>
      <c r="J4034" t="s">
        <v>20</v>
      </c>
      <c r="K4034" t="s">
        <v>27</v>
      </c>
      <c r="L4034" t="s">
        <v>72</v>
      </c>
      <c r="M4034" t="s">
        <v>73</v>
      </c>
      <c r="N4034">
        <v>37.193880999999998</v>
      </c>
      <c r="O4034">
        <v>-112.993197</v>
      </c>
      <c r="P4034">
        <v>3848.7911450000001</v>
      </c>
      <c r="Q4034">
        <v>1326</v>
      </c>
      <c r="R4034">
        <v>0</v>
      </c>
    </row>
    <row r="4035" spans="1:18" x14ac:dyDescent="0.25">
      <c r="A4035">
        <v>4034</v>
      </c>
      <c r="B4035">
        <v>94</v>
      </c>
      <c r="C4035">
        <v>31381451</v>
      </c>
      <c r="D4035" t="s">
        <v>116</v>
      </c>
      <c r="E4035">
        <v>32.237000000000002</v>
      </c>
      <c r="F4035" t="s">
        <v>21</v>
      </c>
      <c r="G4035" t="s">
        <v>26</v>
      </c>
      <c r="H4035" t="s">
        <v>21</v>
      </c>
      <c r="I4035" t="s">
        <v>20</v>
      </c>
      <c r="J4035" t="s">
        <v>20</v>
      </c>
      <c r="K4035" t="s">
        <v>41</v>
      </c>
      <c r="L4035" t="s">
        <v>95</v>
      </c>
      <c r="M4035" t="s">
        <v>117</v>
      </c>
      <c r="N4035">
        <v>41.812759</v>
      </c>
      <c r="O4035">
        <v>-111.833217</v>
      </c>
      <c r="P4035">
        <v>4446.2404459999998</v>
      </c>
      <c r="Q4035">
        <v>324</v>
      </c>
      <c r="R4035">
        <v>0</v>
      </c>
    </row>
    <row r="4036" spans="1:18" x14ac:dyDescent="0.25">
      <c r="A4036">
        <v>4035</v>
      </c>
      <c r="B4036">
        <v>94</v>
      </c>
      <c r="C4036">
        <v>31792576</v>
      </c>
      <c r="D4036" t="s">
        <v>100</v>
      </c>
      <c r="E4036">
        <v>4.1100000000000003</v>
      </c>
      <c r="F4036" t="s">
        <v>21</v>
      </c>
      <c r="G4036" t="s">
        <v>20</v>
      </c>
      <c r="H4036" t="s">
        <v>21</v>
      </c>
      <c r="I4036" t="s">
        <v>20</v>
      </c>
      <c r="J4036" t="s">
        <v>20</v>
      </c>
      <c r="K4036" t="s">
        <v>41</v>
      </c>
      <c r="L4036" t="s">
        <v>57</v>
      </c>
      <c r="M4036" t="s">
        <v>46</v>
      </c>
      <c r="N4036">
        <v>41.090646999999997</v>
      </c>
      <c r="O4036">
        <v>-112.06464099999999</v>
      </c>
      <c r="P4036">
        <v>4227.698034</v>
      </c>
      <c r="Q4036">
        <v>1396</v>
      </c>
      <c r="R4036">
        <v>0</v>
      </c>
    </row>
    <row r="4037" spans="1:18" x14ac:dyDescent="0.25">
      <c r="A4037">
        <v>4036</v>
      </c>
      <c r="B4037">
        <v>94</v>
      </c>
      <c r="C4037">
        <v>779347</v>
      </c>
      <c r="D4037" t="s">
        <v>68</v>
      </c>
      <c r="E4037">
        <v>4.1109999999999998</v>
      </c>
      <c r="F4037" t="s">
        <v>21</v>
      </c>
      <c r="G4037" t="s">
        <v>26</v>
      </c>
      <c r="H4037" t="s">
        <v>21</v>
      </c>
      <c r="I4037" t="s">
        <v>20</v>
      </c>
      <c r="J4037" t="s">
        <v>20</v>
      </c>
      <c r="K4037" t="s">
        <v>31</v>
      </c>
      <c r="L4037" t="s">
        <v>69</v>
      </c>
      <c r="M4037" t="s">
        <v>70</v>
      </c>
      <c r="N4037">
        <v>40.674292999999999</v>
      </c>
      <c r="O4037">
        <v>-111.877341</v>
      </c>
      <c r="P4037">
        <v>4239.5263130000003</v>
      </c>
      <c r="Q4037">
        <v>431</v>
      </c>
      <c r="R4037">
        <v>0</v>
      </c>
    </row>
    <row r="4038" spans="1:18" x14ac:dyDescent="0.25">
      <c r="A4038">
        <v>4037</v>
      </c>
      <c r="B4038">
        <v>94</v>
      </c>
      <c r="C4038">
        <v>31444257</v>
      </c>
      <c r="D4038" t="s">
        <v>107</v>
      </c>
      <c r="E4038">
        <v>4.1120000000000001</v>
      </c>
      <c r="F4038" t="s">
        <v>21</v>
      </c>
      <c r="G4038" t="s">
        <v>26</v>
      </c>
      <c r="H4038" t="s">
        <v>21</v>
      </c>
      <c r="I4038" t="s">
        <v>20</v>
      </c>
      <c r="J4038" t="s">
        <v>20</v>
      </c>
      <c r="K4038" t="s">
        <v>41</v>
      </c>
      <c r="L4038" t="s">
        <v>81</v>
      </c>
      <c r="M4038" t="s">
        <v>93</v>
      </c>
      <c r="N4038">
        <v>41.252263999999997</v>
      </c>
      <c r="O4038">
        <v>-111.978033</v>
      </c>
      <c r="P4038">
        <v>4224.1300160000001</v>
      </c>
      <c r="Q4038">
        <v>413</v>
      </c>
      <c r="R4038">
        <v>0</v>
      </c>
    </row>
    <row r="4039" spans="1:18" x14ac:dyDescent="0.25">
      <c r="A4039">
        <v>4038</v>
      </c>
      <c r="B4039">
        <v>94</v>
      </c>
      <c r="C4039">
        <v>1018554</v>
      </c>
      <c r="D4039" t="s">
        <v>65</v>
      </c>
      <c r="E4039">
        <v>4.1139999999999999</v>
      </c>
      <c r="F4039" t="s">
        <v>21</v>
      </c>
      <c r="G4039" t="s">
        <v>26</v>
      </c>
      <c r="H4039" t="s">
        <v>21</v>
      </c>
      <c r="I4039" t="s">
        <v>20</v>
      </c>
      <c r="J4039" t="s">
        <v>20</v>
      </c>
      <c r="K4039" t="s">
        <v>31</v>
      </c>
      <c r="L4039" t="s">
        <v>66</v>
      </c>
      <c r="M4039" t="s">
        <v>67</v>
      </c>
      <c r="N4039">
        <v>40.758806999999997</v>
      </c>
      <c r="O4039">
        <v>-111.862223</v>
      </c>
      <c r="P4039">
        <v>4389.5415789999997</v>
      </c>
      <c r="Q4039">
        <v>402</v>
      </c>
      <c r="R4039">
        <v>0</v>
      </c>
    </row>
    <row r="4040" spans="1:18" x14ac:dyDescent="0.25">
      <c r="A4040">
        <v>4039</v>
      </c>
      <c r="B4040">
        <v>94</v>
      </c>
      <c r="C4040">
        <v>532042</v>
      </c>
      <c r="D4040" t="s">
        <v>44</v>
      </c>
      <c r="E4040">
        <v>4.1189999999999998</v>
      </c>
      <c r="F4040" t="s">
        <v>21</v>
      </c>
      <c r="G4040" t="s">
        <v>26</v>
      </c>
      <c r="H4040" t="s">
        <v>21</v>
      </c>
      <c r="I4040" t="s">
        <v>20</v>
      </c>
      <c r="J4040" t="s">
        <v>20</v>
      </c>
      <c r="K4040" t="s">
        <v>41</v>
      </c>
      <c r="L4040" t="s">
        <v>45</v>
      </c>
      <c r="M4040" t="s">
        <v>46</v>
      </c>
      <c r="N4040">
        <v>40.937041999999998</v>
      </c>
      <c r="O4040">
        <v>-111.87913399999999</v>
      </c>
      <c r="P4040">
        <v>4265.555754</v>
      </c>
      <c r="Q4040">
        <v>1395</v>
      </c>
      <c r="R4040">
        <v>0</v>
      </c>
    </row>
    <row r="4041" spans="1:18" x14ac:dyDescent="0.25">
      <c r="A4041">
        <v>4040</v>
      </c>
      <c r="B4041">
        <v>94</v>
      </c>
      <c r="C4041" t="e">
        <f>-IpUxkEUH0aNmlK76myXyF</f>
        <v>#NAME?</v>
      </c>
      <c r="D4041" t="s">
        <v>272</v>
      </c>
      <c r="E4041">
        <v>421.44900000000001</v>
      </c>
      <c r="F4041" t="s">
        <v>21</v>
      </c>
      <c r="G4041" t="s">
        <v>26</v>
      </c>
      <c r="H4041" t="s">
        <v>21</v>
      </c>
      <c r="I4041" t="s">
        <v>20</v>
      </c>
      <c r="J4041" t="s">
        <v>20</v>
      </c>
      <c r="K4041" t="s">
        <v>41</v>
      </c>
      <c r="L4041" t="s">
        <v>81</v>
      </c>
      <c r="M4041" t="s">
        <v>46</v>
      </c>
      <c r="N4041">
        <v>41.321232000000002</v>
      </c>
      <c r="O4041">
        <v>-112.016693</v>
      </c>
      <c r="P4041">
        <v>4241.8796519999996</v>
      </c>
      <c r="Q4041">
        <v>1384</v>
      </c>
      <c r="R4041">
        <v>0</v>
      </c>
    </row>
    <row r="4042" spans="1:18" x14ac:dyDescent="0.25">
      <c r="A4042">
        <v>4041</v>
      </c>
      <c r="B4042">
        <v>94</v>
      </c>
      <c r="C4042" t="s">
        <v>645</v>
      </c>
      <c r="D4042" t="s">
        <v>272</v>
      </c>
      <c r="E4042">
        <v>421.726</v>
      </c>
      <c r="F4042" t="s">
        <v>21</v>
      </c>
      <c r="G4042" t="s">
        <v>26</v>
      </c>
      <c r="H4042" t="s">
        <v>21</v>
      </c>
      <c r="I4042" t="s">
        <v>20</v>
      </c>
      <c r="J4042" t="s">
        <v>20</v>
      </c>
      <c r="K4042" t="s">
        <v>41</v>
      </c>
      <c r="L4042" t="s">
        <v>81</v>
      </c>
      <c r="M4042" t="s">
        <v>46</v>
      </c>
      <c r="N4042">
        <v>41.324694999999998</v>
      </c>
      <c r="O4042">
        <v>-112.019299</v>
      </c>
      <c r="P4042">
        <v>4241.4880130000001</v>
      </c>
      <c r="Q4042">
        <v>1384</v>
      </c>
      <c r="R4042">
        <v>0</v>
      </c>
    </row>
    <row r="4043" spans="1:18" x14ac:dyDescent="0.25">
      <c r="A4043">
        <v>4042</v>
      </c>
      <c r="B4043">
        <v>94</v>
      </c>
      <c r="C4043" t="s">
        <v>646</v>
      </c>
      <c r="D4043" t="s">
        <v>272</v>
      </c>
      <c r="E4043">
        <v>421.74299999999999</v>
      </c>
      <c r="F4043" t="s">
        <v>21</v>
      </c>
      <c r="G4043" t="s">
        <v>20</v>
      </c>
      <c r="H4043" t="s">
        <v>21</v>
      </c>
      <c r="I4043" t="s">
        <v>20</v>
      </c>
      <c r="J4043" t="s">
        <v>20</v>
      </c>
      <c r="K4043" t="s">
        <v>41</v>
      </c>
      <c r="L4043" t="s">
        <v>81</v>
      </c>
      <c r="M4043" t="s">
        <v>46</v>
      </c>
      <c r="N4043">
        <v>41.324911</v>
      </c>
      <c r="O4043">
        <v>-112.01945000000001</v>
      </c>
      <c r="P4043">
        <v>4241.4665660000001</v>
      </c>
      <c r="Q4043">
        <v>1384</v>
      </c>
      <c r="R4043">
        <v>0</v>
      </c>
    </row>
    <row r="4044" spans="1:18" x14ac:dyDescent="0.25">
      <c r="A4044">
        <v>4043</v>
      </c>
      <c r="B4044">
        <v>94</v>
      </c>
      <c r="C4044" t="e">
        <f>-IpUz2FeHxTdCpAlZ3-S6F</f>
        <v>#NAME?</v>
      </c>
      <c r="D4044" t="s">
        <v>272</v>
      </c>
      <c r="E4044">
        <v>422.048</v>
      </c>
      <c r="F4044" t="s">
        <v>21</v>
      </c>
      <c r="G4044" t="s">
        <v>20</v>
      </c>
      <c r="H4044" t="s">
        <v>21</v>
      </c>
      <c r="I4044" t="s">
        <v>20</v>
      </c>
      <c r="J4044" t="s">
        <v>20</v>
      </c>
      <c r="K4044" t="s">
        <v>41</v>
      </c>
      <c r="L4044" t="s">
        <v>81</v>
      </c>
      <c r="M4044" t="s">
        <v>46</v>
      </c>
      <c r="N4044">
        <v>41.328741000000001</v>
      </c>
      <c r="O4044">
        <v>-112.022336</v>
      </c>
      <c r="P4044">
        <v>4236.691984</v>
      </c>
      <c r="Q4044">
        <v>1384</v>
      </c>
      <c r="R4044">
        <v>0</v>
      </c>
    </row>
    <row r="4045" spans="1:18" x14ac:dyDescent="0.25">
      <c r="A4045">
        <v>4044</v>
      </c>
      <c r="B4045">
        <v>94</v>
      </c>
      <c r="C4045" t="s">
        <v>647</v>
      </c>
      <c r="D4045" t="s">
        <v>272</v>
      </c>
      <c r="E4045">
        <v>422.476</v>
      </c>
      <c r="F4045" t="s">
        <v>21</v>
      </c>
      <c r="G4045" t="s">
        <v>26</v>
      </c>
      <c r="H4045" t="s">
        <v>21</v>
      </c>
      <c r="I4045" t="s">
        <v>20</v>
      </c>
      <c r="J4045" t="s">
        <v>20</v>
      </c>
      <c r="K4045" t="s">
        <v>41</v>
      </c>
      <c r="L4045" t="s">
        <v>81</v>
      </c>
      <c r="M4045" t="s">
        <v>46</v>
      </c>
      <c r="N4045">
        <v>41.334111</v>
      </c>
      <c r="O4045">
        <v>-112.026376</v>
      </c>
      <c r="P4045">
        <v>4236.4786459999996</v>
      </c>
      <c r="Q4045">
        <v>1384</v>
      </c>
      <c r="R4045">
        <v>0</v>
      </c>
    </row>
    <row r="4046" spans="1:18" x14ac:dyDescent="0.25">
      <c r="A4046">
        <v>4045</v>
      </c>
      <c r="B4046">
        <v>94</v>
      </c>
      <c r="C4046" t="e">
        <f>-JSisdFcH8qCcXS_9EPMYF</f>
        <v>#NAME?</v>
      </c>
      <c r="D4046" t="s">
        <v>272</v>
      </c>
      <c r="E4046">
        <v>422.54599999999999</v>
      </c>
      <c r="F4046" t="s">
        <v>21</v>
      </c>
      <c r="G4046" t="s">
        <v>26</v>
      </c>
      <c r="H4046" t="s">
        <v>21</v>
      </c>
      <c r="I4046" t="s">
        <v>20</v>
      </c>
      <c r="J4046" t="s">
        <v>20</v>
      </c>
      <c r="K4046" t="s">
        <v>41</v>
      </c>
      <c r="L4046" t="s">
        <v>81</v>
      </c>
      <c r="M4046" t="s">
        <v>46</v>
      </c>
      <c r="N4046">
        <v>41.334986000000001</v>
      </c>
      <c r="O4046">
        <v>-112.02701999999999</v>
      </c>
      <c r="P4046">
        <v>4237.6911520000003</v>
      </c>
      <c r="Q4046">
        <v>1384</v>
      </c>
      <c r="R4046">
        <v>0</v>
      </c>
    </row>
    <row r="4047" spans="1:18" x14ac:dyDescent="0.25">
      <c r="A4047">
        <v>4046</v>
      </c>
      <c r="B4047">
        <v>94</v>
      </c>
      <c r="C4047" t="e">
        <f>-JOZWsFYGU9NchTWB4rPyk</f>
        <v>#NAME?</v>
      </c>
      <c r="D4047" t="s">
        <v>241</v>
      </c>
      <c r="E4047">
        <v>41.457000000000001</v>
      </c>
      <c r="F4047" t="s">
        <v>21</v>
      </c>
      <c r="G4047" t="s">
        <v>20</v>
      </c>
      <c r="H4047" t="s">
        <v>21</v>
      </c>
      <c r="I4047" t="s">
        <v>20</v>
      </c>
      <c r="J4047" t="s">
        <v>20</v>
      </c>
      <c r="K4047" t="s">
        <v>27</v>
      </c>
      <c r="L4047" t="s">
        <v>111</v>
      </c>
      <c r="M4047" t="s">
        <v>243</v>
      </c>
      <c r="N4047">
        <v>39.248624999999997</v>
      </c>
      <c r="O4047">
        <v>-110.98718</v>
      </c>
      <c r="P4047">
        <v>5648.9893899999997</v>
      </c>
      <c r="Q4047">
        <v>1327</v>
      </c>
      <c r="R4047">
        <v>0</v>
      </c>
    </row>
    <row r="4048" spans="1:18" x14ac:dyDescent="0.25">
      <c r="A4048">
        <v>4047</v>
      </c>
      <c r="B4048">
        <v>94</v>
      </c>
      <c r="C4048">
        <v>31437703</v>
      </c>
      <c r="D4048" t="s">
        <v>221</v>
      </c>
      <c r="E4048">
        <v>41.459000000000003</v>
      </c>
      <c r="F4048" t="s">
        <v>21</v>
      </c>
      <c r="G4048" t="s">
        <v>26</v>
      </c>
      <c r="H4048" t="s">
        <v>21</v>
      </c>
      <c r="I4048" t="s">
        <v>20</v>
      </c>
      <c r="J4048" t="s">
        <v>20</v>
      </c>
      <c r="K4048" t="s">
        <v>22</v>
      </c>
      <c r="L4048" t="s">
        <v>155</v>
      </c>
      <c r="M4048" t="s">
        <v>174</v>
      </c>
      <c r="N4048">
        <v>39.720205999999997</v>
      </c>
      <c r="O4048">
        <v>-111.836144</v>
      </c>
      <c r="P4048">
        <v>5064.5162419999997</v>
      </c>
      <c r="Q4048">
        <v>1342</v>
      </c>
      <c r="R4048">
        <v>0</v>
      </c>
    </row>
    <row r="4049" spans="1:18" x14ac:dyDescent="0.25">
      <c r="A4049">
        <v>4048</v>
      </c>
      <c r="B4049">
        <v>94</v>
      </c>
      <c r="C4049">
        <v>31621148</v>
      </c>
      <c r="D4049" t="s">
        <v>50</v>
      </c>
      <c r="E4049">
        <v>41.484999999999999</v>
      </c>
      <c r="F4049" t="s">
        <v>21</v>
      </c>
      <c r="G4049" t="s">
        <v>26</v>
      </c>
      <c r="H4049" t="s">
        <v>21</v>
      </c>
      <c r="I4049" t="s">
        <v>20</v>
      </c>
      <c r="J4049" t="s">
        <v>20</v>
      </c>
      <c r="K4049" t="s">
        <v>27</v>
      </c>
      <c r="L4049" t="s">
        <v>247</v>
      </c>
      <c r="M4049" t="s">
        <v>52</v>
      </c>
      <c r="N4049">
        <v>37.767738000000001</v>
      </c>
      <c r="O4049">
        <v>-112.547264</v>
      </c>
      <c r="P4049">
        <v>7650.5619649999999</v>
      </c>
      <c r="Q4049">
        <v>1418</v>
      </c>
      <c r="R4049">
        <v>0</v>
      </c>
    </row>
    <row r="4050" spans="1:18" x14ac:dyDescent="0.25">
      <c r="A4050">
        <v>4049</v>
      </c>
      <c r="B4050">
        <v>94</v>
      </c>
      <c r="C4050" t="e">
        <f>-JNU89fKHcLgBxt2FewjeF</f>
        <v>#NAME?</v>
      </c>
      <c r="D4050" t="s">
        <v>124</v>
      </c>
      <c r="E4050">
        <v>42.134</v>
      </c>
      <c r="F4050" t="s">
        <v>21</v>
      </c>
      <c r="G4050" t="s">
        <v>26</v>
      </c>
      <c r="H4050" t="s">
        <v>21</v>
      </c>
      <c r="I4050" t="s">
        <v>20</v>
      </c>
      <c r="J4050" t="s">
        <v>20</v>
      </c>
      <c r="K4050" t="s">
        <v>31</v>
      </c>
      <c r="L4050" t="s">
        <v>89</v>
      </c>
      <c r="M4050" t="s">
        <v>125</v>
      </c>
      <c r="N4050">
        <v>40.519710000000003</v>
      </c>
      <c r="O4050">
        <v>-111.938738</v>
      </c>
      <c r="P4050">
        <v>4378.6561700000002</v>
      </c>
      <c r="Q4050">
        <v>1368</v>
      </c>
      <c r="R4050">
        <v>0</v>
      </c>
    </row>
    <row r="4051" spans="1:18" x14ac:dyDescent="0.25">
      <c r="A4051">
        <v>4050</v>
      </c>
      <c r="B4051">
        <v>94</v>
      </c>
      <c r="C4051">
        <v>31303111</v>
      </c>
      <c r="D4051" t="s">
        <v>316</v>
      </c>
      <c r="E4051">
        <v>42.14</v>
      </c>
      <c r="F4051" t="s">
        <v>21</v>
      </c>
      <c r="G4051" t="s">
        <v>26</v>
      </c>
      <c r="H4051" t="s">
        <v>21</v>
      </c>
      <c r="I4051" t="s">
        <v>20</v>
      </c>
      <c r="J4051" t="s">
        <v>20</v>
      </c>
      <c r="K4051" t="s">
        <v>22</v>
      </c>
      <c r="L4051" t="s">
        <v>168</v>
      </c>
      <c r="M4051" t="s">
        <v>302</v>
      </c>
      <c r="N4051">
        <v>40.354461999999998</v>
      </c>
      <c r="O4051">
        <v>-110.71405799999999</v>
      </c>
      <c r="P4051">
        <v>6467.0225730000002</v>
      </c>
      <c r="Q4051">
        <v>1346</v>
      </c>
      <c r="R4051">
        <v>0</v>
      </c>
    </row>
    <row r="4052" spans="1:18" x14ac:dyDescent="0.25">
      <c r="A4052">
        <v>4051</v>
      </c>
      <c r="B4052">
        <v>94</v>
      </c>
      <c r="C4052">
        <v>31328082</v>
      </c>
      <c r="D4052" t="s">
        <v>288</v>
      </c>
      <c r="E4052">
        <v>42.143999999999998</v>
      </c>
      <c r="F4052" t="s">
        <v>21</v>
      </c>
      <c r="G4052" t="s">
        <v>20</v>
      </c>
      <c r="H4052" t="s">
        <v>21</v>
      </c>
      <c r="I4052" t="s">
        <v>20</v>
      </c>
      <c r="J4052" t="s">
        <v>20</v>
      </c>
      <c r="K4052" t="s">
        <v>27</v>
      </c>
      <c r="L4052" t="s">
        <v>327</v>
      </c>
      <c r="M4052" t="s">
        <v>212</v>
      </c>
      <c r="N4052">
        <v>37.500985999999997</v>
      </c>
      <c r="O4052">
        <v>-109.485816</v>
      </c>
      <c r="P4052">
        <v>5397.7517209999996</v>
      </c>
      <c r="Q4052">
        <v>350</v>
      </c>
      <c r="R4052">
        <v>0</v>
      </c>
    </row>
    <row r="4053" spans="1:18" x14ac:dyDescent="0.25">
      <c r="A4053">
        <v>4052</v>
      </c>
      <c r="B4053">
        <v>94</v>
      </c>
      <c r="C4053">
        <v>31496295</v>
      </c>
      <c r="D4053" t="s">
        <v>63</v>
      </c>
      <c r="E4053">
        <v>42.158000000000001</v>
      </c>
      <c r="F4053" t="s">
        <v>21</v>
      </c>
      <c r="G4053" t="s">
        <v>26</v>
      </c>
      <c r="H4053" t="s">
        <v>21</v>
      </c>
      <c r="I4053" t="s">
        <v>20</v>
      </c>
      <c r="J4053" t="s">
        <v>20</v>
      </c>
      <c r="K4053" t="s">
        <v>27</v>
      </c>
      <c r="L4053" t="s">
        <v>266</v>
      </c>
      <c r="M4053" t="s">
        <v>29</v>
      </c>
      <c r="N4053">
        <v>38.563099999999999</v>
      </c>
      <c r="O4053">
        <v>-111.85077</v>
      </c>
      <c r="P4053">
        <v>6863.2448530000001</v>
      </c>
      <c r="Q4053">
        <v>1365</v>
      </c>
      <c r="R4053">
        <v>0</v>
      </c>
    </row>
    <row r="4054" spans="1:18" x14ac:dyDescent="0.25">
      <c r="A4054">
        <v>4053</v>
      </c>
      <c r="B4054">
        <v>94</v>
      </c>
      <c r="C4054">
        <v>31438458</v>
      </c>
      <c r="D4054" t="s">
        <v>221</v>
      </c>
      <c r="E4054">
        <v>42.164999999999999</v>
      </c>
      <c r="F4054" t="s">
        <v>21</v>
      </c>
      <c r="G4054" t="s">
        <v>26</v>
      </c>
      <c r="H4054" t="s">
        <v>21</v>
      </c>
      <c r="I4054" t="s">
        <v>20</v>
      </c>
      <c r="J4054" t="s">
        <v>20</v>
      </c>
      <c r="K4054" t="s">
        <v>22</v>
      </c>
      <c r="L4054" t="s">
        <v>155</v>
      </c>
      <c r="M4054" t="s">
        <v>174</v>
      </c>
      <c r="N4054">
        <v>39.730573999999997</v>
      </c>
      <c r="O4054">
        <v>-111.836111</v>
      </c>
      <c r="P4054">
        <v>5030.8706620000003</v>
      </c>
      <c r="Q4054">
        <v>1342</v>
      </c>
      <c r="R4054">
        <v>0</v>
      </c>
    </row>
    <row r="4055" spans="1:18" x14ac:dyDescent="0.25">
      <c r="A4055">
        <v>4054</v>
      </c>
      <c r="B4055">
        <v>94</v>
      </c>
      <c r="C4055" t="e">
        <f>-Iow3Ij3FpXeqRz1UV47yF</f>
        <v>#NAME?</v>
      </c>
      <c r="D4055" t="s">
        <v>316</v>
      </c>
      <c r="E4055">
        <v>42.194000000000003</v>
      </c>
      <c r="F4055" t="s">
        <v>21</v>
      </c>
      <c r="G4055" t="s">
        <v>26</v>
      </c>
      <c r="H4055" t="s">
        <v>21</v>
      </c>
      <c r="I4055" t="s">
        <v>20</v>
      </c>
      <c r="J4055" t="s">
        <v>20</v>
      </c>
      <c r="K4055" t="s">
        <v>22</v>
      </c>
      <c r="L4055" t="s">
        <v>168</v>
      </c>
      <c r="M4055" t="s">
        <v>302</v>
      </c>
      <c r="N4055">
        <v>40.353768000000002</v>
      </c>
      <c r="O4055">
        <v>-110.713644</v>
      </c>
      <c r="P4055">
        <v>6463.9845679999999</v>
      </c>
      <c r="Q4055">
        <v>1346</v>
      </c>
      <c r="R4055">
        <v>0</v>
      </c>
    </row>
    <row r="4056" spans="1:18" x14ac:dyDescent="0.25">
      <c r="A4056">
        <v>4055</v>
      </c>
      <c r="B4056">
        <v>94</v>
      </c>
      <c r="C4056">
        <v>31303122</v>
      </c>
      <c r="D4056" t="s">
        <v>316</v>
      </c>
      <c r="E4056">
        <v>42.222000000000001</v>
      </c>
      <c r="F4056" t="s">
        <v>21</v>
      </c>
      <c r="G4056" t="s">
        <v>26</v>
      </c>
      <c r="H4056" t="s">
        <v>21</v>
      </c>
      <c r="I4056" t="s">
        <v>20</v>
      </c>
      <c r="J4056" t="s">
        <v>20</v>
      </c>
      <c r="K4056" t="s">
        <v>22</v>
      </c>
      <c r="L4056" t="s">
        <v>168</v>
      </c>
      <c r="M4056" t="s">
        <v>302</v>
      </c>
      <c r="N4056">
        <v>40.353409999999997</v>
      </c>
      <c r="O4056">
        <v>-110.713363</v>
      </c>
      <c r="P4056">
        <v>6462.3346089999995</v>
      </c>
      <c r="Q4056">
        <v>1346</v>
      </c>
      <c r="R4056">
        <v>0</v>
      </c>
    </row>
    <row r="4057" spans="1:18" x14ac:dyDescent="0.25">
      <c r="A4057">
        <v>4056</v>
      </c>
      <c r="B4057">
        <v>94</v>
      </c>
      <c r="C4057">
        <v>31303133</v>
      </c>
      <c r="D4057" t="s">
        <v>316</v>
      </c>
      <c r="E4057">
        <v>42.237000000000002</v>
      </c>
      <c r="F4057" t="s">
        <v>21</v>
      </c>
      <c r="G4057" t="s">
        <v>26</v>
      </c>
      <c r="H4057" t="s">
        <v>21</v>
      </c>
      <c r="I4057" t="s">
        <v>20</v>
      </c>
      <c r="J4057" t="s">
        <v>20</v>
      </c>
      <c r="K4057" t="s">
        <v>22</v>
      </c>
      <c r="L4057" t="s">
        <v>168</v>
      </c>
      <c r="M4057" t="s">
        <v>302</v>
      </c>
      <c r="N4057">
        <v>40.353247000000003</v>
      </c>
      <c r="O4057">
        <v>-110.71319200000001</v>
      </c>
      <c r="P4057">
        <v>6461.6598709999998</v>
      </c>
      <c r="Q4057">
        <v>1346</v>
      </c>
      <c r="R4057">
        <v>0</v>
      </c>
    </row>
    <row r="4058" spans="1:18" x14ac:dyDescent="0.25">
      <c r="A4058">
        <v>4057</v>
      </c>
      <c r="B4058">
        <v>94</v>
      </c>
      <c r="C4058">
        <v>31400296</v>
      </c>
      <c r="D4058" t="s">
        <v>124</v>
      </c>
      <c r="E4058">
        <v>42.311999999999998</v>
      </c>
      <c r="F4058" t="s">
        <v>19</v>
      </c>
      <c r="G4058" t="s">
        <v>20</v>
      </c>
      <c r="H4058" t="s">
        <v>19</v>
      </c>
      <c r="I4058">
        <v>71</v>
      </c>
      <c r="J4058" t="s">
        <v>20</v>
      </c>
      <c r="K4058" t="s">
        <v>31</v>
      </c>
      <c r="L4058" t="s">
        <v>48</v>
      </c>
      <c r="M4058" t="s">
        <v>125</v>
      </c>
      <c r="N4058">
        <v>40.522303000000001</v>
      </c>
      <c r="O4058">
        <v>-111.938761</v>
      </c>
      <c r="P4058">
        <v>4380.2050950000003</v>
      </c>
      <c r="Q4058">
        <v>1368</v>
      </c>
      <c r="R4058">
        <v>0</v>
      </c>
    </row>
    <row r="4059" spans="1:18" x14ac:dyDescent="0.25">
      <c r="A4059">
        <v>4058</v>
      </c>
      <c r="B4059">
        <v>94</v>
      </c>
      <c r="C4059" t="s">
        <v>648</v>
      </c>
      <c r="D4059" t="s">
        <v>184</v>
      </c>
      <c r="E4059">
        <v>42.402999999999999</v>
      </c>
      <c r="F4059" t="s">
        <v>21</v>
      </c>
      <c r="G4059" t="s">
        <v>20</v>
      </c>
      <c r="H4059" t="s">
        <v>21</v>
      </c>
      <c r="I4059" t="s">
        <v>20</v>
      </c>
      <c r="J4059" t="s">
        <v>20</v>
      </c>
      <c r="K4059" t="s">
        <v>27</v>
      </c>
      <c r="L4059" t="s">
        <v>143</v>
      </c>
      <c r="M4059" t="s">
        <v>55</v>
      </c>
      <c r="N4059">
        <v>38.210470000000001</v>
      </c>
      <c r="O4059">
        <v>-112.9238</v>
      </c>
      <c r="P4059">
        <v>5253.9696279999998</v>
      </c>
      <c r="Q4059">
        <v>1410</v>
      </c>
      <c r="R4059">
        <v>0</v>
      </c>
    </row>
    <row r="4060" spans="1:18" x14ac:dyDescent="0.25">
      <c r="A4060">
        <v>4059</v>
      </c>
      <c r="B4060">
        <v>94</v>
      </c>
      <c r="C4060">
        <v>31397022</v>
      </c>
      <c r="D4060" t="s">
        <v>184</v>
      </c>
      <c r="E4060">
        <v>42.448999999999998</v>
      </c>
      <c r="F4060" t="s">
        <v>21</v>
      </c>
      <c r="G4060" t="s">
        <v>26</v>
      </c>
      <c r="H4060" t="s">
        <v>21</v>
      </c>
      <c r="I4060" t="s">
        <v>20</v>
      </c>
      <c r="J4060" t="s">
        <v>20</v>
      </c>
      <c r="K4060" t="s">
        <v>27</v>
      </c>
      <c r="L4060" t="s">
        <v>143</v>
      </c>
      <c r="M4060" t="s">
        <v>55</v>
      </c>
      <c r="N4060">
        <v>38.211120999999999</v>
      </c>
      <c r="O4060">
        <v>-112.923827</v>
      </c>
      <c r="P4060">
        <v>5244.8315220000004</v>
      </c>
      <c r="Q4060">
        <v>1410</v>
      </c>
      <c r="R4060">
        <v>0</v>
      </c>
    </row>
    <row r="4061" spans="1:18" x14ac:dyDescent="0.25">
      <c r="A4061">
        <v>4060</v>
      </c>
      <c r="B4061">
        <v>94</v>
      </c>
      <c r="C4061" t="s">
        <v>649</v>
      </c>
      <c r="D4061" t="s">
        <v>217</v>
      </c>
      <c r="E4061">
        <v>42.454999999999998</v>
      </c>
      <c r="F4061" t="s">
        <v>21</v>
      </c>
      <c r="G4061" t="s">
        <v>20</v>
      </c>
      <c r="H4061" t="s">
        <v>21</v>
      </c>
      <c r="I4061" t="s">
        <v>20</v>
      </c>
      <c r="J4061" t="s">
        <v>20</v>
      </c>
      <c r="K4061" t="s">
        <v>27</v>
      </c>
      <c r="L4061" t="s">
        <v>162</v>
      </c>
      <c r="M4061" t="s">
        <v>163</v>
      </c>
      <c r="N4061">
        <v>37.589306999999998</v>
      </c>
      <c r="O4061">
        <v>-113.67146099999999</v>
      </c>
      <c r="P4061">
        <v>5241.1440249999996</v>
      </c>
      <c r="Q4061">
        <v>304</v>
      </c>
      <c r="R4061">
        <v>0</v>
      </c>
    </row>
    <row r="4062" spans="1:18" x14ac:dyDescent="0.25">
      <c r="A4062">
        <v>4061</v>
      </c>
      <c r="B4062">
        <v>94</v>
      </c>
      <c r="C4062">
        <v>31501998</v>
      </c>
      <c r="D4062" t="s">
        <v>129</v>
      </c>
      <c r="E4062">
        <v>42.482999999999997</v>
      </c>
      <c r="F4062" t="s">
        <v>21</v>
      </c>
      <c r="G4062" t="s">
        <v>26</v>
      </c>
      <c r="H4062" t="s">
        <v>21</v>
      </c>
      <c r="I4062" t="s">
        <v>20</v>
      </c>
      <c r="J4062" t="s">
        <v>20</v>
      </c>
      <c r="K4062" t="s">
        <v>31</v>
      </c>
      <c r="L4062" t="s">
        <v>130</v>
      </c>
      <c r="M4062" t="s">
        <v>328</v>
      </c>
      <c r="N4062">
        <v>40.830511000000001</v>
      </c>
      <c r="O4062">
        <v>-110.853883</v>
      </c>
      <c r="P4062">
        <v>8830.8801469999999</v>
      </c>
      <c r="Q4062">
        <v>340</v>
      </c>
      <c r="R4062">
        <v>0</v>
      </c>
    </row>
    <row r="4063" spans="1:18" x14ac:dyDescent="0.25">
      <c r="A4063">
        <v>4062</v>
      </c>
      <c r="B4063">
        <v>94</v>
      </c>
      <c r="C4063">
        <v>31696306</v>
      </c>
      <c r="D4063" t="s">
        <v>217</v>
      </c>
      <c r="E4063">
        <v>42.494999999999997</v>
      </c>
      <c r="F4063" t="s">
        <v>21</v>
      </c>
      <c r="G4063" t="s">
        <v>20</v>
      </c>
      <c r="H4063" t="s">
        <v>21</v>
      </c>
      <c r="I4063" t="s">
        <v>20</v>
      </c>
      <c r="J4063" t="s">
        <v>20</v>
      </c>
      <c r="K4063" t="s">
        <v>27</v>
      </c>
      <c r="L4063" t="s">
        <v>162</v>
      </c>
      <c r="M4063" t="s">
        <v>163</v>
      </c>
      <c r="N4063">
        <v>37.589618000000002</v>
      </c>
      <c r="O4063">
        <v>-113.67084699999999</v>
      </c>
      <c r="P4063">
        <v>5239.770211</v>
      </c>
      <c r="Q4063">
        <v>304</v>
      </c>
      <c r="R4063">
        <v>0</v>
      </c>
    </row>
    <row r="4064" spans="1:18" x14ac:dyDescent="0.25">
      <c r="A4064">
        <v>4063</v>
      </c>
      <c r="B4064">
        <v>94</v>
      </c>
      <c r="C4064">
        <v>31303144</v>
      </c>
      <c r="D4064" t="s">
        <v>316</v>
      </c>
      <c r="E4064">
        <v>42.505000000000003</v>
      </c>
      <c r="F4064" t="s">
        <v>21</v>
      </c>
      <c r="G4064" t="s">
        <v>26</v>
      </c>
      <c r="H4064" t="s">
        <v>21</v>
      </c>
      <c r="I4064" t="s">
        <v>20</v>
      </c>
      <c r="J4064" t="s">
        <v>20</v>
      </c>
      <c r="K4064" t="s">
        <v>22</v>
      </c>
      <c r="L4064" t="s">
        <v>168</v>
      </c>
      <c r="M4064" t="s">
        <v>302</v>
      </c>
      <c r="N4064">
        <v>40.351233999999998</v>
      </c>
      <c r="O4064">
        <v>-110.70889699999999</v>
      </c>
      <c r="P4064">
        <v>6459.6138950000004</v>
      </c>
      <c r="Q4064">
        <v>1346</v>
      </c>
      <c r="R4064">
        <v>0</v>
      </c>
    </row>
    <row r="4065" spans="1:18" x14ac:dyDescent="0.25">
      <c r="A4065">
        <v>4064</v>
      </c>
      <c r="B4065">
        <v>94</v>
      </c>
      <c r="C4065">
        <v>31562701</v>
      </c>
      <c r="D4065" t="s">
        <v>172</v>
      </c>
      <c r="E4065">
        <v>5.1609999999999996</v>
      </c>
      <c r="F4065" t="s">
        <v>21</v>
      </c>
      <c r="G4065" t="s">
        <v>26</v>
      </c>
      <c r="H4065" t="s">
        <v>21</v>
      </c>
      <c r="I4065" t="s">
        <v>20</v>
      </c>
      <c r="J4065" t="s">
        <v>20</v>
      </c>
      <c r="K4065" t="s">
        <v>27</v>
      </c>
      <c r="L4065" t="s">
        <v>173</v>
      </c>
      <c r="M4065" t="s">
        <v>174</v>
      </c>
      <c r="N4065">
        <v>39.535679999999999</v>
      </c>
      <c r="O4065">
        <v>-112.277024</v>
      </c>
      <c r="P4065">
        <v>4671.3427659999998</v>
      </c>
      <c r="Q4065">
        <v>1411</v>
      </c>
      <c r="R4065">
        <v>0</v>
      </c>
    </row>
    <row r="4066" spans="1:18" x14ac:dyDescent="0.25">
      <c r="A4066">
        <v>4065</v>
      </c>
      <c r="B4066">
        <v>94</v>
      </c>
      <c r="C4066">
        <v>31305736</v>
      </c>
      <c r="D4066" t="s">
        <v>251</v>
      </c>
      <c r="E4066">
        <v>5.1669999999999998</v>
      </c>
      <c r="F4066" t="s">
        <v>21</v>
      </c>
      <c r="G4066" t="s">
        <v>26</v>
      </c>
      <c r="H4066" t="s">
        <v>21</v>
      </c>
      <c r="I4066" t="s">
        <v>20</v>
      </c>
      <c r="J4066" t="s">
        <v>20</v>
      </c>
      <c r="K4066" t="s">
        <v>27</v>
      </c>
      <c r="L4066" t="s">
        <v>165</v>
      </c>
      <c r="M4066" t="s">
        <v>166</v>
      </c>
      <c r="N4066">
        <v>38.986562999999997</v>
      </c>
      <c r="O4066">
        <v>-112.41053100000001</v>
      </c>
      <c r="P4066">
        <v>4708.7990309999996</v>
      </c>
      <c r="Q4066">
        <v>326</v>
      </c>
      <c r="R4066">
        <v>0</v>
      </c>
    </row>
    <row r="4067" spans="1:18" x14ac:dyDescent="0.25">
      <c r="A4067">
        <v>4066</v>
      </c>
      <c r="B4067">
        <v>94</v>
      </c>
      <c r="C4067">
        <v>31532633</v>
      </c>
      <c r="D4067" t="s">
        <v>412</v>
      </c>
      <c r="E4067">
        <v>5.1689999999999996</v>
      </c>
      <c r="F4067" t="s">
        <v>21</v>
      </c>
      <c r="G4067" t="s">
        <v>26</v>
      </c>
      <c r="H4067" t="s">
        <v>21</v>
      </c>
      <c r="I4067" t="s">
        <v>20</v>
      </c>
      <c r="J4067" t="s">
        <v>20</v>
      </c>
      <c r="K4067" t="s">
        <v>27</v>
      </c>
      <c r="L4067" t="s">
        <v>173</v>
      </c>
      <c r="M4067" t="s">
        <v>267</v>
      </c>
      <c r="N4067">
        <v>39.354581000000003</v>
      </c>
      <c r="O4067">
        <v>-112.39995500000001</v>
      </c>
      <c r="P4067">
        <v>4695.4612500000003</v>
      </c>
      <c r="Q4067">
        <v>1408</v>
      </c>
      <c r="R4067">
        <v>0</v>
      </c>
    </row>
    <row r="4068" spans="1:18" x14ac:dyDescent="0.25">
      <c r="A4068">
        <v>4067</v>
      </c>
      <c r="B4068">
        <v>94</v>
      </c>
      <c r="C4068">
        <v>1047783</v>
      </c>
      <c r="D4068" t="s">
        <v>127</v>
      </c>
      <c r="E4068">
        <v>5.17</v>
      </c>
      <c r="F4068" t="s">
        <v>21</v>
      </c>
      <c r="G4068" t="s">
        <v>26</v>
      </c>
      <c r="H4068" t="s">
        <v>21</v>
      </c>
      <c r="I4068" t="s">
        <v>20</v>
      </c>
      <c r="J4068" t="s">
        <v>20</v>
      </c>
      <c r="K4068" t="s">
        <v>41</v>
      </c>
      <c r="L4068" t="s">
        <v>95</v>
      </c>
      <c r="M4068" t="s">
        <v>73</v>
      </c>
      <c r="N4068">
        <v>41.975924999999997</v>
      </c>
      <c r="O4068">
        <v>-111.853973</v>
      </c>
      <c r="P4068">
        <v>4457.091754</v>
      </c>
      <c r="Q4068">
        <v>1364</v>
      </c>
      <c r="R4068">
        <v>0</v>
      </c>
    </row>
    <row r="4069" spans="1:18" x14ac:dyDescent="0.25">
      <c r="A4069">
        <v>4068</v>
      </c>
      <c r="B4069">
        <v>94</v>
      </c>
      <c r="C4069">
        <v>1447449</v>
      </c>
      <c r="D4069" t="s">
        <v>109</v>
      </c>
      <c r="E4069">
        <v>4.3319999999999999</v>
      </c>
      <c r="F4069" t="s">
        <v>21</v>
      </c>
      <c r="G4069" t="s">
        <v>26</v>
      </c>
      <c r="H4069" t="s">
        <v>21</v>
      </c>
      <c r="I4069" t="s">
        <v>20</v>
      </c>
      <c r="J4069" t="s">
        <v>20</v>
      </c>
      <c r="K4069" t="s">
        <v>41</v>
      </c>
      <c r="L4069" t="s">
        <v>42</v>
      </c>
      <c r="M4069" t="s">
        <v>73</v>
      </c>
      <c r="N4069">
        <v>41.624993000000003</v>
      </c>
      <c r="O4069">
        <v>-111.83266399999999</v>
      </c>
      <c r="P4069">
        <v>4750.6614030000001</v>
      </c>
      <c r="Q4069">
        <v>345</v>
      </c>
      <c r="R4069">
        <v>0</v>
      </c>
    </row>
    <row r="4070" spans="1:18" x14ac:dyDescent="0.25">
      <c r="A4070">
        <v>4069</v>
      </c>
      <c r="B4070">
        <v>94</v>
      </c>
      <c r="C4070">
        <v>31436432</v>
      </c>
      <c r="D4070" t="s">
        <v>216</v>
      </c>
      <c r="E4070">
        <v>5.1890000000000001</v>
      </c>
      <c r="F4070" t="s">
        <v>21</v>
      </c>
      <c r="G4070" t="s">
        <v>26</v>
      </c>
      <c r="H4070" t="s">
        <v>21</v>
      </c>
      <c r="I4070" t="s">
        <v>20</v>
      </c>
      <c r="J4070" t="s">
        <v>20</v>
      </c>
      <c r="K4070" t="s">
        <v>27</v>
      </c>
      <c r="L4070" t="s">
        <v>158</v>
      </c>
      <c r="M4070" t="s">
        <v>159</v>
      </c>
      <c r="N4070">
        <v>39.68853</v>
      </c>
      <c r="O4070">
        <v>-110.80833</v>
      </c>
      <c r="P4070">
        <v>6495.2617330000003</v>
      </c>
      <c r="Q4070">
        <v>1428</v>
      </c>
      <c r="R4070">
        <v>0</v>
      </c>
    </row>
    <row r="4071" spans="1:18" x14ac:dyDescent="0.25">
      <c r="A4071">
        <v>4070</v>
      </c>
      <c r="B4071">
        <v>94</v>
      </c>
      <c r="C4071">
        <v>533944</v>
      </c>
      <c r="D4071" t="s">
        <v>44</v>
      </c>
      <c r="E4071">
        <v>5.1890000000000001</v>
      </c>
      <c r="F4071" t="s">
        <v>21</v>
      </c>
      <c r="G4071" t="s">
        <v>26</v>
      </c>
      <c r="H4071" t="s">
        <v>21</v>
      </c>
      <c r="I4071" t="s">
        <v>20</v>
      </c>
      <c r="J4071" t="s">
        <v>20</v>
      </c>
      <c r="K4071" t="s">
        <v>41</v>
      </c>
      <c r="L4071" t="s">
        <v>45</v>
      </c>
      <c r="M4071" t="s">
        <v>46</v>
      </c>
      <c r="N4071">
        <v>40.952182999999998</v>
      </c>
      <c r="O4071">
        <v>-111.883285</v>
      </c>
      <c r="P4071">
        <v>4234.5867449999996</v>
      </c>
      <c r="Q4071">
        <v>1395</v>
      </c>
      <c r="R4071">
        <v>0</v>
      </c>
    </row>
    <row r="4072" spans="1:18" x14ac:dyDescent="0.25">
      <c r="A4072">
        <v>4071</v>
      </c>
      <c r="B4072">
        <v>94</v>
      </c>
      <c r="C4072" t="e">
        <f>-Ip49IztG6q5N1v1BdEttk</f>
        <v>#NAME?</v>
      </c>
      <c r="D4072" t="s">
        <v>128</v>
      </c>
      <c r="E4072">
        <v>5.194</v>
      </c>
      <c r="F4072" t="s">
        <v>21</v>
      </c>
      <c r="G4072" t="s">
        <v>20</v>
      </c>
      <c r="H4072" t="s">
        <v>21</v>
      </c>
      <c r="I4072" t="s">
        <v>20</v>
      </c>
      <c r="J4072" t="s">
        <v>20</v>
      </c>
      <c r="K4072" t="s">
        <v>41</v>
      </c>
      <c r="L4072" t="s">
        <v>95</v>
      </c>
      <c r="M4072" t="s">
        <v>73</v>
      </c>
      <c r="N4072">
        <v>41.772931</v>
      </c>
      <c r="O4072">
        <v>-111.85846600000001</v>
      </c>
      <c r="P4072">
        <v>4400.6224659999998</v>
      </c>
      <c r="Q4072">
        <v>5943</v>
      </c>
      <c r="R4072">
        <v>0</v>
      </c>
    </row>
    <row r="4073" spans="1:18" x14ac:dyDescent="0.25">
      <c r="A4073">
        <v>4072</v>
      </c>
      <c r="B4073">
        <v>94</v>
      </c>
      <c r="C4073" t="s">
        <v>650</v>
      </c>
      <c r="D4073" t="s">
        <v>244</v>
      </c>
      <c r="E4073">
        <v>5.1950000000000003</v>
      </c>
      <c r="F4073" t="s">
        <v>21</v>
      </c>
      <c r="G4073" t="s">
        <v>26</v>
      </c>
      <c r="H4073" t="s">
        <v>21</v>
      </c>
      <c r="I4073" t="s">
        <v>20</v>
      </c>
      <c r="J4073" t="s">
        <v>20</v>
      </c>
      <c r="K4073" t="s">
        <v>27</v>
      </c>
      <c r="L4073" t="s">
        <v>183</v>
      </c>
      <c r="M4073" t="s">
        <v>58</v>
      </c>
      <c r="N4073">
        <v>38.903447</v>
      </c>
      <c r="O4073">
        <v>-111.940071</v>
      </c>
      <c r="P4073">
        <v>5125.424951</v>
      </c>
      <c r="Q4073">
        <v>1340</v>
      </c>
      <c r="R4073">
        <v>0</v>
      </c>
    </row>
    <row r="4074" spans="1:18" x14ac:dyDescent="0.25">
      <c r="A4074">
        <v>4073</v>
      </c>
      <c r="B4074">
        <v>94</v>
      </c>
      <c r="C4074">
        <v>27953033</v>
      </c>
      <c r="D4074" t="s">
        <v>265</v>
      </c>
      <c r="E4074">
        <v>5.1970000000000001</v>
      </c>
      <c r="F4074" t="s">
        <v>21</v>
      </c>
      <c r="G4074" t="s">
        <v>26</v>
      </c>
      <c r="H4074" t="s">
        <v>21</v>
      </c>
      <c r="I4074" t="s">
        <v>20</v>
      </c>
      <c r="J4074" t="s">
        <v>20</v>
      </c>
      <c r="K4074" t="s">
        <v>27</v>
      </c>
      <c r="L4074" t="s">
        <v>266</v>
      </c>
      <c r="M4074" t="s">
        <v>267</v>
      </c>
      <c r="N4074">
        <v>38.462271000000001</v>
      </c>
      <c r="O4074">
        <v>-111.605046</v>
      </c>
      <c r="P4074">
        <v>7188.4821860000002</v>
      </c>
      <c r="Q4074">
        <v>1371</v>
      </c>
      <c r="R4074">
        <v>0</v>
      </c>
    </row>
    <row r="4075" spans="1:18" x14ac:dyDescent="0.25">
      <c r="A4075">
        <v>4074</v>
      </c>
      <c r="B4075">
        <v>94</v>
      </c>
      <c r="C4075">
        <v>31396334</v>
      </c>
      <c r="D4075" t="s">
        <v>114</v>
      </c>
      <c r="E4075">
        <v>5.1980000000000004</v>
      </c>
      <c r="F4075" t="s">
        <v>21</v>
      </c>
      <c r="G4075" t="s">
        <v>26</v>
      </c>
      <c r="H4075" t="s">
        <v>21</v>
      </c>
      <c r="I4075" t="s">
        <v>20</v>
      </c>
      <c r="J4075" t="s">
        <v>20</v>
      </c>
      <c r="K4075" t="s">
        <v>41</v>
      </c>
      <c r="L4075" t="s">
        <v>87</v>
      </c>
      <c r="M4075" t="s">
        <v>82</v>
      </c>
      <c r="N4075">
        <v>41.103549000000001</v>
      </c>
      <c r="O4075">
        <v>-111.968981</v>
      </c>
      <c r="P4075">
        <v>4711.9597309999999</v>
      </c>
      <c r="Q4075">
        <v>405</v>
      </c>
      <c r="R4075">
        <v>0</v>
      </c>
    </row>
    <row r="4076" spans="1:18" x14ac:dyDescent="0.25">
      <c r="A4076">
        <v>4075</v>
      </c>
      <c r="B4076">
        <v>94</v>
      </c>
      <c r="C4076" t="e">
        <f>-JPrBdPtH7PjIRP1BpMJSV</f>
        <v>#NAME?</v>
      </c>
      <c r="D4076" t="s">
        <v>88</v>
      </c>
      <c r="E4076">
        <v>5.2060000000000004</v>
      </c>
      <c r="F4076" t="s">
        <v>19</v>
      </c>
      <c r="G4076" t="s">
        <v>26</v>
      </c>
      <c r="H4076" t="s">
        <v>21</v>
      </c>
      <c r="I4076" t="s">
        <v>20</v>
      </c>
      <c r="J4076" t="s">
        <v>20</v>
      </c>
      <c r="K4076" t="s">
        <v>31</v>
      </c>
      <c r="L4076" t="s">
        <v>89</v>
      </c>
      <c r="M4076" t="s">
        <v>90</v>
      </c>
      <c r="N4076">
        <v>40.526769000000002</v>
      </c>
      <c r="O4076">
        <v>-111.886501</v>
      </c>
      <c r="P4076">
        <v>4373.2519089999996</v>
      </c>
      <c r="Q4076">
        <v>318</v>
      </c>
      <c r="R4076">
        <v>0</v>
      </c>
    </row>
    <row r="4077" spans="1:18" x14ac:dyDescent="0.25">
      <c r="A4077">
        <v>4076</v>
      </c>
      <c r="B4077">
        <v>94</v>
      </c>
      <c r="C4077">
        <v>28160239</v>
      </c>
      <c r="D4077" t="s">
        <v>233</v>
      </c>
      <c r="E4077">
        <v>5.2069999999999999</v>
      </c>
      <c r="F4077" t="s">
        <v>21</v>
      </c>
      <c r="G4077" t="s">
        <v>26</v>
      </c>
      <c r="H4077" t="s">
        <v>21</v>
      </c>
      <c r="I4077" t="s">
        <v>20</v>
      </c>
      <c r="J4077" t="s">
        <v>20</v>
      </c>
      <c r="K4077" t="s">
        <v>22</v>
      </c>
      <c r="L4077" t="s">
        <v>234</v>
      </c>
      <c r="M4077" t="s">
        <v>235</v>
      </c>
      <c r="N4077">
        <v>40.023815999999997</v>
      </c>
      <c r="O4077">
        <v>-109.175321</v>
      </c>
      <c r="P4077">
        <v>5381.7268270000004</v>
      </c>
      <c r="Q4077">
        <v>1354</v>
      </c>
      <c r="R4077">
        <v>0</v>
      </c>
    </row>
    <row r="4078" spans="1:18" x14ac:dyDescent="0.25">
      <c r="A4078">
        <v>4077</v>
      </c>
      <c r="B4078">
        <v>94</v>
      </c>
      <c r="C4078">
        <v>31520699</v>
      </c>
      <c r="D4078" t="s">
        <v>231</v>
      </c>
      <c r="E4078">
        <v>5.2119999999999997</v>
      </c>
      <c r="F4078" t="s">
        <v>19</v>
      </c>
      <c r="G4078" t="s">
        <v>20</v>
      </c>
      <c r="H4078" t="s">
        <v>21</v>
      </c>
      <c r="I4078" t="s">
        <v>20</v>
      </c>
      <c r="J4078" t="s">
        <v>20</v>
      </c>
      <c r="K4078" t="s">
        <v>41</v>
      </c>
      <c r="L4078" t="s">
        <v>57</v>
      </c>
      <c r="M4078" t="s">
        <v>93</v>
      </c>
      <c r="N4078">
        <v>41.110878</v>
      </c>
      <c r="O4078">
        <v>-112.023355</v>
      </c>
      <c r="P4078">
        <v>4430.2045269999999</v>
      </c>
      <c r="Q4078">
        <v>1409</v>
      </c>
      <c r="R4078">
        <v>0</v>
      </c>
    </row>
    <row r="4079" spans="1:18" x14ac:dyDescent="0.25">
      <c r="A4079">
        <v>4078</v>
      </c>
      <c r="B4079">
        <v>94</v>
      </c>
      <c r="C4079">
        <v>1166903</v>
      </c>
      <c r="D4079" t="s">
        <v>56</v>
      </c>
      <c r="E4079">
        <v>5.2149999999999999</v>
      </c>
      <c r="F4079" t="s">
        <v>19</v>
      </c>
      <c r="G4079" t="s">
        <v>20</v>
      </c>
      <c r="H4079" t="s">
        <v>21</v>
      </c>
      <c r="I4079" t="s">
        <v>20</v>
      </c>
      <c r="J4079" t="s">
        <v>20</v>
      </c>
      <c r="K4079" t="s">
        <v>41</v>
      </c>
      <c r="L4079" t="s">
        <v>57</v>
      </c>
      <c r="M4079" t="s">
        <v>58</v>
      </c>
      <c r="N4079">
        <v>41.161693999999997</v>
      </c>
      <c r="O4079">
        <v>-112.023757</v>
      </c>
      <c r="P4079">
        <v>4492.5178519999999</v>
      </c>
      <c r="Q4079">
        <v>1459</v>
      </c>
      <c r="R4079">
        <v>0</v>
      </c>
    </row>
    <row r="4080" spans="1:18" x14ac:dyDescent="0.25">
      <c r="A4080">
        <v>4079</v>
      </c>
      <c r="B4080">
        <v>94</v>
      </c>
      <c r="C4080">
        <v>1271042</v>
      </c>
      <c r="D4080" t="s">
        <v>189</v>
      </c>
      <c r="E4080">
        <v>5.2149999999999999</v>
      </c>
      <c r="F4080" t="s">
        <v>21</v>
      </c>
      <c r="G4080" t="s">
        <v>26</v>
      </c>
      <c r="H4080" t="s">
        <v>21</v>
      </c>
      <c r="I4080" t="s">
        <v>20</v>
      </c>
      <c r="J4080" t="s">
        <v>20</v>
      </c>
      <c r="K4080" t="s">
        <v>41</v>
      </c>
      <c r="L4080" t="s">
        <v>81</v>
      </c>
      <c r="M4080" t="s">
        <v>190</v>
      </c>
      <c r="N4080">
        <v>41.228738</v>
      </c>
      <c r="O4080">
        <v>-111.948054</v>
      </c>
      <c r="P4080">
        <v>4409.7712920000004</v>
      </c>
      <c r="Q4080">
        <v>412</v>
      </c>
      <c r="R4080">
        <v>0</v>
      </c>
    </row>
    <row r="4081" spans="1:18" x14ac:dyDescent="0.25">
      <c r="A4081">
        <v>4080</v>
      </c>
      <c r="B4081">
        <v>94</v>
      </c>
      <c r="C4081">
        <v>31754801</v>
      </c>
      <c r="D4081" t="s">
        <v>65</v>
      </c>
      <c r="E4081">
        <v>5.2169999999999996</v>
      </c>
      <c r="F4081" t="s">
        <v>21</v>
      </c>
      <c r="G4081" t="s">
        <v>26</v>
      </c>
      <c r="H4081" t="s">
        <v>21</v>
      </c>
      <c r="I4081" t="s">
        <v>20</v>
      </c>
      <c r="J4081" t="s">
        <v>20</v>
      </c>
      <c r="K4081" t="s">
        <v>31</v>
      </c>
      <c r="L4081" t="s">
        <v>188</v>
      </c>
      <c r="M4081" t="s">
        <v>67</v>
      </c>
      <c r="N4081">
        <v>40.758491999999997</v>
      </c>
      <c r="O4081">
        <v>-111.841314</v>
      </c>
      <c r="P4081">
        <v>4680.8693579999999</v>
      </c>
      <c r="Q4081">
        <v>402</v>
      </c>
      <c r="R4081">
        <v>0</v>
      </c>
    </row>
    <row r="4082" spans="1:18" x14ac:dyDescent="0.25">
      <c r="A4082">
        <v>4081</v>
      </c>
      <c r="B4082">
        <v>94</v>
      </c>
      <c r="C4082">
        <v>31444301</v>
      </c>
      <c r="D4082" t="s">
        <v>107</v>
      </c>
      <c r="E4082">
        <v>4.3949999999999996</v>
      </c>
      <c r="F4082" t="s">
        <v>21</v>
      </c>
      <c r="G4082" t="s">
        <v>26</v>
      </c>
      <c r="H4082" t="s">
        <v>21</v>
      </c>
      <c r="I4082" t="s">
        <v>20</v>
      </c>
      <c r="J4082" t="s">
        <v>20</v>
      </c>
      <c r="K4082" t="s">
        <v>41</v>
      </c>
      <c r="L4082" t="s">
        <v>81</v>
      </c>
      <c r="M4082" t="s">
        <v>93</v>
      </c>
      <c r="N4082">
        <v>41.256396000000002</v>
      </c>
      <c r="O4082">
        <v>-111.977948</v>
      </c>
      <c r="P4082">
        <v>4227.7554449999998</v>
      </c>
      <c r="Q4082">
        <v>413</v>
      </c>
      <c r="R4082">
        <v>0</v>
      </c>
    </row>
    <row r="4083" spans="1:18" x14ac:dyDescent="0.25">
      <c r="A4083">
        <v>4082</v>
      </c>
      <c r="B4083">
        <v>94</v>
      </c>
      <c r="C4083">
        <v>31366768</v>
      </c>
      <c r="D4083" t="s">
        <v>229</v>
      </c>
      <c r="E4083">
        <v>4.3970000000000002</v>
      </c>
      <c r="F4083" t="s">
        <v>21</v>
      </c>
      <c r="G4083" t="s">
        <v>26</v>
      </c>
      <c r="H4083" t="s">
        <v>21</v>
      </c>
      <c r="I4083" t="s">
        <v>20</v>
      </c>
      <c r="J4083" t="s">
        <v>20</v>
      </c>
      <c r="K4083" t="s">
        <v>27</v>
      </c>
      <c r="L4083" t="s">
        <v>230</v>
      </c>
      <c r="M4083" t="s">
        <v>82</v>
      </c>
      <c r="N4083">
        <v>39.475968000000002</v>
      </c>
      <c r="O4083">
        <v>-111.572388</v>
      </c>
      <c r="P4083">
        <v>5440.5809929999996</v>
      </c>
      <c r="Q4083">
        <v>331</v>
      </c>
      <c r="R4083">
        <v>0</v>
      </c>
    </row>
    <row r="4084" spans="1:18" x14ac:dyDescent="0.25">
      <c r="A4084">
        <v>4083</v>
      </c>
      <c r="B4084">
        <v>94</v>
      </c>
      <c r="C4084">
        <v>31759474</v>
      </c>
      <c r="D4084" t="s">
        <v>65</v>
      </c>
      <c r="E4084">
        <v>4.4020000000000001</v>
      </c>
      <c r="F4084" t="s">
        <v>21</v>
      </c>
      <c r="G4084" t="s">
        <v>26</v>
      </c>
      <c r="H4084" t="s">
        <v>21</v>
      </c>
      <c r="I4084" t="s">
        <v>20</v>
      </c>
      <c r="J4084" t="s">
        <v>20</v>
      </c>
      <c r="K4084" t="s">
        <v>31</v>
      </c>
      <c r="L4084" t="s">
        <v>66</v>
      </c>
      <c r="M4084" t="s">
        <v>67</v>
      </c>
      <c r="N4084">
        <v>40.758567999999997</v>
      </c>
      <c r="O4084">
        <v>-111.85686800000001</v>
      </c>
      <c r="P4084">
        <v>4484.1324450000002</v>
      </c>
      <c r="Q4084">
        <v>402</v>
      </c>
      <c r="R4084">
        <v>0</v>
      </c>
    </row>
    <row r="4085" spans="1:18" x14ac:dyDescent="0.25">
      <c r="A4085">
        <v>4084</v>
      </c>
      <c r="B4085">
        <v>94</v>
      </c>
      <c r="C4085">
        <v>31404819</v>
      </c>
      <c r="D4085" t="s">
        <v>63</v>
      </c>
      <c r="E4085">
        <v>4.4059999999999997</v>
      </c>
      <c r="F4085" t="s">
        <v>21</v>
      </c>
      <c r="G4085" t="s">
        <v>26</v>
      </c>
      <c r="H4085" t="s">
        <v>21</v>
      </c>
      <c r="I4085" t="s">
        <v>20</v>
      </c>
      <c r="J4085" t="s">
        <v>20</v>
      </c>
      <c r="K4085" t="s">
        <v>27</v>
      </c>
      <c r="L4085" t="s">
        <v>64</v>
      </c>
      <c r="M4085" t="s">
        <v>29</v>
      </c>
      <c r="N4085">
        <v>38.198708000000003</v>
      </c>
      <c r="O4085">
        <v>-112.151579</v>
      </c>
      <c r="P4085">
        <v>6110.9734600000002</v>
      </c>
      <c r="Q4085">
        <v>1365</v>
      </c>
      <c r="R4085">
        <v>0</v>
      </c>
    </row>
    <row r="4086" spans="1:18" x14ac:dyDescent="0.25">
      <c r="A4086">
        <v>4085</v>
      </c>
      <c r="B4086">
        <v>94</v>
      </c>
      <c r="C4086">
        <v>532476</v>
      </c>
      <c r="D4086" t="s">
        <v>44</v>
      </c>
      <c r="E4086">
        <v>4.6680000000000001</v>
      </c>
      <c r="F4086" t="s">
        <v>21</v>
      </c>
      <c r="G4086" t="s">
        <v>26</v>
      </c>
      <c r="H4086" t="s">
        <v>21</v>
      </c>
      <c r="I4086" t="s">
        <v>20</v>
      </c>
      <c r="J4086" t="s">
        <v>20</v>
      </c>
      <c r="K4086" t="s">
        <v>41</v>
      </c>
      <c r="L4086" t="s">
        <v>45</v>
      </c>
      <c r="M4086" t="s">
        <v>46</v>
      </c>
      <c r="N4086">
        <v>40.944873000000001</v>
      </c>
      <c r="O4086">
        <v>-111.880951</v>
      </c>
      <c r="P4086">
        <v>4254.1290150000004</v>
      </c>
      <c r="Q4086">
        <v>1395</v>
      </c>
      <c r="R4086">
        <v>0</v>
      </c>
    </row>
    <row r="4087" spans="1:18" x14ac:dyDescent="0.25">
      <c r="A4087">
        <v>4086</v>
      </c>
      <c r="B4087">
        <v>94</v>
      </c>
      <c r="C4087">
        <v>31808180</v>
      </c>
      <c r="D4087" t="s">
        <v>192</v>
      </c>
      <c r="E4087">
        <v>4.6680000000000001</v>
      </c>
      <c r="F4087" t="s">
        <v>21</v>
      </c>
      <c r="G4087" t="s">
        <v>20</v>
      </c>
      <c r="H4087" t="s">
        <v>21</v>
      </c>
      <c r="I4087" t="s">
        <v>20</v>
      </c>
      <c r="J4087" t="s">
        <v>20</v>
      </c>
      <c r="K4087" t="s">
        <v>22</v>
      </c>
      <c r="L4087" t="s">
        <v>140</v>
      </c>
      <c r="M4087" t="s">
        <v>125</v>
      </c>
      <c r="N4087">
        <v>40.158450999999999</v>
      </c>
      <c r="O4087">
        <v>-111.692904</v>
      </c>
      <c r="P4087">
        <v>4450.8751419999999</v>
      </c>
      <c r="Q4087">
        <v>1375</v>
      </c>
      <c r="R4087">
        <v>0</v>
      </c>
    </row>
    <row r="4088" spans="1:18" x14ac:dyDescent="0.25">
      <c r="A4088">
        <v>4087</v>
      </c>
      <c r="B4088">
        <v>94</v>
      </c>
      <c r="C4088">
        <v>545948</v>
      </c>
      <c r="D4088" t="s">
        <v>47</v>
      </c>
      <c r="E4088">
        <v>4.6710000000000003</v>
      </c>
      <c r="F4088" t="s">
        <v>19</v>
      </c>
      <c r="G4088" t="s">
        <v>20</v>
      </c>
      <c r="H4088" t="s">
        <v>21</v>
      </c>
      <c r="I4088" t="s">
        <v>20</v>
      </c>
      <c r="J4088" t="s">
        <v>20</v>
      </c>
      <c r="K4088" t="s">
        <v>31</v>
      </c>
      <c r="L4088" t="s">
        <v>89</v>
      </c>
      <c r="M4088" t="s">
        <v>49</v>
      </c>
      <c r="N4088">
        <v>40.544345999999997</v>
      </c>
      <c r="O4088">
        <v>-111.894931</v>
      </c>
      <c r="P4088">
        <v>4361.7460490000003</v>
      </c>
      <c r="Q4088">
        <v>6715</v>
      </c>
      <c r="R4088">
        <v>0</v>
      </c>
    </row>
    <row r="4089" spans="1:18" x14ac:dyDescent="0.25">
      <c r="A4089">
        <v>4088</v>
      </c>
      <c r="B4089">
        <v>94</v>
      </c>
      <c r="C4089">
        <v>27950549</v>
      </c>
      <c r="D4089" t="s">
        <v>265</v>
      </c>
      <c r="E4089">
        <v>4.673</v>
      </c>
      <c r="F4089" t="s">
        <v>21</v>
      </c>
      <c r="G4089" t="s">
        <v>26</v>
      </c>
      <c r="H4089" t="s">
        <v>21</v>
      </c>
      <c r="I4089" t="s">
        <v>20</v>
      </c>
      <c r="J4089" t="s">
        <v>20</v>
      </c>
      <c r="K4089" t="s">
        <v>27</v>
      </c>
      <c r="L4089" t="s">
        <v>266</v>
      </c>
      <c r="M4089" t="s">
        <v>267</v>
      </c>
      <c r="N4089">
        <v>38.460070000000002</v>
      </c>
      <c r="O4089">
        <v>-111.61413</v>
      </c>
      <c r="P4089">
        <v>7177.621521</v>
      </c>
      <c r="Q4089">
        <v>1371</v>
      </c>
      <c r="R4089">
        <v>0</v>
      </c>
    </row>
    <row r="4090" spans="1:18" x14ac:dyDescent="0.25">
      <c r="A4090">
        <v>4089</v>
      </c>
      <c r="B4090">
        <v>94</v>
      </c>
      <c r="C4090">
        <v>31351643</v>
      </c>
      <c r="D4090" t="s">
        <v>34</v>
      </c>
      <c r="E4090">
        <v>4.6740000000000004</v>
      </c>
      <c r="F4090" t="s">
        <v>21</v>
      </c>
      <c r="G4090" t="s">
        <v>26</v>
      </c>
      <c r="H4090" t="s">
        <v>21</v>
      </c>
      <c r="I4090" t="s">
        <v>20</v>
      </c>
      <c r="J4090" t="s">
        <v>20</v>
      </c>
      <c r="K4090" t="s">
        <v>22</v>
      </c>
      <c r="L4090" t="s">
        <v>35</v>
      </c>
      <c r="M4090" t="s">
        <v>36</v>
      </c>
      <c r="N4090">
        <v>40.511974000000002</v>
      </c>
      <c r="O4090">
        <v>-111.457729</v>
      </c>
      <c r="P4090">
        <v>5500.3823629999997</v>
      </c>
      <c r="Q4090">
        <v>1400</v>
      </c>
      <c r="R4090">
        <v>0</v>
      </c>
    </row>
    <row r="4091" spans="1:18" x14ac:dyDescent="0.25">
      <c r="A4091">
        <v>4090</v>
      </c>
      <c r="B4091">
        <v>94</v>
      </c>
      <c r="C4091">
        <v>2836185</v>
      </c>
      <c r="D4091" t="s">
        <v>113</v>
      </c>
      <c r="E4091">
        <v>4.6740000000000004</v>
      </c>
      <c r="F4091" t="s">
        <v>21</v>
      </c>
      <c r="G4091" t="s">
        <v>26</v>
      </c>
      <c r="H4091" t="s">
        <v>21</v>
      </c>
      <c r="I4091" t="s">
        <v>20</v>
      </c>
      <c r="J4091" t="s">
        <v>20</v>
      </c>
      <c r="K4091" t="s">
        <v>41</v>
      </c>
      <c r="L4091" t="s">
        <v>87</v>
      </c>
      <c r="M4091" t="s">
        <v>58</v>
      </c>
      <c r="N4091">
        <v>41.134334000000003</v>
      </c>
      <c r="O4091">
        <v>-111.954145</v>
      </c>
      <c r="P4091">
        <v>4432.6844030000002</v>
      </c>
      <c r="Q4091">
        <v>1363</v>
      </c>
      <c r="R4091">
        <v>0</v>
      </c>
    </row>
    <row r="4092" spans="1:18" x14ac:dyDescent="0.25">
      <c r="A4092">
        <v>4091</v>
      </c>
      <c r="B4092">
        <v>94</v>
      </c>
      <c r="C4092">
        <v>31378825</v>
      </c>
      <c r="D4092" t="s">
        <v>221</v>
      </c>
      <c r="E4092">
        <v>4.1669999999999998</v>
      </c>
      <c r="F4092" t="s">
        <v>21</v>
      </c>
      <c r="G4092" t="s">
        <v>20</v>
      </c>
      <c r="H4092" t="s">
        <v>21</v>
      </c>
      <c r="I4092" t="s">
        <v>20</v>
      </c>
      <c r="J4092" t="s">
        <v>20</v>
      </c>
      <c r="K4092" t="s">
        <v>27</v>
      </c>
      <c r="L4092" t="s">
        <v>350</v>
      </c>
      <c r="M4092" t="s">
        <v>174</v>
      </c>
      <c r="N4092">
        <v>39.211275000000001</v>
      </c>
      <c r="O4092">
        <v>-111.84849</v>
      </c>
      <c r="P4092">
        <v>5032.5312409999997</v>
      </c>
      <c r="Q4092">
        <v>1342</v>
      </c>
      <c r="R4092">
        <v>0</v>
      </c>
    </row>
    <row r="4093" spans="1:18" x14ac:dyDescent="0.25">
      <c r="A4093">
        <v>4092</v>
      </c>
      <c r="B4093">
        <v>94</v>
      </c>
      <c r="C4093">
        <v>31753249</v>
      </c>
      <c r="D4093" t="s">
        <v>65</v>
      </c>
      <c r="E4093">
        <v>4.1669999999999998</v>
      </c>
      <c r="F4093" t="s">
        <v>21</v>
      </c>
      <c r="G4093" t="s">
        <v>26</v>
      </c>
      <c r="H4093" t="s">
        <v>21</v>
      </c>
      <c r="I4093" t="s">
        <v>20</v>
      </c>
      <c r="J4093" t="s">
        <v>20</v>
      </c>
      <c r="K4093" t="s">
        <v>31</v>
      </c>
      <c r="L4093" t="s">
        <v>66</v>
      </c>
      <c r="M4093" t="s">
        <v>67</v>
      </c>
      <c r="N4093">
        <v>40.758406000000001</v>
      </c>
      <c r="O4093">
        <v>-111.86133100000001</v>
      </c>
      <c r="P4093">
        <v>4408.0658110000004</v>
      </c>
      <c r="Q4093">
        <v>402</v>
      </c>
      <c r="R4093">
        <v>0</v>
      </c>
    </row>
    <row r="4094" spans="1:18" x14ac:dyDescent="0.25">
      <c r="A4094">
        <v>4093</v>
      </c>
      <c r="B4094">
        <v>94</v>
      </c>
      <c r="C4094">
        <v>31528218</v>
      </c>
      <c r="D4094" t="s">
        <v>182</v>
      </c>
      <c r="E4094">
        <v>4.17</v>
      </c>
      <c r="F4094" t="s">
        <v>21</v>
      </c>
      <c r="G4094" t="s">
        <v>26</v>
      </c>
      <c r="H4094" t="s">
        <v>19</v>
      </c>
      <c r="I4094">
        <v>50</v>
      </c>
      <c r="J4094" t="s">
        <v>20</v>
      </c>
      <c r="K4094" t="s">
        <v>27</v>
      </c>
      <c r="L4094" t="s">
        <v>183</v>
      </c>
      <c r="M4094" t="s">
        <v>76</v>
      </c>
      <c r="N4094">
        <v>38.959898000000003</v>
      </c>
      <c r="O4094">
        <v>-111.927086</v>
      </c>
      <c r="P4094">
        <v>5277.9127539999999</v>
      </c>
      <c r="Q4094">
        <v>429</v>
      </c>
      <c r="R4094">
        <v>0</v>
      </c>
    </row>
    <row r="4095" spans="1:18" x14ac:dyDescent="0.25">
      <c r="A4095">
        <v>4094</v>
      </c>
      <c r="B4095">
        <v>94</v>
      </c>
      <c r="C4095">
        <v>31192927</v>
      </c>
      <c r="D4095" t="s">
        <v>150</v>
      </c>
      <c r="E4095">
        <v>4.4480000000000004</v>
      </c>
      <c r="F4095" t="s">
        <v>21</v>
      </c>
      <c r="G4095" t="s">
        <v>26</v>
      </c>
      <c r="H4095" t="s">
        <v>21</v>
      </c>
      <c r="I4095" t="s">
        <v>20</v>
      </c>
      <c r="J4095" t="s">
        <v>20</v>
      </c>
      <c r="K4095" t="s">
        <v>27</v>
      </c>
      <c r="L4095" t="s">
        <v>151</v>
      </c>
      <c r="M4095" t="s">
        <v>152</v>
      </c>
      <c r="N4095">
        <v>38.976689</v>
      </c>
      <c r="O4095">
        <v>-110.121289</v>
      </c>
      <c r="P4095">
        <v>4083.7657340000001</v>
      </c>
      <c r="Q4095">
        <v>1336</v>
      </c>
      <c r="R4095">
        <v>0</v>
      </c>
    </row>
    <row r="4096" spans="1:18" x14ac:dyDescent="0.25">
      <c r="A4096">
        <v>4095</v>
      </c>
      <c r="B4096">
        <v>94</v>
      </c>
      <c r="C4096">
        <v>31351621</v>
      </c>
      <c r="D4096" t="s">
        <v>34</v>
      </c>
      <c r="E4096">
        <v>4.4489999999999998</v>
      </c>
      <c r="F4096" t="s">
        <v>21</v>
      </c>
      <c r="G4096" t="s">
        <v>26</v>
      </c>
      <c r="H4096" t="s">
        <v>21</v>
      </c>
      <c r="I4096" t="s">
        <v>20</v>
      </c>
      <c r="J4096" t="s">
        <v>20</v>
      </c>
      <c r="K4096" t="s">
        <v>22</v>
      </c>
      <c r="L4096" t="s">
        <v>35</v>
      </c>
      <c r="M4096" t="s">
        <v>36</v>
      </c>
      <c r="N4096">
        <v>40.512037999999997</v>
      </c>
      <c r="O4096">
        <v>-111.461986</v>
      </c>
      <c r="P4096">
        <v>5515.3818289999999</v>
      </c>
      <c r="Q4096">
        <v>1400</v>
      </c>
      <c r="R4096">
        <v>0</v>
      </c>
    </row>
    <row r="4097" spans="1:18" x14ac:dyDescent="0.25">
      <c r="A4097">
        <v>4096</v>
      </c>
      <c r="B4097">
        <v>94</v>
      </c>
      <c r="C4097">
        <v>31387162</v>
      </c>
      <c r="D4097" t="s">
        <v>184</v>
      </c>
      <c r="E4097">
        <v>4.4530000000000003</v>
      </c>
      <c r="F4097" t="s">
        <v>21</v>
      </c>
      <c r="G4097" t="s">
        <v>26</v>
      </c>
      <c r="H4097" t="s">
        <v>21</v>
      </c>
      <c r="I4097" t="s">
        <v>20</v>
      </c>
      <c r="J4097" t="s">
        <v>20</v>
      </c>
      <c r="K4097" t="s">
        <v>27</v>
      </c>
      <c r="L4097" t="s">
        <v>54</v>
      </c>
      <c r="M4097" t="s">
        <v>55</v>
      </c>
      <c r="N4097">
        <v>37.708621000000001</v>
      </c>
      <c r="O4097">
        <v>-113.06208599999999</v>
      </c>
      <c r="P4097">
        <v>5614.6143970000003</v>
      </c>
      <c r="Q4097">
        <v>1410</v>
      </c>
      <c r="R4097">
        <v>0</v>
      </c>
    </row>
    <row r="4098" spans="1:18" x14ac:dyDescent="0.25">
      <c r="A4098">
        <v>4097</v>
      </c>
      <c r="B4098">
        <v>94</v>
      </c>
      <c r="C4098">
        <v>31387173</v>
      </c>
      <c r="D4098" t="s">
        <v>184</v>
      </c>
      <c r="E4098">
        <v>4.7210000000000001</v>
      </c>
      <c r="F4098" t="s">
        <v>19</v>
      </c>
      <c r="G4098" t="s">
        <v>20</v>
      </c>
      <c r="H4098" t="s">
        <v>21</v>
      </c>
      <c r="I4098" t="s">
        <v>20</v>
      </c>
      <c r="J4098" t="s">
        <v>20</v>
      </c>
      <c r="K4098" t="s">
        <v>27</v>
      </c>
      <c r="L4098" t="s">
        <v>54</v>
      </c>
      <c r="M4098" t="s">
        <v>55</v>
      </c>
      <c r="N4098">
        <v>37.712363000000003</v>
      </c>
      <c r="O4098">
        <v>-113.06095500000001</v>
      </c>
      <c r="P4098">
        <v>5624.0814609999998</v>
      </c>
      <c r="Q4098">
        <v>1410</v>
      </c>
      <c r="R4098">
        <v>0</v>
      </c>
    </row>
    <row r="4099" spans="1:18" x14ac:dyDescent="0.25">
      <c r="A4099">
        <v>4098</v>
      </c>
      <c r="B4099">
        <v>94</v>
      </c>
      <c r="C4099">
        <v>1457060</v>
      </c>
      <c r="D4099" t="s">
        <v>88</v>
      </c>
      <c r="E4099">
        <v>4.7210000000000001</v>
      </c>
      <c r="F4099" t="s">
        <v>19</v>
      </c>
      <c r="G4099" t="s">
        <v>20</v>
      </c>
      <c r="H4099" t="s">
        <v>21</v>
      </c>
      <c r="I4099" t="s">
        <v>20</v>
      </c>
      <c r="J4099" t="s">
        <v>20</v>
      </c>
      <c r="K4099" t="s">
        <v>31</v>
      </c>
      <c r="L4099" t="s">
        <v>89</v>
      </c>
      <c r="M4099" t="s">
        <v>90</v>
      </c>
      <c r="N4099">
        <v>40.526783000000002</v>
      </c>
      <c r="O4099">
        <v>-111.89572099999999</v>
      </c>
      <c r="P4099">
        <v>4363.5470059999998</v>
      </c>
      <c r="Q4099">
        <v>318</v>
      </c>
      <c r="R4099">
        <v>0</v>
      </c>
    </row>
    <row r="4100" spans="1:18" x14ac:dyDescent="0.25">
      <c r="A4100">
        <v>4099</v>
      </c>
      <c r="B4100">
        <v>94</v>
      </c>
      <c r="C4100">
        <v>31435616</v>
      </c>
      <c r="D4100" t="s">
        <v>216</v>
      </c>
      <c r="E4100">
        <v>4.7240000000000002</v>
      </c>
      <c r="F4100" t="s">
        <v>21</v>
      </c>
      <c r="G4100" t="s">
        <v>20</v>
      </c>
      <c r="H4100" t="s">
        <v>21</v>
      </c>
      <c r="I4100" t="s">
        <v>20</v>
      </c>
      <c r="J4100" t="s">
        <v>20</v>
      </c>
      <c r="K4100" t="s">
        <v>27</v>
      </c>
      <c r="L4100" t="s">
        <v>158</v>
      </c>
      <c r="M4100" t="s">
        <v>159</v>
      </c>
      <c r="N4100">
        <v>39.684365</v>
      </c>
      <c r="O4100">
        <v>-110.803042</v>
      </c>
      <c r="P4100">
        <v>6436.3519370000004</v>
      </c>
      <c r="Q4100">
        <v>1428</v>
      </c>
      <c r="R4100">
        <v>0</v>
      </c>
    </row>
    <row r="4101" spans="1:18" x14ac:dyDescent="0.25">
      <c r="A4101">
        <v>4100</v>
      </c>
      <c r="B4101">
        <v>94</v>
      </c>
      <c r="C4101" t="e">
        <f>-IpQK4gyHQTe_1Ix47vmmV</f>
        <v>#NAME?</v>
      </c>
      <c r="D4101" t="s">
        <v>47</v>
      </c>
      <c r="E4101">
        <v>4.7279999999999998</v>
      </c>
      <c r="F4101" t="s">
        <v>19</v>
      </c>
      <c r="G4101" t="s">
        <v>20</v>
      </c>
      <c r="H4101" t="s">
        <v>21</v>
      </c>
      <c r="I4101" t="s">
        <v>20</v>
      </c>
      <c r="J4101" t="s">
        <v>20</v>
      </c>
      <c r="K4101" t="s">
        <v>31</v>
      </c>
      <c r="L4101" t="s">
        <v>89</v>
      </c>
      <c r="M4101" t="s">
        <v>49</v>
      </c>
      <c r="N4101">
        <v>40.544252</v>
      </c>
      <c r="O4101">
        <v>-111.893852</v>
      </c>
      <c r="P4101">
        <v>4373.0079210000004</v>
      </c>
      <c r="Q4101">
        <v>6715</v>
      </c>
      <c r="R4101">
        <v>0</v>
      </c>
    </row>
    <row r="4102" spans="1:18" x14ac:dyDescent="0.25">
      <c r="A4102">
        <v>4101</v>
      </c>
      <c r="B4102">
        <v>94</v>
      </c>
      <c r="C4102" t="e">
        <f>-Ip5CoViHjT4NAviFJpG7F</f>
        <v>#NAME?</v>
      </c>
      <c r="D4102" t="s">
        <v>346</v>
      </c>
      <c r="E4102">
        <v>4.7290000000000001</v>
      </c>
      <c r="F4102" t="s">
        <v>21</v>
      </c>
      <c r="G4102" t="s">
        <v>20</v>
      </c>
      <c r="H4102" t="s">
        <v>21</v>
      </c>
      <c r="I4102" t="s">
        <v>20</v>
      </c>
      <c r="J4102" t="s">
        <v>20</v>
      </c>
      <c r="K4102" t="s">
        <v>27</v>
      </c>
      <c r="L4102" t="s">
        <v>307</v>
      </c>
      <c r="M4102" t="s">
        <v>159</v>
      </c>
      <c r="N4102">
        <v>39.708334000000001</v>
      </c>
      <c r="O4102">
        <v>-111.163258</v>
      </c>
      <c r="P4102">
        <v>7734.7933130000001</v>
      </c>
      <c r="Q4102">
        <v>1389</v>
      </c>
      <c r="R4102">
        <v>0</v>
      </c>
    </row>
    <row r="4103" spans="1:18" x14ac:dyDescent="0.25">
      <c r="A4103">
        <v>4102</v>
      </c>
      <c r="B4103">
        <v>94</v>
      </c>
      <c r="C4103">
        <v>801653</v>
      </c>
      <c r="D4103" t="s">
        <v>68</v>
      </c>
      <c r="E4103">
        <v>4.7300000000000004</v>
      </c>
      <c r="F4103" t="s">
        <v>19</v>
      </c>
      <c r="G4103" t="s">
        <v>20</v>
      </c>
      <c r="H4103" t="s">
        <v>21</v>
      </c>
      <c r="I4103" t="s">
        <v>20</v>
      </c>
      <c r="J4103" t="s">
        <v>20</v>
      </c>
      <c r="K4103" t="s">
        <v>31</v>
      </c>
      <c r="L4103" t="s">
        <v>32</v>
      </c>
      <c r="M4103" t="s">
        <v>70</v>
      </c>
      <c r="N4103">
        <v>40.674320000000002</v>
      </c>
      <c r="O4103">
        <v>-111.865566</v>
      </c>
      <c r="P4103">
        <v>4261.4485260000001</v>
      </c>
      <c r="Q4103">
        <v>431</v>
      </c>
      <c r="R4103">
        <v>0</v>
      </c>
    </row>
    <row r="4104" spans="1:18" x14ac:dyDescent="0.25">
      <c r="A4104">
        <v>4103</v>
      </c>
      <c r="B4104">
        <v>94</v>
      </c>
      <c r="C4104">
        <v>31296213</v>
      </c>
      <c r="D4104" t="s">
        <v>338</v>
      </c>
      <c r="E4104">
        <v>4.7300000000000004</v>
      </c>
      <c r="F4104" t="s">
        <v>21</v>
      </c>
      <c r="G4104" t="s">
        <v>20</v>
      </c>
      <c r="H4104" t="s">
        <v>21</v>
      </c>
      <c r="I4104" t="s">
        <v>20</v>
      </c>
      <c r="J4104" t="s">
        <v>20</v>
      </c>
      <c r="K4104" t="s">
        <v>27</v>
      </c>
      <c r="L4104" t="s">
        <v>72</v>
      </c>
      <c r="M4104" t="s">
        <v>73</v>
      </c>
      <c r="N4104">
        <v>37.037455999999999</v>
      </c>
      <c r="O4104">
        <v>-113.07045599999999</v>
      </c>
      <c r="P4104">
        <v>4777.0491099999999</v>
      </c>
      <c r="Q4104">
        <v>315</v>
      </c>
      <c r="R4104">
        <v>0</v>
      </c>
    </row>
    <row r="4105" spans="1:18" x14ac:dyDescent="0.25">
      <c r="A4105">
        <v>4104</v>
      </c>
      <c r="B4105">
        <v>94</v>
      </c>
      <c r="C4105">
        <v>31804083</v>
      </c>
      <c r="D4105" t="s">
        <v>61</v>
      </c>
      <c r="E4105">
        <v>4.7309999999999999</v>
      </c>
      <c r="F4105" t="s">
        <v>21</v>
      </c>
      <c r="G4105" t="s">
        <v>26</v>
      </c>
      <c r="H4105" t="s">
        <v>21</v>
      </c>
      <c r="I4105" t="s">
        <v>20</v>
      </c>
      <c r="J4105" t="s">
        <v>20</v>
      </c>
      <c r="K4105" t="s">
        <v>22</v>
      </c>
      <c r="L4105" t="s">
        <v>60</v>
      </c>
      <c r="M4105" t="s">
        <v>62</v>
      </c>
      <c r="N4105">
        <v>40.274394999999998</v>
      </c>
      <c r="O4105">
        <v>-111.657354</v>
      </c>
      <c r="P4105">
        <v>4614.5069830000002</v>
      </c>
      <c r="Q4105">
        <v>403</v>
      </c>
      <c r="R4105">
        <v>0</v>
      </c>
    </row>
    <row r="4106" spans="1:18" x14ac:dyDescent="0.25">
      <c r="A4106">
        <v>4105</v>
      </c>
      <c r="B4106">
        <v>94</v>
      </c>
      <c r="C4106">
        <v>28487669</v>
      </c>
      <c r="D4106" t="s">
        <v>99</v>
      </c>
      <c r="E4106">
        <v>4.7309999999999999</v>
      </c>
      <c r="F4106" t="s">
        <v>21</v>
      </c>
      <c r="G4106" t="s">
        <v>20</v>
      </c>
      <c r="H4106" t="s">
        <v>21</v>
      </c>
      <c r="I4106" t="s">
        <v>20</v>
      </c>
      <c r="J4106" t="s">
        <v>20</v>
      </c>
      <c r="K4106" t="s">
        <v>41</v>
      </c>
      <c r="L4106" t="s">
        <v>81</v>
      </c>
      <c r="M4106" t="s">
        <v>82</v>
      </c>
      <c r="N4106">
        <v>41.209944999999998</v>
      </c>
      <c r="O4106">
        <v>-111.95123700000001</v>
      </c>
      <c r="P4106">
        <v>4448.4270560000004</v>
      </c>
      <c r="Q4106">
        <v>1376</v>
      </c>
      <c r="R4106">
        <v>0</v>
      </c>
    </row>
    <row r="4107" spans="1:18" x14ac:dyDescent="0.25">
      <c r="A4107">
        <v>4106</v>
      </c>
      <c r="B4107">
        <v>94</v>
      </c>
      <c r="C4107">
        <v>2836199</v>
      </c>
      <c r="D4107" t="s">
        <v>113</v>
      </c>
      <c r="E4107">
        <v>4.7320000000000002</v>
      </c>
      <c r="F4107" t="s">
        <v>21</v>
      </c>
      <c r="G4107" t="s">
        <v>26</v>
      </c>
      <c r="H4107" t="s">
        <v>21</v>
      </c>
      <c r="I4107" t="s">
        <v>20</v>
      </c>
      <c r="J4107" t="s">
        <v>20</v>
      </c>
      <c r="K4107" t="s">
        <v>41</v>
      </c>
      <c r="L4107" t="s">
        <v>87</v>
      </c>
      <c r="M4107" t="s">
        <v>58</v>
      </c>
      <c r="N4107">
        <v>41.134273999999998</v>
      </c>
      <c r="O4107">
        <v>-111.95305500000001</v>
      </c>
      <c r="P4107">
        <v>4435.3678339999997</v>
      </c>
      <c r="Q4107">
        <v>1363</v>
      </c>
      <c r="R4107">
        <v>0</v>
      </c>
    </row>
    <row r="4108" spans="1:18" x14ac:dyDescent="0.25">
      <c r="A4108">
        <v>4107</v>
      </c>
      <c r="B4108">
        <v>94</v>
      </c>
      <c r="C4108">
        <v>31192848</v>
      </c>
      <c r="D4108" t="s">
        <v>153</v>
      </c>
      <c r="E4108">
        <v>4.7389999999999999</v>
      </c>
      <c r="F4108" t="s">
        <v>21</v>
      </c>
      <c r="G4108" t="s">
        <v>26</v>
      </c>
      <c r="H4108" t="s">
        <v>21</v>
      </c>
      <c r="I4108" t="s">
        <v>20</v>
      </c>
      <c r="J4108" t="s">
        <v>20</v>
      </c>
      <c r="K4108" t="s">
        <v>22</v>
      </c>
      <c r="L4108" t="s">
        <v>84</v>
      </c>
      <c r="M4108" t="s">
        <v>85</v>
      </c>
      <c r="N4108">
        <v>40.424230000000001</v>
      </c>
      <c r="O4108">
        <v>-111.75211</v>
      </c>
      <c r="P4108">
        <v>5089.750892</v>
      </c>
      <c r="R4108">
        <v>0</v>
      </c>
    </row>
    <row r="4109" spans="1:18" x14ac:dyDescent="0.25">
      <c r="A4109">
        <v>4108</v>
      </c>
      <c r="B4109">
        <v>94</v>
      </c>
      <c r="C4109">
        <v>1046241</v>
      </c>
      <c r="D4109" t="s">
        <v>127</v>
      </c>
      <c r="E4109">
        <v>4.7389999999999999</v>
      </c>
      <c r="F4109" t="s">
        <v>21</v>
      </c>
      <c r="G4109" t="s">
        <v>26</v>
      </c>
      <c r="H4109" t="s">
        <v>21</v>
      </c>
      <c r="I4109" t="s">
        <v>20</v>
      </c>
      <c r="J4109" t="s">
        <v>20</v>
      </c>
      <c r="K4109" t="s">
        <v>41</v>
      </c>
      <c r="L4109" t="s">
        <v>95</v>
      </c>
      <c r="M4109" t="s">
        <v>73</v>
      </c>
      <c r="N4109">
        <v>41.975850999999999</v>
      </c>
      <c r="O4109">
        <v>-111.86232699999999</v>
      </c>
      <c r="P4109">
        <v>4457.4145129999997</v>
      </c>
      <c r="Q4109">
        <v>1364</v>
      </c>
      <c r="R4109">
        <v>0</v>
      </c>
    </row>
    <row r="4110" spans="1:18" x14ac:dyDescent="0.25">
      <c r="A4110">
        <v>4109</v>
      </c>
      <c r="B4110">
        <v>94</v>
      </c>
      <c r="C4110">
        <v>560599</v>
      </c>
      <c r="D4110" t="s">
        <v>115</v>
      </c>
      <c r="E4110">
        <v>4.7389999999999999</v>
      </c>
      <c r="F4110" t="s">
        <v>19</v>
      </c>
      <c r="G4110" t="s">
        <v>20</v>
      </c>
      <c r="H4110" t="s">
        <v>21</v>
      </c>
      <c r="I4110" t="s">
        <v>20</v>
      </c>
      <c r="J4110" t="s">
        <v>20</v>
      </c>
      <c r="K4110" t="s">
        <v>31</v>
      </c>
      <c r="L4110" t="s">
        <v>48</v>
      </c>
      <c r="M4110" t="s">
        <v>70</v>
      </c>
      <c r="N4110">
        <v>40.652957999999998</v>
      </c>
      <c r="O4110">
        <v>-111.986914</v>
      </c>
      <c r="P4110">
        <v>4504.6286490000002</v>
      </c>
      <c r="Q4110">
        <v>1437</v>
      </c>
      <c r="R4110">
        <v>0</v>
      </c>
    </row>
    <row r="4111" spans="1:18" x14ac:dyDescent="0.25">
      <c r="A4111">
        <v>4110</v>
      </c>
      <c r="B4111">
        <v>94</v>
      </c>
      <c r="C4111">
        <v>31760289</v>
      </c>
      <c r="D4111" t="s">
        <v>77</v>
      </c>
      <c r="E4111">
        <v>4.742</v>
      </c>
      <c r="F4111" t="s">
        <v>21</v>
      </c>
      <c r="G4111" t="s">
        <v>26</v>
      </c>
      <c r="H4111" t="s">
        <v>21</v>
      </c>
      <c r="I4111" t="s">
        <v>20</v>
      </c>
      <c r="J4111" t="s">
        <v>20</v>
      </c>
      <c r="K4111" t="s">
        <v>31</v>
      </c>
      <c r="L4111" t="s">
        <v>78</v>
      </c>
      <c r="M4111" t="s">
        <v>79</v>
      </c>
      <c r="N4111">
        <v>40.707388000000002</v>
      </c>
      <c r="O4111">
        <v>-112.024891</v>
      </c>
      <c r="P4111">
        <v>4197.8368039999996</v>
      </c>
      <c r="Q4111">
        <v>1436</v>
      </c>
      <c r="R4111">
        <v>0</v>
      </c>
    </row>
    <row r="4112" spans="1:18" x14ac:dyDescent="0.25">
      <c r="A4112">
        <v>4111</v>
      </c>
      <c r="B4112">
        <v>94</v>
      </c>
      <c r="C4112">
        <v>31754390</v>
      </c>
      <c r="D4112" t="s">
        <v>65</v>
      </c>
      <c r="E4112">
        <v>4.742</v>
      </c>
      <c r="F4112" t="s">
        <v>21</v>
      </c>
      <c r="G4112" t="s">
        <v>26</v>
      </c>
      <c r="H4112" t="s">
        <v>21</v>
      </c>
      <c r="I4112" t="s">
        <v>20</v>
      </c>
      <c r="J4112" t="s">
        <v>20</v>
      </c>
      <c r="K4112" t="s">
        <v>31</v>
      </c>
      <c r="L4112" t="s">
        <v>188</v>
      </c>
      <c r="M4112" t="s">
        <v>67</v>
      </c>
      <c r="N4112">
        <v>40.758485999999998</v>
      </c>
      <c r="O4112">
        <v>-111.850388</v>
      </c>
      <c r="P4112">
        <v>4567.8383290000002</v>
      </c>
      <c r="Q4112">
        <v>402</v>
      </c>
      <c r="R4112">
        <v>0</v>
      </c>
    </row>
    <row r="4113" spans="1:18" x14ac:dyDescent="0.25">
      <c r="A4113">
        <v>4112</v>
      </c>
      <c r="B4113">
        <v>94</v>
      </c>
      <c r="C4113" t="e">
        <f>-IpZWCv0G8mtklGQO0W15F</f>
        <v>#NAME?</v>
      </c>
      <c r="D4113" t="s">
        <v>208</v>
      </c>
      <c r="E4113">
        <v>4.7450000000000001</v>
      </c>
      <c r="F4113" t="s">
        <v>21</v>
      </c>
      <c r="G4113" t="s">
        <v>26</v>
      </c>
      <c r="H4113" t="s">
        <v>21</v>
      </c>
      <c r="I4113" t="s">
        <v>20</v>
      </c>
      <c r="J4113" t="s">
        <v>20</v>
      </c>
      <c r="K4113" t="s">
        <v>31</v>
      </c>
      <c r="L4113" t="s">
        <v>209</v>
      </c>
      <c r="M4113" t="s">
        <v>131</v>
      </c>
      <c r="N4113">
        <v>40.646506000000002</v>
      </c>
      <c r="O4113">
        <v>-111.495549</v>
      </c>
      <c r="P4113">
        <v>6980.3253119999999</v>
      </c>
      <c r="Q4113">
        <v>357</v>
      </c>
      <c r="R4113">
        <v>0</v>
      </c>
    </row>
    <row r="4114" spans="1:18" x14ac:dyDescent="0.25">
      <c r="A4114">
        <v>4113</v>
      </c>
      <c r="B4114">
        <v>94</v>
      </c>
      <c r="C4114">
        <v>1724021</v>
      </c>
      <c r="D4114" t="s">
        <v>236</v>
      </c>
      <c r="E4114">
        <v>3.8559999999999999</v>
      </c>
      <c r="F4114" t="s">
        <v>21</v>
      </c>
      <c r="G4114" t="s">
        <v>26</v>
      </c>
      <c r="H4114" t="s">
        <v>21</v>
      </c>
      <c r="I4114" t="s">
        <v>20</v>
      </c>
      <c r="J4114" t="s">
        <v>20</v>
      </c>
      <c r="K4114" t="s">
        <v>31</v>
      </c>
      <c r="L4114" t="s">
        <v>48</v>
      </c>
      <c r="M4114" t="s">
        <v>79</v>
      </c>
      <c r="N4114">
        <v>40.631394</v>
      </c>
      <c r="O4114">
        <v>-112.053438</v>
      </c>
      <c r="P4114">
        <v>5075.8663729999998</v>
      </c>
      <c r="Q4114">
        <v>1398</v>
      </c>
      <c r="R4114">
        <v>0</v>
      </c>
    </row>
    <row r="4115" spans="1:18" x14ac:dyDescent="0.25">
      <c r="A4115">
        <v>4114</v>
      </c>
      <c r="B4115">
        <v>94</v>
      </c>
      <c r="C4115">
        <v>975129</v>
      </c>
      <c r="D4115" t="s">
        <v>65</v>
      </c>
      <c r="E4115">
        <v>3.8580000000000001</v>
      </c>
      <c r="F4115" t="s">
        <v>19</v>
      </c>
      <c r="G4115" t="s">
        <v>20</v>
      </c>
      <c r="H4115" t="s">
        <v>21</v>
      </c>
      <c r="I4115" t="s">
        <v>20</v>
      </c>
      <c r="J4115" t="s">
        <v>20</v>
      </c>
      <c r="K4115" t="s">
        <v>31</v>
      </c>
      <c r="L4115" t="s">
        <v>66</v>
      </c>
      <c r="M4115" t="s">
        <v>67</v>
      </c>
      <c r="N4115">
        <v>40.760672</v>
      </c>
      <c r="O4115">
        <v>-111.865334</v>
      </c>
      <c r="P4115">
        <v>4311.6533639999998</v>
      </c>
      <c r="Q4115">
        <v>402</v>
      </c>
      <c r="R4115">
        <v>0</v>
      </c>
    </row>
    <row r="4116" spans="1:18" x14ac:dyDescent="0.25">
      <c r="A4116">
        <v>4115</v>
      </c>
      <c r="B4116">
        <v>94</v>
      </c>
      <c r="C4116">
        <v>538924</v>
      </c>
      <c r="D4116" t="s">
        <v>47</v>
      </c>
      <c r="E4116">
        <v>3.86</v>
      </c>
      <c r="F4116" t="s">
        <v>19</v>
      </c>
      <c r="G4116" t="s">
        <v>20</v>
      </c>
      <c r="H4116" t="s">
        <v>21</v>
      </c>
      <c r="I4116" t="s">
        <v>20</v>
      </c>
      <c r="J4116" t="s">
        <v>20</v>
      </c>
      <c r="K4116" t="s">
        <v>31</v>
      </c>
      <c r="L4116" t="s">
        <v>89</v>
      </c>
      <c r="M4116" t="s">
        <v>49</v>
      </c>
      <c r="N4116">
        <v>40.544182999999997</v>
      </c>
      <c r="O4116">
        <v>-111.910342</v>
      </c>
      <c r="P4116">
        <v>4343.1315930000001</v>
      </c>
      <c r="Q4116">
        <v>6715</v>
      </c>
      <c r="R4116">
        <v>0</v>
      </c>
    </row>
    <row r="4117" spans="1:18" x14ac:dyDescent="0.25">
      <c r="A4117">
        <v>4116</v>
      </c>
      <c r="B4117">
        <v>94</v>
      </c>
      <c r="C4117" t="e">
        <f>-Ip4vlkNGsXVFoR7Pw3FlF</f>
        <v>#NAME?</v>
      </c>
      <c r="D4117" t="s">
        <v>124</v>
      </c>
      <c r="E4117">
        <v>3.8610000000000002</v>
      </c>
      <c r="F4117" t="s">
        <v>21</v>
      </c>
      <c r="G4117" t="s">
        <v>26</v>
      </c>
      <c r="H4117" t="s">
        <v>21</v>
      </c>
      <c r="I4117" t="s">
        <v>20</v>
      </c>
      <c r="J4117" t="s">
        <v>20</v>
      </c>
      <c r="K4117" t="s">
        <v>22</v>
      </c>
      <c r="L4117" t="s">
        <v>193</v>
      </c>
      <c r="M4117" t="s">
        <v>194</v>
      </c>
      <c r="N4117">
        <v>40.008012000000001</v>
      </c>
      <c r="O4117">
        <v>-111.95809199999999</v>
      </c>
      <c r="P4117">
        <v>4585.8843360000001</v>
      </c>
      <c r="Q4117">
        <v>1368</v>
      </c>
      <c r="R4117">
        <v>0</v>
      </c>
    </row>
    <row r="4118" spans="1:18" x14ac:dyDescent="0.25">
      <c r="A4118">
        <v>4117</v>
      </c>
      <c r="B4118">
        <v>94</v>
      </c>
      <c r="C4118">
        <v>31392986</v>
      </c>
      <c r="D4118" t="s">
        <v>114</v>
      </c>
      <c r="E4118">
        <v>3.8639999999999999</v>
      </c>
      <c r="F4118" t="s">
        <v>21</v>
      </c>
      <c r="G4118" t="s">
        <v>26</v>
      </c>
      <c r="H4118" t="s">
        <v>21</v>
      </c>
      <c r="I4118" t="s">
        <v>20</v>
      </c>
      <c r="J4118" t="s">
        <v>20</v>
      </c>
      <c r="K4118" t="s">
        <v>41</v>
      </c>
      <c r="L4118" t="s">
        <v>87</v>
      </c>
      <c r="M4118" t="s">
        <v>82</v>
      </c>
      <c r="N4118">
        <v>41.103541</v>
      </c>
      <c r="O4118">
        <v>-111.994651</v>
      </c>
      <c r="P4118">
        <v>4550.343766</v>
      </c>
      <c r="Q4118">
        <v>405</v>
      </c>
      <c r="R4118">
        <v>0</v>
      </c>
    </row>
    <row r="4119" spans="1:18" x14ac:dyDescent="0.25">
      <c r="A4119">
        <v>4118</v>
      </c>
      <c r="B4119">
        <v>94</v>
      </c>
      <c r="C4119">
        <v>31506487</v>
      </c>
      <c r="D4119" t="s">
        <v>124</v>
      </c>
      <c r="E4119">
        <v>58.136000000000003</v>
      </c>
      <c r="F4119" t="s">
        <v>21</v>
      </c>
      <c r="G4119" t="s">
        <v>26</v>
      </c>
      <c r="H4119" t="s">
        <v>21</v>
      </c>
      <c r="I4119" t="s">
        <v>20</v>
      </c>
      <c r="J4119" t="s">
        <v>20</v>
      </c>
      <c r="K4119" t="s">
        <v>31</v>
      </c>
      <c r="L4119" t="s">
        <v>362</v>
      </c>
      <c r="M4119" t="s">
        <v>365</v>
      </c>
      <c r="N4119">
        <v>40.752249999999997</v>
      </c>
      <c r="O4119">
        <v>-111.939038</v>
      </c>
      <c r="P4119">
        <v>4176.5859890000002</v>
      </c>
      <c r="Q4119">
        <v>1368</v>
      </c>
      <c r="R4119">
        <v>0</v>
      </c>
    </row>
    <row r="4120" spans="1:18" x14ac:dyDescent="0.25">
      <c r="A4120">
        <v>4119</v>
      </c>
      <c r="B4120">
        <v>94</v>
      </c>
      <c r="C4120">
        <v>31325189</v>
      </c>
      <c r="D4120" t="s">
        <v>241</v>
      </c>
      <c r="E4120">
        <v>58.2</v>
      </c>
      <c r="F4120" t="s">
        <v>21</v>
      </c>
      <c r="G4120" t="s">
        <v>26</v>
      </c>
      <c r="H4120" t="s">
        <v>21</v>
      </c>
      <c r="I4120" t="s">
        <v>20</v>
      </c>
      <c r="J4120" t="s">
        <v>20</v>
      </c>
      <c r="K4120" t="s">
        <v>27</v>
      </c>
      <c r="L4120" t="s">
        <v>111</v>
      </c>
      <c r="M4120" t="s">
        <v>243</v>
      </c>
      <c r="N4120">
        <v>39.455736000000002</v>
      </c>
      <c r="O4120">
        <v>-110.861178</v>
      </c>
      <c r="P4120">
        <v>5770.664452</v>
      </c>
      <c r="Q4120">
        <v>1327</v>
      </c>
      <c r="R4120">
        <v>0</v>
      </c>
    </row>
    <row r="4121" spans="1:18" x14ac:dyDescent="0.25">
      <c r="A4121">
        <v>4120</v>
      </c>
      <c r="B4121">
        <v>94</v>
      </c>
      <c r="C4121">
        <v>31303649</v>
      </c>
      <c r="D4121" t="s">
        <v>316</v>
      </c>
      <c r="E4121">
        <v>58.237000000000002</v>
      </c>
      <c r="F4121" t="s">
        <v>21</v>
      </c>
      <c r="G4121" t="s">
        <v>26</v>
      </c>
      <c r="H4121" t="s">
        <v>21</v>
      </c>
      <c r="I4121" t="s">
        <v>20</v>
      </c>
      <c r="J4121" t="s">
        <v>20</v>
      </c>
      <c r="K4121" t="s">
        <v>22</v>
      </c>
      <c r="L4121" t="s">
        <v>168</v>
      </c>
      <c r="M4121" t="s">
        <v>302</v>
      </c>
      <c r="N4121">
        <v>40.270724000000001</v>
      </c>
      <c r="O4121">
        <v>-110.446155</v>
      </c>
      <c r="P4121">
        <v>5818.6757630000002</v>
      </c>
      <c r="Q4121">
        <v>1346</v>
      </c>
      <c r="R4121">
        <v>0</v>
      </c>
    </row>
    <row r="4122" spans="1:18" x14ac:dyDescent="0.25">
      <c r="A4122">
        <v>4121</v>
      </c>
      <c r="B4122">
        <v>94</v>
      </c>
      <c r="C4122">
        <v>31826921</v>
      </c>
      <c r="D4122" t="s">
        <v>272</v>
      </c>
      <c r="E4122">
        <v>58.280999999999999</v>
      </c>
      <c r="F4122" t="s">
        <v>21</v>
      </c>
      <c r="G4122" t="s">
        <v>26</v>
      </c>
      <c r="H4122" t="s">
        <v>21</v>
      </c>
      <c r="I4122" t="s">
        <v>20</v>
      </c>
      <c r="J4122" t="s">
        <v>20</v>
      </c>
      <c r="K4122" t="s">
        <v>27</v>
      </c>
      <c r="L4122" t="s">
        <v>259</v>
      </c>
      <c r="M4122" t="s">
        <v>214</v>
      </c>
      <c r="N4122">
        <v>37.023778999999998</v>
      </c>
      <c r="O4122">
        <v>-112.43111</v>
      </c>
      <c r="P4122">
        <v>5082.8774469999998</v>
      </c>
      <c r="Q4122">
        <v>1384</v>
      </c>
      <c r="R4122">
        <v>0</v>
      </c>
    </row>
    <row r="4123" spans="1:18" x14ac:dyDescent="0.25">
      <c r="A4123">
        <v>4122</v>
      </c>
      <c r="B4123">
        <v>94</v>
      </c>
      <c r="C4123">
        <v>31584044</v>
      </c>
      <c r="D4123" t="s">
        <v>172</v>
      </c>
      <c r="E4123">
        <v>58.305999999999997</v>
      </c>
      <c r="F4123" t="s">
        <v>21</v>
      </c>
      <c r="G4123" t="s">
        <v>26</v>
      </c>
      <c r="H4123" t="s">
        <v>21</v>
      </c>
      <c r="I4123" t="s">
        <v>20</v>
      </c>
      <c r="J4123" t="s">
        <v>20</v>
      </c>
      <c r="K4123" t="s">
        <v>27</v>
      </c>
      <c r="L4123" t="s">
        <v>230</v>
      </c>
      <c r="M4123" t="s">
        <v>174</v>
      </c>
      <c r="N4123">
        <v>39.490718000000001</v>
      </c>
      <c r="O4123">
        <v>-111.563118</v>
      </c>
      <c r="P4123">
        <v>5474.1064889999998</v>
      </c>
      <c r="Q4123">
        <v>1411</v>
      </c>
      <c r="R4123">
        <v>0</v>
      </c>
    </row>
    <row r="4124" spans="1:18" x14ac:dyDescent="0.25">
      <c r="A4124">
        <v>4123</v>
      </c>
      <c r="B4124">
        <v>94</v>
      </c>
      <c r="C4124" t="s">
        <v>651</v>
      </c>
      <c r="D4124" t="s">
        <v>203</v>
      </c>
      <c r="E4124">
        <v>58.359000000000002</v>
      </c>
      <c r="F4124" t="s">
        <v>21</v>
      </c>
      <c r="G4124" t="s">
        <v>20</v>
      </c>
      <c r="H4124" t="s">
        <v>21</v>
      </c>
      <c r="I4124" t="s">
        <v>20</v>
      </c>
      <c r="J4124" t="s">
        <v>20</v>
      </c>
      <c r="K4124" t="s">
        <v>41</v>
      </c>
      <c r="L4124" t="s">
        <v>325</v>
      </c>
      <c r="M4124" t="s">
        <v>204</v>
      </c>
      <c r="N4124">
        <v>41.495218999999999</v>
      </c>
      <c r="O4124">
        <v>-111.327584</v>
      </c>
      <c r="P4124">
        <v>6885.8978550000002</v>
      </c>
      <c r="Q4124">
        <v>1349</v>
      </c>
      <c r="R4124">
        <v>0</v>
      </c>
    </row>
    <row r="4125" spans="1:18" x14ac:dyDescent="0.25">
      <c r="A4125">
        <v>4124</v>
      </c>
      <c r="B4125">
        <v>94</v>
      </c>
      <c r="C4125">
        <v>31436678</v>
      </c>
      <c r="D4125" t="s">
        <v>220</v>
      </c>
      <c r="E4125">
        <v>32.247</v>
      </c>
      <c r="F4125" t="s">
        <v>21</v>
      </c>
      <c r="G4125" t="s">
        <v>20</v>
      </c>
      <c r="H4125" t="s">
        <v>21</v>
      </c>
      <c r="I4125" t="s">
        <v>20</v>
      </c>
      <c r="J4125" t="s">
        <v>20</v>
      </c>
      <c r="K4125" t="s">
        <v>27</v>
      </c>
      <c r="L4125" t="s">
        <v>28</v>
      </c>
      <c r="M4125" t="s">
        <v>29</v>
      </c>
      <c r="N4125">
        <v>37.600760000000001</v>
      </c>
      <c r="O4125">
        <v>-111.97016000000001</v>
      </c>
      <c r="P4125">
        <v>6187.0876099999996</v>
      </c>
      <c r="Q4125">
        <v>1328</v>
      </c>
      <c r="R4125">
        <v>0</v>
      </c>
    </row>
    <row r="4126" spans="1:18" x14ac:dyDescent="0.25">
      <c r="A4126">
        <v>4125</v>
      </c>
      <c r="B4126">
        <v>94</v>
      </c>
      <c r="C4126">
        <v>27720885</v>
      </c>
      <c r="D4126" t="s">
        <v>217</v>
      </c>
      <c r="E4126">
        <v>32.249000000000002</v>
      </c>
      <c r="F4126" t="s">
        <v>21</v>
      </c>
      <c r="G4126" t="s">
        <v>26</v>
      </c>
      <c r="H4126" t="s">
        <v>21</v>
      </c>
      <c r="I4126" t="s">
        <v>20</v>
      </c>
      <c r="J4126" t="s">
        <v>20</v>
      </c>
      <c r="K4126" t="s">
        <v>27</v>
      </c>
      <c r="L4126" t="s">
        <v>162</v>
      </c>
      <c r="M4126" t="s">
        <v>163</v>
      </c>
      <c r="N4126">
        <v>37.488064999999999</v>
      </c>
      <c r="O4126">
        <v>-113.629695</v>
      </c>
      <c r="P4126">
        <v>5750.3113190000004</v>
      </c>
      <c r="Q4126">
        <v>304</v>
      </c>
      <c r="R4126">
        <v>0</v>
      </c>
    </row>
    <row r="4127" spans="1:18" x14ac:dyDescent="0.25">
      <c r="A4127">
        <v>4126</v>
      </c>
      <c r="B4127">
        <v>94</v>
      </c>
      <c r="C4127">
        <v>27994396</v>
      </c>
      <c r="D4127" t="s">
        <v>281</v>
      </c>
      <c r="E4127">
        <v>42.557000000000002</v>
      </c>
      <c r="F4127" t="s">
        <v>21</v>
      </c>
      <c r="G4127" t="s">
        <v>26</v>
      </c>
      <c r="H4127" t="s">
        <v>19</v>
      </c>
      <c r="I4127">
        <v>73</v>
      </c>
      <c r="J4127" t="s">
        <v>20</v>
      </c>
      <c r="K4127" t="s">
        <v>31</v>
      </c>
      <c r="L4127" t="s">
        <v>282</v>
      </c>
      <c r="M4127" t="s">
        <v>283</v>
      </c>
      <c r="N4127">
        <v>40.380921000000001</v>
      </c>
      <c r="O4127">
        <v>-112.38674399999999</v>
      </c>
      <c r="P4127">
        <v>4993.0129239999997</v>
      </c>
      <c r="Q4127">
        <v>1347</v>
      </c>
      <c r="R4127">
        <v>0</v>
      </c>
    </row>
    <row r="4128" spans="1:18" x14ac:dyDescent="0.25">
      <c r="A4128">
        <v>4127</v>
      </c>
      <c r="B4128">
        <v>94</v>
      </c>
      <c r="C4128" t="s">
        <v>652</v>
      </c>
      <c r="D4128" t="s">
        <v>203</v>
      </c>
      <c r="E4128">
        <v>42.578000000000003</v>
      </c>
      <c r="F4128" t="s">
        <v>21</v>
      </c>
      <c r="G4128" t="s">
        <v>20</v>
      </c>
      <c r="H4128" t="s">
        <v>21</v>
      </c>
      <c r="I4128" t="s">
        <v>20</v>
      </c>
      <c r="J4128" t="s">
        <v>20</v>
      </c>
      <c r="K4128" t="s">
        <v>41</v>
      </c>
      <c r="L4128" t="s">
        <v>255</v>
      </c>
      <c r="M4128" t="s">
        <v>653</v>
      </c>
      <c r="N4128">
        <v>41.404640000000001</v>
      </c>
      <c r="O4128">
        <v>-111.527355</v>
      </c>
      <c r="P4128">
        <v>8613.0528709999999</v>
      </c>
      <c r="Q4128">
        <v>1349</v>
      </c>
      <c r="R4128">
        <v>0</v>
      </c>
    </row>
    <row r="4129" spans="1:18" x14ac:dyDescent="0.25">
      <c r="A4129">
        <v>4128</v>
      </c>
      <c r="B4129">
        <v>94</v>
      </c>
      <c r="C4129">
        <v>31397957</v>
      </c>
      <c r="D4129" t="s">
        <v>124</v>
      </c>
      <c r="E4129">
        <v>40.058999999999997</v>
      </c>
      <c r="F4129" t="s">
        <v>19</v>
      </c>
      <c r="G4129" t="s">
        <v>20</v>
      </c>
      <c r="H4129" t="s">
        <v>19</v>
      </c>
      <c r="I4129">
        <v>140</v>
      </c>
      <c r="J4129" t="s">
        <v>20</v>
      </c>
      <c r="K4129" t="s">
        <v>31</v>
      </c>
      <c r="L4129" t="s">
        <v>89</v>
      </c>
      <c r="M4129" t="s">
        <v>125</v>
      </c>
      <c r="N4129">
        <v>40.489617000000003</v>
      </c>
      <c r="O4129">
        <v>-111.939989</v>
      </c>
      <c r="P4129">
        <v>4384.1529289999999</v>
      </c>
      <c r="Q4129">
        <v>1368</v>
      </c>
      <c r="R4129">
        <v>0</v>
      </c>
    </row>
    <row r="4130" spans="1:18" x14ac:dyDescent="0.25">
      <c r="A4130">
        <v>4129</v>
      </c>
      <c r="B4130">
        <v>94</v>
      </c>
      <c r="C4130">
        <v>31433630</v>
      </c>
      <c r="D4130" t="s">
        <v>221</v>
      </c>
      <c r="E4130">
        <v>40.064</v>
      </c>
      <c r="F4130" t="s">
        <v>21</v>
      </c>
      <c r="G4130" t="s">
        <v>26</v>
      </c>
      <c r="H4130" t="s">
        <v>21</v>
      </c>
      <c r="I4130" t="s">
        <v>20</v>
      </c>
      <c r="J4130" t="s">
        <v>20</v>
      </c>
      <c r="K4130" t="s">
        <v>22</v>
      </c>
      <c r="L4130" t="s">
        <v>155</v>
      </c>
      <c r="M4130" t="s">
        <v>174</v>
      </c>
      <c r="N4130">
        <v>39.699835999999998</v>
      </c>
      <c r="O4130">
        <v>-111.836123</v>
      </c>
      <c r="P4130">
        <v>5062.7231279999996</v>
      </c>
      <c r="Q4130">
        <v>1342</v>
      </c>
      <c r="R4130">
        <v>0</v>
      </c>
    </row>
    <row r="4131" spans="1:18" x14ac:dyDescent="0.25">
      <c r="A4131">
        <v>4130</v>
      </c>
      <c r="B4131">
        <v>94</v>
      </c>
      <c r="C4131">
        <v>31378407</v>
      </c>
      <c r="D4131" t="s">
        <v>199</v>
      </c>
      <c r="E4131">
        <v>40.094000000000001</v>
      </c>
      <c r="F4131" t="s">
        <v>21</v>
      </c>
      <c r="G4131" t="s">
        <v>20</v>
      </c>
      <c r="H4131" t="s">
        <v>21</v>
      </c>
      <c r="I4131" t="s">
        <v>20</v>
      </c>
      <c r="J4131" t="s">
        <v>20</v>
      </c>
      <c r="K4131" t="s">
        <v>27</v>
      </c>
      <c r="L4131" t="s">
        <v>64</v>
      </c>
      <c r="M4131" t="s">
        <v>200</v>
      </c>
      <c r="N4131">
        <v>38.238632000000003</v>
      </c>
      <c r="O4131">
        <v>-112.22754399999999</v>
      </c>
      <c r="P4131">
        <v>5966.6725930000002</v>
      </c>
      <c r="Q4131">
        <v>341</v>
      </c>
      <c r="R4131">
        <v>0</v>
      </c>
    </row>
    <row r="4132" spans="1:18" x14ac:dyDescent="0.25">
      <c r="A4132">
        <v>4131</v>
      </c>
      <c r="B4132">
        <v>94</v>
      </c>
      <c r="C4132">
        <v>31523423</v>
      </c>
      <c r="D4132" t="s">
        <v>132</v>
      </c>
      <c r="E4132">
        <v>40.095999999999997</v>
      </c>
      <c r="F4132" t="s">
        <v>21</v>
      </c>
      <c r="G4132" t="s">
        <v>26</v>
      </c>
      <c r="H4132" t="s">
        <v>21</v>
      </c>
      <c r="I4132" t="s">
        <v>20</v>
      </c>
      <c r="J4132" t="s">
        <v>20</v>
      </c>
      <c r="K4132" t="s">
        <v>22</v>
      </c>
      <c r="L4132" t="s">
        <v>234</v>
      </c>
      <c r="M4132" t="s">
        <v>277</v>
      </c>
      <c r="N4132">
        <v>40.458449999999999</v>
      </c>
      <c r="O4132">
        <v>-109.538128</v>
      </c>
      <c r="P4132">
        <v>5312.689453</v>
      </c>
      <c r="Q4132">
        <v>1405</v>
      </c>
      <c r="R4132">
        <v>0</v>
      </c>
    </row>
    <row r="4133" spans="1:18" x14ac:dyDescent="0.25">
      <c r="A4133">
        <v>4132</v>
      </c>
      <c r="B4133">
        <v>94</v>
      </c>
      <c r="C4133">
        <v>31292451</v>
      </c>
      <c r="D4133" t="s">
        <v>308</v>
      </c>
      <c r="E4133">
        <v>40.145000000000003</v>
      </c>
      <c r="F4133" t="s">
        <v>21</v>
      </c>
      <c r="G4133" t="s">
        <v>26</v>
      </c>
      <c r="H4133" t="s">
        <v>21</v>
      </c>
      <c r="I4133" t="s">
        <v>20</v>
      </c>
      <c r="J4133" t="s">
        <v>20</v>
      </c>
      <c r="K4133" t="s">
        <v>27</v>
      </c>
      <c r="L4133" t="s">
        <v>111</v>
      </c>
      <c r="M4133" t="s">
        <v>82</v>
      </c>
      <c r="N4133">
        <v>39.387141999999997</v>
      </c>
      <c r="O4133">
        <v>-111.082086</v>
      </c>
      <c r="P4133">
        <v>6347.2148070000003</v>
      </c>
      <c r="Q4133">
        <v>1344</v>
      </c>
      <c r="R4133">
        <v>0</v>
      </c>
    </row>
    <row r="4134" spans="1:18" x14ac:dyDescent="0.25">
      <c r="A4134">
        <v>4133</v>
      </c>
      <c r="B4134">
        <v>94</v>
      </c>
      <c r="C4134">
        <v>31433641</v>
      </c>
      <c r="D4134" t="s">
        <v>221</v>
      </c>
      <c r="E4134">
        <v>40.151000000000003</v>
      </c>
      <c r="F4134" t="s">
        <v>21</v>
      </c>
      <c r="G4134" t="s">
        <v>26</v>
      </c>
      <c r="H4134" t="s">
        <v>21</v>
      </c>
      <c r="I4134" t="s">
        <v>20</v>
      </c>
      <c r="J4134" t="s">
        <v>20</v>
      </c>
      <c r="K4134" t="s">
        <v>22</v>
      </c>
      <c r="L4134" t="s">
        <v>155</v>
      </c>
      <c r="M4134" t="s">
        <v>174</v>
      </c>
      <c r="N4134">
        <v>39.701096</v>
      </c>
      <c r="O4134">
        <v>-111.83613</v>
      </c>
      <c r="P4134">
        <v>5066.6579570000004</v>
      </c>
      <c r="Q4134">
        <v>1342</v>
      </c>
      <c r="R4134">
        <v>0</v>
      </c>
    </row>
    <row r="4135" spans="1:18" x14ac:dyDescent="0.25">
      <c r="A4135">
        <v>4134</v>
      </c>
      <c r="B4135">
        <v>94</v>
      </c>
      <c r="C4135">
        <v>31384836</v>
      </c>
      <c r="D4135" t="s">
        <v>116</v>
      </c>
      <c r="E4135">
        <v>40.152000000000001</v>
      </c>
      <c r="F4135" t="s">
        <v>21</v>
      </c>
      <c r="G4135" t="s">
        <v>26</v>
      </c>
      <c r="H4135" t="s">
        <v>21</v>
      </c>
      <c r="I4135" t="s">
        <v>20</v>
      </c>
      <c r="J4135" t="s">
        <v>20</v>
      </c>
      <c r="K4135" t="s">
        <v>41</v>
      </c>
      <c r="L4135" t="s">
        <v>95</v>
      </c>
      <c r="M4135" t="s">
        <v>117</v>
      </c>
      <c r="N4135">
        <v>41.924813</v>
      </c>
      <c r="O4135">
        <v>-111.81427600000001</v>
      </c>
      <c r="P4135">
        <v>4540.3898989999998</v>
      </c>
      <c r="Q4135">
        <v>324</v>
      </c>
      <c r="R4135">
        <v>0</v>
      </c>
    </row>
    <row r="4136" spans="1:18" x14ac:dyDescent="0.25">
      <c r="A4136">
        <v>4135</v>
      </c>
      <c r="B4136">
        <v>94</v>
      </c>
      <c r="C4136">
        <v>31377528</v>
      </c>
      <c r="D4136" t="s">
        <v>199</v>
      </c>
      <c r="E4136">
        <v>40.155999999999999</v>
      </c>
      <c r="F4136" t="s">
        <v>21</v>
      </c>
      <c r="G4136" t="s">
        <v>20</v>
      </c>
      <c r="H4136" t="s">
        <v>21</v>
      </c>
      <c r="I4136" t="s">
        <v>20</v>
      </c>
      <c r="J4136" t="s">
        <v>20</v>
      </c>
      <c r="K4136" t="s">
        <v>27</v>
      </c>
      <c r="L4136" t="s">
        <v>64</v>
      </c>
      <c r="M4136" t="s">
        <v>200</v>
      </c>
      <c r="N4136">
        <v>38.237921</v>
      </c>
      <c r="O4136">
        <v>-112.22686</v>
      </c>
      <c r="P4136">
        <v>5960.5514629999998</v>
      </c>
      <c r="Q4136">
        <v>341</v>
      </c>
      <c r="R4136">
        <v>0</v>
      </c>
    </row>
    <row r="4137" spans="1:18" x14ac:dyDescent="0.25">
      <c r="A4137">
        <v>4136</v>
      </c>
      <c r="B4137">
        <v>94</v>
      </c>
      <c r="C4137">
        <v>31434552</v>
      </c>
      <c r="D4137" t="s">
        <v>221</v>
      </c>
      <c r="E4137">
        <v>40.164999999999999</v>
      </c>
      <c r="F4137" t="s">
        <v>21</v>
      </c>
      <c r="G4137" t="s">
        <v>26</v>
      </c>
      <c r="H4137" t="s">
        <v>21</v>
      </c>
      <c r="I4137" t="s">
        <v>20</v>
      </c>
      <c r="J4137" t="s">
        <v>20</v>
      </c>
      <c r="K4137" t="s">
        <v>22</v>
      </c>
      <c r="L4137" t="s">
        <v>155</v>
      </c>
      <c r="M4137" t="s">
        <v>174</v>
      </c>
      <c r="N4137">
        <v>39.701307</v>
      </c>
      <c r="O4137">
        <v>-111.836127</v>
      </c>
      <c r="P4137">
        <v>5067.1381369999999</v>
      </c>
      <c r="Q4137">
        <v>1342</v>
      </c>
      <c r="R4137">
        <v>0</v>
      </c>
    </row>
    <row r="4138" spans="1:18" x14ac:dyDescent="0.25">
      <c r="A4138">
        <v>4137</v>
      </c>
      <c r="B4138">
        <v>94</v>
      </c>
      <c r="C4138">
        <v>31523434</v>
      </c>
      <c r="D4138" t="s">
        <v>132</v>
      </c>
      <c r="E4138">
        <v>40.194000000000003</v>
      </c>
      <c r="F4138" t="s">
        <v>19</v>
      </c>
      <c r="G4138" t="s">
        <v>20</v>
      </c>
      <c r="H4138" t="s">
        <v>21</v>
      </c>
      <c r="I4138" t="s">
        <v>20</v>
      </c>
      <c r="J4138" t="s">
        <v>20</v>
      </c>
      <c r="K4138" t="s">
        <v>22</v>
      </c>
      <c r="L4138" t="s">
        <v>234</v>
      </c>
      <c r="M4138" t="s">
        <v>277</v>
      </c>
      <c r="N4138">
        <v>40.457040999999997</v>
      </c>
      <c r="O4138">
        <v>-109.538085</v>
      </c>
      <c r="P4138">
        <v>5309.4373949999999</v>
      </c>
      <c r="Q4138">
        <v>1405</v>
      </c>
      <c r="R4138">
        <v>0</v>
      </c>
    </row>
    <row r="4139" spans="1:18" x14ac:dyDescent="0.25">
      <c r="A4139">
        <v>4138</v>
      </c>
      <c r="B4139">
        <v>94</v>
      </c>
      <c r="C4139">
        <v>31306258</v>
      </c>
      <c r="D4139" t="s">
        <v>251</v>
      </c>
      <c r="E4139">
        <v>7.7329999999999997</v>
      </c>
      <c r="F4139" t="s">
        <v>21</v>
      </c>
      <c r="G4139" t="s">
        <v>26</v>
      </c>
      <c r="H4139" t="s">
        <v>21</v>
      </c>
      <c r="I4139" t="s">
        <v>20</v>
      </c>
      <c r="J4139" t="s">
        <v>20</v>
      </c>
      <c r="K4139" t="s">
        <v>27</v>
      </c>
      <c r="L4139" t="s">
        <v>165</v>
      </c>
      <c r="M4139" t="s">
        <v>166</v>
      </c>
      <c r="N4139">
        <v>39.023252999999997</v>
      </c>
      <c r="O4139">
        <v>-112.40998999999999</v>
      </c>
      <c r="P4139">
        <v>4614.9071080000003</v>
      </c>
      <c r="Q4139">
        <v>326</v>
      </c>
      <c r="R4139">
        <v>0</v>
      </c>
    </row>
    <row r="4140" spans="1:18" x14ac:dyDescent="0.25">
      <c r="A4140">
        <v>4139</v>
      </c>
      <c r="B4140">
        <v>94</v>
      </c>
      <c r="C4140">
        <v>31460676</v>
      </c>
      <c r="D4140" t="s">
        <v>331</v>
      </c>
      <c r="E4140">
        <v>7.7329999999999997</v>
      </c>
      <c r="F4140" t="s">
        <v>21</v>
      </c>
      <c r="G4140" t="s">
        <v>26</v>
      </c>
      <c r="H4140" t="s">
        <v>21</v>
      </c>
      <c r="I4140" t="s">
        <v>20</v>
      </c>
      <c r="J4140" t="s">
        <v>20</v>
      </c>
      <c r="K4140" t="s">
        <v>27</v>
      </c>
      <c r="L4140" t="s">
        <v>111</v>
      </c>
      <c r="M4140" t="s">
        <v>112</v>
      </c>
      <c r="N4140">
        <v>39.393017999999998</v>
      </c>
      <c r="O4140">
        <v>-110.852484</v>
      </c>
      <c r="P4140">
        <v>5729.8279869999997</v>
      </c>
      <c r="Q4140">
        <v>1427</v>
      </c>
      <c r="R4140">
        <v>0</v>
      </c>
    </row>
    <row r="4141" spans="1:18" x14ac:dyDescent="0.25">
      <c r="A4141">
        <v>4140</v>
      </c>
      <c r="B4141">
        <v>94</v>
      </c>
      <c r="C4141">
        <v>31524505</v>
      </c>
      <c r="D4141" t="s">
        <v>231</v>
      </c>
      <c r="E4141">
        <v>7.74</v>
      </c>
      <c r="F4141" t="s">
        <v>19</v>
      </c>
      <c r="G4141" t="s">
        <v>20</v>
      </c>
      <c r="H4141" t="s">
        <v>21</v>
      </c>
      <c r="I4141" t="s">
        <v>20</v>
      </c>
      <c r="J4141" t="s">
        <v>20</v>
      </c>
      <c r="K4141" t="s">
        <v>41</v>
      </c>
      <c r="L4141" t="s">
        <v>57</v>
      </c>
      <c r="M4141" t="s">
        <v>93</v>
      </c>
      <c r="N4141">
        <v>41.147184000000003</v>
      </c>
      <c r="O4141">
        <v>-112.026055</v>
      </c>
      <c r="P4141">
        <v>4498.0741870000002</v>
      </c>
      <c r="Q4141">
        <v>1409</v>
      </c>
      <c r="R4141">
        <v>0</v>
      </c>
    </row>
    <row r="4142" spans="1:18" x14ac:dyDescent="0.25">
      <c r="A4142">
        <v>4141</v>
      </c>
      <c r="B4142">
        <v>94</v>
      </c>
      <c r="C4142">
        <v>574135</v>
      </c>
      <c r="D4142" t="s">
        <v>115</v>
      </c>
      <c r="E4142">
        <v>7.742</v>
      </c>
      <c r="F4142" t="s">
        <v>19</v>
      </c>
      <c r="G4142" t="s">
        <v>20</v>
      </c>
      <c r="H4142" t="s">
        <v>21</v>
      </c>
      <c r="I4142" t="s">
        <v>20</v>
      </c>
      <c r="J4142" t="s">
        <v>20</v>
      </c>
      <c r="K4142" t="s">
        <v>31</v>
      </c>
      <c r="L4142" t="s">
        <v>69</v>
      </c>
      <c r="M4142" t="s">
        <v>70</v>
      </c>
      <c r="N4142">
        <v>40.653005</v>
      </c>
      <c r="O4142">
        <v>-111.929827</v>
      </c>
      <c r="P4142">
        <v>4252.9982749999999</v>
      </c>
      <c r="Q4142">
        <v>1437</v>
      </c>
      <c r="R4142">
        <v>0</v>
      </c>
    </row>
    <row r="4143" spans="1:18" x14ac:dyDescent="0.25">
      <c r="A4143">
        <v>4142</v>
      </c>
      <c r="B4143">
        <v>94</v>
      </c>
      <c r="C4143">
        <v>539985</v>
      </c>
      <c r="D4143" t="s">
        <v>44</v>
      </c>
      <c r="E4143">
        <v>7.7430000000000003</v>
      </c>
      <c r="F4143" t="s">
        <v>21</v>
      </c>
      <c r="G4143" t="s">
        <v>26</v>
      </c>
      <c r="H4143" t="s">
        <v>21</v>
      </c>
      <c r="I4143" t="s">
        <v>20</v>
      </c>
      <c r="J4143" t="s">
        <v>20</v>
      </c>
      <c r="K4143" t="s">
        <v>41</v>
      </c>
      <c r="L4143" t="s">
        <v>87</v>
      </c>
      <c r="M4143" t="s">
        <v>46</v>
      </c>
      <c r="N4143">
        <v>40.987023999999998</v>
      </c>
      <c r="O4143">
        <v>-111.88750400000001</v>
      </c>
      <c r="P4143">
        <v>4278.8546409999999</v>
      </c>
      <c r="Q4143">
        <v>1395</v>
      </c>
      <c r="R4143">
        <v>0</v>
      </c>
    </row>
    <row r="4144" spans="1:18" x14ac:dyDescent="0.25">
      <c r="A4144">
        <v>4143</v>
      </c>
      <c r="B4144">
        <v>94</v>
      </c>
      <c r="C4144">
        <v>31665723</v>
      </c>
      <c r="D4144" t="s">
        <v>217</v>
      </c>
      <c r="E4144">
        <v>7.7460000000000004</v>
      </c>
      <c r="F4144" t="s">
        <v>21</v>
      </c>
      <c r="G4144" t="s">
        <v>20</v>
      </c>
      <c r="H4144" t="s">
        <v>21</v>
      </c>
      <c r="I4144" t="s">
        <v>20</v>
      </c>
      <c r="J4144" t="s">
        <v>20</v>
      </c>
      <c r="K4144" t="s">
        <v>27</v>
      </c>
      <c r="L4144" t="s">
        <v>72</v>
      </c>
      <c r="M4144" t="s">
        <v>163</v>
      </c>
      <c r="N4144">
        <v>37.183083000000003</v>
      </c>
      <c r="O4144">
        <v>-113.619225</v>
      </c>
      <c r="P4144">
        <v>3641.8048220000001</v>
      </c>
      <c r="Q4144">
        <v>304</v>
      </c>
      <c r="R4144">
        <v>0</v>
      </c>
    </row>
    <row r="4145" spans="1:18" x14ac:dyDescent="0.25">
      <c r="A4145">
        <v>4144</v>
      </c>
      <c r="B4145">
        <v>94</v>
      </c>
      <c r="C4145">
        <v>31194592</v>
      </c>
      <c r="D4145" t="s">
        <v>126</v>
      </c>
      <c r="E4145">
        <v>7.7539999999999996</v>
      </c>
      <c r="F4145" t="s">
        <v>21</v>
      </c>
      <c r="G4145" t="s">
        <v>26</v>
      </c>
      <c r="H4145" t="s">
        <v>21</v>
      </c>
      <c r="I4145" t="s">
        <v>20</v>
      </c>
      <c r="J4145" t="s">
        <v>20</v>
      </c>
      <c r="K4145" t="s">
        <v>41</v>
      </c>
      <c r="L4145" t="s">
        <v>57</v>
      </c>
      <c r="M4145" t="s">
        <v>93</v>
      </c>
      <c r="N4145">
        <v>41.297969000000002</v>
      </c>
      <c r="O4145">
        <v>-112.084581</v>
      </c>
      <c r="P4145">
        <v>4186.8492020000003</v>
      </c>
      <c r="Q4145">
        <v>1412</v>
      </c>
      <c r="R4145">
        <v>0</v>
      </c>
    </row>
    <row r="4146" spans="1:18" x14ac:dyDescent="0.25">
      <c r="A4146">
        <v>4145</v>
      </c>
      <c r="B4146">
        <v>94</v>
      </c>
      <c r="C4146">
        <v>1461624</v>
      </c>
      <c r="D4146" t="s">
        <v>109</v>
      </c>
      <c r="E4146">
        <v>7.7610000000000001</v>
      </c>
      <c r="F4146" t="s">
        <v>19</v>
      </c>
      <c r="G4146" t="s">
        <v>20</v>
      </c>
      <c r="H4146" t="s">
        <v>21</v>
      </c>
      <c r="I4146" t="s">
        <v>20</v>
      </c>
      <c r="J4146" t="s">
        <v>20</v>
      </c>
      <c r="K4146" t="s">
        <v>41</v>
      </c>
      <c r="L4146" t="s">
        <v>42</v>
      </c>
      <c r="M4146" t="s">
        <v>73</v>
      </c>
      <c r="N4146">
        <v>41.674666000000002</v>
      </c>
      <c r="O4146">
        <v>-111.83332799999999</v>
      </c>
      <c r="P4146">
        <v>4500.2586689999998</v>
      </c>
      <c r="Q4146">
        <v>345</v>
      </c>
      <c r="R4146">
        <v>0</v>
      </c>
    </row>
    <row r="4147" spans="1:18" x14ac:dyDescent="0.25">
      <c r="A4147">
        <v>4146</v>
      </c>
      <c r="B4147">
        <v>94</v>
      </c>
      <c r="C4147">
        <v>31302628</v>
      </c>
      <c r="D4147" t="s">
        <v>339</v>
      </c>
      <c r="E4147">
        <v>7.7640000000000002</v>
      </c>
      <c r="F4147" t="s">
        <v>21</v>
      </c>
      <c r="G4147" t="s">
        <v>20</v>
      </c>
      <c r="H4147" t="s">
        <v>21</v>
      </c>
      <c r="I4147" t="s">
        <v>20</v>
      </c>
      <c r="J4147" t="s">
        <v>20</v>
      </c>
      <c r="K4147" t="s">
        <v>41</v>
      </c>
      <c r="L4147" t="s">
        <v>95</v>
      </c>
      <c r="M4147" t="s">
        <v>73</v>
      </c>
      <c r="N4147">
        <v>41.917399000000003</v>
      </c>
      <c r="O4147">
        <v>-111.991831</v>
      </c>
      <c r="P4147">
        <v>4743.0087910000002</v>
      </c>
      <c r="Q4147">
        <v>1417</v>
      </c>
      <c r="R4147">
        <v>0</v>
      </c>
    </row>
    <row r="4148" spans="1:18" x14ac:dyDescent="0.25">
      <c r="A4148">
        <v>4147</v>
      </c>
      <c r="B4148">
        <v>94</v>
      </c>
      <c r="C4148">
        <v>28706607</v>
      </c>
      <c r="D4148" t="s">
        <v>192</v>
      </c>
      <c r="E4148">
        <v>8.3550000000000004</v>
      </c>
      <c r="F4148" t="s">
        <v>21</v>
      </c>
      <c r="G4148" t="s">
        <v>26</v>
      </c>
      <c r="H4148" t="s">
        <v>21</v>
      </c>
      <c r="I4148" t="s">
        <v>20</v>
      </c>
      <c r="J4148" t="s">
        <v>20</v>
      </c>
      <c r="K4148" t="s">
        <v>22</v>
      </c>
      <c r="L4148" t="s">
        <v>140</v>
      </c>
      <c r="M4148" t="s">
        <v>125</v>
      </c>
      <c r="N4148">
        <v>40.161093999999999</v>
      </c>
      <c r="O4148">
        <v>-111.624291</v>
      </c>
      <c r="P4148">
        <v>4488.6135869999998</v>
      </c>
      <c r="Q4148">
        <v>1375</v>
      </c>
      <c r="R4148">
        <v>0</v>
      </c>
    </row>
    <row r="4149" spans="1:18" x14ac:dyDescent="0.25">
      <c r="A4149">
        <v>4148</v>
      </c>
      <c r="B4149">
        <v>94</v>
      </c>
      <c r="C4149">
        <v>31379430</v>
      </c>
      <c r="D4149" t="s">
        <v>221</v>
      </c>
      <c r="E4149">
        <v>8.3580000000000005</v>
      </c>
      <c r="F4149" t="s">
        <v>21</v>
      </c>
      <c r="G4149" t="s">
        <v>20</v>
      </c>
      <c r="H4149" t="s">
        <v>21</v>
      </c>
      <c r="I4149" t="s">
        <v>20</v>
      </c>
      <c r="J4149" t="s">
        <v>20</v>
      </c>
      <c r="K4149" t="s">
        <v>27</v>
      </c>
      <c r="L4149" t="s">
        <v>350</v>
      </c>
      <c r="M4149" t="s">
        <v>174</v>
      </c>
      <c r="N4149">
        <v>39.267702999999997</v>
      </c>
      <c r="O4149">
        <v>-111.87007699999999</v>
      </c>
      <c r="P4149">
        <v>5046.6121400000002</v>
      </c>
      <c r="Q4149">
        <v>1342</v>
      </c>
      <c r="R4149">
        <v>0</v>
      </c>
    </row>
    <row r="4150" spans="1:18" x14ac:dyDescent="0.25">
      <c r="A4150">
        <v>4149</v>
      </c>
      <c r="B4150">
        <v>94</v>
      </c>
      <c r="C4150">
        <v>31632700</v>
      </c>
      <c r="D4150" t="s">
        <v>227</v>
      </c>
      <c r="E4150">
        <v>8.359</v>
      </c>
      <c r="F4150" t="s">
        <v>21</v>
      </c>
      <c r="G4150" t="s">
        <v>26</v>
      </c>
      <c r="H4150" t="s">
        <v>21</v>
      </c>
      <c r="I4150" t="s">
        <v>20</v>
      </c>
      <c r="J4150" t="s">
        <v>20</v>
      </c>
      <c r="K4150" t="s">
        <v>27</v>
      </c>
      <c r="L4150" t="s">
        <v>158</v>
      </c>
      <c r="M4150" t="s">
        <v>190</v>
      </c>
      <c r="N4150">
        <v>39.542183999999999</v>
      </c>
      <c r="O4150">
        <v>-110.420653</v>
      </c>
      <c r="P4150">
        <v>6205.3528720000004</v>
      </c>
      <c r="Q4150">
        <v>1407</v>
      </c>
      <c r="R4150">
        <v>0</v>
      </c>
    </row>
    <row r="4151" spans="1:18" x14ac:dyDescent="0.25">
      <c r="A4151">
        <v>4150</v>
      </c>
      <c r="B4151">
        <v>94</v>
      </c>
      <c r="C4151">
        <v>31343917</v>
      </c>
      <c r="D4151" t="s">
        <v>220</v>
      </c>
      <c r="E4151">
        <v>8.3659999999999997</v>
      </c>
      <c r="F4151" t="s">
        <v>21</v>
      </c>
      <c r="G4151" t="s">
        <v>26</v>
      </c>
      <c r="H4151" t="s">
        <v>21</v>
      </c>
      <c r="I4151" t="s">
        <v>20</v>
      </c>
      <c r="J4151" t="s">
        <v>20</v>
      </c>
      <c r="K4151" t="s">
        <v>27</v>
      </c>
      <c r="L4151" t="s">
        <v>28</v>
      </c>
      <c r="M4151" t="s">
        <v>29</v>
      </c>
      <c r="N4151">
        <v>37.717764000000003</v>
      </c>
      <c r="O4151">
        <v>-112.240948</v>
      </c>
      <c r="P4151">
        <v>7728.6826060000003</v>
      </c>
      <c r="Q4151">
        <v>1328</v>
      </c>
      <c r="R4151">
        <v>0</v>
      </c>
    </row>
    <row r="4152" spans="1:18" x14ac:dyDescent="0.25">
      <c r="A4152">
        <v>4151</v>
      </c>
      <c r="B4152">
        <v>94</v>
      </c>
      <c r="C4152">
        <v>31411589</v>
      </c>
      <c r="D4152" t="s">
        <v>129</v>
      </c>
      <c r="E4152">
        <v>8.3719999999999999</v>
      </c>
      <c r="F4152" t="s">
        <v>21</v>
      </c>
      <c r="G4152" t="s">
        <v>26</v>
      </c>
      <c r="H4152" t="s">
        <v>21</v>
      </c>
      <c r="I4152" t="s">
        <v>20</v>
      </c>
      <c r="J4152" t="s">
        <v>20</v>
      </c>
      <c r="K4152" t="s">
        <v>31</v>
      </c>
      <c r="L4152" t="s">
        <v>130</v>
      </c>
      <c r="M4152" t="s">
        <v>131</v>
      </c>
      <c r="N4152">
        <v>40.622981000000003</v>
      </c>
      <c r="O4152">
        <v>-111.145672</v>
      </c>
      <c r="P4152">
        <v>7299.1190770000003</v>
      </c>
      <c r="Q4152">
        <v>340</v>
      </c>
      <c r="R4152">
        <v>0</v>
      </c>
    </row>
    <row r="4153" spans="1:18" x14ac:dyDescent="0.25">
      <c r="A4153">
        <v>4152</v>
      </c>
      <c r="B4153">
        <v>94</v>
      </c>
      <c r="C4153">
        <v>1015751</v>
      </c>
      <c r="D4153" t="s">
        <v>65</v>
      </c>
      <c r="E4153">
        <v>8.3729999999999993</v>
      </c>
      <c r="F4153" t="s">
        <v>21</v>
      </c>
      <c r="G4153" t="s">
        <v>26</v>
      </c>
      <c r="H4153" t="s">
        <v>21</v>
      </c>
      <c r="I4153" t="s">
        <v>20</v>
      </c>
      <c r="J4153" t="s">
        <v>20</v>
      </c>
      <c r="K4153" t="s">
        <v>31</v>
      </c>
      <c r="L4153" t="s">
        <v>188</v>
      </c>
      <c r="M4153" t="s">
        <v>67</v>
      </c>
      <c r="N4153">
        <v>40.720798000000002</v>
      </c>
      <c r="O4153">
        <v>-111.811314</v>
      </c>
      <c r="P4153">
        <v>4759.4906540000002</v>
      </c>
      <c r="Q4153">
        <v>402</v>
      </c>
      <c r="R4153">
        <v>0</v>
      </c>
    </row>
    <row r="4154" spans="1:18" x14ac:dyDescent="0.25">
      <c r="A4154">
        <v>4153</v>
      </c>
      <c r="B4154">
        <v>94</v>
      </c>
      <c r="C4154">
        <v>27508493</v>
      </c>
      <c r="D4154" t="s">
        <v>96</v>
      </c>
      <c r="E4154">
        <v>8.3849999999999998</v>
      </c>
      <c r="F4154" t="s">
        <v>21</v>
      </c>
      <c r="G4154" t="s">
        <v>26</v>
      </c>
      <c r="H4154" t="s">
        <v>21</v>
      </c>
      <c r="I4154" t="s">
        <v>20</v>
      </c>
      <c r="J4154" t="s">
        <v>20</v>
      </c>
      <c r="K4154" t="s">
        <v>22</v>
      </c>
      <c r="L4154" t="s">
        <v>97</v>
      </c>
      <c r="M4154" t="s">
        <v>98</v>
      </c>
      <c r="N4154">
        <v>40.988332999999997</v>
      </c>
      <c r="O4154">
        <v>-109.71404200000001</v>
      </c>
      <c r="P4154">
        <v>6234.5406849999999</v>
      </c>
      <c r="Q4154">
        <v>311</v>
      </c>
      <c r="R4154">
        <v>0</v>
      </c>
    </row>
    <row r="4155" spans="1:18" x14ac:dyDescent="0.25">
      <c r="A4155">
        <v>4154</v>
      </c>
      <c r="B4155">
        <v>94</v>
      </c>
      <c r="C4155" t="e">
        <f>-JST4KZ-GP1ofxoBP2RDNF</f>
        <v>#NAME?</v>
      </c>
      <c r="D4155" t="s">
        <v>118</v>
      </c>
      <c r="E4155">
        <v>42.521999999999998</v>
      </c>
      <c r="F4155" t="s">
        <v>21</v>
      </c>
      <c r="G4155" t="s">
        <v>26</v>
      </c>
      <c r="H4155" t="s">
        <v>21</v>
      </c>
      <c r="I4155" t="s">
        <v>20</v>
      </c>
      <c r="J4155" t="s">
        <v>20</v>
      </c>
      <c r="K4155" t="s">
        <v>22</v>
      </c>
      <c r="L4155" t="s">
        <v>119</v>
      </c>
      <c r="M4155" t="s">
        <v>120</v>
      </c>
      <c r="N4155">
        <v>40.238633</v>
      </c>
      <c r="O4155">
        <v>-111.14204100000001</v>
      </c>
      <c r="P4155">
        <v>7597.2194900000004</v>
      </c>
      <c r="Q4155">
        <v>310</v>
      </c>
      <c r="R4155">
        <v>0</v>
      </c>
    </row>
    <row r="4156" spans="1:18" x14ac:dyDescent="0.25">
      <c r="A4156">
        <v>4155</v>
      </c>
      <c r="B4156">
        <v>94</v>
      </c>
      <c r="C4156">
        <v>31385152</v>
      </c>
      <c r="D4156" t="s">
        <v>116</v>
      </c>
      <c r="E4156">
        <v>42.524000000000001</v>
      </c>
      <c r="F4156" t="s">
        <v>21</v>
      </c>
      <c r="G4156" t="s">
        <v>26</v>
      </c>
      <c r="H4156" t="s">
        <v>21</v>
      </c>
      <c r="I4156" t="s">
        <v>20</v>
      </c>
      <c r="J4156" t="s">
        <v>20</v>
      </c>
      <c r="K4156" t="s">
        <v>41</v>
      </c>
      <c r="L4156" t="s">
        <v>95</v>
      </c>
      <c r="M4156" t="s">
        <v>117</v>
      </c>
      <c r="N4156">
        <v>41.959111999999998</v>
      </c>
      <c r="O4156">
        <v>-111.812906</v>
      </c>
      <c r="P4156">
        <v>4496.4269000000004</v>
      </c>
      <c r="Q4156">
        <v>324</v>
      </c>
      <c r="R4156">
        <v>0</v>
      </c>
    </row>
    <row r="4157" spans="1:18" x14ac:dyDescent="0.25">
      <c r="A4157">
        <v>4156</v>
      </c>
      <c r="B4157">
        <v>94</v>
      </c>
      <c r="C4157">
        <v>31404960</v>
      </c>
      <c r="D4157" t="s">
        <v>124</v>
      </c>
      <c r="E4157">
        <v>47.621000000000002</v>
      </c>
      <c r="F4157" t="s">
        <v>21</v>
      </c>
      <c r="G4157" t="s">
        <v>26</v>
      </c>
      <c r="H4157" t="s">
        <v>21</v>
      </c>
      <c r="I4157" t="s">
        <v>20</v>
      </c>
      <c r="J4157" t="s">
        <v>20</v>
      </c>
      <c r="K4157" t="s">
        <v>31</v>
      </c>
      <c r="L4157" t="s">
        <v>48</v>
      </c>
      <c r="M4157" t="s">
        <v>125</v>
      </c>
      <c r="N4157">
        <v>40.599438999999997</v>
      </c>
      <c r="O4157">
        <v>-111.938737</v>
      </c>
      <c r="P4157">
        <v>4317.74766</v>
      </c>
      <c r="Q4157">
        <v>1368</v>
      </c>
      <c r="R4157">
        <v>0</v>
      </c>
    </row>
    <row r="4158" spans="1:18" x14ac:dyDescent="0.25">
      <c r="A4158">
        <v>4157</v>
      </c>
      <c r="B4158">
        <v>94</v>
      </c>
      <c r="C4158">
        <v>31580180</v>
      </c>
      <c r="D4158" t="s">
        <v>172</v>
      </c>
      <c r="E4158">
        <v>47.631999999999998</v>
      </c>
      <c r="F4158" t="s">
        <v>21</v>
      </c>
      <c r="G4158" t="s">
        <v>26</v>
      </c>
      <c r="H4158" t="s">
        <v>21</v>
      </c>
      <c r="I4158" t="s">
        <v>20</v>
      </c>
      <c r="J4158" t="s">
        <v>20</v>
      </c>
      <c r="K4158" t="s">
        <v>27</v>
      </c>
      <c r="L4158" t="s">
        <v>230</v>
      </c>
      <c r="M4158" t="s">
        <v>174</v>
      </c>
      <c r="N4158">
        <v>39.626888999999998</v>
      </c>
      <c r="O4158">
        <v>-111.634458</v>
      </c>
      <c r="P4158">
        <v>5825.6656489999996</v>
      </c>
      <c r="Q4158">
        <v>1411</v>
      </c>
      <c r="R4158">
        <v>0</v>
      </c>
    </row>
    <row r="4159" spans="1:18" x14ac:dyDescent="0.25">
      <c r="A4159">
        <v>4158</v>
      </c>
      <c r="B4159">
        <v>94</v>
      </c>
      <c r="C4159">
        <v>31409730</v>
      </c>
      <c r="D4159" t="s">
        <v>224</v>
      </c>
      <c r="E4159">
        <v>8.452</v>
      </c>
      <c r="F4159" t="s">
        <v>21</v>
      </c>
      <c r="G4159" t="s">
        <v>26</v>
      </c>
      <c r="H4159" t="s">
        <v>21</v>
      </c>
      <c r="I4159" t="s">
        <v>20</v>
      </c>
      <c r="J4159" t="s">
        <v>20</v>
      </c>
      <c r="K4159" t="s">
        <v>22</v>
      </c>
      <c r="L4159" t="s">
        <v>198</v>
      </c>
      <c r="M4159" t="s">
        <v>194</v>
      </c>
      <c r="N4159">
        <v>40.054470000000002</v>
      </c>
      <c r="O4159">
        <v>-111.67740499999999</v>
      </c>
      <c r="P4159">
        <v>4528.4093739999998</v>
      </c>
      <c r="Q4159">
        <v>408</v>
      </c>
      <c r="R4159">
        <v>0</v>
      </c>
    </row>
    <row r="4160" spans="1:18" x14ac:dyDescent="0.25">
      <c r="A4160">
        <v>4159</v>
      </c>
      <c r="B4160">
        <v>94</v>
      </c>
      <c r="C4160">
        <v>31712828</v>
      </c>
      <c r="D4160" t="s">
        <v>244</v>
      </c>
      <c r="E4160">
        <v>60.776000000000003</v>
      </c>
      <c r="F4160" t="s">
        <v>21</v>
      </c>
      <c r="G4160" t="s">
        <v>26</v>
      </c>
      <c r="H4160" t="s">
        <v>21</v>
      </c>
      <c r="I4160" t="s">
        <v>20</v>
      </c>
      <c r="J4160" t="s">
        <v>20</v>
      </c>
      <c r="K4160" t="s">
        <v>27</v>
      </c>
      <c r="L4160" t="s">
        <v>266</v>
      </c>
      <c r="M4160" t="s">
        <v>386</v>
      </c>
      <c r="N4160">
        <v>38.339078999999998</v>
      </c>
      <c r="O4160">
        <v>-111.539822</v>
      </c>
      <c r="P4160">
        <v>7050.5893470000001</v>
      </c>
      <c r="Q4160">
        <v>1340</v>
      </c>
      <c r="R4160">
        <v>0</v>
      </c>
    </row>
    <row r="4161" spans="1:18" x14ac:dyDescent="0.25">
      <c r="A4161">
        <v>4160</v>
      </c>
      <c r="B4161">
        <v>94</v>
      </c>
      <c r="C4161">
        <v>31510806</v>
      </c>
      <c r="D4161" t="s">
        <v>124</v>
      </c>
      <c r="E4161">
        <v>60.802999999999997</v>
      </c>
      <c r="F4161" t="s">
        <v>19</v>
      </c>
      <c r="G4161" t="s">
        <v>20</v>
      </c>
      <c r="H4161" t="s">
        <v>21</v>
      </c>
      <c r="I4161" t="s">
        <v>20</v>
      </c>
      <c r="J4161" t="s">
        <v>20</v>
      </c>
      <c r="K4161" t="s">
        <v>31</v>
      </c>
      <c r="L4161" t="s">
        <v>362</v>
      </c>
      <c r="M4161" t="s">
        <v>365</v>
      </c>
      <c r="N4161">
        <v>40.790987000000001</v>
      </c>
      <c r="O4161">
        <v>-111.93920300000001</v>
      </c>
      <c r="P4161">
        <v>4158.7766460000003</v>
      </c>
      <c r="Q4161">
        <v>1368</v>
      </c>
      <c r="R4161">
        <v>0</v>
      </c>
    </row>
    <row r="4162" spans="1:18" x14ac:dyDescent="0.25">
      <c r="A4162">
        <v>4161</v>
      </c>
      <c r="B4162">
        <v>94</v>
      </c>
      <c r="C4162">
        <v>28048262</v>
      </c>
      <c r="D4162" t="s">
        <v>281</v>
      </c>
      <c r="E4162">
        <v>60.823</v>
      </c>
      <c r="F4162" t="s">
        <v>19</v>
      </c>
      <c r="G4162" t="s">
        <v>20</v>
      </c>
      <c r="H4162" t="s">
        <v>21</v>
      </c>
      <c r="I4162" t="s">
        <v>20</v>
      </c>
      <c r="J4162" t="s">
        <v>20</v>
      </c>
      <c r="K4162" t="s">
        <v>31</v>
      </c>
      <c r="L4162" t="s">
        <v>282</v>
      </c>
      <c r="M4162" t="s">
        <v>283</v>
      </c>
      <c r="N4162">
        <v>40.623764000000001</v>
      </c>
      <c r="O4162">
        <v>-112.293063</v>
      </c>
      <c r="P4162">
        <v>4283.3160180000004</v>
      </c>
      <c r="Q4162">
        <v>1347</v>
      </c>
      <c r="R4162">
        <v>0</v>
      </c>
    </row>
    <row r="4163" spans="1:18" x14ac:dyDescent="0.25">
      <c r="A4163">
        <v>4162</v>
      </c>
      <c r="B4163">
        <v>94</v>
      </c>
      <c r="C4163">
        <v>31735559</v>
      </c>
      <c r="D4163" t="s">
        <v>118</v>
      </c>
      <c r="E4163">
        <v>60.826999999999998</v>
      </c>
      <c r="F4163" t="s">
        <v>21</v>
      </c>
      <c r="G4163" t="s">
        <v>26</v>
      </c>
      <c r="H4163" t="s">
        <v>21</v>
      </c>
      <c r="I4163" t="s">
        <v>20</v>
      </c>
      <c r="J4163" t="s">
        <v>20</v>
      </c>
      <c r="K4163" t="s">
        <v>22</v>
      </c>
      <c r="L4163" t="s">
        <v>168</v>
      </c>
      <c r="M4163" t="s">
        <v>120</v>
      </c>
      <c r="N4163">
        <v>40.212232</v>
      </c>
      <c r="O4163">
        <v>-110.86214699999999</v>
      </c>
      <c r="P4163">
        <v>6635.5498539999999</v>
      </c>
      <c r="Q4163">
        <v>310</v>
      </c>
      <c r="R4163">
        <v>0</v>
      </c>
    </row>
    <row r="4164" spans="1:18" x14ac:dyDescent="0.25">
      <c r="A4164">
        <v>4163</v>
      </c>
      <c r="B4164">
        <v>94</v>
      </c>
      <c r="C4164">
        <v>31481738</v>
      </c>
      <c r="D4164" t="s">
        <v>319</v>
      </c>
      <c r="E4164">
        <v>60.843000000000004</v>
      </c>
      <c r="F4164" t="s">
        <v>19</v>
      </c>
      <c r="G4164" t="s">
        <v>20</v>
      </c>
      <c r="H4164" t="s">
        <v>21</v>
      </c>
      <c r="I4164" t="s">
        <v>20</v>
      </c>
      <c r="J4164" t="s">
        <v>20</v>
      </c>
      <c r="K4164" t="s">
        <v>27</v>
      </c>
      <c r="L4164" t="s">
        <v>54</v>
      </c>
      <c r="M4164" t="s">
        <v>55</v>
      </c>
      <c r="N4164">
        <v>37.680849000000002</v>
      </c>
      <c r="O4164">
        <v>-113.07389000000001</v>
      </c>
      <c r="P4164">
        <v>5688.815869</v>
      </c>
      <c r="Q4164">
        <v>314</v>
      </c>
      <c r="R4164">
        <v>0</v>
      </c>
    </row>
    <row r="4165" spans="1:18" x14ac:dyDescent="0.25">
      <c r="A4165">
        <v>4164</v>
      </c>
      <c r="B4165">
        <v>94</v>
      </c>
      <c r="C4165">
        <v>31482321</v>
      </c>
      <c r="D4165" t="s">
        <v>319</v>
      </c>
      <c r="E4165">
        <v>60.905999999999999</v>
      </c>
      <c r="F4165" t="s">
        <v>21</v>
      </c>
      <c r="G4165" t="s">
        <v>26</v>
      </c>
      <c r="H4165" t="s">
        <v>21</v>
      </c>
      <c r="I4165" t="s">
        <v>20</v>
      </c>
      <c r="J4165" t="s">
        <v>20</v>
      </c>
      <c r="K4165" t="s">
        <v>27</v>
      </c>
      <c r="L4165" t="s">
        <v>54</v>
      </c>
      <c r="M4165" t="s">
        <v>55</v>
      </c>
      <c r="N4165">
        <v>37.680858000000001</v>
      </c>
      <c r="O4165">
        <v>-113.072745</v>
      </c>
      <c r="P4165">
        <v>5691.3067549999996</v>
      </c>
      <c r="Q4165">
        <v>314</v>
      </c>
      <c r="R4165">
        <v>0</v>
      </c>
    </row>
    <row r="4166" spans="1:18" x14ac:dyDescent="0.25">
      <c r="A4166">
        <v>4165</v>
      </c>
      <c r="B4166">
        <v>94</v>
      </c>
      <c r="C4166">
        <v>31327561</v>
      </c>
      <c r="D4166" t="s">
        <v>241</v>
      </c>
      <c r="E4166">
        <v>60.938000000000002</v>
      </c>
      <c r="F4166" t="s">
        <v>21</v>
      </c>
      <c r="G4166" t="s">
        <v>26</v>
      </c>
      <c r="H4166" t="s">
        <v>19</v>
      </c>
      <c r="I4166">
        <v>122</v>
      </c>
      <c r="J4166" t="s">
        <v>20</v>
      </c>
      <c r="K4166" t="s">
        <v>27</v>
      </c>
      <c r="L4166" t="s">
        <v>111</v>
      </c>
      <c r="M4166" t="s">
        <v>243</v>
      </c>
      <c r="N4166">
        <v>39.493456000000002</v>
      </c>
      <c r="O4166">
        <v>-110.845471</v>
      </c>
      <c r="P4166">
        <v>5773.4272700000001</v>
      </c>
      <c r="Q4166">
        <v>1327</v>
      </c>
      <c r="R4166">
        <v>0</v>
      </c>
    </row>
    <row r="4167" spans="1:18" x14ac:dyDescent="0.25">
      <c r="A4167">
        <v>4166</v>
      </c>
      <c r="B4167">
        <v>94</v>
      </c>
      <c r="C4167">
        <v>31511082</v>
      </c>
      <c r="D4167" t="s">
        <v>124</v>
      </c>
      <c r="E4167">
        <v>60.966999999999999</v>
      </c>
      <c r="F4167" t="s">
        <v>21</v>
      </c>
      <c r="G4167" t="s">
        <v>26</v>
      </c>
      <c r="H4167" t="s">
        <v>21</v>
      </c>
      <c r="I4167" t="s">
        <v>20</v>
      </c>
      <c r="J4167" t="s">
        <v>20</v>
      </c>
      <c r="K4167" t="s">
        <v>31</v>
      </c>
      <c r="L4167" t="s">
        <v>362</v>
      </c>
      <c r="M4167" t="s">
        <v>365</v>
      </c>
      <c r="N4167">
        <v>40.793379999999999</v>
      </c>
      <c r="O4167">
        <v>-111.93920199999999</v>
      </c>
      <c r="P4167">
        <v>4160.6157199999998</v>
      </c>
      <c r="Q4167">
        <v>1368</v>
      </c>
      <c r="R4167">
        <v>0</v>
      </c>
    </row>
    <row r="4168" spans="1:18" x14ac:dyDescent="0.25">
      <c r="A4168">
        <v>4167</v>
      </c>
      <c r="B4168">
        <v>94</v>
      </c>
      <c r="C4168">
        <v>31482332</v>
      </c>
      <c r="D4168" t="s">
        <v>319</v>
      </c>
      <c r="E4168">
        <v>60.969000000000001</v>
      </c>
      <c r="F4168" t="s">
        <v>21</v>
      </c>
      <c r="G4168" t="s">
        <v>26</v>
      </c>
      <c r="H4168" t="s">
        <v>21</v>
      </c>
      <c r="I4168" t="s">
        <v>20</v>
      </c>
      <c r="J4168" t="s">
        <v>20</v>
      </c>
      <c r="K4168" t="s">
        <v>27</v>
      </c>
      <c r="L4168" t="s">
        <v>54</v>
      </c>
      <c r="M4168" t="s">
        <v>55</v>
      </c>
      <c r="N4168">
        <v>37.680864</v>
      </c>
      <c r="O4168">
        <v>-113.071595</v>
      </c>
      <c r="P4168">
        <v>5694.4063550000001</v>
      </c>
      <c r="Q4168">
        <v>314</v>
      </c>
      <c r="R4168">
        <v>0</v>
      </c>
    </row>
    <row r="4169" spans="1:18" x14ac:dyDescent="0.25">
      <c r="A4169">
        <v>4168</v>
      </c>
      <c r="B4169">
        <v>94</v>
      </c>
      <c r="C4169">
        <v>27867907</v>
      </c>
      <c r="D4169" t="s">
        <v>91</v>
      </c>
      <c r="E4169">
        <v>7.3890000000000002</v>
      </c>
      <c r="F4169" t="s">
        <v>21</v>
      </c>
      <c r="G4169" t="s">
        <v>26</v>
      </c>
      <c r="H4169" t="s">
        <v>21</v>
      </c>
      <c r="I4169" t="s">
        <v>20</v>
      </c>
      <c r="J4169" t="s">
        <v>20</v>
      </c>
      <c r="K4169" t="s">
        <v>41</v>
      </c>
      <c r="L4169" t="s">
        <v>42</v>
      </c>
      <c r="M4169" t="s">
        <v>73</v>
      </c>
      <c r="N4169">
        <v>41.712074000000001</v>
      </c>
      <c r="O4169">
        <v>-111.97910400000001</v>
      </c>
      <c r="P4169">
        <v>4444.221869</v>
      </c>
      <c r="Q4169">
        <v>1339</v>
      </c>
      <c r="R4169">
        <v>0</v>
      </c>
    </row>
    <row r="4170" spans="1:18" x14ac:dyDescent="0.25">
      <c r="A4170">
        <v>4169</v>
      </c>
      <c r="B4170">
        <v>94</v>
      </c>
      <c r="C4170">
        <v>1494350</v>
      </c>
      <c r="D4170" t="s">
        <v>88</v>
      </c>
      <c r="E4170">
        <v>7.3959999999999999</v>
      </c>
      <c r="F4170" t="s">
        <v>21</v>
      </c>
      <c r="G4170" t="s">
        <v>26</v>
      </c>
      <c r="H4170" t="s">
        <v>21</v>
      </c>
      <c r="I4170" t="s">
        <v>20</v>
      </c>
      <c r="J4170" t="s">
        <v>20</v>
      </c>
      <c r="K4170" t="s">
        <v>31</v>
      </c>
      <c r="L4170" t="s">
        <v>89</v>
      </c>
      <c r="M4170" t="s">
        <v>90</v>
      </c>
      <c r="N4170">
        <v>40.546953999999999</v>
      </c>
      <c r="O4170">
        <v>-111.872299</v>
      </c>
      <c r="P4170">
        <v>4485.6136429999997</v>
      </c>
      <c r="Q4170">
        <v>318</v>
      </c>
      <c r="R4170">
        <v>0</v>
      </c>
    </row>
    <row r="4171" spans="1:18" x14ac:dyDescent="0.25">
      <c r="A4171">
        <v>4170</v>
      </c>
      <c r="B4171">
        <v>94</v>
      </c>
      <c r="C4171">
        <v>31798864</v>
      </c>
      <c r="D4171" t="s">
        <v>192</v>
      </c>
      <c r="E4171">
        <v>7.3970000000000002</v>
      </c>
      <c r="F4171" t="s">
        <v>19</v>
      </c>
      <c r="G4171" t="s">
        <v>20</v>
      </c>
      <c r="H4171" t="s">
        <v>21</v>
      </c>
      <c r="I4171" t="s">
        <v>20</v>
      </c>
      <c r="J4171" t="s">
        <v>20</v>
      </c>
      <c r="K4171" t="s">
        <v>22</v>
      </c>
      <c r="L4171" t="s">
        <v>140</v>
      </c>
      <c r="M4171" t="s">
        <v>125</v>
      </c>
      <c r="N4171">
        <v>40.161380000000001</v>
      </c>
      <c r="O4171">
        <v>-111.642448</v>
      </c>
      <c r="P4171">
        <v>4455.6529829999999</v>
      </c>
      <c r="Q4171">
        <v>1375</v>
      </c>
      <c r="R4171">
        <v>0</v>
      </c>
    </row>
    <row r="4172" spans="1:18" x14ac:dyDescent="0.25">
      <c r="A4172">
        <v>4171</v>
      </c>
      <c r="B4172">
        <v>94</v>
      </c>
      <c r="C4172">
        <v>672639</v>
      </c>
      <c r="D4172" t="s">
        <v>383</v>
      </c>
      <c r="E4172">
        <v>18.39</v>
      </c>
      <c r="F4172" t="s">
        <v>21</v>
      </c>
      <c r="G4172" t="s">
        <v>26</v>
      </c>
      <c r="H4172" t="s">
        <v>21</v>
      </c>
      <c r="I4172" t="s">
        <v>20</v>
      </c>
      <c r="J4172" t="s">
        <v>20</v>
      </c>
      <c r="K4172" t="s">
        <v>31</v>
      </c>
      <c r="L4172" t="s">
        <v>32</v>
      </c>
      <c r="M4172" t="s">
        <v>384</v>
      </c>
      <c r="N4172">
        <v>40.573258000000003</v>
      </c>
      <c r="O4172">
        <v>-111.78480999999999</v>
      </c>
      <c r="P4172">
        <v>5259.9979999999996</v>
      </c>
      <c r="Q4172">
        <v>414</v>
      </c>
      <c r="R4172">
        <v>0</v>
      </c>
    </row>
    <row r="4173" spans="1:18" x14ac:dyDescent="0.25">
      <c r="A4173">
        <v>4172</v>
      </c>
      <c r="B4173">
        <v>94</v>
      </c>
      <c r="C4173">
        <v>673527</v>
      </c>
      <c r="D4173" t="s">
        <v>383</v>
      </c>
      <c r="E4173">
        <v>18.483000000000001</v>
      </c>
      <c r="F4173" t="s">
        <v>21</v>
      </c>
      <c r="G4173" t="s">
        <v>26</v>
      </c>
      <c r="H4173" t="s">
        <v>21</v>
      </c>
      <c r="I4173" t="s">
        <v>20</v>
      </c>
      <c r="J4173" t="s">
        <v>20</v>
      </c>
      <c r="K4173" t="s">
        <v>31</v>
      </c>
      <c r="L4173" t="s">
        <v>32</v>
      </c>
      <c r="M4173" t="s">
        <v>384</v>
      </c>
      <c r="N4173">
        <v>40.572947999999997</v>
      </c>
      <c r="O4173">
        <v>-111.78309</v>
      </c>
      <c r="P4173">
        <v>5274.415</v>
      </c>
      <c r="Q4173">
        <v>414</v>
      </c>
      <c r="R4173">
        <v>0</v>
      </c>
    </row>
    <row r="4174" spans="1:18" x14ac:dyDescent="0.25">
      <c r="A4174">
        <v>4173</v>
      </c>
      <c r="B4174">
        <v>94</v>
      </c>
      <c r="C4174">
        <v>673921</v>
      </c>
      <c r="D4174" t="s">
        <v>383</v>
      </c>
      <c r="E4174">
        <v>18.602</v>
      </c>
      <c r="F4174" t="s">
        <v>21</v>
      </c>
      <c r="G4174" t="s">
        <v>26</v>
      </c>
      <c r="H4174" t="s">
        <v>21</v>
      </c>
      <c r="I4174" t="s">
        <v>20</v>
      </c>
      <c r="J4174" t="s">
        <v>20</v>
      </c>
      <c r="K4174" t="s">
        <v>31</v>
      </c>
      <c r="L4174" t="s">
        <v>32</v>
      </c>
      <c r="M4174" t="s">
        <v>384</v>
      </c>
      <c r="N4174">
        <v>40.572623</v>
      </c>
      <c r="O4174">
        <v>-111.78083700000001</v>
      </c>
      <c r="P4174">
        <v>5291.5249999999996</v>
      </c>
      <c r="Q4174">
        <v>414</v>
      </c>
      <c r="R4174">
        <v>0</v>
      </c>
    </row>
    <row r="4175" spans="1:18" x14ac:dyDescent="0.25">
      <c r="A4175">
        <v>4174</v>
      </c>
      <c r="B4175">
        <v>94</v>
      </c>
      <c r="C4175">
        <v>996588</v>
      </c>
      <c r="D4175" t="s">
        <v>383</v>
      </c>
      <c r="E4175">
        <v>14.803000000000001</v>
      </c>
      <c r="F4175" t="s">
        <v>21</v>
      </c>
      <c r="G4175" t="s">
        <v>26</v>
      </c>
      <c r="H4175" t="s">
        <v>21</v>
      </c>
      <c r="I4175" t="s">
        <v>20</v>
      </c>
      <c r="J4175" t="s">
        <v>20</v>
      </c>
      <c r="K4175" t="s">
        <v>31</v>
      </c>
      <c r="L4175" t="s">
        <v>32</v>
      </c>
      <c r="M4175" t="s">
        <v>384</v>
      </c>
      <c r="N4175">
        <v>40.580399</v>
      </c>
      <c r="O4175">
        <v>-111.847145</v>
      </c>
      <c r="P4175">
        <v>4727.5079999999998</v>
      </c>
      <c r="Q4175">
        <v>414</v>
      </c>
      <c r="R4175">
        <v>0</v>
      </c>
    </row>
    <row r="4176" spans="1:18" x14ac:dyDescent="0.25">
      <c r="A4176">
        <v>4175</v>
      </c>
      <c r="B4176">
        <v>94</v>
      </c>
      <c r="C4176">
        <v>996838</v>
      </c>
      <c r="D4176" t="s">
        <v>383</v>
      </c>
      <c r="E4176">
        <v>15.266</v>
      </c>
      <c r="F4176" t="s">
        <v>21</v>
      </c>
      <c r="G4176" t="s">
        <v>26</v>
      </c>
      <c r="H4176" t="s">
        <v>21</v>
      </c>
      <c r="I4176" t="s">
        <v>20</v>
      </c>
      <c r="J4176" t="s">
        <v>20</v>
      </c>
      <c r="K4176" t="s">
        <v>31</v>
      </c>
      <c r="L4176" t="s">
        <v>32</v>
      </c>
      <c r="M4176" t="s">
        <v>384</v>
      </c>
      <c r="N4176">
        <v>40.580418000000002</v>
      </c>
      <c r="O4176">
        <v>-111.838303</v>
      </c>
      <c r="P4176">
        <v>4733.3019999999997</v>
      </c>
      <c r="Q4176">
        <v>414</v>
      </c>
      <c r="R4176">
        <v>0</v>
      </c>
    </row>
    <row r="4177" spans="1:18" x14ac:dyDescent="0.25">
      <c r="A4177">
        <v>4176</v>
      </c>
      <c r="B4177">
        <v>94</v>
      </c>
      <c r="C4177">
        <v>997710</v>
      </c>
      <c r="D4177" t="s">
        <v>383</v>
      </c>
      <c r="E4177">
        <v>16.039000000000001</v>
      </c>
      <c r="F4177" t="s">
        <v>19</v>
      </c>
      <c r="G4177" t="s">
        <v>20</v>
      </c>
      <c r="H4177" t="s">
        <v>21</v>
      </c>
      <c r="I4177" t="s">
        <v>20</v>
      </c>
      <c r="J4177" t="s">
        <v>20</v>
      </c>
      <c r="K4177" t="s">
        <v>31</v>
      </c>
      <c r="L4177" t="s">
        <v>32</v>
      </c>
      <c r="M4177" t="s">
        <v>384</v>
      </c>
      <c r="N4177">
        <v>40.57911</v>
      </c>
      <c r="O4177">
        <v>-111.82391800000001</v>
      </c>
      <c r="P4177">
        <v>4809.143</v>
      </c>
      <c r="Q4177">
        <v>414</v>
      </c>
      <c r="R4177">
        <v>0</v>
      </c>
    </row>
    <row r="4178" spans="1:18" x14ac:dyDescent="0.25">
      <c r="A4178">
        <v>4177</v>
      </c>
      <c r="B4178">
        <v>94</v>
      </c>
      <c r="C4178" t="e">
        <f>-JYd7Jo1I7yDWhGvmFlqfF</f>
        <v>#NAME?</v>
      </c>
      <c r="D4178" t="s">
        <v>383</v>
      </c>
      <c r="E4178">
        <v>12.288</v>
      </c>
      <c r="F4178" t="s">
        <v>21</v>
      </c>
      <c r="G4178" t="s">
        <v>26</v>
      </c>
      <c r="H4178" t="s">
        <v>21</v>
      </c>
      <c r="I4178" t="s">
        <v>20</v>
      </c>
      <c r="J4178" t="s">
        <v>20</v>
      </c>
      <c r="K4178" t="s">
        <v>31</v>
      </c>
      <c r="L4178" t="s">
        <v>89</v>
      </c>
      <c r="M4178" t="s">
        <v>62</v>
      </c>
      <c r="N4178">
        <v>40.588138000000001</v>
      </c>
      <c r="O4178">
        <v>-111.888789</v>
      </c>
      <c r="P4178">
        <v>4382.732</v>
      </c>
      <c r="Q4178">
        <v>414</v>
      </c>
      <c r="R4178">
        <v>0</v>
      </c>
    </row>
    <row r="4179" spans="1:18" x14ac:dyDescent="0.25">
      <c r="A4179">
        <v>4178</v>
      </c>
      <c r="B4179">
        <v>94</v>
      </c>
      <c r="C4179" t="e">
        <f>-JYglcEKGy5P48eQep3fZk</f>
        <v>#NAME?</v>
      </c>
      <c r="D4179" t="s">
        <v>383</v>
      </c>
      <c r="E4179">
        <v>13.835000000000001</v>
      </c>
      <c r="F4179" t="s">
        <v>21</v>
      </c>
      <c r="G4179" t="s">
        <v>26</v>
      </c>
      <c r="H4179" t="s">
        <v>21</v>
      </c>
      <c r="I4179" t="s">
        <v>20</v>
      </c>
      <c r="J4179" t="s">
        <v>20</v>
      </c>
      <c r="K4179" t="s">
        <v>31</v>
      </c>
      <c r="L4179" t="s">
        <v>89</v>
      </c>
      <c r="M4179" t="s">
        <v>62</v>
      </c>
      <c r="N4179">
        <v>40.583602999999997</v>
      </c>
      <c r="O4179">
        <v>-111.863512</v>
      </c>
      <c r="P4179">
        <v>4512.6589999999997</v>
      </c>
      <c r="Q4179">
        <v>414</v>
      </c>
      <c r="R4179">
        <v>0</v>
      </c>
    </row>
    <row r="4180" spans="1:18" x14ac:dyDescent="0.25">
      <c r="A4180">
        <v>4179</v>
      </c>
      <c r="B4180">
        <v>94</v>
      </c>
      <c r="C4180" t="e">
        <f>-JYgm7HFHlXU4fzyij2PrV</f>
        <v>#NAME?</v>
      </c>
      <c r="D4180" t="s">
        <v>383</v>
      </c>
      <c r="E4180">
        <v>13.741</v>
      </c>
      <c r="F4180" t="s">
        <v>21</v>
      </c>
      <c r="G4180" t="s">
        <v>26</v>
      </c>
      <c r="H4180" t="s">
        <v>21</v>
      </c>
      <c r="I4180" t="s">
        <v>20</v>
      </c>
      <c r="J4180" t="s">
        <v>20</v>
      </c>
      <c r="K4180" t="s">
        <v>31</v>
      </c>
      <c r="L4180" t="s">
        <v>89</v>
      </c>
      <c r="M4180" t="s">
        <v>62</v>
      </c>
      <c r="N4180">
        <v>40.584927</v>
      </c>
      <c r="O4180">
        <v>-111.863738</v>
      </c>
      <c r="P4180">
        <v>4510.3239999999996</v>
      </c>
      <c r="Q4180">
        <v>414</v>
      </c>
      <c r="R4180">
        <v>0</v>
      </c>
    </row>
    <row r="4181" spans="1:18" x14ac:dyDescent="0.25">
      <c r="A4181">
        <v>4180</v>
      </c>
      <c r="B4181">
        <v>94</v>
      </c>
      <c r="C4181" t="e">
        <f>-JYgmNZTH85Zu_l3HODfIV</f>
        <v>#NAME?</v>
      </c>
      <c r="D4181" t="s">
        <v>383</v>
      </c>
      <c r="E4181">
        <v>13.641999999999999</v>
      </c>
      <c r="F4181" t="s">
        <v>19</v>
      </c>
      <c r="G4181" t="s">
        <v>20</v>
      </c>
      <c r="H4181" t="s">
        <v>21</v>
      </c>
      <c r="I4181" t="s">
        <v>20</v>
      </c>
      <c r="J4181" t="s">
        <v>20</v>
      </c>
      <c r="K4181" t="s">
        <v>31</v>
      </c>
      <c r="L4181" t="s">
        <v>89</v>
      </c>
      <c r="M4181" t="s">
        <v>62</v>
      </c>
      <c r="N4181">
        <v>40.586378000000003</v>
      </c>
      <c r="O4181">
        <v>-111.863725</v>
      </c>
      <c r="P4181">
        <v>4509.42</v>
      </c>
      <c r="Q4181">
        <v>414</v>
      </c>
      <c r="R4181">
        <v>0</v>
      </c>
    </row>
    <row r="4182" spans="1:18" x14ac:dyDescent="0.25">
      <c r="A4182">
        <v>4181</v>
      </c>
      <c r="B4182">
        <v>94</v>
      </c>
      <c r="C4182">
        <v>28224191</v>
      </c>
      <c r="D4182" t="s">
        <v>220</v>
      </c>
      <c r="E4182">
        <v>62.103000000000002</v>
      </c>
      <c r="F4182" t="s">
        <v>21</v>
      </c>
      <c r="G4182" t="s">
        <v>26</v>
      </c>
      <c r="H4182" t="s">
        <v>21</v>
      </c>
      <c r="I4182" t="s">
        <v>20</v>
      </c>
      <c r="J4182" t="s">
        <v>20</v>
      </c>
      <c r="K4182" t="s">
        <v>27</v>
      </c>
      <c r="L4182" t="s">
        <v>28</v>
      </c>
      <c r="M4182" t="s">
        <v>366</v>
      </c>
      <c r="N4182">
        <v>37.747827999999998</v>
      </c>
      <c r="O4182">
        <v>-111.56421899999999</v>
      </c>
      <c r="P4182">
        <v>5724.6252009999998</v>
      </c>
      <c r="Q4182">
        <v>1328</v>
      </c>
      <c r="R4182">
        <v>0</v>
      </c>
    </row>
    <row r="4183" spans="1:18" x14ac:dyDescent="0.25">
      <c r="A4183">
        <v>4182</v>
      </c>
      <c r="B4183">
        <v>94</v>
      </c>
      <c r="C4183">
        <v>31311651</v>
      </c>
      <c r="D4183" t="s">
        <v>203</v>
      </c>
      <c r="E4183">
        <v>62.113</v>
      </c>
      <c r="F4183" t="s">
        <v>21</v>
      </c>
      <c r="G4183" t="s">
        <v>26</v>
      </c>
      <c r="H4183" t="s">
        <v>21</v>
      </c>
      <c r="I4183" t="s">
        <v>20</v>
      </c>
      <c r="J4183" t="s">
        <v>20</v>
      </c>
      <c r="K4183" t="s">
        <v>41</v>
      </c>
      <c r="L4183" t="s">
        <v>325</v>
      </c>
      <c r="M4183" t="s">
        <v>204</v>
      </c>
      <c r="N4183">
        <v>41.495195000000002</v>
      </c>
      <c r="O4183">
        <v>-111.260852</v>
      </c>
      <c r="P4183">
        <v>6551.3830509999998</v>
      </c>
      <c r="Q4183">
        <v>1349</v>
      </c>
      <c r="R4183">
        <v>0</v>
      </c>
    </row>
    <row r="4184" spans="1:18" x14ac:dyDescent="0.25">
      <c r="A4184">
        <v>4183</v>
      </c>
      <c r="B4184">
        <v>94</v>
      </c>
      <c r="C4184">
        <v>31328071</v>
      </c>
      <c r="D4184" t="s">
        <v>288</v>
      </c>
      <c r="E4184">
        <v>42.011000000000003</v>
      </c>
      <c r="F4184" t="s">
        <v>21</v>
      </c>
      <c r="G4184" t="s">
        <v>20</v>
      </c>
      <c r="H4184" t="s">
        <v>21</v>
      </c>
      <c r="I4184" t="s">
        <v>20</v>
      </c>
      <c r="J4184" t="s">
        <v>20</v>
      </c>
      <c r="K4184" t="s">
        <v>27</v>
      </c>
      <c r="L4184" t="s">
        <v>327</v>
      </c>
      <c r="M4184" t="s">
        <v>212</v>
      </c>
      <c r="N4184">
        <v>37.499254000000001</v>
      </c>
      <c r="O4184">
        <v>-109.484717</v>
      </c>
      <c r="P4184">
        <v>5394.225821</v>
      </c>
      <c r="Q4184">
        <v>350</v>
      </c>
      <c r="R4184">
        <v>0</v>
      </c>
    </row>
    <row r="4185" spans="1:18" x14ac:dyDescent="0.25">
      <c r="A4185">
        <v>4184</v>
      </c>
      <c r="B4185">
        <v>94</v>
      </c>
      <c r="C4185">
        <v>31385041</v>
      </c>
      <c r="D4185" t="s">
        <v>116</v>
      </c>
      <c r="E4185">
        <v>42.043999999999997</v>
      </c>
      <c r="F4185" t="s">
        <v>21</v>
      </c>
      <c r="G4185" t="s">
        <v>26</v>
      </c>
      <c r="H4185" t="s">
        <v>21</v>
      </c>
      <c r="I4185" t="s">
        <v>20</v>
      </c>
      <c r="J4185" t="s">
        <v>20</v>
      </c>
      <c r="K4185" t="s">
        <v>41</v>
      </c>
      <c r="L4185" t="s">
        <v>95</v>
      </c>
      <c r="M4185" t="s">
        <v>117</v>
      </c>
      <c r="N4185">
        <v>41.952182000000001</v>
      </c>
      <c r="O4185">
        <v>-111.813321</v>
      </c>
      <c r="P4185">
        <v>4510.6770489999999</v>
      </c>
      <c r="Q4185">
        <v>324</v>
      </c>
      <c r="R4185">
        <v>0</v>
      </c>
    </row>
    <row r="4186" spans="1:18" x14ac:dyDescent="0.25">
      <c r="A4186">
        <v>4185</v>
      </c>
      <c r="B4186">
        <v>94</v>
      </c>
      <c r="C4186">
        <v>31400167</v>
      </c>
      <c r="D4186" t="s">
        <v>124</v>
      </c>
      <c r="E4186">
        <v>42.064</v>
      </c>
      <c r="F4186" t="s">
        <v>19</v>
      </c>
      <c r="G4186" t="s">
        <v>20</v>
      </c>
      <c r="H4186" t="s">
        <v>21</v>
      </c>
      <c r="I4186" t="s">
        <v>20</v>
      </c>
      <c r="J4186" t="s">
        <v>20</v>
      </c>
      <c r="K4186" t="s">
        <v>31</v>
      </c>
      <c r="L4186" t="s">
        <v>89</v>
      </c>
      <c r="M4186" t="s">
        <v>125</v>
      </c>
      <c r="N4186">
        <v>40.518712000000001</v>
      </c>
      <c r="O4186">
        <v>-111.938733</v>
      </c>
      <c r="P4186">
        <v>4380.3393299999998</v>
      </c>
      <c r="Q4186">
        <v>1368</v>
      </c>
      <c r="R4186">
        <v>0</v>
      </c>
    </row>
    <row r="4187" spans="1:18" x14ac:dyDescent="0.25">
      <c r="A4187">
        <v>4186</v>
      </c>
      <c r="B4187">
        <v>94</v>
      </c>
      <c r="C4187">
        <v>31744516</v>
      </c>
      <c r="D4187" t="s">
        <v>290</v>
      </c>
      <c r="E4187">
        <v>42.098999999999997</v>
      </c>
      <c r="F4187" t="s">
        <v>21</v>
      </c>
      <c r="G4187" t="s">
        <v>20</v>
      </c>
      <c r="H4187" t="s">
        <v>21</v>
      </c>
      <c r="I4187" t="s">
        <v>20</v>
      </c>
      <c r="J4187" t="s">
        <v>20</v>
      </c>
      <c r="K4187" t="s">
        <v>41</v>
      </c>
      <c r="L4187" t="s">
        <v>291</v>
      </c>
      <c r="M4187" t="s">
        <v>238</v>
      </c>
      <c r="N4187">
        <v>41.737402000000003</v>
      </c>
      <c r="O4187">
        <v>-113.520574</v>
      </c>
      <c r="P4187">
        <v>5244.3151969999999</v>
      </c>
      <c r="Q4187">
        <v>1343</v>
      </c>
      <c r="R4187">
        <v>0</v>
      </c>
    </row>
    <row r="4188" spans="1:18" x14ac:dyDescent="0.25">
      <c r="A4188">
        <v>4187</v>
      </c>
      <c r="B4188">
        <v>94</v>
      </c>
      <c r="C4188">
        <v>31437747</v>
      </c>
      <c r="D4188" t="s">
        <v>221</v>
      </c>
      <c r="E4188">
        <v>42.109000000000002</v>
      </c>
      <c r="F4188" t="s">
        <v>21</v>
      </c>
      <c r="G4188" t="s">
        <v>26</v>
      </c>
      <c r="H4188" t="s">
        <v>21</v>
      </c>
      <c r="I4188" t="s">
        <v>20</v>
      </c>
      <c r="J4188" t="s">
        <v>20</v>
      </c>
      <c r="K4188" t="s">
        <v>22</v>
      </c>
      <c r="L4188" t="s">
        <v>155</v>
      </c>
      <c r="M4188" t="s">
        <v>174</v>
      </c>
      <c r="N4188">
        <v>39.729751999999998</v>
      </c>
      <c r="O4188">
        <v>-111.836091</v>
      </c>
      <c r="P4188">
        <v>5033.4742319999996</v>
      </c>
      <c r="Q4188">
        <v>1342</v>
      </c>
      <c r="R4188">
        <v>0</v>
      </c>
    </row>
    <row r="4189" spans="1:18" x14ac:dyDescent="0.25">
      <c r="A4189">
        <v>4188</v>
      </c>
      <c r="B4189">
        <v>94</v>
      </c>
      <c r="C4189">
        <v>31388626</v>
      </c>
      <c r="D4189" t="s">
        <v>364</v>
      </c>
      <c r="E4189">
        <v>4.9000000000000004</v>
      </c>
      <c r="F4189" t="s">
        <v>21</v>
      </c>
      <c r="G4189" t="s">
        <v>26</v>
      </c>
      <c r="H4189" t="s">
        <v>21</v>
      </c>
      <c r="I4189" t="s">
        <v>20</v>
      </c>
      <c r="J4189" t="s">
        <v>20</v>
      </c>
      <c r="K4189" t="s">
        <v>22</v>
      </c>
      <c r="L4189" t="s">
        <v>140</v>
      </c>
      <c r="M4189" t="s">
        <v>85</v>
      </c>
      <c r="N4189">
        <v>40.098309</v>
      </c>
      <c r="O4189">
        <v>-111.70811500000001</v>
      </c>
      <c r="P4189">
        <v>4488.5865679999997</v>
      </c>
      <c r="Q4189">
        <v>1401</v>
      </c>
      <c r="R4189">
        <v>0</v>
      </c>
    </row>
    <row r="4190" spans="1:18" x14ac:dyDescent="0.25">
      <c r="A4190">
        <v>4189</v>
      </c>
      <c r="B4190">
        <v>94</v>
      </c>
      <c r="C4190">
        <v>31366779</v>
      </c>
      <c r="D4190" t="s">
        <v>229</v>
      </c>
      <c r="E4190">
        <v>4.9059999999999997</v>
      </c>
      <c r="F4190" t="s">
        <v>21</v>
      </c>
      <c r="G4190" t="s">
        <v>26</v>
      </c>
      <c r="H4190" t="s">
        <v>19</v>
      </c>
      <c r="I4190">
        <v>132</v>
      </c>
      <c r="J4190" t="s">
        <v>20</v>
      </c>
      <c r="K4190" t="s">
        <v>27</v>
      </c>
      <c r="L4190" t="s">
        <v>230</v>
      </c>
      <c r="M4190" t="s">
        <v>82</v>
      </c>
      <c r="N4190">
        <v>39.476117000000002</v>
      </c>
      <c r="O4190">
        <v>-111.56289599999999</v>
      </c>
      <c r="P4190">
        <v>5454.401597</v>
      </c>
      <c r="Q4190">
        <v>331</v>
      </c>
      <c r="R4190">
        <v>0</v>
      </c>
    </row>
    <row r="4191" spans="1:18" x14ac:dyDescent="0.25">
      <c r="A4191">
        <v>4190</v>
      </c>
      <c r="B4191">
        <v>94</v>
      </c>
      <c r="C4191">
        <v>1154302</v>
      </c>
      <c r="D4191" t="s">
        <v>56</v>
      </c>
      <c r="E4191">
        <v>4.9130000000000003</v>
      </c>
      <c r="F4191" t="s">
        <v>21</v>
      </c>
      <c r="G4191" t="s">
        <v>26</v>
      </c>
      <c r="H4191" t="s">
        <v>21</v>
      </c>
      <c r="I4191" t="s">
        <v>20</v>
      </c>
      <c r="J4191" t="s">
        <v>20</v>
      </c>
      <c r="K4191" t="s">
        <v>41</v>
      </c>
      <c r="L4191" t="s">
        <v>57</v>
      </c>
      <c r="M4191" t="s">
        <v>58</v>
      </c>
      <c r="N4191">
        <v>41.161662</v>
      </c>
      <c r="O4191">
        <v>-112.02951400000001</v>
      </c>
      <c r="P4191">
        <v>4475.7644289999998</v>
      </c>
      <c r="Q4191">
        <v>1459</v>
      </c>
      <c r="R4191">
        <v>0</v>
      </c>
    </row>
    <row r="4192" spans="1:18" x14ac:dyDescent="0.25">
      <c r="A4192">
        <v>4191</v>
      </c>
      <c r="B4192">
        <v>94</v>
      </c>
      <c r="C4192">
        <v>806121</v>
      </c>
      <c r="D4192" t="s">
        <v>68</v>
      </c>
      <c r="E4192">
        <v>4.9130000000000003</v>
      </c>
      <c r="F4192" t="s">
        <v>21</v>
      </c>
      <c r="G4192" t="s">
        <v>26</v>
      </c>
      <c r="H4192" t="s">
        <v>21</v>
      </c>
      <c r="I4192" t="s">
        <v>20</v>
      </c>
      <c r="J4192" t="s">
        <v>20</v>
      </c>
      <c r="K4192" t="s">
        <v>31</v>
      </c>
      <c r="L4192" t="s">
        <v>32</v>
      </c>
      <c r="M4192" t="s">
        <v>70</v>
      </c>
      <c r="N4192">
        <v>40.674304999999997</v>
      </c>
      <c r="O4192">
        <v>-111.86210699999999</v>
      </c>
      <c r="P4192">
        <v>4268.1320400000004</v>
      </c>
      <c r="Q4192">
        <v>431</v>
      </c>
      <c r="R4192">
        <v>0</v>
      </c>
    </row>
    <row r="4193" spans="1:18" x14ac:dyDescent="0.25">
      <c r="A4193">
        <v>4192</v>
      </c>
      <c r="B4193">
        <v>94</v>
      </c>
      <c r="C4193">
        <v>31388637</v>
      </c>
      <c r="D4193" t="s">
        <v>364</v>
      </c>
      <c r="E4193">
        <v>4.9139999999999997</v>
      </c>
      <c r="F4193" t="s">
        <v>21</v>
      </c>
      <c r="G4193" t="s">
        <v>26</v>
      </c>
      <c r="H4193" t="s">
        <v>21</v>
      </c>
      <c r="I4193" t="s">
        <v>20</v>
      </c>
      <c r="J4193" t="s">
        <v>20</v>
      </c>
      <c r="K4193" t="s">
        <v>22</v>
      </c>
      <c r="L4193" t="s">
        <v>140</v>
      </c>
      <c r="M4193" t="s">
        <v>85</v>
      </c>
      <c r="N4193">
        <v>40.098292000000001</v>
      </c>
      <c r="O4193">
        <v>-111.707857</v>
      </c>
      <c r="P4193">
        <v>4488.6558130000003</v>
      </c>
      <c r="Q4193">
        <v>1401</v>
      </c>
      <c r="R4193">
        <v>0</v>
      </c>
    </row>
    <row r="4194" spans="1:18" x14ac:dyDescent="0.25">
      <c r="A4194">
        <v>4193</v>
      </c>
      <c r="B4194">
        <v>94</v>
      </c>
      <c r="C4194">
        <v>31411567</v>
      </c>
      <c r="D4194" t="s">
        <v>129</v>
      </c>
      <c r="E4194">
        <v>4.9180000000000001</v>
      </c>
      <c r="F4194" t="s">
        <v>21</v>
      </c>
      <c r="G4194" t="s">
        <v>26</v>
      </c>
      <c r="H4194" t="s">
        <v>21</v>
      </c>
      <c r="I4194" t="s">
        <v>20</v>
      </c>
      <c r="J4194" t="s">
        <v>20</v>
      </c>
      <c r="K4194" t="s">
        <v>31</v>
      </c>
      <c r="L4194" t="s">
        <v>130</v>
      </c>
      <c r="M4194" t="s">
        <v>131</v>
      </c>
      <c r="N4194">
        <v>40.623866999999997</v>
      </c>
      <c r="O4194">
        <v>-111.20496199999999</v>
      </c>
      <c r="P4194">
        <v>6880.3638410000003</v>
      </c>
      <c r="Q4194">
        <v>340</v>
      </c>
      <c r="R4194">
        <v>0</v>
      </c>
    </row>
    <row r="4195" spans="1:18" x14ac:dyDescent="0.25">
      <c r="A4195">
        <v>4194</v>
      </c>
      <c r="B4195">
        <v>94</v>
      </c>
      <c r="C4195">
        <v>1450537</v>
      </c>
      <c r="D4195" t="s">
        <v>109</v>
      </c>
      <c r="E4195">
        <v>4.9219999999999997</v>
      </c>
      <c r="F4195" t="s">
        <v>19</v>
      </c>
      <c r="G4195" t="s">
        <v>20</v>
      </c>
      <c r="H4195" t="s">
        <v>19</v>
      </c>
      <c r="I4195">
        <v>101</v>
      </c>
      <c r="J4195" t="s">
        <v>20</v>
      </c>
      <c r="K4195" t="s">
        <v>41</v>
      </c>
      <c r="L4195" t="s">
        <v>42</v>
      </c>
      <c r="M4195" t="s">
        <v>73</v>
      </c>
      <c r="N4195">
        <v>41.633581999999997</v>
      </c>
      <c r="O4195">
        <v>-111.832638</v>
      </c>
      <c r="P4195">
        <v>4741.1886770000001</v>
      </c>
      <c r="Q4195">
        <v>345</v>
      </c>
      <c r="R4195">
        <v>0</v>
      </c>
    </row>
    <row r="4196" spans="1:18" x14ac:dyDescent="0.25">
      <c r="A4196">
        <v>4195</v>
      </c>
      <c r="B4196">
        <v>94</v>
      </c>
      <c r="C4196">
        <v>2837406</v>
      </c>
      <c r="D4196" t="s">
        <v>113</v>
      </c>
      <c r="E4196">
        <v>4.9260000000000002</v>
      </c>
      <c r="F4196" t="s">
        <v>21</v>
      </c>
      <c r="G4196" t="s">
        <v>26</v>
      </c>
      <c r="H4196" t="s">
        <v>21</v>
      </c>
      <c r="I4196" t="s">
        <v>20</v>
      </c>
      <c r="J4196" t="s">
        <v>20</v>
      </c>
      <c r="K4196" t="s">
        <v>41</v>
      </c>
      <c r="L4196" t="s">
        <v>87</v>
      </c>
      <c r="M4196" t="s">
        <v>58</v>
      </c>
      <c r="N4196">
        <v>41.134518</v>
      </c>
      <c r="O4196">
        <v>-111.949422</v>
      </c>
      <c r="P4196">
        <v>4443.4250480000001</v>
      </c>
      <c r="Q4196">
        <v>1363</v>
      </c>
      <c r="R4196">
        <v>0</v>
      </c>
    </row>
    <row r="4197" spans="1:18" x14ac:dyDescent="0.25">
      <c r="A4197">
        <v>4196</v>
      </c>
      <c r="B4197">
        <v>94</v>
      </c>
      <c r="C4197">
        <v>1267543</v>
      </c>
      <c r="D4197" t="s">
        <v>189</v>
      </c>
      <c r="E4197">
        <v>4.9279999999999999</v>
      </c>
      <c r="F4197" t="s">
        <v>21</v>
      </c>
      <c r="G4197" t="s">
        <v>26</v>
      </c>
      <c r="H4197" t="s">
        <v>21</v>
      </c>
      <c r="I4197" t="s">
        <v>20</v>
      </c>
      <c r="J4197" t="s">
        <v>20</v>
      </c>
      <c r="K4197" t="s">
        <v>41</v>
      </c>
      <c r="L4197" t="s">
        <v>81</v>
      </c>
      <c r="M4197" t="s">
        <v>190</v>
      </c>
      <c r="N4197">
        <v>41.224567</v>
      </c>
      <c r="O4197">
        <v>-111.94814700000001</v>
      </c>
      <c r="P4197">
        <v>4401.5396499999997</v>
      </c>
      <c r="Q4197">
        <v>412</v>
      </c>
      <c r="R4197">
        <v>0</v>
      </c>
    </row>
    <row r="4198" spans="1:18" x14ac:dyDescent="0.25">
      <c r="A4198">
        <v>4197</v>
      </c>
      <c r="B4198">
        <v>94</v>
      </c>
      <c r="C4198">
        <v>31445384</v>
      </c>
      <c r="D4198" t="s">
        <v>107</v>
      </c>
      <c r="E4198">
        <v>4.9320000000000004</v>
      </c>
      <c r="F4198" t="s">
        <v>21</v>
      </c>
      <c r="G4198" t="s">
        <v>26</v>
      </c>
      <c r="H4198" t="s">
        <v>21</v>
      </c>
      <c r="I4198" t="s">
        <v>20</v>
      </c>
      <c r="J4198" t="s">
        <v>20</v>
      </c>
      <c r="K4198" t="s">
        <v>41</v>
      </c>
      <c r="L4198" t="s">
        <v>81</v>
      </c>
      <c r="M4198" t="s">
        <v>93</v>
      </c>
      <c r="N4198">
        <v>41.264220999999999</v>
      </c>
      <c r="O4198">
        <v>-111.977779</v>
      </c>
      <c r="P4198">
        <v>4226.7008949999999</v>
      </c>
      <c r="Q4198">
        <v>413</v>
      </c>
      <c r="R4198">
        <v>0</v>
      </c>
    </row>
    <row r="4199" spans="1:18" x14ac:dyDescent="0.25">
      <c r="A4199">
        <v>4198</v>
      </c>
      <c r="B4199">
        <v>94</v>
      </c>
      <c r="C4199">
        <v>31390983</v>
      </c>
      <c r="D4199" t="s">
        <v>124</v>
      </c>
      <c r="E4199">
        <v>4.9329999999999998</v>
      </c>
      <c r="F4199" t="s">
        <v>21</v>
      </c>
      <c r="G4199" t="s">
        <v>20</v>
      </c>
      <c r="H4199" t="s">
        <v>21</v>
      </c>
      <c r="I4199" t="s">
        <v>20</v>
      </c>
      <c r="J4199" t="s">
        <v>20</v>
      </c>
      <c r="K4199" t="s">
        <v>22</v>
      </c>
      <c r="L4199" t="s">
        <v>193</v>
      </c>
      <c r="M4199" t="s">
        <v>194</v>
      </c>
      <c r="N4199">
        <v>40.023569999999999</v>
      </c>
      <c r="O4199">
        <v>-111.958285</v>
      </c>
      <c r="P4199">
        <v>4561.2839649999996</v>
      </c>
      <c r="Q4199">
        <v>1368</v>
      </c>
      <c r="R4199">
        <v>0</v>
      </c>
    </row>
    <row r="4200" spans="1:18" x14ac:dyDescent="0.25">
      <c r="A4200">
        <v>4199</v>
      </c>
      <c r="B4200">
        <v>94</v>
      </c>
      <c r="C4200">
        <v>27867036</v>
      </c>
      <c r="D4200" t="s">
        <v>91</v>
      </c>
      <c r="E4200">
        <v>4.9329999999999998</v>
      </c>
      <c r="F4200" t="s">
        <v>21</v>
      </c>
      <c r="G4200" t="s">
        <v>26</v>
      </c>
      <c r="H4200" t="s">
        <v>21</v>
      </c>
      <c r="I4200" t="s">
        <v>20</v>
      </c>
      <c r="J4200" t="s">
        <v>20</v>
      </c>
      <c r="K4200" t="s">
        <v>41</v>
      </c>
      <c r="L4200" t="s">
        <v>42</v>
      </c>
      <c r="M4200" t="s">
        <v>73</v>
      </c>
      <c r="N4200">
        <v>41.680191999999998</v>
      </c>
      <c r="O4200">
        <v>-111.961167</v>
      </c>
      <c r="P4200">
        <v>4437.9236229999997</v>
      </c>
      <c r="Q4200">
        <v>1339</v>
      </c>
      <c r="R4200">
        <v>0</v>
      </c>
    </row>
    <row r="4201" spans="1:18" x14ac:dyDescent="0.25">
      <c r="A4201">
        <v>4200</v>
      </c>
      <c r="B4201">
        <v>94</v>
      </c>
      <c r="C4201" t="e">
        <f>-JKrGc2YGF1dVpTGo3_Ppk</f>
        <v>#NAME?</v>
      </c>
      <c r="D4201" t="s">
        <v>100</v>
      </c>
      <c r="E4201">
        <v>4.9359999999999999</v>
      </c>
      <c r="F4201" t="s">
        <v>21</v>
      </c>
      <c r="G4201" t="s">
        <v>26</v>
      </c>
      <c r="H4201" t="s">
        <v>21</v>
      </c>
      <c r="I4201" t="s">
        <v>20</v>
      </c>
      <c r="J4201" t="s">
        <v>20</v>
      </c>
      <c r="K4201" t="s">
        <v>41</v>
      </c>
      <c r="L4201" t="s">
        <v>57</v>
      </c>
      <c r="M4201" t="s">
        <v>46</v>
      </c>
      <c r="N4201">
        <v>41.102632999999997</v>
      </c>
      <c r="O4201">
        <v>-112.06456900000001</v>
      </c>
      <c r="P4201">
        <v>4254.9320360000002</v>
      </c>
      <c r="Q4201">
        <v>1396</v>
      </c>
      <c r="R4201">
        <v>0</v>
      </c>
    </row>
    <row r="4202" spans="1:18" x14ac:dyDescent="0.25">
      <c r="A4202">
        <v>4201</v>
      </c>
      <c r="B4202">
        <v>94</v>
      </c>
      <c r="C4202">
        <v>31351915</v>
      </c>
      <c r="D4202" t="s">
        <v>34</v>
      </c>
      <c r="E4202">
        <v>4.9379999999999997</v>
      </c>
      <c r="F4202" t="s">
        <v>21</v>
      </c>
      <c r="G4202" t="s">
        <v>26</v>
      </c>
      <c r="H4202" t="s">
        <v>21</v>
      </c>
      <c r="I4202" t="s">
        <v>20</v>
      </c>
      <c r="J4202" t="s">
        <v>20</v>
      </c>
      <c r="K4202" t="s">
        <v>22</v>
      </c>
      <c r="L4202" t="s">
        <v>35</v>
      </c>
      <c r="M4202" t="s">
        <v>36</v>
      </c>
      <c r="N4202">
        <v>40.510433999999997</v>
      </c>
      <c r="O4202">
        <v>-111.45331899999999</v>
      </c>
      <c r="P4202">
        <v>5489.0798379999997</v>
      </c>
      <c r="Q4202">
        <v>1400</v>
      </c>
      <c r="R4202">
        <v>0</v>
      </c>
    </row>
    <row r="4203" spans="1:18" x14ac:dyDescent="0.25">
      <c r="A4203">
        <v>4202</v>
      </c>
      <c r="B4203">
        <v>94</v>
      </c>
      <c r="C4203" t="e">
        <f>-JPrTto0FSawLO7sY22t_V</f>
        <v>#NAME?</v>
      </c>
      <c r="D4203" t="s">
        <v>88</v>
      </c>
      <c r="E4203">
        <v>4.9390000000000001</v>
      </c>
      <c r="F4203" t="s">
        <v>19</v>
      </c>
      <c r="G4203" t="s">
        <v>20</v>
      </c>
      <c r="H4203" t="s">
        <v>21</v>
      </c>
      <c r="I4203" t="s">
        <v>20</v>
      </c>
      <c r="J4203" t="s">
        <v>20</v>
      </c>
      <c r="K4203" t="s">
        <v>31</v>
      </c>
      <c r="L4203" t="s">
        <v>89</v>
      </c>
      <c r="M4203" t="s">
        <v>90</v>
      </c>
      <c r="N4203">
        <v>40.526803000000001</v>
      </c>
      <c r="O4203">
        <v>-111.891569</v>
      </c>
      <c r="P4203">
        <v>4367.3267290000003</v>
      </c>
      <c r="Q4203">
        <v>318</v>
      </c>
      <c r="R4203">
        <v>0</v>
      </c>
    </row>
    <row r="4204" spans="1:18" x14ac:dyDescent="0.25">
      <c r="A4204">
        <v>4203</v>
      </c>
      <c r="B4204">
        <v>94</v>
      </c>
      <c r="C4204">
        <v>31521991</v>
      </c>
      <c r="D4204" t="s">
        <v>390</v>
      </c>
      <c r="E4204">
        <v>4.9400000000000004</v>
      </c>
      <c r="F4204" t="s">
        <v>19</v>
      </c>
      <c r="G4204" t="s">
        <v>20</v>
      </c>
      <c r="H4204" t="s">
        <v>21</v>
      </c>
      <c r="I4204" t="s">
        <v>20</v>
      </c>
      <c r="J4204" t="s">
        <v>20</v>
      </c>
      <c r="K4204" t="s">
        <v>22</v>
      </c>
      <c r="L4204" t="s">
        <v>84</v>
      </c>
      <c r="M4204" t="s">
        <v>335</v>
      </c>
      <c r="N4204">
        <v>40.431848000000002</v>
      </c>
      <c r="O4204">
        <v>-111.802119</v>
      </c>
      <c r="P4204">
        <v>4804.5701060000001</v>
      </c>
      <c r="Q4204">
        <v>1386</v>
      </c>
      <c r="R4204">
        <v>0</v>
      </c>
    </row>
    <row r="4205" spans="1:18" x14ac:dyDescent="0.25">
      <c r="A4205">
        <v>4204</v>
      </c>
      <c r="B4205">
        <v>94</v>
      </c>
      <c r="C4205" t="e">
        <f>-IPV5-cqF5agAoUhh1BNek</f>
        <v>#NAME?</v>
      </c>
      <c r="D4205" t="s">
        <v>272</v>
      </c>
      <c r="E4205">
        <v>424.79300000000001</v>
      </c>
      <c r="F4205" t="s">
        <v>21</v>
      </c>
      <c r="G4205" t="s">
        <v>26</v>
      </c>
      <c r="H4205" t="s">
        <v>21</v>
      </c>
      <c r="I4205" t="s">
        <v>20</v>
      </c>
      <c r="J4205" t="s">
        <v>20</v>
      </c>
      <c r="K4205" t="s">
        <v>41</v>
      </c>
      <c r="L4205" t="s">
        <v>177</v>
      </c>
      <c r="M4205" t="s">
        <v>46</v>
      </c>
      <c r="N4205">
        <v>41.365496999999998</v>
      </c>
      <c r="O4205">
        <v>-112.035419</v>
      </c>
      <c r="P4205">
        <v>4277.1879280000003</v>
      </c>
      <c r="Q4205">
        <v>1384</v>
      </c>
      <c r="R4205">
        <v>0</v>
      </c>
    </row>
    <row r="4206" spans="1:18" x14ac:dyDescent="0.25">
      <c r="A4206">
        <v>4205</v>
      </c>
      <c r="B4206">
        <v>94</v>
      </c>
      <c r="C4206">
        <v>31790684</v>
      </c>
      <c r="D4206" t="s">
        <v>192</v>
      </c>
      <c r="E4206">
        <v>3.165</v>
      </c>
      <c r="F4206" t="s">
        <v>21</v>
      </c>
      <c r="G4206" t="s">
        <v>26</v>
      </c>
      <c r="H4206" t="s">
        <v>21</v>
      </c>
      <c r="I4206" t="s">
        <v>20</v>
      </c>
      <c r="J4206" t="s">
        <v>20</v>
      </c>
      <c r="K4206" t="s">
        <v>22</v>
      </c>
      <c r="L4206" t="s">
        <v>140</v>
      </c>
      <c r="M4206" t="s">
        <v>125</v>
      </c>
      <c r="N4206">
        <v>40.154668000000001</v>
      </c>
      <c r="O4206">
        <v>-111.720097</v>
      </c>
      <c r="P4206">
        <v>4439.9085660000001</v>
      </c>
      <c r="Q4206">
        <v>1375</v>
      </c>
      <c r="R4206">
        <v>0</v>
      </c>
    </row>
    <row r="4207" spans="1:18" x14ac:dyDescent="0.25">
      <c r="A4207">
        <v>4206</v>
      </c>
      <c r="B4207">
        <v>94</v>
      </c>
      <c r="C4207">
        <v>31378592</v>
      </c>
      <c r="D4207" t="s">
        <v>221</v>
      </c>
      <c r="E4207">
        <v>3.1659999999999999</v>
      </c>
      <c r="F4207" t="s">
        <v>21</v>
      </c>
      <c r="G4207" t="s">
        <v>20</v>
      </c>
      <c r="H4207" t="s">
        <v>21</v>
      </c>
      <c r="I4207" t="s">
        <v>20</v>
      </c>
      <c r="J4207" t="s">
        <v>20</v>
      </c>
      <c r="K4207" t="s">
        <v>27</v>
      </c>
      <c r="L4207" t="s">
        <v>350</v>
      </c>
      <c r="M4207" t="s">
        <v>174</v>
      </c>
      <c r="N4207">
        <v>39.197102999999998</v>
      </c>
      <c r="O4207">
        <v>-111.844993</v>
      </c>
      <c r="P4207">
        <v>5049.0564089999998</v>
      </c>
      <c r="Q4207">
        <v>1342</v>
      </c>
      <c r="R4207">
        <v>0</v>
      </c>
    </row>
    <row r="4208" spans="1:18" x14ac:dyDescent="0.25">
      <c r="A4208">
        <v>4207</v>
      </c>
      <c r="B4208">
        <v>94</v>
      </c>
      <c r="C4208">
        <v>31562657</v>
      </c>
      <c r="D4208" t="s">
        <v>172</v>
      </c>
      <c r="E4208">
        <v>3.1669999999999998</v>
      </c>
      <c r="F4208" t="s">
        <v>21</v>
      </c>
      <c r="G4208" t="s">
        <v>26</v>
      </c>
      <c r="H4208" t="s">
        <v>21</v>
      </c>
      <c r="I4208" t="s">
        <v>20</v>
      </c>
      <c r="J4208" t="s">
        <v>20</v>
      </c>
      <c r="K4208" t="s">
        <v>27</v>
      </c>
      <c r="L4208" t="s">
        <v>173</v>
      </c>
      <c r="M4208" t="s">
        <v>174</v>
      </c>
      <c r="N4208">
        <v>39.533403999999997</v>
      </c>
      <c r="O4208">
        <v>-112.31428</v>
      </c>
      <c r="P4208">
        <v>4657.2564510000002</v>
      </c>
      <c r="Q4208">
        <v>1411</v>
      </c>
      <c r="R4208">
        <v>0</v>
      </c>
    </row>
    <row r="4209" spans="1:18" x14ac:dyDescent="0.25">
      <c r="A4209">
        <v>4208</v>
      </c>
      <c r="B4209">
        <v>94</v>
      </c>
      <c r="C4209">
        <v>31385545</v>
      </c>
      <c r="D4209" t="s">
        <v>184</v>
      </c>
      <c r="E4209">
        <v>3.1709999999999998</v>
      </c>
      <c r="F4209" t="s">
        <v>21</v>
      </c>
      <c r="G4209" t="s">
        <v>26</v>
      </c>
      <c r="H4209" t="s">
        <v>21</v>
      </c>
      <c r="I4209" t="s">
        <v>20</v>
      </c>
      <c r="J4209" t="s">
        <v>20</v>
      </c>
      <c r="K4209" t="s">
        <v>27</v>
      </c>
      <c r="L4209" t="s">
        <v>54</v>
      </c>
      <c r="M4209" t="s">
        <v>55</v>
      </c>
      <c r="N4209">
        <v>37.690561000000002</v>
      </c>
      <c r="O4209">
        <v>-113.06194600000001</v>
      </c>
      <c r="P4209">
        <v>5710.3534650000001</v>
      </c>
      <c r="Q4209">
        <v>1410</v>
      </c>
      <c r="R4209">
        <v>0</v>
      </c>
    </row>
    <row r="4210" spans="1:18" x14ac:dyDescent="0.25">
      <c r="A4210">
        <v>4209</v>
      </c>
      <c r="B4210">
        <v>94</v>
      </c>
      <c r="C4210">
        <v>838939</v>
      </c>
      <c r="D4210" t="s">
        <v>68</v>
      </c>
      <c r="E4210">
        <v>7.2510000000000003</v>
      </c>
      <c r="F4210" t="s">
        <v>21</v>
      </c>
      <c r="G4210" t="s">
        <v>26</v>
      </c>
      <c r="H4210" t="s">
        <v>21</v>
      </c>
      <c r="I4210" t="s">
        <v>20</v>
      </c>
      <c r="J4210" t="s">
        <v>20</v>
      </c>
      <c r="K4210" t="s">
        <v>31</v>
      </c>
      <c r="L4210" t="s">
        <v>32</v>
      </c>
      <c r="M4210" t="s">
        <v>70</v>
      </c>
      <c r="N4210">
        <v>40.675339999999998</v>
      </c>
      <c r="O4210">
        <v>-111.817958</v>
      </c>
      <c r="P4210">
        <v>4533.2082650000002</v>
      </c>
      <c r="Q4210">
        <v>431</v>
      </c>
      <c r="R4210">
        <v>0</v>
      </c>
    </row>
    <row r="4211" spans="1:18" x14ac:dyDescent="0.25">
      <c r="A4211">
        <v>4210</v>
      </c>
      <c r="B4211">
        <v>94</v>
      </c>
      <c r="C4211">
        <v>31259831</v>
      </c>
      <c r="D4211" t="s">
        <v>303</v>
      </c>
      <c r="E4211">
        <v>7.2519999999999998</v>
      </c>
      <c r="F4211" t="s">
        <v>21</v>
      </c>
      <c r="G4211" t="s">
        <v>26</v>
      </c>
      <c r="H4211" t="s">
        <v>21</v>
      </c>
      <c r="I4211" t="s">
        <v>20</v>
      </c>
      <c r="J4211" t="s">
        <v>20</v>
      </c>
      <c r="K4211" t="s">
        <v>27</v>
      </c>
      <c r="L4211" t="s">
        <v>72</v>
      </c>
      <c r="M4211" t="s">
        <v>73</v>
      </c>
      <c r="N4211">
        <v>37.176282</v>
      </c>
      <c r="O4211">
        <v>-113.333865</v>
      </c>
      <c r="P4211">
        <v>3174.4609620000001</v>
      </c>
      <c r="Q4211">
        <v>1326</v>
      </c>
      <c r="R4211">
        <v>0</v>
      </c>
    </row>
    <row r="4212" spans="1:18" x14ac:dyDescent="0.25">
      <c r="A4212">
        <v>4211</v>
      </c>
      <c r="B4212">
        <v>94</v>
      </c>
      <c r="C4212">
        <v>31301606</v>
      </c>
      <c r="D4212" t="s">
        <v>203</v>
      </c>
      <c r="E4212">
        <v>7.2539999999999996</v>
      </c>
      <c r="F4212" t="s">
        <v>19</v>
      </c>
      <c r="G4212" t="s">
        <v>20</v>
      </c>
      <c r="H4212" t="s">
        <v>21</v>
      </c>
      <c r="I4212" t="s">
        <v>20</v>
      </c>
      <c r="J4212" t="s">
        <v>20</v>
      </c>
      <c r="K4212" t="s">
        <v>41</v>
      </c>
      <c r="L4212" t="s">
        <v>81</v>
      </c>
      <c r="M4212" t="s">
        <v>204</v>
      </c>
      <c r="N4212">
        <v>41.244093999999997</v>
      </c>
      <c r="O4212">
        <v>-111.953419</v>
      </c>
      <c r="P4212">
        <v>4281.4980439999999</v>
      </c>
      <c r="Q4212">
        <v>1349</v>
      </c>
      <c r="R4212">
        <v>0</v>
      </c>
    </row>
    <row r="4213" spans="1:18" x14ac:dyDescent="0.25">
      <c r="A4213">
        <v>4212</v>
      </c>
      <c r="B4213">
        <v>94</v>
      </c>
      <c r="C4213">
        <v>31698461</v>
      </c>
      <c r="D4213" t="s">
        <v>96</v>
      </c>
      <c r="E4213">
        <v>7.2590000000000003</v>
      </c>
      <c r="F4213" t="s">
        <v>21</v>
      </c>
      <c r="G4213" t="s">
        <v>20</v>
      </c>
      <c r="H4213" t="s">
        <v>21</v>
      </c>
      <c r="I4213" t="s">
        <v>20</v>
      </c>
      <c r="J4213" t="s">
        <v>20</v>
      </c>
      <c r="K4213" t="s">
        <v>22</v>
      </c>
      <c r="L4213" t="s">
        <v>97</v>
      </c>
      <c r="M4213" t="s">
        <v>98</v>
      </c>
      <c r="N4213">
        <v>40.986660000000001</v>
      </c>
      <c r="O4213">
        <v>-109.734971</v>
      </c>
      <c r="P4213">
        <v>6435.7988699999996</v>
      </c>
      <c r="Q4213">
        <v>311</v>
      </c>
      <c r="R4213">
        <v>0</v>
      </c>
    </row>
    <row r="4214" spans="1:18" x14ac:dyDescent="0.25">
      <c r="A4214">
        <v>4213</v>
      </c>
      <c r="B4214">
        <v>94</v>
      </c>
      <c r="C4214">
        <v>31857573</v>
      </c>
      <c r="D4214" t="s">
        <v>312</v>
      </c>
      <c r="E4214">
        <v>58.415999999999997</v>
      </c>
      <c r="F4214" t="s">
        <v>21</v>
      </c>
      <c r="G4214" t="s">
        <v>20</v>
      </c>
      <c r="H4214" t="s">
        <v>21</v>
      </c>
      <c r="I4214" t="s">
        <v>20</v>
      </c>
      <c r="J4214" t="s">
        <v>20</v>
      </c>
      <c r="K4214" t="s">
        <v>27</v>
      </c>
      <c r="L4214" t="s">
        <v>173</v>
      </c>
      <c r="M4214" t="s">
        <v>313</v>
      </c>
      <c r="N4214">
        <v>39.181685000000002</v>
      </c>
      <c r="O4214">
        <v>-112.699506</v>
      </c>
      <c r="P4214">
        <v>4500.3459910000001</v>
      </c>
      <c r="Q4214">
        <v>255</v>
      </c>
      <c r="R4214">
        <v>0</v>
      </c>
    </row>
    <row r="4215" spans="1:18" x14ac:dyDescent="0.25">
      <c r="A4215">
        <v>4214</v>
      </c>
      <c r="B4215">
        <v>94</v>
      </c>
      <c r="C4215">
        <v>31506720</v>
      </c>
      <c r="D4215" t="s">
        <v>124</v>
      </c>
      <c r="E4215">
        <v>58.447000000000003</v>
      </c>
      <c r="F4215" t="s">
        <v>21</v>
      </c>
      <c r="G4215" t="s">
        <v>20</v>
      </c>
      <c r="H4215" t="s">
        <v>21</v>
      </c>
      <c r="I4215" t="s">
        <v>20</v>
      </c>
      <c r="J4215" t="s">
        <v>20</v>
      </c>
      <c r="K4215" t="s">
        <v>31</v>
      </c>
      <c r="L4215" t="s">
        <v>362</v>
      </c>
      <c r="M4215" t="s">
        <v>365</v>
      </c>
      <c r="N4215">
        <v>40.756771000000001</v>
      </c>
      <c r="O4215">
        <v>-111.939054</v>
      </c>
      <c r="P4215">
        <v>4177.6380829999998</v>
      </c>
      <c r="Q4215">
        <v>1368</v>
      </c>
      <c r="R4215">
        <v>0</v>
      </c>
    </row>
    <row r="4216" spans="1:18" x14ac:dyDescent="0.25">
      <c r="A4216">
        <v>4215</v>
      </c>
      <c r="B4216">
        <v>94</v>
      </c>
      <c r="C4216" t="e">
        <f>-JNZAjE2IFeyhDIeNxW10V</f>
        <v>#NAME?</v>
      </c>
      <c r="D4216" t="s">
        <v>319</v>
      </c>
      <c r="E4216">
        <v>58.456000000000003</v>
      </c>
      <c r="F4216" t="s">
        <v>21</v>
      </c>
      <c r="G4216" t="s">
        <v>26</v>
      </c>
      <c r="H4216" t="s">
        <v>21</v>
      </c>
      <c r="I4216" t="s">
        <v>20</v>
      </c>
      <c r="J4216" t="s">
        <v>20</v>
      </c>
      <c r="K4216" t="s">
        <v>27</v>
      </c>
      <c r="L4216" t="s">
        <v>54</v>
      </c>
      <c r="M4216" t="s">
        <v>55</v>
      </c>
      <c r="N4216">
        <v>37.685029999999998</v>
      </c>
      <c r="O4216">
        <v>-113.116445</v>
      </c>
      <c r="P4216">
        <v>5482.122464</v>
      </c>
      <c r="Q4216">
        <v>314</v>
      </c>
      <c r="R4216">
        <v>0</v>
      </c>
    </row>
    <row r="4217" spans="1:18" x14ac:dyDescent="0.25">
      <c r="A4217">
        <v>4216</v>
      </c>
      <c r="B4217">
        <v>94</v>
      </c>
      <c r="C4217">
        <v>28648414</v>
      </c>
      <c r="D4217" t="s">
        <v>142</v>
      </c>
      <c r="E4217">
        <v>58.545000000000002</v>
      </c>
      <c r="F4217" t="s">
        <v>21</v>
      </c>
      <c r="G4217" t="s">
        <v>20</v>
      </c>
      <c r="H4217" t="s">
        <v>21</v>
      </c>
      <c r="I4217" t="s">
        <v>20</v>
      </c>
      <c r="J4217" t="s">
        <v>20</v>
      </c>
      <c r="K4217" t="s">
        <v>27</v>
      </c>
      <c r="L4217" t="s">
        <v>143</v>
      </c>
      <c r="M4217" t="s">
        <v>106</v>
      </c>
      <c r="N4217">
        <v>38.439486000000002</v>
      </c>
      <c r="O4217">
        <v>-113.314674</v>
      </c>
      <c r="P4217">
        <v>5488.3735489999999</v>
      </c>
      <c r="Q4217">
        <v>305</v>
      </c>
      <c r="R4217">
        <v>0</v>
      </c>
    </row>
    <row r="4218" spans="1:18" x14ac:dyDescent="0.25">
      <c r="A4218">
        <v>4217</v>
      </c>
      <c r="B4218">
        <v>94</v>
      </c>
      <c r="C4218">
        <v>31662972</v>
      </c>
      <c r="D4218" t="s">
        <v>244</v>
      </c>
      <c r="E4218">
        <v>58.552</v>
      </c>
      <c r="F4218" t="s">
        <v>21</v>
      </c>
      <c r="G4218" t="s">
        <v>26</v>
      </c>
      <c r="H4218" t="s">
        <v>21</v>
      </c>
      <c r="I4218" t="s">
        <v>20</v>
      </c>
      <c r="J4218" t="s">
        <v>20</v>
      </c>
      <c r="K4218" t="s">
        <v>27</v>
      </c>
      <c r="L4218" t="s">
        <v>266</v>
      </c>
      <c r="M4218" t="s">
        <v>386</v>
      </c>
      <c r="N4218">
        <v>38.353503000000003</v>
      </c>
      <c r="O4218">
        <v>-111.57386200000001</v>
      </c>
      <c r="P4218">
        <v>7034.2777269999997</v>
      </c>
      <c r="Q4218">
        <v>1340</v>
      </c>
      <c r="R4218">
        <v>0</v>
      </c>
    </row>
    <row r="4219" spans="1:18" x14ac:dyDescent="0.25">
      <c r="A4219">
        <v>4218</v>
      </c>
      <c r="B4219">
        <v>94</v>
      </c>
      <c r="C4219">
        <v>31506731</v>
      </c>
      <c r="D4219" t="s">
        <v>124</v>
      </c>
      <c r="E4219">
        <v>58.561</v>
      </c>
      <c r="F4219" t="s">
        <v>19</v>
      </c>
      <c r="G4219" t="s">
        <v>20</v>
      </c>
      <c r="H4219" t="s">
        <v>21</v>
      </c>
      <c r="I4219" t="s">
        <v>20</v>
      </c>
      <c r="J4219" t="s">
        <v>20</v>
      </c>
      <c r="K4219" t="s">
        <v>31</v>
      </c>
      <c r="L4219" t="s">
        <v>362</v>
      </c>
      <c r="M4219" t="s">
        <v>365</v>
      </c>
      <c r="N4219">
        <v>40.758417000000001</v>
      </c>
      <c r="O4219">
        <v>-111.939055</v>
      </c>
      <c r="P4219">
        <v>4177.3907810000001</v>
      </c>
      <c r="Q4219">
        <v>1368</v>
      </c>
      <c r="R4219">
        <v>0</v>
      </c>
    </row>
    <row r="4220" spans="1:18" x14ac:dyDescent="0.25">
      <c r="A4220">
        <v>4219</v>
      </c>
      <c r="B4220">
        <v>94</v>
      </c>
      <c r="C4220">
        <v>31306410</v>
      </c>
      <c r="D4220" t="s">
        <v>316</v>
      </c>
      <c r="E4220">
        <v>58.575000000000003</v>
      </c>
      <c r="F4220" t="s">
        <v>21</v>
      </c>
      <c r="G4220" t="s">
        <v>26</v>
      </c>
      <c r="H4220" t="s">
        <v>21</v>
      </c>
      <c r="I4220" t="s">
        <v>20</v>
      </c>
      <c r="J4220" t="s">
        <v>20</v>
      </c>
      <c r="K4220" t="s">
        <v>22</v>
      </c>
      <c r="L4220" t="s">
        <v>168</v>
      </c>
      <c r="M4220" t="s">
        <v>302</v>
      </c>
      <c r="N4220">
        <v>40.270814000000001</v>
      </c>
      <c r="O4220">
        <v>-110.439746</v>
      </c>
      <c r="P4220">
        <v>5791.7898379999997</v>
      </c>
      <c r="Q4220">
        <v>1346</v>
      </c>
      <c r="R4220">
        <v>0</v>
      </c>
    </row>
    <row r="4221" spans="1:18" x14ac:dyDescent="0.25">
      <c r="A4221">
        <v>4220</v>
      </c>
      <c r="B4221">
        <v>94</v>
      </c>
      <c r="C4221">
        <v>31584455</v>
      </c>
      <c r="D4221" t="s">
        <v>172</v>
      </c>
      <c r="E4221">
        <v>58.578000000000003</v>
      </c>
      <c r="F4221" t="s">
        <v>21</v>
      </c>
      <c r="G4221" t="s">
        <v>26</v>
      </c>
      <c r="H4221" t="s">
        <v>21</v>
      </c>
      <c r="I4221" t="s">
        <v>20</v>
      </c>
      <c r="J4221" t="s">
        <v>20</v>
      </c>
      <c r="K4221" t="s">
        <v>27</v>
      </c>
      <c r="L4221" t="s">
        <v>230</v>
      </c>
      <c r="M4221" t="s">
        <v>174</v>
      </c>
      <c r="N4221">
        <v>39.486769000000002</v>
      </c>
      <c r="O4221">
        <v>-111.563057</v>
      </c>
      <c r="P4221">
        <v>5469.6088369999998</v>
      </c>
      <c r="Q4221">
        <v>1411</v>
      </c>
      <c r="R4221">
        <v>0</v>
      </c>
    </row>
    <row r="4222" spans="1:18" x14ac:dyDescent="0.25">
      <c r="A4222">
        <v>4221</v>
      </c>
      <c r="B4222">
        <v>94</v>
      </c>
      <c r="C4222" t="e">
        <f>-JXSCYD0FWucUn2RpdvLEF</f>
        <v>#NAME?</v>
      </c>
      <c r="D4222" t="s">
        <v>220</v>
      </c>
      <c r="E4222">
        <v>58.634</v>
      </c>
      <c r="F4222" t="s">
        <v>21</v>
      </c>
      <c r="G4222" t="s">
        <v>26</v>
      </c>
      <c r="H4222" t="s">
        <v>21</v>
      </c>
      <c r="I4222" t="s">
        <v>20</v>
      </c>
      <c r="J4222" t="s">
        <v>20</v>
      </c>
      <c r="K4222" t="s">
        <v>27</v>
      </c>
      <c r="L4222" t="s">
        <v>28</v>
      </c>
      <c r="M4222" t="s">
        <v>366</v>
      </c>
      <c r="N4222">
        <v>37.773454000000001</v>
      </c>
      <c r="O4222">
        <v>-111.614907</v>
      </c>
      <c r="P4222">
        <v>5826.3503920000003</v>
      </c>
      <c r="Q4222">
        <v>1328</v>
      </c>
      <c r="R4222">
        <v>0</v>
      </c>
    </row>
    <row r="4223" spans="1:18" x14ac:dyDescent="0.25">
      <c r="A4223">
        <v>4222</v>
      </c>
      <c r="B4223">
        <v>94</v>
      </c>
      <c r="C4223">
        <v>31388575</v>
      </c>
      <c r="D4223" t="s">
        <v>184</v>
      </c>
      <c r="E4223">
        <v>6.0730000000000004</v>
      </c>
      <c r="F4223" t="s">
        <v>19</v>
      </c>
      <c r="G4223" t="s">
        <v>20</v>
      </c>
      <c r="H4223" t="s">
        <v>21</v>
      </c>
      <c r="I4223" t="s">
        <v>20</v>
      </c>
      <c r="J4223" t="s">
        <v>20</v>
      </c>
      <c r="K4223" t="s">
        <v>27</v>
      </c>
      <c r="L4223" t="s">
        <v>54</v>
      </c>
      <c r="M4223" t="s">
        <v>55</v>
      </c>
      <c r="N4223">
        <v>37.727435</v>
      </c>
      <c r="O4223">
        <v>-113.0513</v>
      </c>
      <c r="P4223">
        <v>5688.8081309999998</v>
      </c>
      <c r="Q4223">
        <v>1410</v>
      </c>
      <c r="R4223">
        <v>0</v>
      </c>
    </row>
    <row r="4224" spans="1:18" x14ac:dyDescent="0.25">
      <c r="A4224">
        <v>4223</v>
      </c>
      <c r="B4224">
        <v>94</v>
      </c>
      <c r="C4224">
        <v>28000399</v>
      </c>
      <c r="D4224" t="s">
        <v>346</v>
      </c>
      <c r="E4224">
        <v>6.0759999999999996</v>
      </c>
      <c r="F4224" t="s">
        <v>21</v>
      </c>
      <c r="G4224" t="s">
        <v>26</v>
      </c>
      <c r="H4224" t="s">
        <v>21</v>
      </c>
      <c r="I4224" t="s">
        <v>20</v>
      </c>
      <c r="J4224" t="s">
        <v>20</v>
      </c>
      <c r="K4224" t="s">
        <v>27</v>
      </c>
      <c r="L4224" t="s">
        <v>307</v>
      </c>
      <c r="M4224" t="s">
        <v>159</v>
      </c>
      <c r="N4224">
        <v>39.727435</v>
      </c>
      <c r="O4224">
        <v>-111.16022700000001</v>
      </c>
      <c r="P4224">
        <v>7634.3004250000004</v>
      </c>
      <c r="Q4224">
        <v>1389</v>
      </c>
      <c r="R4224">
        <v>0</v>
      </c>
    </row>
    <row r="4225" spans="1:18" x14ac:dyDescent="0.25">
      <c r="A4225">
        <v>4224</v>
      </c>
      <c r="B4225">
        <v>94</v>
      </c>
      <c r="C4225">
        <v>576937</v>
      </c>
      <c r="D4225" t="s">
        <v>115</v>
      </c>
      <c r="E4225">
        <v>8.7759999999999998</v>
      </c>
      <c r="F4225" t="s">
        <v>19</v>
      </c>
      <c r="G4225" t="s">
        <v>20</v>
      </c>
      <c r="H4225" t="s">
        <v>21</v>
      </c>
      <c r="I4225" t="s">
        <v>20</v>
      </c>
      <c r="J4225" t="s">
        <v>20</v>
      </c>
      <c r="K4225" t="s">
        <v>31</v>
      </c>
      <c r="L4225" t="s">
        <v>69</v>
      </c>
      <c r="M4225" t="s">
        <v>70</v>
      </c>
      <c r="N4225">
        <v>40.653745000000001</v>
      </c>
      <c r="O4225">
        <v>-111.910302</v>
      </c>
      <c r="P4225">
        <v>4240.2478309999997</v>
      </c>
      <c r="Q4225">
        <v>1437</v>
      </c>
      <c r="R4225">
        <v>0</v>
      </c>
    </row>
    <row r="4226" spans="1:18" x14ac:dyDescent="0.25">
      <c r="A4226">
        <v>4225</v>
      </c>
      <c r="B4226">
        <v>94</v>
      </c>
      <c r="C4226" t="s">
        <v>654</v>
      </c>
      <c r="D4226" t="s">
        <v>129</v>
      </c>
      <c r="E4226">
        <v>8.7769999999999992</v>
      </c>
      <c r="F4226" t="s">
        <v>21</v>
      </c>
      <c r="G4226" t="s">
        <v>20</v>
      </c>
      <c r="H4226" t="s">
        <v>21</v>
      </c>
      <c r="I4226" t="s">
        <v>20</v>
      </c>
      <c r="J4226" t="s">
        <v>20</v>
      </c>
      <c r="K4226" t="s">
        <v>31</v>
      </c>
      <c r="L4226" t="s">
        <v>130</v>
      </c>
      <c r="M4226" t="s">
        <v>131</v>
      </c>
      <c r="N4226">
        <v>40.622252000000003</v>
      </c>
      <c r="O4226">
        <v>-111.138133</v>
      </c>
      <c r="P4226">
        <v>7351.222839</v>
      </c>
      <c r="Q4226">
        <v>340</v>
      </c>
      <c r="R4226">
        <v>0</v>
      </c>
    </row>
    <row r="4227" spans="1:18" x14ac:dyDescent="0.25">
      <c r="A4227">
        <v>4226</v>
      </c>
      <c r="B4227">
        <v>94</v>
      </c>
      <c r="C4227" t="e">
        <f>-JLQ8Qr0IMeTLakCbKYKzF</f>
        <v>#NAME?</v>
      </c>
      <c r="D4227" t="s">
        <v>77</v>
      </c>
      <c r="E4227">
        <v>8.7789999999999999</v>
      </c>
      <c r="F4227" t="s">
        <v>21</v>
      </c>
      <c r="G4227" t="s">
        <v>26</v>
      </c>
      <c r="H4227" t="s">
        <v>21</v>
      </c>
      <c r="I4227" t="s">
        <v>20</v>
      </c>
      <c r="J4227" t="s">
        <v>20</v>
      </c>
      <c r="K4227" t="s">
        <v>31</v>
      </c>
      <c r="L4227" t="s">
        <v>78</v>
      </c>
      <c r="M4227" t="s">
        <v>79</v>
      </c>
      <c r="N4227">
        <v>40.765822999999997</v>
      </c>
      <c r="O4227">
        <v>-112.025025</v>
      </c>
      <c r="P4227">
        <v>4186.6284290000003</v>
      </c>
      <c r="Q4227">
        <v>1436</v>
      </c>
      <c r="R4227">
        <v>0</v>
      </c>
    </row>
    <row r="4228" spans="1:18" x14ac:dyDescent="0.25">
      <c r="A4228">
        <v>4227</v>
      </c>
      <c r="B4228">
        <v>94</v>
      </c>
      <c r="C4228" t="e">
        <f>-Ip5P3vrGc5PA5PcLc9iRF</f>
        <v>#NAME?</v>
      </c>
      <c r="D4228" t="s">
        <v>208</v>
      </c>
      <c r="E4228">
        <v>8.7799999999999994</v>
      </c>
      <c r="F4228" t="s">
        <v>19</v>
      </c>
      <c r="G4228" t="s">
        <v>20</v>
      </c>
      <c r="H4228" t="s">
        <v>21</v>
      </c>
      <c r="I4228" t="s">
        <v>20</v>
      </c>
      <c r="J4228" t="s">
        <v>20</v>
      </c>
      <c r="K4228" t="s">
        <v>31</v>
      </c>
      <c r="L4228" t="s">
        <v>209</v>
      </c>
      <c r="M4228" t="s">
        <v>131</v>
      </c>
      <c r="N4228">
        <v>40.687682000000002</v>
      </c>
      <c r="O4228">
        <v>-111.544105</v>
      </c>
      <c r="P4228">
        <v>6640.9313979999997</v>
      </c>
      <c r="Q4228">
        <v>357</v>
      </c>
      <c r="R4228">
        <v>0</v>
      </c>
    </row>
    <row r="4229" spans="1:18" x14ac:dyDescent="0.25">
      <c r="A4229">
        <v>4228</v>
      </c>
      <c r="B4229">
        <v>94</v>
      </c>
      <c r="C4229">
        <v>780180</v>
      </c>
      <c r="D4229" t="s">
        <v>236</v>
      </c>
      <c r="E4229">
        <v>8.7959999999999994</v>
      </c>
      <c r="F4229" t="s">
        <v>21</v>
      </c>
      <c r="G4229" t="s">
        <v>26</v>
      </c>
      <c r="H4229" t="s">
        <v>21</v>
      </c>
      <c r="I4229" t="s">
        <v>20</v>
      </c>
      <c r="J4229" t="s">
        <v>20</v>
      </c>
      <c r="K4229" t="s">
        <v>31</v>
      </c>
      <c r="L4229" t="s">
        <v>78</v>
      </c>
      <c r="M4229" t="s">
        <v>79</v>
      </c>
      <c r="N4229">
        <v>40.692025000000001</v>
      </c>
      <c r="O4229">
        <v>-112.09182199999999</v>
      </c>
      <c r="P4229">
        <v>4399.2676229999997</v>
      </c>
      <c r="Q4229">
        <v>1398</v>
      </c>
      <c r="R4229">
        <v>0</v>
      </c>
    </row>
    <row r="4230" spans="1:18" x14ac:dyDescent="0.25">
      <c r="A4230">
        <v>4229</v>
      </c>
      <c r="B4230">
        <v>94</v>
      </c>
      <c r="C4230">
        <v>31403845</v>
      </c>
      <c r="D4230" t="s">
        <v>309</v>
      </c>
      <c r="E4230">
        <v>8.8089999999999993</v>
      </c>
      <c r="F4230" t="s">
        <v>21</v>
      </c>
      <c r="G4230" t="s">
        <v>20</v>
      </c>
      <c r="H4230" t="s">
        <v>21</v>
      </c>
      <c r="I4230" t="s">
        <v>20</v>
      </c>
      <c r="J4230" t="s">
        <v>20</v>
      </c>
      <c r="K4230" t="s">
        <v>22</v>
      </c>
      <c r="L4230" t="s">
        <v>140</v>
      </c>
      <c r="M4230" t="s">
        <v>125</v>
      </c>
      <c r="N4230">
        <v>40.114722</v>
      </c>
      <c r="O4230">
        <v>-111.71686200000001</v>
      </c>
      <c r="P4230">
        <v>4475.6567850000001</v>
      </c>
      <c r="Q4230">
        <v>339</v>
      </c>
      <c r="R4230">
        <v>0</v>
      </c>
    </row>
    <row r="4231" spans="1:18" x14ac:dyDescent="0.25">
      <c r="A4231">
        <v>4230</v>
      </c>
      <c r="B4231">
        <v>94</v>
      </c>
      <c r="C4231">
        <v>27600966</v>
      </c>
      <c r="D4231" t="s">
        <v>110</v>
      </c>
      <c r="E4231">
        <v>8.8109999999999999</v>
      </c>
      <c r="F4231" t="s">
        <v>21</v>
      </c>
      <c r="G4231" t="s">
        <v>26</v>
      </c>
      <c r="H4231" t="s">
        <v>21</v>
      </c>
      <c r="I4231" t="s">
        <v>20</v>
      </c>
      <c r="J4231" t="s">
        <v>20</v>
      </c>
      <c r="K4231" t="s">
        <v>27</v>
      </c>
      <c r="L4231" t="s">
        <v>111</v>
      </c>
      <c r="M4231" t="s">
        <v>112</v>
      </c>
      <c r="N4231">
        <v>39.283751000000002</v>
      </c>
      <c r="O4231">
        <v>-111.105132</v>
      </c>
      <c r="P4231">
        <v>6381.9716179999996</v>
      </c>
      <c r="Q4231">
        <v>1361</v>
      </c>
      <c r="R4231">
        <v>0</v>
      </c>
    </row>
    <row r="4232" spans="1:18" x14ac:dyDescent="0.25">
      <c r="A4232">
        <v>4231</v>
      </c>
      <c r="B4232">
        <v>94</v>
      </c>
      <c r="C4232">
        <v>28002015</v>
      </c>
      <c r="D4232" t="s">
        <v>346</v>
      </c>
      <c r="E4232">
        <v>8.8149999999999995</v>
      </c>
      <c r="F4232" t="s">
        <v>21</v>
      </c>
      <c r="G4232" t="s">
        <v>20</v>
      </c>
      <c r="H4232" t="s">
        <v>21</v>
      </c>
      <c r="I4232" t="s">
        <v>20</v>
      </c>
      <c r="J4232" t="s">
        <v>20</v>
      </c>
      <c r="K4232" t="s">
        <v>27</v>
      </c>
      <c r="L4232" t="s">
        <v>307</v>
      </c>
      <c r="M4232" t="s">
        <v>159</v>
      </c>
      <c r="N4232">
        <v>39.762726999999998</v>
      </c>
      <c r="O4232">
        <v>-111.142939</v>
      </c>
      <c r="P4232">
        <v>7589.1067270000003</v>
      </c>
      <c r="Q4232">
        <v>1389</v>
      </c>
      <c r="R4232">
        <v>0</v>
      </c>
    </row>
    <row r="4233" spans="1:18" x14ac:dyDescent="0.25">
      <c r="A4233">
        <v>4232</v>
      </c>
      <c r="B4233">
        <v>94</v>
      </c>
      <c r="C4233">
        <v>31367383</v>
      </c>
      <c r="D4233" t="s">
        <v>229</v>
      </c>
      <c r="E4233">
        <v>8.8190000000000008</v>
      </c>
      <c r="F4233" t="s">
        <v>21</v>
      </c>
      <c r="G4233" t="s">
        <v>26</v>
      </c>
      <c r="H4233" t="s">
        <v>21</v>
      </c>
      <c r="I4233" t="s">
        <v>20</v>
      </c>
      <c r="J4233" t="s">
        <v>20</v>
      </c>
      <c r="K4233" t="s">
        <v>27</v>
      </c>
      <c r="L4233" t="s">
        <v>230</v>
      </c>
      <c r="M4233" t="s">
        <v>82</v>
      </c>
      <c r="N4233">
        <v>39.486369000000003</v>
      </c>
      <c r="O4233">
        <v>-111.496075</v>
      </c>
      <c r="P4233">
        <v>5746.4005239999997</v>
      </c>
      <c r="Q4233">
        <v>331</v>
      </c>
      <c r="R4233">
        <v>0</v>
      </c>
    </row>
    <row r="4234" spans="1:18" x14ac:dyDescent="0.25">
      <c r="A4234">
        <v>4233</v>
      </c>
      <c r="B4234">
        <v>94</v>
      </c>
      <c r="C4234">
        <v>31633627</v>
      </c>
      <c r="D4234" t="s">
        <v>227</v>
      </c>
      <c r="E4234">
        <v>8.8290000000000006</v>
      </c>
      <c r="F4234" t="s">
        <v>21</v>
      </c>
      <c r="G4234" t="s">
        <v>26</v>
      </c>
      <c r="H4234" t="s">
        <v>21</v>
      </c>
      <c r="I4234" t="s">
        <v>20</v>
      </c>
      <c r="J4234" t="s">
        <v>20</v>
      </c>
      <c r="K4234" t="s">
        <v>27</v>
      </c>
      <c r="L4234" t="s">
        <v>158</v>
      </c>
      <c r="M4234" t="s">
        <v>190</v>
      </c>
      <c r="N4234">
        <v>39.543647999999997</v>
      </c>
      <c r="O4234">
        <v>-110.412083</v>
      </c>
      <c r="P4234">
        <v>6270.9088039999997</v>
      </c>
      <c r="Q4234">
        <v>1407</v>
      </c>
      <c r="R4234">
        <v>0</v>
      </c>
    </row>
    <row r="4235" spans="1:18" x14ac:dyDescent="0.25">
      <c r="A4235">
        <v>4234</v>
      </c>
      <c r="B4235">
        <v>94</v>
      </c>
      <c r="C4235">
        <v>780194</v>
      </c>
      <c r="D4235" t="s">
        <v>236</v>
      </c>
      <c r="E4235">
        <v>8.8320000000000007</v>
      </c>
      <c r="F4235" t="s">
        <v>21</v>
      </c>
      <c r="G4235" t="s">
        <v>26</v>
      </c>
      <c r="H4235" t="s">
        <v>21</v>
      </c>
      <c r="I4235" t="s">
        <v>20</v>
      </c>
      <c r="J4235" t="s">
        <v>20</v>
      </c>
      <c r="K4235" t="s">
        <v>31</v>
      </c>
      <c r="L4235" t="s">
        <v>78</v>
      </c>
      <c r="M4235" t="s">
        <v>79</v>
      </c>
      <c r="N4235">
        <v>40.692557000000001</v>
      </c>
      <c r="O4235">
        <v>-112.091821</v>
      </c>
      <c r="P4235">
        <v>4394.1267980000002</v>
      </c>
      <c r="Q4235">
        <v>1398</v>
      </c>
      <c r="R4235">
        <v>0</v>
      </c>
    </row>
    <row r="4236" spans="1:18" x14ac:dyDescent="0.25">
      <c r="A4236">
        <v>4235</v>
      </c>
      <c r="B4236">
        <v>94</v>
      </c>
      <c r="C4236">
        <v>1385600</v>
      </c>
      <c r="D4236" t="s">
        <v>100</v>
      </c>
      <c r="E4236">
        <v>8.8360000000000003</v>
      </c>
      <c r="F4236" t="s">
        <v>21</v>
      </c>
      <c r="G4236" t="s">
        <v>26</v>
      </c>
      <c r="H4236" t="s">
        <v>21</v>
      </c>
      <c r="I4236" t="s">
        <v>20</v>
      </c>
      <c r="J4236" t="s">
        <v>20</v>
      </c>
      <c r="K4236" t="s">
        <v>41</v>
      </c>
      <c r="L4236" t="s">
        <v>57</v>
      </c>
      <c r="M4236" t="s">
        <v>46</v>
      </c>
      <c r="N4236">
        <v>41.159084</v>
      </c>
      <c r="O4236">
        <v>-112.06448</v>
      </c>
      <c r="P4236">
        <v>4251.3110429999997</v>
      </c>
      <c r="Q4236">
        <v>1396</v>
      </c>
      <c r="R4236">
        <v>0</v>
      </c>
    </row>
    <row r="4237" spans="1:18" x14ac:dyDescent="0.25">
      <c r="A4237">
        <v>4236</v>
      </c>
      <c r="B4237">
        <v>94</v>
      </c>
      <c r="C4237" t="e">
        <f>-Ip-AsBuIKuXP_1X8R0sIV</f>
        <v>#NAME?</v>
      </c>
      <c r="D4237" t="s">
        <v>203</v>
      </c>
      <c r="E4237">
        <v>51.65</v>
      </c>
      <c r="F4237" t="s">
        <v>21</v>
      </c>
      <c r="G4237" t="s">
        <v>20</v>
      </c>
      <c r="H4237" t="s">
        <v>21</v>
      </c>
      <c r="I4237" t="s">
        <v>20</v>
      </c>
      <c r="J4237" t="s">
        <v>20</v>
      </c>
      <c r="K4237" t="s">
        <v>41</v>
      </c>
      <c r="L4237" t="s">
        <v>325</v>
      </c>
      <c r="M4237" t="s">
        <v>204</v>
      </c>
      <c r="N4237">
        <v>41.475079000000001</v>
      </c>
      <c r="O4237">
        <v>-111.438433</v>
      </c>
      <c r="P4237">
        <v>8030.7509730000002</v>
      </c>
      <c r="Q4237">
        <v>1349</v>
      </c>
      <c r="R4237">
        <v>0</v>
      </c>
    </row>
    <row r="4238" spans="1:18" x14ac:dyDescent="0.25">
      <c r="A4238">
        <v>4237</v>
      </c>
      <c r="B4238">
        <v>94</v>
      </c>
      <c r="C4238">
        <v>31629989</v>
      </c>
      <c r="D4238" t="s">
        <v>244</v>
      </c>
      <c r="E4238">
        <v>51.658999999999999</v>
      </c>
      <c r="F4238" t="s">
        <v>21</v>
      </c>
      <c r="G4238" t="s">
        <v>26</v>
      </c>
      <c r="H4238" t="s">
        <v>21</v>
      </c>
      <c r="I4238" t="s">
        <v>20</v>
      </c>
      <c r="J4238" t="s">
        <v>20</v>
      </c>
      <c r="K4238" t="s">
        <v>27</v>
      </c>
      <c r="L4238" t="s">
        <v>266</v>
      </c>
      <c r="M4238" t="s">
        <v>386</v>
      </c>
      <c r="N4238">
        <v>38.409695999999997</v>
      </c>
      <c r="O4238">
        <v>-111.642809</v>
      </c>
      <c r="P4238">
        <v>7028.9716429999999</v>
      </c>
      <c r="Q4238">
        <v>1340</v>
      </c>
      <c r="R4238">
        <v>0</v>
      </c>
    </row>
    <row r="4239" spans="1:18" x14ac:dyDescent="0.25">
      <c r="A4239">
        <v>4238</v>
      </c>
      <c r="B4239">
        <v>94</v>
      </c>
      <c r="C4239">
        <v>31814472</v>
      </c>
      <c r="D4239" t="s">
        <v>272</v>
      </c>
      <c r="E4239">
        <v>51.66</v>
      </c>
      <c r="F4239" t="s">
        <v>21</v>
      </c>
      <c r="G4239" t="s">
        <v>26</v>
      </c>
      <c r="H4239" t="s">
        <v>21</v>
      </c>
      <c r="I4239" t="s">
        <v>20</v>
      </c>
      <c r="J4239" t="s">
        <v>20</v>
      </c>
      <c r="K4239" t="s">
        <v>27</v>
      </c>
      <c r="L4239" t="s">
        <v>259</v>
      </c>
      <c r="M4239" t="s">
        <v>214</v>
      </c>
      <c r="N4239">
        <v>37.038742999999997</v>
      </c>
      <c r="O4239">
        <v>-112.313214</v>
      </c>
      <c r="P4239">
        <v>5141.9838090000003</v>
      </c>
      <c r="Q4239">
        <v>1384</v>
      </c>
      <c r="R4239">
        <v>0</v>
      </c>
    </row>
    <row r="4240" spans="1:18" x14ac:dyDescent="0.25">
      <c r="A4240">
        <v>4239</v>
      </c>
      <c r="B4240">
        <v>94</v>
      </c>
      <c r="C4240">
        <v>31630000</v>
      </c>
      <c r="D4240" t="s">
        <v>244</v>
      </c>
      <c r="E4240">
        <v>51.787999999999997</v>
      </c>
      <c r="F4240" t="s">
        <v>21</v>
      </c>
      <c r="G4240" t="s">
        <v>26</v>
      </c>
      <c r="H4240" t="s">
        <v>21</v>
      </c>
      <c r="I4240" t="s">
        <v>20</v>
      </c>
      <c r="J4240" t="s">
        <v>20</v>
      </c>
      <c r="K4240" t="s">
        <v>27</v>
      </c>
      <c r="L4240" t="s">
        <v>266</v>
      </c>
      <c r="M4240" t="s">
        <v>386</v>
      </c>
      <c r="N4240">
        <v>38.407828000000002</v>
      </c>
      <c r="O4240">
        <v>-111.64281099999999</v>
      </c>
      <c r="P4240">
        <v>7014.7186170000004</v>
      </c>
      <c r="Q4240">
        <v>1340</v>
      </c>
      <c r="R4240">
        <v>0</v>
      </c>
    </row>
    <row r="4241" spans="1:18" x14ac:dyDescent="0.25">
      <c r="A4241">
        <v>4240</v>
      </c>
      <c r="B4241">
        <v>94</v>
      </c>
      <c r="C4241">
        <v>31493492</v>
      </c>
      <c r="D4241" t="s">
        <v>124</v>
      </c>
      <c r="E4241">
        <v>51.807000000000002</v>
      </c>
      <c r="F4241" t="s">
        <v>21</v>
      </c>
      <c r="G4241" t="s">
        <v>26</v>
      </c>
      <c r="H4241" t="s">
        <v>21</v>
      </c>
      <c r="I4241" t="s">
        <v>20</v>
      </c>
      <c r="J4241" t="s">
        <v>20</v>
      </c>
      <c r="K4241" t="s">
        <v>31</v>
      </c>
      <c r="L4241" t="s">
        <v>69</v>
      </c>
      <c r="M4241" t="s">
        <v>125</v>
      </c>
      <c r="N4241">
        <v>40.660302000000001</v>
      </c>
      <c r="O4241">
        <v>-111.938846</v>
      </c>
      <c r="P4241">
        <v>4251.7341280000001</v>
      </c>
      <c r="Q4241">
        <v>1368</v>
      </c>
      <c r="R4241">
        <v>0</v>
      </c>
    </row>
    <row r="4242" spans="1:18" x14ac:dyDescent="0.25">
      <c r="A4242">
        <v>4241</v>
      </c>
      <c r="B4242">
        <v>94</v>
      </c>
      <c r="C4242">
        <v>31630111</v>
      </c>
      <c r="D4242" t="s">
        <v>244</v>
      </c>
      <c r="E4242">
        <v>51.945999999999998</v>
      </c>
      <c r="F4242" t="s">
        <v>21</v>
      </c>
      <c r="G4242" t="s">
        <v>26</v>
      </c>
      <c r="H4242" t="s">
        <v>21</v>
      </c>
      <c r="I4242" t="s">
        <v>20</v>
      </c>
      <c r="J4242" t="s">
        <v>20</v>
      </c>
      <c r="K4242" t="s">
        <v>27</v>
      </c>
      <c r="L4242" t="s">
        <v>266</v>
      </c>
      <c r="M4242" t="s">
        <v>386</v>
      </c>
      <c r="N4242">
        <v>38.405534000000003</v>
      </c>
      <c r="O4242">
        <v>-111.642809</v>
      </c>
      <c r="P4242">
        <v>7007.4628759999996</v>
      </c>
      <c r="Q4242">
        <v>1340</v>
      </c>
      <c r="R4242">
        <v>0</v>
      </c>
    </row>
    <row r="4243" spans="1:18" x14ac:dyDescent="0.25">
      <c r="A4243">
        <v>4242</v>
      </c>
      <c r="B4243">
        <v>94</v>
      </c>
      <c r="C4243">
        <v>31506002</v>
      </c>
      <c r="D4243" t="s">
        <v>129</v>
      </c>
      <c r="E4243">
        <v>51.978000000000002</v>
      </c>
      <c r="F4243" t="s">
        <v>21</v>
      </c>
      <c r="G4243" t="s">
        <v>20</v>
      </c>
      <c r="H4243" t="s">
        <v>21</v>
      </c>
      <c r="I4243" t="s">
        <v>20</v>
      </c>
      <c r="J4243" t="s">
        <v>20</v>
      </c>
      <c r="K4243" t="s">
        <v>31</v>
      </c>
      <c r="L4243" t="s">
        <v>130</v>
      </c>
      <c r="M4243" t="s">
        <v>328</v>
      </c>
      <c r="N4243">
        <v>40.960191999999999</v>
      </c>
      <c r="O4243">
        <v>-110.844627</v>
      </c>
      <c r="P4243">
        <v>8014.0968300000004</v>
      </c>
      <c r="Q4243">
        <v>340</v>
      </c>
      <c r="R4243">
        <v>0</v>
      </c>
    </row>
    <row r="4244" spans="1:18" x14ac:dyDescent="0.25">
      <c r="A4244">
        <v>4243</v>
      </c>
      <c r="B4244">
        <v>94</v>
      </c>
      <c r="C4244">
        <v>1044737</v>
      </c>
      <c r="D4244" t="s">
        <v>171</v>
      </c>
      <c r="E4244">
        <v>9.0709999999999997</v>
      </c>
      <c r="F4244" t="s">
        <v>21</v>
      </c>
      <c r="G4244" t="s">
        <v>26</v>
      </c>
      <c r="H4244" t="s">
        <v>21</v>
      </c>
      <c r="I4244" t="s">
        <v>20</v>
      </c>
      <c r="J4244" t="s">
        <v>20</v>
      </c>
      <c r="K4244" t="s">
        <v>31</v>
      </c>
      <c r="L4244" t="s">
        <v>362</v>
      </c>
      <c r="M4244" t="s">
        <v>79</v>
      </c>
      <c r="N4244">
        <v>40.699418000000001</v>
      </c>
      <c r="O4244">
        <v>-111.91982400000001</v>
      </c>
      <c r="P4244">
        <v>4182.4947160000002</v>
      </c>
      <c r="Q4244">
        <v>346</v>
      </c>
      <c r="R4244">
        <v>0</v>
      </c>
    </row>
    <row r="4245" spans="1:18" x14ac:dyDescent="0.25">
      <c r="A4245">
        <v>4244</v>
      </c>
      <c r="B4245">
        <v>94</v>
      </c>
      <c r="C4245">
        <v>31266060</v>
      </c>
      <c r="D4245" t="s">
        <v>303</v>
      </c>
      <c r="E4245">
        <v>9.0909999999999993</v>
      </c>
      <c r="F4245" t="s">
        <v>19</v>
      </c>
      <c r="G4245" t="s">
        <v>20</v>
      </c>
      <c r="H4245" t="s">
        <v>21</v>
      </c>
      <c r="I4245" t="s">
        <v>20</v>
      </c>
      <c r="J4245" t="s">
        <v>20</v>
      </c>
      <c r="K4245" t="s">
        <v>27</v>
      </c>
      <c r="L4245" t="s">
        <v>72</v>
      </c>
      <c r="M4245" t="s">
        <v>73</v>
      </c>
      <c r="N4245">
        <v>37.176515000000002</v>
      </c>
      <c r="O4245">
        <v>-113.30056</v>
      </c>
      <c r="P4245">
        <v>3148.5777899999998</v>
      </c>
      <c r="Q4245">
        <v>1326</v>
      </c>
      <c r="R4245">
        <v>0</v>
      </c>
    </row>
    <row r="4246" spans="1:18" x14ac:dyDescent="0.25">
      <c r="A4246">
        <v>4245</v>
      </c>
      <c r="B4246">
        <v>94</v>
      </c>
      <c r="C4246">
        <v>31193249</v>
      </c>
      <c r="D4246" t="s">
        <v>309</v>
      </c>
      <c r="E4246">
        <v>9.093</v>
      </c>
      <c r="F4246" t="s">
        <v>21</v>
      </c>
      <c r="G4246" t="s">
        <v>26</v>
      </c>
      <c r="H4246" t="s">
        <v>21</v>
      </c>
      <c r="I4246" t="s">
        <v>20</v>
      </c>
      <c r="J4246" t="s">
        <v>20</v>
      </c>
      <c r="K4246" t="s">
        <v>22</v>
      </c>
      <c r="L4246" t="s">
        <v>140</v>
      </c>
      <c r="M4246" t="s">
        <v>125</v>
      </c>
      <c r="N4246">
        <v>40.114756</v>
      </c>
      <c r="O4246">
        <v>-111.711505</v>
      </c>
      <c r="P4246">
        <v>4481.2251580000002</v>
      </c>
      <c r="Q4246">
        <v>339</v>
      </c>
      <c r="R4246">
        <v>0</v>
      </c>
    </row>
    <row r="4247" spans="1:18" x14ac:dyDescent="0.25">
      <c r="A4247">
        <v>4246</v>
      </c>
      <c r="B4247">
        <v>94</v>
      </c>
      <c r="C4247" t="e">
        <f>-JNJMqV9F-u6WvkgQBqbSk</f>
        <v>#NAME?</v>
      </c>
      <c r="D4247" t="s">
        <v>65</v>
      </c>
      <c r="E4247">
        <v>7.83</v>
      </c>
      <c r="F4247" t="s">
        <v>21</v>
      </c>
      <c r="G4247" t="s">
        <v>26</v>
      </c>
      <c r="H4247" t="s">
        <v>21</v>
      </c>
      <c r="I4247" t="s">
        <v>20</v>
      </c>
      <c r="J4247" t="s">
        <v>20</v>
      </c>
      <c r="K4247" t="s">
        <v>31</v>
      </c>
      <c r="L4247" t="s">
        <v>188</v>
      </c>
      <c r="M4247" t="s">
        <v>67</v>
      </c>
      <c r="N4247">
        <v>40.727812</v>
      </c>
      <c r="O4247">
        <v>-111.81618899999999</v>
      </c>
      <c r="P4247">
        <v>4703.3516630000004</v>
      </c>
      <c r="Q4247">
        <v>402</v>
      </c>
      <c r="R4247">
        <v>0</v>
      </c>
    </row>
    <row r="4248" spans="1:18" x14ac:dyDescent="0.25">
      <c r="A4248">
        <v>4247</v>
      </c>
      <c r="B4248">
        <v>94</v>
      </c>
      <c r="C4248">
        <v>31524720</v>
      </c>
      <c r="D4248" t="s">
        <v>231</v>
      </c>
      <c r="E4248">
        <v>7.8410000000000002</v>
      </c>
      <c r="F4248" t="s">
        <v>21</v>
      </c>
      <c r="G4248" t="s">
        <v>26</v>
      </c>
      <c r="H4248" t="s">
        <v>21</v>
      </c>
      <c r="I4248" t="s">
        <v>20</v>
      </c>
      <c r="J4248" t="s">
        <v>20</v>
      </c>
      <c r="K4248" t="s">
        <v>41</v>
      </c>
      <c r="L4248" t="s">
        <v>57</v>
      </c>
      <c r="M4248" t="s">
        <v>93</v>
      </c>
      <c r="N4248">
        <v>41.148637999999998</v>
      </c>
      <c r="O4248">
        <v>-112.02606</v>
      </c>
      <c r="P4248">
        <v>4496.055155</v>
      </c>
      <c r="Q4248">
        <v>1409</v>
      </c>
      <c r="R4248">
        <v>0</v>
      </c>
    </row>
    <row r="4249" spans="1:18" x14ac:dyDescent="0.25">
      <c r="A4249">
        <v>4248</v>
      </c>
      <c r="B4249">
        <v>94</v>
      </c>
      <c r="C4249">
        <v>31195064</v>
      </c>
      <c r="D4249" t="s">
        <v>126</v>
      </c>
      <c r="E4249">
        <v>7.8470000000000004</v>
      </c>
      <c r="F4249" t="s">
        <v>21</v>
      </c>
      <c r="G4249" t="s">
        <v>26</v>
      </c>
      <c r="H4249" t="s">
        <v>21</v>
      </c>
      <c r="I4249" t="s">
        <v>20</v>
      </c>
      <c r="J4249" t="s">
        <v>20</v>
      </c>
      <c r="K4249" t="s">
        <v>41</v>
      </c>
      <c r="L4249" t="s">
        <v>57</v>
      </c>
      <c r="M4249" t="s">
        <v>93</v>
      </c>
      <c r="N4249">
        <v>41.299334000000002</v>
      </c>
      <c r="O4249">
        <v>-112.08456</v>
      </c>
      <c r="P4249">
        <v>4186.4989919999998</v>
      </c>
      <c r="Q4249">
        <v>1412</v>
      </c>
      <c r="R4249">
        <v>0</v>
      </c>
    </row>
    <row r="4250" spans="1:18" x14ac:dyDescent="0.25">
      <c r="A4250">
        <v>4249</v>
      </c>
      <c r="B4250">
        <v>94</v>
      </c>
      <c r="C4250">
        <v>31584518</v>
      </c>
      <c r="D4250" t="s">
        <v>409</v>
      </c>
      <c r="E4250">
        <v>7.8479999999999999</v>
      </c>
      <c r="F4250" t="s">
        <v>21</v>
      </c>
      <c r="G4250" t="s">
        <v>20</v>
      </c>
      <c r="H4250" t="s">
        <v>21</v>
      </c>
      <c r="I4250" t="s">
        <v>20</v>
      </c>
      <c r="J4250" t="s">
        <v>20</v>
      </c>
      <c r="K4250" t="s">
        <v>27</v>
      </c>
      <c r="L4250" t="s">
        <v>51</v>
      </c>
      <c r="M4250" t="s">
        <v>117</v>
      </c>
      <c r="N4250">
        <v>38.042662</v>
      </c>
      <c r="O4250">
        <v>-112.56457399999999</v>
      </c>
      <c r="P4250">
        <v>7254.2404200000001</v>
      </c>
      <c r="Q4250">
        <v>1337</v>
      </c>
      <c r="R4250">
        <v>0</v>
      </c>
    </row>
    <row r="4251" spans="1:18" x14ac:dyDescent="0.25">
      <c r="A4251">
        <v>4250</v>
      </c>
      <c r="B4251">
        <v>94</v>
      </c>
      <c r="C4251">
        <v>540019</v>
      </c>
      <c r="D4251" t="s">
        <v>44</v>
      </c>
      <c r="E4251">
        <v>7.8559999999999999</v>
      </c>
      <c r="F4251" t="s">
        <v>21</v>
      </c>
      <c r="G4251" t="s">
        <v>26</v>
      </c>
      <c r="H4251" t="s">
        <v>21</v>
      </c>
      <c r="I4251" t="s">
        <v>20</v>
      </c>
      <c r="J4251" t="s">
        <v>20</v>
      </c>
      <c r="K4251" t="s">
        <v>41</v>
      </c>
      <c r="L4251" t="s">
        <v>87</v>
      </c>
      <c r="M4251" t="s">
        <v>46</v>
      </c>
      <c r="N4251">
        <v>40.988663000000003</v>
      </c>
      <c r="O4251">
        <v>-111.887517</v>
      </c>
      <c r="P4251">
        <v>4298.8080229999996</v>
      </c>
      <c r="Q4251">
        <v>1395</v>
      </c>
      <c r="R4251">
        <v>0</v>
      </c>
    </row>
    <row r="4252" spans="1:18" x14ac:dyDescent="0.25">
      <c r="A4252">
        <v>4251</v>
      </c>
      <c r="B4252">
        <v>94</v>
      </c>
      <c r="C4252">
        <v>31379419</v>
      </c>
      <c r="D4252" t="s">
        <v>221</v>
      </c>
      <c r="E4252">
        <v>7.8620000000000001</v>
      </c>
      <c r="F4252" t="s">
        <v>21</v>
      </c>
      <c r="G4252" t="s">
        <v>26</v>
      </c>
      <c r="H4252" t="s">
        <v>21</v>
      </c>
      <c r="I4252" t="s">
        <v>20</v>
      </c>
      <c r="J4252" t="s">
        <v>20</v>
      </c>
      <c r="K4252" t="s">
        <v>27</v>
      </c>
      <c r="L4252" t="s">
        <v>350</v>
      </c>
      <c r="M4252" t="s">
        <v>174</v>
      </c>
      <c r="N4252">
        <v>39.261411000000003</v>
      </c>
      <c r="O4252">
        <v>-111.86556</v>
      </c>
      <c r="P4252">
        <v>5052.5653380000003</v>
      </c>
      <c r="Q4252">
        <v>1342</v>
      </c>
      <c r="R4252">
        <v>0</v>
      </c>
    </row>
    <row r="4253" spans="1:18" x14ac:dyDescent="0.25">
      <c r="A4253">
        <v>4252</v>
      </c>
      <c r="B4253">
        <v>94</v>
      </c>
      <c r="C4253">
        <v>31391130</v>
      </c>
      <c r="D4253" t="s">
        <v>352</v>
      </c>
      <c r="E4253">
        <v>7.8659999999999997</v>
      </c>
      <c r="F4253" t="s">
        <v>21</v>
      </c>
      <c r="G4253" t="s">
        <v>26</v>
      </c>
      <c r="H4253" t="s">
        <v>21</v>
      </c>
      <c r="I4253" t="s">
        <v>20</v>
      </c>
      <c r="J4253" t="s">
        <v>20</v>
      </c>
      <c r="K4253" t="s">
        <v>31</v>
      </c>
      <c r="L4253" t="s">
        <v>282</v>
      </c>
      <c r="M4253" t="s">
        <v>206</v>
      </c>
      <c r="N4253">
        <v>40.319161000000001</v>
      </c>
      <c r="O4253">
        <v>-112.628561</v>
      </c>
      <c r="P4253">
        <v>5102.9944809999997</v>
      </c>
      <c r="Q4253">
        <v>409</v>
      </c>
      <c r="R4253">
        <v>0</v>
      </c>
    </row>
    <row r="4254" spans="1:18" x14ac:dyDescent="0.25">
      <c r="A4254">
        <v>4253</v>
      </c>
      <c r="B4254">
        <v>94</v>
      </c>
      <c r="C4254">
        <v>27692709</v>
      </c>
      <c r="D4254" t="s">
        <v>217</v>
      </c>
      <c r="E4254">
        <v>7.8680000000000003</v>
      </c>
      <c r="F4254" t="s">
        <v>21</v>
      </c>
      <c r="G4254" t="s">
        <v>26</v>
      </c>
      <c r="H4254" t="s">
        <v>21</v>
      </c>
      <c r="I4254" t="s">
        <v>20</v>
      </c>
      <c r="J4254" t="s">
        <v>20</v>
      </c>
      <c r="K4254" t="s">
        <v>27</v>
      </c>
      <c r="L4254" t="s">
        <v>72</v>
      </c>
      <c r="M4254" t="s">
        <v>163</v>
      </c>
      <c r="N4254">
        <v>37.184843999999998</v>
      </c>
      <c r="O4254">
        <v>-113.619308</v>
      </c>
      <c r="P4254">
        <v>3656.550405</v>
      </c>
      <c r="Q4254">
        <v>304</v>
      </c>
      <c r="R4254">
        <v>0</v>
      </c>
    </row>
    <row r="4255" spans="1:18" x14ac:dyDescent="0.25">
      <c r="A4255">
        <v>4254</v>
      </c>
      <c r="B4255">
        <v>94</v>
      </c>
      <c r="C4255">
        <v>855058</v>
      </c>
      <c r="D4255" t="s">
        <v>68</v>
      </c>
      <c r="E4255">
        <v>7.8689999999999998</v>
      </c>
      <c r="F4255" t="s">
        <v>21</v>
      </c>
      <c r="G4255" t="s">
        <v>26</v>
      </c>
      <c r="H4255" t="s">
        <v>21</v>
      </c>
      <c r="I4255" t="s">
        <v>20</v>
      </c>
      <c r="J4255" t="s">
        <v>20</v>
      </c>
      <c r="K4255" t="s">
        <v>31</v>
      </c>
      <c r="L4255" t="s">
        <v>32</v>
      </c>
      <c r="M4255" t="s">
        <v>70</v>
      </c>
      <c r="N4255">
        <v>40.674925000000002</v>
      </c>
      <c r="O4255">
        <v>-111.80625499999999</v>
      </c>
      <c r="P4255">
        <v>4735.4489910000002</v>
      </c>
      <c r="Q4255">
        <v>431</v>
      </c>
      <c r="R4255">
        <v>0</v>
      </c>
    </row>
    <row r="4256" spans="1:18" x14ac:dyDescent="0.25">
      <c r="A4256">
        <v>4255</v>
      </c>
      <c r="B4256">
        <v>94</v>
      </c>
      <c r="C4256" t="s">
        <v>655</v>
      </c>
      <c r="D4256" t="s">
        <v>176</v>
      </c>
      <c r="E4256">
        <v>7.8739999999999997</v>
      </c>
      <c r="F4256" t="s">
        <v>21</v>
      </c>
      <c r="G4256" t="s">
        <v>26</v>
      </c>
      <c r="H4256" t="s">
        <v>21</v>
      </c>
      <c r="I4256" t="s">
        <v>20</v>
      </c>
      <c r="J4256" t="s">
        <v>20</v>
      </c>
      <c r="K4256" t="s">
        <v>41</v>
      </c>
      <c r="L4256" t="s">
        <v>177</v>
      </c>
      <c r="M4256" t="s">
        <v>178</v>
      </c>
      <c r="N4256">
        <v>41.549742999999999</v>
      </c>
      <c r="O4256">
        <v>-112.105924</v>
      </c>
      <c r="P4256">
        <v>4178.4953439999999</v>
      </c>
      <c r="Q4256">
        <v>1329</v>
      </c>
      <c r="R4256">
        <v>0</v>
      </c>
    </row>
    <row r="4257" spans="1:18" x14ac:dyDescent="0.25">
      <c r="A4257">
        <v>4256</v>
      </c>
      <c r="B4257">
        <v>94</v>
      </c>
      <c r="C4257">
        <v>31389580</v>
      </c>
      <c r="D4257" t="s">
        <v>364</v>
      </c>
      <c r="E4257">
        <v>7.8970000000000002</v>
      </c>
      <c r="F4257" t="s">
        <v>21</v>
      </c>
      <c r="G4257" t="s">
        <v>26</v>
      </c>
      <c r="H4257" t="s">
        <v>21</v>
      </c>
      <c r="I4257" t="s">
        <v>20</v>
      </c>
      <c r="J4257" t="s">
        <v>20</v>
      </c>
      <c r="K4257" t="s">
        <v>22</v>
      </c>
      <c r="L4257" t="s">
        <v>140</v>
      </c>
      <c r="M4257" t="s">
        <v>85</v>
      </c>
      <c r="N4257">
        <v>40.107990999999998</v>
      </c>
      <c r="O4257">
        <v>-111.661401</v>
      </c>
      <c r="P4257">
        <v>4519.5785720000003</v>
      </c>
      <c r="Q4257">
        <v>1401</v>
      </c>
      <c r="R4257">
        <v>0</v>
      </c>
    </row>
    <row r="4258" spans="1:18" x14ac:dyDescent="0.25">
      <c r="A4258">
        <v>4257</v>
      </c>
      <c r="B4258">
        <v>94</v>
      </c>
      <c r="C4258">
        <v>1022763</v>
      </c>
      <c r="D4258" t="s">
        <v>171</v>
      </c>
      <c r="E4258">
        <v>5.8109999999999999</v>
      </c>
      <c r="F4258" t="s">
        <v>19</v>
      </c>
      <c r="G4258" t="s">
        <v>20</v>
      </c>
      <c r="H4258" t="s">
        <v>19</v>
      </c>
      <c r="I4258">
        <v>154</v>
      </c>
      <c r="J4258" t="s">
        <v>20</v>
      </c>
      <c r="K4258" t="s">
        <v>31</v>
      </c>
      <c r="L4258" t="s">
        <v>78</v>
      </c>
      <c r="M4258" t="s">
        <v>79</v>
      </c>
      <c r="N4258">
        <v>40.696598000000002</v>
      </c>
      <c r="O4258">
        <v>-111.980845</v>
      </c>
      <c r="P4258">
        <v>4209.5012180000003</v>
      </c>
      <c r="Q4258">
        <v>346</v>
      </c>
      <c r="R4258">
        <v>0</v>
      </c>
    </row>
    <row r="4259" spans="1:18" x14ac:dyDescent="0.25">
      <c r="A4259">
        <v>4258</v>
      </c>
      <c r="B4259">
        <v>94</v>
      </c>
      <c r="C4259">
        <v>31580940</v>
      </c>
      <c r="D4259" t="s">
        <v>172</v>
      </c>
      <c r="E4259">
        <v>50.21</v>
      </c>
      <c r="F4259" t="s">
        <v>21</v>
      </c>
      <c r="G4259" t="s">
        <v>26</v>
      </c>
      <c r="H4259" t="s">
        <v>21</v>
      </c>
      <c r="I4259" t="s">
        <v>20</v>
      </c>
      <c r="J4259" t="s">
        <v>20</v>
      </c>
      <c r="K4259" t="s">
        <v>27</v>
      </c>
      <c r="L4259" t="s">
        <v>230</v>
      </c>
      <c r="M4259" t="s">
        <v>174</v>
      </c>
      <c r="N4259">
        <v>39.592297000000002</v>
      </c>
      <c r="O4259">
        <v>-111.617746</v>
      </c>
      <c r="P4259">
        <v>5590.912523</v>
      </c>
      <c r="Q4259">
        <v>1411</v>
      </c>
      <c r="R4259">
        <v>0</v>
      </c>
    </row>
    <row r="4260" spans="1:18" x14ac:dyDescent="0.25">
      <c r="A4260">
        <v>4259</v>
      </c>
      <c r="B4260">
        <v>94</v>
      </c>
      <c r="C4260">
        <v>31733854</v>
      </c>
      <c r="D4260" t="s">
        <v>118</v>
      </c>
      <c r="E4260">
        <v>50.247</v>
      </c>
      <c r="F4260" t="s">
        <v>21</v>
      </c>
      <c r="G4260" t="s">
        <v>20</v>
      </c>
      <c r="H4260" t="s">
        <v>21</v>
      </c>
      <c r="I4260" t="s">
        <v>20</v>
      </c>
      <c r="J4260" t="s">
        <v>20</v>
      </c>
      <c r="K4260" t="s">
        <v>22</v>
      </c>
      <c r="L4260" t="s">
        <v>119</v>
      </c>
      <c r="M4260" t="s">
        <v>120</v>
      </c>
      <c r="N4260">
        <v>40.181927000000002</v>
      </c>
      <c r="O4260">
        <v>-111.036935</v>
      </c>
      <c r="P4260">
        <v>7582.4569979999997</v>
      </c>
      <c r="Q4260">
        <v>310</v>
      </c>
      <c r="R4260">
        <v>0</v>
      </c>
    </row>
    <row r="4261" spans="1:18" x14ac:dyDescent="0.25">
      <c r="A4261">
        <v>4260</v>
      </c>
      <c r="B4261">
        <v>94</v>
      </c>
      <c r="C4261">
        <v>31626470</v>
      </c>
      <c r="D4261" t="s">
        <v>50</v>
      </c>
      <c r="E4261">
        <v>50.262999999999998</v>
      </c>
      <c r="F4261" t="s">
        <v>21</v>
      </c>
      <c r="G4261" t="s">
        <v>26</v>
      </c>
      <c r="H4261" t="s">
        <v>21</v>
      </c>
      <c r="I4261" t="s">
        <v>20</v>
      </c>
      <c r="J4261" t="s">
        <v>20</v>
      </c>
      <c r="K4261" t="s">
        <v>27</v>
      </c>
      <c r="L4261" t="s">
        <v>247</v>
      </c>
      <c r="M4261" t="s">
        <v>52</v>
      </c>
      <c r="N4261">
        <v>37.809128999999999</v>
      </c>
      <c r="O4261">
        <v>-112.435406</v>
      </c>
      <c r="P4261">
        <v>6577.3255760000002</v>
      </c>
      <c r="Q4261">
        <v>1418</v>
      </c>
      <c r="R4261">
        <v>0</v>
      </c>
    </row>
    <row r="4262" spans="1:18" x14ac:dyDescent="0.25">
      <c r="A4262">
        <v>4261</v>
      </c>
      <c r="B4262">
        <v>94</v>
      </c>
      <c r="C4262" t="e">
        <f>-JXndM0pIK1SLPJ4gjgcGk</f>
        <v>#NAME?</v>
      </c>
      <c r="D4262" t="s">
        <v>203</v>
      </c>
      <c r="E4262">
        <v>50.286999999999999</v>
      </c>
      <c r="F4262" t="s">
        <v>21</v>
      </c>
      <c r="G4262" t="s">
        <v>20</v>
      </c>
      <c r="H4262" t="s">
        <v>21</v>
      </c>
      <c r="I4262" t="s">
        <v>20</v>
      </c>
      <c r="J4262" t="s">
        <v>20</v>
      </c>
      <c r="K4262" t="s">
        <v>41</v>
      </c>
      <c r="L4262" t="s">
        <v>325</v>
      </c>
      <c r="M4262" t="s">
        <v>204</v>
      </c>
      <c r="N4262">
        <v>41.476669999999999</v>
      </c>
      <c r="O4262">
        <v>-111.461502</v>
      </c>
      <c r="P4262">
        <v>8347.8070860000007</v>
      </c>
      <c r="Q4262">
        <v>1349</v>
      </c>
      <c r="R4262">
        <v>0</v>
      </c>
    </row>
    <row r="4263" spans="1:18" x14ac:dyDescent="0.25">
      <c r="A4263">
        <v>4262</v>
      </c>
      <c r="B4263">
        <v>94</v>
      </c>
      <c r="C4263">
        <v>31409154</v>
      </c>
      <c r="D4263" t="s">
        <v>124</v>
      </c>
      <c r="E4263">
        <v>50.31</v>
      </c>
      <c r="F4263" t="s">
        <v>19</v>
      </c>
      <c r="G4263" t="s">
        <v>20</v>
      </c>
      <c r="H4263" t="s">
        <v>21</v>
      </c>
      <c r="I4263" t="s">
        <v>20</v>
      </c>
      <c r="J4263" t="s">
        <v>20</v>
      </c>
      <c r="K4263" t="s">
        <v>31</v>
      </c>
      <c r="L4263" t="s">
        <v>48</v>
      </c>
      <c r="M4263" t="s">
        <v>125</v>
      </c>
      <c r="N4263">
        <v>40.638558000000003</v>
      </c>
      <c r="O4263">
        <v>-111.938823</v>
      </c>
      <c r="P4263">
        <v>4320.1004460000004</v>
      </c>
      <c r="Q4263">
        <v>1368</v>
      </c>
      <c r="R4263">
        <v>0</v>
      </c>
    </row>
    <row r="4264" spans="1:18" x14ac:dyDescent="0.25">
      <c r="A4264">
        <v>4263</v>
      </c>
      <c r="B4264">
        <v>94</v>
      </c>
      <c r="C4264">
        <v>31626481</v>
      </c>
      <c r="D4264" t="s">
        <v>50</v>
      </c>
      <c r="E4264">
        <v>50.317999999999998</v>
      </c>
      <c r="F4264" t="s">
        <v>21</v>
      </c>
      <c r="G4264" t="s">
        <v>26</v>
      </c>
      <c r="H4264" t="s">
        <v>21</v>
      </c>
      <c r="I4264" t="s">
        <v>20</v>
      </c>
      <c r="J4264" t="s">
        <v>20</v>
      </c>
      <c r="K4264" t="s">
        <v>27</v>
      </c>
      <c r="L4264" t="s">
        <v>247</v>
      </c>
      <c r="M4264" t="s">
        <v>52</v>
      </c>
      <c r="N4264">
        <v>37.809916000000001</v>
      </c>
      <c r="O4264">
        <v>-112.435422</v>
      </c>
      <c r="P4264">
        <v>6572.7630040000004</v>
      </c>
      <c r="Q4264">
        <v>1418</v>
      </c>
      <c r="R4264">
        <v>0</v>
      </c>
    </row>
    <row r="4265" spans="1:18" x14ac:dyDescent="0.25">
      <c r="A4265">
        <v>4264</v>
      </c>
      <c r="B4265">
        <v>94</v>
      </c>
      <c r="C4265">
        <v>31505119</v>
      </c>
      <c r="D4265" t="s">
        <v>129</v>
      </c>
      <c r="E4265">
        <v>50.331000000000003</v>
      </c>
      <c r="F4265" t="s">
        <v>21</v>
      </c>
      <c r="G4265" t="s">
        <v>20</v>
      </c>
      <c r="H4265" t="s">
        <v>21</v>
      </c>
      <c r="I4265" t="s">
        <v>20</v>
      </c>
      <c r="J4265" t="s">
        <v>20</v>
      </c>
      <c r="K4265" t="s">
        <v>31</v>
      </c>
      <c r="L4265" t="s">
        <v>130</v>
      </c>
      <c r="M4265" t="s">
        <v>328</v>
      </c>
      <c r="N4265">
        <v>40.937291999999999</v>
      </c>
      <c r="O4265">
        <v>-110.835922</v>
      </c>
      <c r="P4265">
        <v>8181.0291040000002</v>
      </c>
      <c r="Q4265">
        <v>340</v>
      </c>
      <c r="R4265">
        <v>0</v>
      </c>
    </row>
    <row r="4266" spans="1:18" x14ac:dyDescent="0.25">
      <c r="A4266">
        <v>4265</v>
      </c>
      <c r="B4266">
        <v>94</v>
      </c>
      <c r="C4266">
        <v>28004155</v>
      </c>
      <c r="D4266" t="s">
        <v>281</v>
      </c>
      <c r="E4266">
        <v>50.341000000000001</v>
      </c>
      <c r="F4266" t="s">
        <v>21</v>
      </c>
      <c r="G4266" t="s">
        <v>26</v>
      </c>
      <c r="H4266" t="s">
        <v>21</v>
      </c>
      <c r="I4266" t="s">
        <v>20</v>
      </c>
      <c r="J4266" t="s">
        <v>20</v>
      </c>
      <c r="K4266" t="s">
        <v>31</v>
      </c>
      <c r="L4266" t="s">
        <v>282</v>
      </c>
      <c r="M4266" t="s">
        <v>283</v>
      </c>
      <c r="N4266">
        <v>40.484777999999999</v>
      </c>
      <c r="O4266">
        <v>-112.339911</v>
      </c>
      <c r="P4266">
        <v>5068.7014369999997</v>
      </c>
      <c r="Q4266">
        <v>1347</v>
      </c>
      <c r="R4266">
        <v>0</v>
      </c>
    </row>
    <row r="4267" spans="1:18" x14ac:dyDescent="0.25">
      <c r="A4267">
        <v>4266</v>
      </c>
      <c r="B4267">
        <v>94</v>
      </c>
      <c r="C4267" t="e">
        <f>-JOiQCs-IpH-v1PBDAYZQk</f>
        <v>#NAME?</v>
      </c>
      <c r="D4267" t="s">
        <v>244</v>
      </c>
      <c r="E4267">
        <v>50.360999999999997</v>
      </c>
      <c r="F4267" t="s">
        <v>21</v>
      </c>
      <c r="G4267" t="s">
        <v>26</v>
      </c>
      <c r="H4267" t="s">
        <v>21</v>
      </c>
      <c r="I4267" t="s">
        <v>20</v>
      </c>
      <c r="J4267" t="s">
        <v>20</v>
      </c>
      <c r="K4267" t="s">
        <v>27</v>
      </c>
      <c r="L4267" t="s">
        <v>266</v>
      </c>
      <c r="M4267" t="s">
        <v>58</v>
      </c>
      <c r="N4267">
        <v>38.420444000000003</v>
      </c>
      <c r="O4267">
        <v>-111.661213</v>
      </c>
      <c r="P4267">
        <v>7200.0100970000003</v>
      </c>
      <c r="Q4267">
        <v>1340</v>
      </c>
      <c r="R4267">
        <v>0</v>
      </c>
    </row>
    <row r="4268" spans="1:18" x14ac:dyDescent="0.25">
      <c r="A4268">
        <v>4267</v>
      </c>
      <c r="B4268">
        <v>94</v>
      </c>
      <c r="C4268">
        <v>31409773</v>
      </c>
      <c r="D4268" t="s">
        <v>124</v>
      </c>
      <c r="E4268">
        <v>50.363999999999997</v>
      </c>
      <c r="F4268" t="s">
        <v>21</v>
      </c>
      <c r="G4268" t="s">
        <v>20</v>
      </c>
      <c r="H4268" t="s">
        <v>21</v>
      </c>
      <c r="I4268" t="s">
        <v>20</v>
      </c>
      <c r="J4268" t="s">
        <v>20</v>
      </c>
      <c r="K4268" t="s">
        <v>31</v>
      </c>
      <c r="L4268" t="s">
        <v>48</v>
      </c>
      <c r="M4268" t="s">
        <v>125</v>
      </c>
      <c r="N4268">
        <v>40.639346000000003</v>
      </c>
      <c r="O4268">
        <v>-111.938838</v>
      </c>
      <c r="P4268">
        <v>4315.9595589999999</v>
      </c>
      <c r="Q4268">
        <v>1368</v>
      </c>
      <c r="R4268">
        <v>0</v>
      </c>
    </row>
    <row r="4269" spans="1:18" x14ac:dyDescent="0.25">
      <c r="A4269">
        <v>4268</v>
      </c>
      <c r="B4269">
        <v>94</v>
      </c>
      <c r="C4269">
        <v>28646107</v>
      </c>
      <c r="D4269" t="s">
        <v>142</v>
      </c>
      <c r="E4269">
        <v>50.384999999999998</v>
      </c>
      <c r="F4269" t="s">
        <v>21</v>
      </c>
      <c r="G4269" t="s">
        <v>20</v>
      </c>
      <c r="H4269" t="s">
        <v>21</v>
      </c>
      <c r="I4269" t="s">
        <v>20</v>
      </c>
      <c r="J4269" t="s">
        <v>20</v>
      </c>
      <c r="K4269" t="s">
        <v>27</v>
      </c>
      <c r="L4269" t="s">
        <v>143</v>
      </c>
      <c r="M4269" t="s">
        <v>106</v>
      </c>
      <c r="N4269">
        <v>38.485511000000002</v>
      </c>
      <c r="O4269">
        <v>-113.453148</v>
      </c>
      <c r="P4269">
        <v>4968.2038830000001</v>
      </c>
      <c r="Q4269">
        <v>305</v>
      </c>
      <c r="R4269">
        <v>0</v>
      </c>
    </row>
    <row r="4270" spans="1:18" x14ac:dyDescent="0.25">
      <c r="A4270">
        <v>4269</v>
      </c>
      <c r="B4270">
        <v>94</v>
      </c>
      <c r="C4270">
        <v>31580951</v>
      </c>
      <c r="D4270" t="s">
        <v>172</v>
      </c>
      <c r="E4270">
        <v>50.39</v>
      </c>
      <c r="F4270" t="s">
        <v>21</v>
      </c>
      <c r="G4270" t="s">
        <v>26</v>
      </c>
      <c r="H4270" t="s">
        <v>21</v>
      </c>
      <c r="I4270" t="s">
        <v>20</v>
      </c>
      <c r="J4270" t="s">
        <v>20</v>
      </c>
      <c r="K4270" t="s">
        <v>27</v>
      </c>
      <c r="L4270" t="s">
        <v>230</v>
      </c>
      <c r="M4270" t="s">
        <v>174</v>
      </c>
      <c r="N4270">
        <v>39.589857000000002</v>
      </c>
      <c r="O4270">
        <v>-111.61654299999999</v>
      </c>
      <c r="P4270">
        <v>5580.821895</v>
      </c>
      <c r="Q4270">
        <v>1411</v>
      </c>
      <c r="R4270">
        <v>0</v>
      </c>
    </row>
    <row r="4271" spans="1:18" x14ac:dyDescent="0.25">
      <c r="A4271">
        <v>4270</v>
      </c>
      <c r="B4271">
        <v>94</v>
      </c>
      <c r="C4271">
        <v>31336291</v>
      </c>
      <c r="D4271" t="s">
        <v>288</v>
      </c>
      <c r="E4271">
        <v>50.401000000000003</v>
      </c>
      <c r="F4271" t="s">
        <v>21</v>
      </c>
      <c r="G4271" t="s">
        <v>26</v>
      </c>
      <c r="H4271" t="s">
        <v>21</v>
      </c>
      <c r="I4271" t="s">
        <v>20</v>
      </c>
      <c r="J4271" t="s">
        <v>20</v>
      </c>
      <c r="K4271" t="s">
        <v>27</v>
      </c>
      <c r="L4271" t="s">
        <v>327</v>
      </c>
      <c r="M4271" t="s">
        <v>147</v>
      </c>
      <c r="N4271">
        <v>37.613520999999999</v>
      </c>
      <c r="O4271">
        <v>-109.478917</v>
      </c>
      <c r="P4271">
        <v>5948.0592770000003</v>
      </c>
      <c r="Q4271">
        <v>350</v>
      </c>
      <c r="R4271">
        <v>0</v>
      </c>
    </row>
    <row r="4272" spans="1:18" x14ac:dyDescent="0.25">
      <c r="A4272">
        <v>4271</v>
      </c>
      <c r="B4272">
        <v>94</v>
      </c>
      <c r="C4272">
        <v>31465604</v>
      </c>
      <c r="D4272" t="s">
        <v>319</v>
      </c>
      <c r="E4272">
        <v>50.442</v>
      </c>
      <c r="F4272" t="s">
        <v>21</v>
      </c>
      <c r="G4272" t="s">
        <v>20</v>
      </c>
      <c r="H4272" t="s">
        <v>21</v>
      </c>
      <c r="I4272" t="s">
        <v>20</v>
      </c>
      <c r="J4272" t="s">
        <v>20</v>
      </c>
      <c r="K4272" t="s">
        <v>27</v>
      </c>
      <c r="L4272" t="s">
        <v>54</v>
      </c>
      <c r="M4272" t="s">
        <v>55</v>
      </c>
      <c r="N4272">
        <v>37.643697000000003</v>
      </c>
      <c r="O4272">
        <v>-113.24851200000001</v>
      </c>
      <c r="P4272">
        <v>5591.2164059999996</v>
      </c>
      <c r="Q4272">
        <v>314</v>
      </c>
      <c r="R4272">
        <v>0</v>
      </c>
    </row>
    <row r="4273" spans="1:18" x14ac:dyDescent="0.25">
      <c r="A4273">
        <v>4272</v>
      </c>
      <c r="B4273">
        <v>94</v>
      </c>
      <c r="C4273">
        <v>31626492</v>
      </c>
      <c r="D4273" t="s">
        <v>50</v>
      </c>
      <c r="E4273">
        <v>50.491999999999997</v>
      </c>
      <c r="F4273" t="s">
        <v>21</v>
      </c>
      <c r="G4273" t="s">
        <v>26</v>
      </c>
      <c r="H4273" t="s">
        <v>21</v>
      </c>
      <c r="I4273" t="s">
        <v>20</v>
      </c>
      <c r="J4273" t="s">
        <v>20</v>
      </c>
      <c r="K4273" t="s">
        <v>27</v>
      </c>
      <c r="L4273" t="s">
        <v>247</v>
      </c>
      <c r="M4273" t="s">
        <v>52</v>
      </c>
      <c r="N4273">
        <v>37.812435999999998</v>
      </c>
      <c r="O4273">
        <v>-112.43547</v>
      </c>
      <c r="P4273">
        <v>6568.4435430000003</v>
      </c>
      <c r="Q4273">
        <v>1418</v>
      </c>
      <c r="R4273">
        <v>0</v>
      </c>
    </row>
    <row r="4274" spans="1:18" x14ac:dyDescent="0.25">
      <c r="A4274">
        <v>4273</v>
      </c>
      <c r="B4274">
        <v>94</v>
      </c>
      <c r="C4274">
        <v>31630784</v>
      </c>
      <c r="D4274" t="s">
        <v>121</v>
      </c>
      <c r="E4274">
        <v>62.383000000000003</v>
      </c>
      <c r="F4274" t="s">
        <v>21</v>
      </c>
      <c r="G4274" t="s">
        <v>20</v>
      </c>
      <c r="H4274" t="s">
        <v>21</v>
      </c>
      <c r="I4274" t="s">
        <v>20</v>
      </c>
      <c r="J4274" t="s">
        <v>20</v>
      </c>
      <c r="K4274" t="s">
        <v>27</v>
      </c>
      <c r="L4274" t="s">
        <v>327</v>
      </c>
      <c r="M4274" t="s">
        <v>123</v>
      </c>
      <c r="N4274">
        <v>37.410431000000003</v>
      </c>
      <c r="O4274">
        <v>-110.42000400000001</v>
      </c>
      <c r="P4274">
        <v>5187.6279629999999</v>
      </c>
      <c r="Q4274">
        <v>1283</v>
      </c>
      <c r="R4274">
        <v>0</v>
      </c>
    </row>
    <row r="4275" spans="1:18" x14ac:dyDescent="0.25">
      <c r="A4275">
        <v>4274</v>
      </c>
      <c r="B4275">
        <v>94</v>
      </c>
      <c r="C4275">
        <v>31713344</v>
      </c>
      <c r="D4275" t="s">
        <v>244</v>
      </c>
      <c r="E4275">
        <v>62.433</v>
      </c>
      <c r="F4275" t="s">
        <v>21</v>
      </c>
      <c r="G4275" t="s">
        <v>26</v>
      </c>
      <c r="H4275" t="s">
        <v>21</v>
      </c>
      <c r="I4275" t="s">
        <v>20</v>
      </c>
      <c r="J4275" t="s">
        <v>20</v>
      </c>
      <c r="K4275" t="s">
        <v>27</v>
      </c>
      <c r="L4275" t="s">
        <v>266</v>
      </c>
      <c r="M4275" t="s">
        <v>386</v>
      </c>
      <c r="N4275">
        <v>38.317501</v>
      </c>
      <c r="O4275">
        <v>-111.52627</v>
      </c>
      <c r="P4275">
        <v>6930.4459790000001</v>
      </c>
      <c r="Q4275">
        <v>1340</v>
      </c>
      <c r="R4275">
        <v>0</v>
      </c>
    </row>
    <row r="4276" spans="1:18" x14ac:dyDescent="0.25">
      <c r="A4276">
        <v>4275</v>
      </c>
      <c r="B4276">
        <v>94</v>
      </c>
      <c r="C4276">
        <v>31782451</v>
      </c>
      <c r="D4276" t="s">
        <v>281</v>
      </c>
      <c r="E4276">
        <v>62.459000000000003</v>
      </c>
      <c r="F4276" t="s">
        <v>19</v>
      </c>
      <c r="G4276" t="s">
        <v>20</v>
      </c>
      <c r="H4276" t="s">
        <v>21</v>
      </c>
      <c r="I4276" t="s">
        <v>20</v>
      </c>
      <c r="J4276" t="s">
        <v>20</v>
      </c>
      <c r="K4276" t="s">
        <v>31</v>
      </c>
      <c r="L4276" t="s">
        <v>282</v>
      </c>
      <c r="M4276" t="s">
        <v>283</v>
      </c>
      <c r="N4276">
        <v>40.646895000000001</v>
      </c>
      <c r="O4276">
        <v>-112.288365</v>
      </c>
      <c r="P4276">
        <v>4246.5739750000002</v>
      </c>
      <c r="Q4276">
        <v>1347</v>
      </c>
      <c r="R4276">
        <v>0</v>
      </c>
    </row>
    <row r="4277" spans="1:18" x14ac:dyDescent="0.25">
      <c r="A4277">
        <v>4276</v>
      </c>
      <c r="B4277">
        <v>94</v>
      </c>
      <c r="C4277">
        <v>28693723</v>
      </c>
      <c r="D4277" t="s">
        <v>142</v>
      </c>
      <c r="E4277">
        <v>62.466000000000001</v>
      </c>
      <c r="F4277" t="s">
        <v>21</v>
      </c>
      <c r="G4277" t="s">
        <v>20</v>
      </c>
      <c r="H4277" t="s">
        <v>21</v>
      </c>
      <c r="I4277" t="s">
        <v>20</v>
      </c>
      <c r="J4277" t="s">
        <v>20</v>
      </c>
      <c r="K4277" t="s">
        <v>27</v>
      </c>
      <c r="L4277" t="s">
        <v>143</v>
      </c>
      <c r="M4277" t="s">
        <v>106</v>
      </c>
      <c r="N4277">
        <v>38.455832999999998</v>
      </c>
      <c r="O4277">
        <v>-113.25890800000001</v>
      </c>
      <c r="P4277">
        <v>6339.9693310000002</v>
      </c>
      <c r="Q4277">
        <v>305</v>
      </c>
      <c r="R4277">
        <v>0</v>
      </c>
    </row>
    <row r="4278" spans="1:18" x14ac:dyDescent="0.25">
      <c r="A4278">
        <v>4277</v>
      </c>
      <c r="B4278">
        <v>94</v>
      </c>
      <c r="C4278">
        <v>27545867</v>
      </c>
      <c r="D4278" t="s">
        <v>636</v>
      </c>
      <c r="E4278">
        <v>3.129</v>
      </c>
      <c r="F4278" t="s">
        <v>19</v>
      </c>
      <c r="G4278" t="s">
        <v>20</v>
      </c>
      <c r="H4278" t="s">
        <v>21</v>
      </c>
      <c r="I4278" t="s">
        <v>20</v>
      </c>
      <c r="J4278" t="s">
        <v>20</v>
      </c>
      <c r="K4278" t="s">
        <v>31</v>
      </c>
      <c r="L4278" t="s">
        <v>48</v>
      </c>
      <c r="M4278" t="s">
        <v>33</v>
      </c>
      <c r="N4278">
        <v>40.623246999999999</v>
      </c>
      <c r="O4278">
        <v>-111.917092</v>
      </c>
      <c r="P4278">
        <v>4227.59</v>
      </c>
      <c r="Q4278">
        <v>312</v>
      </c>
      <c r="R4278">
        <v>0</v>
      </c>
    </row>
    <row r="4279" spans="1:18" x14ac:dyDescent="0.25">
      <c r="A4279">
        <v>4278</v>
      </c>
      <c r="B4279">
        <v>94</v>
      </c>
      <c r="C4279">
        <v>27554907</v>
      </c>
      <c r="D4279" t="s">
        <v>636</v>
      </c>
      <c r="E4279">
        <v>3.319</v>
      </c>
      <c r="F4279" t="s">
        <v>19</v>
      </c>
      <c r="G4279" t="s">
        <v>20</v>
      </c>
      <c r="H4279" t="s">
        <v>21</v>
      </c>
      <c r="I4279" t="s">
        <v>20</v>
      </c>
      <c r="J4279" t="s">
        <v>20</v>
      </c>
      <c r="K4279" t="s">
        <v>31</v>
      </c>
      <c r="L4279" t="s">
        <v>48</v>
      </c>
      <c r="M4279" t="s">
        <v>33</v>
      </c>
      <c r="N4279">
        <v>40.621447000000003</v>
      </c>
      <c r="O4279">
        <v>-111.91439699999999</v>
      </c>
      <c r="P4279">
        <v>4232.8130000000001</v>
      </c>
      <c r="Q4279">
        <v>312</v>
      </c>
      <c r="R4279">
        <v>0</v>
      </c>
    </row>
    <row r="4280" spans="1:18" x14ac:dyDescent="0.25">
      <c r="A4280">
        <v>4279</v>
      </c>
      <c r="B4280">
        <v>94</v>
      </c>
      <c r="C4280">
        <v>27557398</v>
      </c>
      <c r="D4280" t="s">
        <v>636</v>
      </c>
      <c r="E4280">
        <v>3.544</v>
      </c>
      <c r="F4280" t="s">
        <v>19</v>
      </c>
      <c r="G4280" t="s">
        <v>20</v>
      </c>
      <c r="H4280" t="s">
        <v>21</v>
      </c>
      <c r="I4280" t="s">
        <v>20</v>
      </c>
      <c r="J4280" t="s">
        <v>20</v>
      </c>
      <c r="K4280" t="s">
        <v>31</v>
      </c>
      <c r="L4280" t="s">
        <v>48</v>
      </c>
      <c r="M4280" t="s">
        <v>33</v>
      </c>
      <c r="N4280">
        <v>40.620860999999998</v>
      </c>
      <c r="O4280">
        <v>-111.910263</v>
      </c>
      <c r="P4280">
        <v>4252.6570000000002</v>
      </c>
      <c r="Q4280">
        <v>312</v>
      </c>
      <c r="R4280">
        <v>0</v>
      </c>
    </row>
    <row r="4281" spans="1:18" x14ac:dyDescent="0.25">
      <c r="A4281">
        <v>4280</v>
      </c>
      <c r="B4281">
        <v>94</v>
      </c>
      <c r="C4281">
        <v>27561202</v>
      </c>
      <c r="D4281" t="s">
        <v>636</v>
      </c>
      <c r="E4281">
        <v>3.9969999999999999</v>
      </c>
      <c r="F4281" t="s">
        <v>21</v>
      </c>
      <c r="G4281" t="s">
        <v>26</v>
      </c>
      <c r="H4281" t="s">
        <v>21</v>
      </c>
      <c r="I4281" t="s">
        <v>20</v>
      </c>
      <c r="J4281" t="s">
        <v>20</v>
      </c>
      <c r="K4281" t="s">
        <v>31</v>
      </c>
      <c r="L4281" t="s">
        <v>48</v>
      </c>
      <c r="M4281" t="s">
        <v>33</v>
      </c>
      <c r="N4281">
        <v>40.620683</v>
      </c>
      <c r="O4281">
        <v>-111.901517</v>
      </c>
      <c r="P4281">
        <v>4305.5020000000004</v>
      </c>
      <c r="Q4281">
        <v>312</v>
      </c>
      <c r="R4281">
        <v>0</v>
      </c>
    </row>
    <row r="4282" spans="1:18" x14ac:dyDescent="0.25">
      <c r="A4282">
        <v>4281</v>
      </c>
      <c r="B4282">
        <v>94</v>
      </c>
      <c r="C4282">
        <v>27561283</v>
      </c>
      <c r="D4282" t="s">
        <v>636</v>
      </c>
      <c r="E4282">
        <v>4.0810000000000004</v>
      </c>
      <c r="F4282" t="s">
        <v>19</v>
      </c>
      <c r="G4282" t="s">
        <v>20</v>
      </c>
      <c r="H4282" t="s">
        <v>21</v>
      </c>
      <c r="I4282" t="s">
        <v>20</v>
      </c>
      <c r="J4282" t="s">
        <v>20</v>
      </c>
      <c r="K4282" t="s">
        <v>31</v>
      </c>
      <c r="L4282" t="s">
        <v>48</v>
      </c>
      <c r="M4282" t="s">
        <v>33</v>
      </c>
      <c r="N4282">
        <v>40.620617000000003</v>
      </c>
      <c r="O4282">
        <v>-111.899906</v>
      </c>
      <c r="P4282">
        <v>4309.7960000000003</v>
      </c>
      <c r="Q4282">
        <v>312</v>
      </c>
      <c r="R4282">
        <v>0</v>
      </c>
    </row>
    <row r="4283" spans="1:18" x14ac:dyDescent="0.25">
      <c r="A4283">
        <v>4282</v>
      </c>
      <c r="B4283">
        <v>94</v>
      </c>
      <c r="C4283">
        <v>27562173</v>
      </c>
      <c r="D4283" t="s">
        <v>636</v>
      </c>
      <c r="E4283">
        <v>4.2469999999999999</v>
      </c>
      <c r="F4283" t="s">
        <v>19</v>
      </c>
      <c r="G4283" t="s">
        <v>20</v>
      </c>
      <c r="H4283" t="s">
        <v>21</v>
      </c>
      <c r="I4283" t="s">
        <v>20</v>
      </c>
      <c r="J4283" t="s">
        <v>20</v>
      </c>
      <c r="K4283" t="s">
        <v>31</v>
      </c>
      <c r="L4283" t="s">
        <v>48</v>
      </c>
      <c r="M4283" t="s">
        <v>33</v>
      </c>
      <c r="N4283">
        <v>40.620600000000003</v>
      </c>
      <c r="O4283">
        <v>-111.896748</v>
      </c>
      <c r="P4283">
        <v>4315.3609999999999</v>
      </c>
      <c r="Q4283">
        <v>312</v>
      </c>
      <c r="R4283">
        <v>0</v>
      </c>
    </row>
    <row r="4284" spans="1:18" x14ac:dyDescent="0.25">
      <c r="A4284">
        <v>4283</v>
      </c>
      <c r="B4284">
        <v>94</v>
      </c>
      <c r="C4284">
        <v>31742988</v>
      </c>
      <c r="D4284" t="s">
        <v>636</v>
      </c>
      <c r="E4284">
        <v>3.3000000000000002E-2</v>
      </c>
      <c r="F4284" t="s">
        <v>19</v>
      </c>
      <c r="G4284" t="s">
        <v>20</v>
      </c>
      <c r="H4284" t="s">
        <v>21</v>
      </c>
      <c r="I4284" t="s">
        <v>20</v>
      </c>
      <c r="J4284" t="s">
        <v>20</v>
      </c>
      <c r="K4284" t="s">
        <v>31</v>
      </c>
      <c r="L4284" t="s">
        <v>48</v>
      </c>
      <c r="M4284" t="s">
        <v>335</v>
      </c>
      <c r="N4284">
        <v>40.609499999999997</v>
      </c>
      <c r="O4284">
        <v>-111.97659299999999</v>
      </c>
      <c r="P4284">
        <v>4469.5600000000004</v>
      </c>
      <c r="Q4284">
        <v>312</v>
      </c>
      <c r="R4284">
        <v>0</v>
      </c>
    </row>
    <row r="4285" spans="1:18" x14ac:dyDescent="0.25">
      <c r="A4285">
        <v>4284</v>
      </c>
      <c r="B4285">
        <v>94</v>
      </c>
      <c r="C4285">
        <v>31769048</v>
      </c>
      <c r="D4285" t="s">
        <v>636</v>
      </c>
      <c r="E4285">
        <v>0.17399999999999999</v>
      </c>
      <c r="F4285" t="s">
        <v>21</v>
      </c>
      <c r="G4285" t="s">
        <v>26</v>
      </c>
      <c r="H4285" t="s">
        <v>21</v>
      </c>
      <c r="I4285" t="s">
        <v>20</v>
      </c>
      <c r="J4285" t="s">
        <v>20</v>
      </c>
      <c r="K4285" t="s">
        <v>31</v>
      </c>
      <c r="L4285" t="s">
        <v>48</v>
      </c>
      <c r="M4285" t="s">
        <v>335</v>
      </c>
      <c r="N4285">
        <v>40.609479999999998</v>
      </c>
      <c r="O4285">
        <v>-111.973837</v>
      </c>
      <c r="P4285">
        <v>4456.5820000000003</v>
      </c>
      <c r="Q4285">
        <v>312</v>
      </c>
      <c r="R4285">
        <v>0</v>
      </c>
    </row>
    <row r="4286" spans="1:18" x14ac:dyDescent="0.25">
      <c r="A4286">
        <v>4285</v>
      </c>
      <c r="B4286">
        <v>94</v>
      </c>
      <c r="C4286">
        <v>31770813</v>
      </c>
      <c r="D4286" t="s">
        <v>636</v>
      </c>
      <c r="E4286">
        <v>0.69199999999999995</v>
      </c>
      <c r="F4286" t="s">
        <v>21</v>
      </c>
      <c r="G4286" t="s">
        <v>26</v>
      </c>
      <c r="H4286" t="s">
        <v>21</v>
      </c>
      <c r="I4286" t="s">
        <v>20</v>
      </c>
      <c r="J4286" t="s">
        <v>20</v>
      </c>
      <c r="K4286" t="s">
        <v>31</v>
      </c>
      <c r="L4286" t="s">
        <v>48</v>
      </c>
      <c r="M4286" t="s">
        <v>335</v>
      </c>
      <c r="N4286">
        <v>40.609489000000004</v>
      </c>
      <c r="O4286">
        <v>-111.96392899999999</v>
      </c>
      <c r="P4286">
        <v>4417.1959999999999</v>
      </c>
      <c r="Q4286">
        <v>312</v>
      </c>
      <c r="R4286">
        <v>0</v>
      </c>
    </row>
    <row r="4287" spans="1:18" x14ac:dyDescent="0.25">
      <c r="A4287">
        <v>4286</v>
      </c>
      <c r="B4287">
        <v>94</v>
      </c>
      <c r="C4287">
        <v>31773136</v>
      </c>
      <c r="D4287" t="s">
        <v>636</v>
      </c>
      <c r="E4287">
        <v>2.2000000000000002</v>
      </c>
      <c r="F4287" t="s">
        <v>21</v>
      </c>
      <c r="G4287" t="s">
        <v>26</v>
      </c>
      <c r="H4287" t="s">
        <v>21</v>
      </c>
      <c r="I4287" t="s">
        <v>20</v>
      </c>
      <c r="J4287" t="s">
        <v>20</v>
      </c>
      <c r="K4287" t="s">
        <v>31</v>
      </c>
      <c r="L4287" t="s">
        <v>48</v>
      </c>
      <c r="M4287" t="s">
        <v>33</v>
      </c>
      <c r="N4287">
        <v>40.624043</v>
      </c>
      <c r="O4287">
        <v>-111.93473</v>
      </c>
      <c r="P4287">
        <v>4300.4719999999998</v>
      </c>
      <c r="Q4287">
        <v>312</v>
      </c>
      <c r="R4287">
        <v>0</v>
      </c>
    </row>
    <row r="4288" spans="1:18" x14ac:dyDescent="0.25">
      <c r="A4288">
        <v>4287</v>
      </c>
      <c r="B4288">
        <v>94</v>
      </c>
      <c r="C4288">
        <v>31777291</v>
      </c>
      <c r="D4288" t="s">
        <v>636</v>
      </c>
      <c r="E4288">
        <v>2.016</v>
      </c>
      <c r="F4288" t="s">
        <v>19</v>
      </c>
      <c r="G4288" t="s">
        <v>20</v>
      </c>
      <c r="H4288" t="s">
        <v>19</v>
      </c>
      <c r="I4288">
        <v>68</v>
      </c>
      <c r="J4288" t="s">
        <v>20</v>
      </c>
      <c r="K4288" t="s">
        <v>31</v>
      </c>
      <c r="L4288" t="s">
        <v>48</v>
      </c>
      <c r="M4288" t="s">
        <v>335</v>
      </c>
      <c r="N4288">
        <v>40.609507000000001</v>
      </c>
      <c r="O4288">
        <v>-111.93884</v>
      </c>
      <c r="P4288">
        <v>4313.6580000000004</v>
      </c>
      <c r="Q4288">
        <v>312</v>
      </c>
      <c r="R4288">
        <v>0</v>
      </c>
    </row>
    <row r="4289" spans="1:18" x14ac:dyDescent="0.25">
      <c r="A4289">
        <v>4288</v>
      </c>
      <c r="B4289">
        <v>94</v>
      </c>
      <c r="C4289">
        <v>31296235</v>
      </c>
      <c r="D4289" t="s">
        <v>338</v>
      </c>
      <c r="E4289">
        <v>5.657</v>
      </c>
      <c r="F4289" t="s">
        <v>21</v>
      </c>
      <c r="G4289" t="s">
        <v>26</v>
      </c>
      <c r="H4289" t="s">
        <v>21</v>
      </c>
      <c r="I4289" t="s">
        <v>20</v>
      </c>
      <c r="J4289" t="s">
        <v>20</v>
      </c>
      <c r="K4289" t="s">
        <v>27</v>
      </c>
      <c r="L4289" t="s">
        <v>72</v>
      </c>
      <c r="M4289" t="s">
        <v>73</v>
      </c>
      <c r="N4289">
        <v>37.044797000000003</v>
      </c>
      <c r="O4289">
        <v>-113.084536</v>
      </c>
      <c r="P4289">
        <v>4779.5278280000002</v>
      </c>
      <c r="Q4289">
        <v>315</v>
      </c>
      <c r="R4289">
        <v>0</v>
      </c>
    </row>
    <row r="4290" spans="1:18" x14ac:dyDescent="0.25">
      <c r="A4290">
        <v>4289</v>
      </c>
      <c r="B4290">
        <v>94</v>
      </c>
      <c r="C4290">
        <v>28122168</v>
      </c>
      <c r="D4290" t="s">
        <v>239</v>
      </c>
      <c r="E4290">
        <v>5.657</v>
      </c>
      <c r="F4290" t="s">
        <v>21</v>
      </c>
      <c r="G4290" t="s">
        <v>361</v>
      </c>
      <c r="H4290" t="s">
        <v>21</v>
      </c>
      <c r="I4290" t="s">
        <v>20</v>
      </c>
      <c r="J4290" t="s">
        <v>20</v>
      </c>
      <c r="K4290" t="s">
        <v>41</v>
      </c>
      <c r="L4290" t="s">
        <v>181</v>
      </c>
      <c r="M4290" t="s">
        <v>178</v>
      </c>
      <c r="N4290">
        <v>41.651789999999998</v>
      </c>
      <c r="O4290">
        <v>-112.295715</v>
      </c>
      <c r="P4290">
        <v>4220.6487379999999</v>
      </c>
      <c r="Q4290">
        <v>1392</v>
      </c>
      <c r="R4290">
        <v>0</v>
      </c>
    </row>
    <row r="4291" spans="1:18" x14ac:dyDescent="0.25">
      <c r="A4291">
        <v>4290</v>
      </c>
      <c r="B4291">
        <v>94</v>
      </c>
      <c r="C4291">
        <v>1482224</v>
      </c>
      <c r="D4291" t="s">
        <v>88</v>
      </c>
      <c r="E4291">
        <v>5.6580000000000004</v>
      </c>
      <c r="F4291" t="s">
        <v>21</v>
      </c>
      <c r="G4291" t="s">
        <v>26</v>
      </c>
      <c r="H4291" t="s">
        <v>21</v>
      </c>
      <c r="I4291" t="s">
        <v>20</v>
      </c>
      <c r="J4291" t="s">
        <v>20</v>
      </c>
      <c r="K4291" t="s">
        <v>31</v>
      </c>
      <c r="L4291" t="s">
        <v>89</v>
      </c>
      <c r="M4291" t="s">
        <v>90</v>
      </c>
      <c r="N4291">
        <v>40.526712000000003</v>
      </c>
      <c r="O4291">
        <v>-111.87796</v>
      </c>
      <c r="P4291">
        <v>4390.6932909999996</v>
      </c>
      <c r="Q4291">
        <v>318</v>
      </c>
      <c r="R4291">
        <v>0</v>
      </c>
    </row>
    <row r="4292" spans="1:18" x14ac:dyDescent="0.25">
      <c r="A4292">
        <v>4291</v>
      </c>
      <c r="B4292">
        <v>94</v>
      </c>
      <c r="C4292" t="e">
        <f>-Ip5LQ67FGuBb8wHw3TQUF</f>
        <v>#NAME?</v>
      </c>
      <c r="D4292" t="s">
        <v>208</v>
      </c>
      <c r="E4292">
        <v>5.6619999999999999</v>
      </c>
      <c r="F4292" t="s">
        <v>21</v>
      </c>
      <c r="G4292" t="s">
        <v>26</v>
      </c>
      <c r="H4292" t="s">
        <v>21</v>
      </c>
      <c r="I4292" t="s">
        <v>20</v>
      </c>
      <c r="J4292" t="s">
        <v>20</v>
      </c>
      <c r="K4292" t="s">
        <v>31</v>
      </c>
      <c r="L4292" t="s">
        <v>209</v>
      </c>
      <c r="M4292" t="s">
        <v>131</v>
      </c>
      <c r="N4292">
        <v>40.656759000000001</v>
      </c>
      <c r="O4292">
        <v>-111.505088</v>
      </c>
      <c r="P4292">
        <v>6803.6075650000002</v>
      </c>
      <c r="Q4292">
        <v>357</v>
      </c>
      <c r="R4292">
        <v>0</v>
      </c>
    </row>
    <row r="4293" spans="1:18" x14ac:dyDescent="0.25">
      <c r="A4293">
        <v>4292</v>
      </c>
      <c r="B4293">
        <v>94</v>
      </c>
      <c r="C4293">
        <v>1469519</v>
      </c>
      <c r="D4293" t="s">
        <v>109</v>
      </c>
      <c r="E4293">
        <v>8.9</v>
      </c>
      <c r="F4293" t="s">
        <v>21</v>
      </c>
      <c r="G4293" t="s">
        <v>26</v>
      </c>
      <c r="H4293" t="s">
        <v>21</v>
      </c>
      <c r="I4293" t="s">
        <v>20</v>
      </c>
      <c r="J4293" t="s">
        <v>20</v>
      </c>
      <c r="K4293" t="s">
        <v>41</v>
      </c>
      <c r="L4293" t="s">
        <v>42</v>
      </c>
      <c r="M4293" t="s">
        <v>73</v>
      </c>
      <c r="N4293">
        <v>41.691161000000001</v>
      </c>
      <c r="O4293">
        <v>-111.834272</v>
      </c>
      <c r="P4293">
        <v>4466.4520309999998</v>
      </c>
      <c r="Q4293">
        <v>345</v>
      </c>
      <c r="R4293">
        <v>0</v>
      </c>
    </row>
    <row r="4294" spans="1:18" x14ac:dyDescent="0.25">
      <c r="A4294">
        <v>4293</v>
      </c>
      <c r="B4294">
        <v>94</v>
      </c>
      <c r="C4294">
        <v>31526394</v>
      </c>
      <c r="D4294" t="s">
        <v>231</v>
      </c>
      <c r="E4294">
        <v>8.9009999999999998</v>
      </c>
      <c r="F4294" t="s">
        <v>21</v>
      </c>
      <c r="G4294" t="s">
        <v>26</v>
      </c>
      <c r="H4294" t="s">
        <v>21</v>
      </c>
      <c r="I4294" t="s">
        <v>20</v>
      </c>
      <c r="J4294" t="s">
        <v>20</v>
      </c>
      <c r="K4294" t="s">
        <v>41</v>
      </c>
      <c r="L4294" t="s">
        <v>57</v>
      </c>
      <c r="M4294" t="s">
        <v>93</v>
      </c>
      <c r="N4294">
        <v>41.163960000000003</v>
      </c>
      <c r="O4294">
        <v>-112.02603000000001</v>
      </c>
      <c r="P4294">
        <v>4482.6768659999998</v>
      </c>
      <c r="Q4294">
        <v>1409</v>
      </c>
      <c r="R4294">
        <v>0</v>
      </c>
    </row>
    <row r="4295" spans="1:18" x14ac:dyDescent="0.25">
      <c r="A4295">
        <v>4294</v>
      </c>
      <c r="B4295">
        <v>94</v>
      </c>
      <c r="C4295">
        <v>28708478</v>
      </c>
      <c r="D4295" t="s">
        <v>192</v>
      </c>
      <c r="E4295">
        <v>8.9109999999999996</v>
      </c>
      <c r="F4295" t="s">
        <v>21</v>
      </c>
      <c r="G4295" t="s">
        <v>26</v>
      </c>
      <c r="H4295" t="s">
        <v>21</v>
      </c>
      <c r="I4295" t="s">
        <v>20</v>
      </c>
      <c r="J4295" t="s">
        <v>20</v>
      </c>
      <c r="K4295" t="s">
        <v>22</v>
      </c>
      <c r="L4295" t="s">
        <v>140</v>
      </c>
      <c r="M4295" t="s">
        <v>125</v>
      </c>
      <c r="N4295">
        <v>40.161113</v>
      </c>
      <c r="O4295">
        <v>-111.613744</v>
      </c>
      <c r="P4295">
        <v>4518.8576670000002</v>
      </c>
      <c r="Q4295">
        <v>1375</v>
      </c>
      <c r="R4295">
        <v>0</v>
      </c>
    </row>
    <row r="4296" spans="1:18" x14ac:dyDescent="0.25">
      <c r="A4296">
        <v>4295</v>
      </c>
      <c r="B4296">
        <v>94</v>
      </c>
      <c r="C4296" t="e">
        <f>-Iov1M0GGne6hgIXhczYnk</f>
        <v>#NAME?</v>
      </c>
      <c r="D4296" t="s">
        <v>176</v>
      </c>
      <c r="E4296">
        <v>8.9179999999999993</v>
      </c>
      <c r="F4296" t="s">
        <v>21</v>
      </c>
      <c r="G4296" t="s">
        <v>26</v>
      </c>
      <c r="H4296" t="s">
        <v>21</v>
      </c>
      <c r="I4296" t="s">
        <v>20</v>
      </c>
      <c r="J4296" t="s">
        <v>20</v>
      </c>
      <c r="K4296" t="s">
        <v>41</v>
      </c>
      <c r="L4296" t="s">
        <v>177</v>
      </c>
      <c r="M4296" t="s">
        <v>178</v>
      </c>
      <c r="N4296">
        <v>41.554184999999997</v>
      </c>
      <c r="O4296">
        <v>-112.12519500000001</v>
      </c>
      <c r="P4296">
        <v>4182.0904860000001</v>
      </c>
      <c r="Q4296">
        <v>1329</v>
      </c>
      <c r="R4296">
        <v>0</v>
      </c>
    </row>
    <row r="4297" spans="1:18" x14ac:dyDescent="0.25">
      <c r="A4297">
        <v>4296</v>
      </c>
      <c r="B4297">
        <v>94</v>
      </c>
      <c r="C4297">
        <v>771118</v>
      </c>
      <c r="D4297" t="s">
        <v>115</v>
      </c>
      <c r="E4297">
        <v>8.9209999999999994</v>
      </c>
      <c r="F4297" t="s">
        <v>21</v>
      </c>
      <c r="G4297" t="s">
        <v>26</v>
      </c>
      <c r="H4297" t="s">
        <v>21</v>
      </c>
      <c r="I4297" t="s">
        <v>20</v>
      </c>
      <c r="J4297" t="s">
        <v>20</v>
      </c>
      <c r="K4297" t="s">
        <v>31</v>
      </c>
      <c r="L4297" t="s">
        <v>69</v>
      </c>
      <c r="M4297" t="s">
        <v>70</v>
      </c>
      <c r="N4297">
        <v>40.654055</v>
      </c>
      <c r="O4297">
        <v>-111.907588</v>
      </c>
      <c r="P4297">
        <v>4233.9924549999996</v>
      </c>
      <c r="Q4297">
        <v>1437</v>
      </c>
      <c r="R4297">
        <v>0</v>
      </c>
    </row>
    <row r="4298" spans="1:18" x14ac:dyDescent="0.25">
      <c r="A4298">
        <v>4297</v>
      </c>
      <c r="B4298">
        <v>94</v>
      </c>
      <c r="C4298">
        <v>1044182</v>
      </c>
      <c r="D4298" t="s">
        <v>171</v>
      </c>
      <c r="E4298">
        <v>8.923</v>
      </c>
      <c r="F4298" t="s">
        <v>21</v>
      </c>
      <c r="G4298" t="s">
        <v>26</v>
      </c>
      <c r="H4298" t="s">
        <v>21</v>
      </c>
      <c r="I4298" t="s">
        <v>20</v>
      </c>
      <c r="J4298" t="s">
        <v>20</v>
      </c>
      <c r="K4298" t="s">
        <v>31</v>
      </c>
      <c r="L4298" t="s">
        <v>362</v>
      </c>
      <c r="M4298" t="s">
        <v>79</v>
      </c>
      <c r="N4298">
        <v>40.699424</v>
      </c>
      <c r="O4298">
        <v>-111.92263800000001</v>
      </c>
      <c r="P4298">
        <v>4181.4566969999996</v>
      </c>
      <c r="Q4298">
        <v>346</v>
      </c>
      <c r="R4298">
        <v>0</v>
      </c>
    </row>
    <row r="4299" spans="1:18" x14ac:dyDescent="0.25">
      <c r="A4299">
        <v>4298</v>
      </c>
      <c r="B4299">
        <v>94</v>
      </c>
      <c r="C4299" t="e">
        <f>-JLzQ4_2Gp5vBiudb_PRbF</f>
        <v>#NAME?</v>
      </c>
      <c r="D4299" t="s">
        <v>322</v>
      </c>
      <c r="E4299">
        <v>8.9239999999999995</v>
      </c>
      <c r="F4299" t="s">
        <v>19</v>
      </c>
      <c r="G4299" t="s">
        <v>20</v>
      </c>
      <c r="H4299" t="s">
        <v>21</v>
      </c>
      <c r="I4299" t="s">
        <v>20</v>
      </c>
      <c r="J4299" t="s">
        <v>20</v>
      </c>
      <c r="K4299" t="s">
        <v>31</v>
      </c>
      <c r="L4299" t="s">
        <v>84</v>
      </c>
      <c r="M4299" t="s">
        <v>24</v>
      </c>
      <c r="N4299">
        <v>40.522537999999997</v>
      </c>
      <c r="O4299">
        <v>-112.004778</v>
      </c>
      <c r="P4299">
        <v>4715.9730049999998</v>
      </c>
      <c r="Q4299">
        <v>6660</v>
      </c>
      <c r="R4299">
        <v>0</v>
      </c>
    </row>
    <row r="4300" spans="1:18" x14ac:dyDescent="0.25">
      <c r="A4300">
        <v>4299</v>
      </c>
      <c r="B4300">
        <v>94</v>
      </c>
      <c r="C4300" t="s">
        <v>656</v>
      </c>
      <c r="D4300" t="s">
        <v>221</v>
      </c>
      <c r="E4300">
        <v>8.9239999999999995</v>
      </c>
      <c r="F4300" t="s">
        <v>21</v>
      </c>
      <c r="G4300" t="s">
        <v>20</v>
      </c>
      <c r="H4300" t="s">
        <v>21</v>
      </c>
      <c r="I4300" t="s">
        <v>20</v>
      </c>
      <c r="J4300" t="s">
        <v>20</v>
      </c>
      <c r="K4300" t="s">
        <v>27</v>
      </c>
      <c r="L4300" t="s">
        <v>350</v>
      </c>
      <c r="M4300" t="s">
        <v>174</v>
      </c>
      <c r="N4300">
        <v>39.274873999999997</v>
      </c>
      <c r="O4300">
        <v>-111.875229</v>
      </c>
      <c r="P4300">
        <v>5073.4649909999998</v>
      </c>
      <c r="Q4300">
        <v>1342</v>
      </c>
      <c r="R4300">
        <v>0</v>
      </c>
    </row>
    <row r="4301" spans="1:18" x14ac:dyDescent="0.25">
      <c r="A4301">
        <v>4300</v>
      </c>
      <c r="B4301">
        <v>94</v>
      </c>
      <c r="C4301">
        <v>540354</v>
      </c>
      <c r="D4301" t="s">
        <v>44</v>
      </c>
      <c r="E4301">
        <v>8.9250000000000007</v>
      </c>
      <c r="F4301" t="s">
        <v>21</v>
      </c>
      <c r="G4301" t="s">
        <v>26</v>
      </c>
      <c r="H4301" t="s">
        <v>21</v>
      </c>
      <c r="I4301" t="s">
        <v>20</v>
      </c>
      <c r="J4301" t="s">
        <v>20</v>
      </c>
      <c r="K4301" t="s">
        <v>41</v>
      </c>
      <c r="L4301" t="s">
        <v>87</v>
      </c>
      <c r="M4301" t="s">
        <v>46</v>
      </c>
      <c r="N4301">
        <v>40.999538000000001</v>
      </c>
      <c r="O4301">
        <v>-111.899253</v>
      </c>
      <c r="P4301">
        <v>4258.9339520000003</v>
      </c>
      <c r="Q4301">
        <v>1395</v>
      </c>
      <c r="R4301">
        <v>0</v>
      </c>
    </row>
    <row r="4302" spans="1:18" x14ac:dyDescent="0.25">
      <c r="A4302">
        <v>4301</v>
      </c>
      <c r="B4302">
        <v>94</v>
      </c>
      <c r="C4302">
        <v>31815951</v>
      </c>
      <c r="D4302" t="s">
        <v>61</v>
      </c>
      <c r="E4302">
        <v>8.9290000000000003</v>
      </c>
      <c r="F4302" t="s">
        <v>21</v>
      </c>
      <c r="G4302" t="s">
        <v>26</v>
      </c>
      <c r="H4302" t="s">
        <v>21</v>
      </c>
      <c r="I4302" t="s">
        <v>20</v>
      </c>
      <c r="J4302" t="s">
        <v>20</v>
      </c>
      <c r="K4302" t="s">
        <v>22</v>
      </c>
      <c r="L4302" t="s">
        <v>60</v>
      </c>
      <c r="M4302" t="s">
        <v>62</v>
      </c>
      <c r="N4302">
        <v>40.328724999999999</v>
      </c>
      <c r="O4302">
        <v>-111.63843900000001</v>
      </c>
      <c r="P4302">
        <v>4864.9820589999999</v>
      </c>
      <c r="Q4302">
        <v>403</v>
      </c>
      <c r="R4302">
        <v>0</v>
      </c>
    </row>
    <row r="4303" spans="1:18" x14ac:dyDescent="0.25">
      <c r="A4303">
        <v>4302</v>
      </c>
      <c r="B4303">
        <v>94</v>
      </c>
      <c r="C4303">
        <v>31811249</v>
      </c>
      <c r="D4303" t="s">
        <v>100</v>
      </c>
      <c r="E4303">
        <v>9.7629999999999999</v>
      </c>
      <c r="F4303" t="s">
        <v>21</v>
      </c>
      <c r="G4303" t="s">
        <v>26</v>
      </c>
      <c r="H4303" t="s">
        <v>21</v>
      </c>
      <c r="I4303" t="s">
        <v>20</v>
      </c>
      <c r="J4303" t="s">
        <v>20</v>
      </c>
      <c r="K4303" t="s">
        <v>41</v>
      </c>
      <c r="L4303" t="s">
        <v>57</v>
      </c>
      <c r="M4303" t="s">
        <v>46</v>
      </c>
      <c r="N4303">
        <v>41.172496000000002</v>
      </c>
      <c r="O4303">
        <v>-112.06444399999999</v>
      </c>
      <c r="P4303">
        <v>4237.8642929999996</v>
      </c>
      <c r="Q4303">
        <v>1396</v>
      </c>
      <c r="R4303">
        <v>0</v>
      </c>
    </row>
    <row r="4304" spans="1:18" x14ac:dyDescent="0.25">
      <c r="A4304">
        <v>4303</v>
      </c>
      <c r="B4304">
        <v>94</v>
      </c>
      <c r="C4304" t="s">
        <v>657</v>
      </c>
      <c r="D4304" t="s">
        <v>208</v>
      </c>
      <c r="E4304">
        <v>7.26</v>
      </c>
      <c r="F4304" t="s">
        <v>19</v>
      </c>
      <c r="G4304" t="s">
        <v>20</v>
      </c>
      <c r="H4304" t="s">
        <v>21</v>
      </c>
      <c r="I4304" t="s">
        <v>20</v>
      </c>
      <c r="J4304" t="s">
        <v>20</v>
      </c>
      <c r="K4304" t="s">
        <v>31</v>
      </c>
      <c r="L4304" t="s">
        <v>209</v>
      </c>
      <c r="M4304" t="s">
        <v>131</v>
      </c>
      <c r="N4304">
        <v>40.675356000000001</v>
      </c>
      <c r="O4304">
        <v>-111.52027</v>
      </c>
      <c r="P4304">
        <v>6650.3387300000004</v>
      </c>
      <c r="Q4304">
        <v>357</v>
      </c>
      <c r="R4304">
        <v>0</v>
      </c>
    </row>
    <row r="4305" spans="1:18" x14ac:dyDescent="0.25">
      <c r="A4305">
        <v>4304</v>
      </c>
      <c r="B4305">
        <v>94</v>
      </c>
      <c r="C4305">
        <v>31719054</v>
      </c>
      <c r="D4305" t="s">
        <v>541</v>
      </c>
      <c r="E4305">
        <v>7.2619999999999996</v>
      </c>
      <c r="F4305" t="s">
        <v>21</v>
      </c>
      <c r="G4305" t="s">
        <v>26</v>
      </c>
      <c r="H4305" t="s">
        <v>21</v>
      </c>
      <c r="I4305" t="s">
        <v>20</v>
      </c>
      <c r="J4305" t="s">
        <v>20</v>
      </c>
      <c r="K4305" t="s">
        <v>27</v>
      </c>
      <c r="L4305" t="s">
        <v>158</v>
      </c>
      <c r="M4305" t="s">
        <v>112</v>
      </c>
      <c r="N4305">
        <v>39.487622999999999</v>
      </c>
      <c r="O4305">
        <v>-110.87260499999999</v>
      </c>
      <c r="P4305">
        <v>5887.8611700000001</v>
      </c>
      <c r="Q4305">
        <v>1406</v>
      </c>
      <c r="R4305">
        <v>0</v>
      </c>
    </row>
    <row r="4306" spans="1:18" x14ac:dyDescent="0.25">
      <c r="A4306">
        <v>4305</v>
      </c>
      <c r="B4306">
        <v>94</v>
      </c>
      <c r="C4306">
        <v>31312332</v>
      </c>
      <c r="D4306" t="s">
        <v>40</v>
      </c>
      <c r="E4306">
        <v>7.2629999999999999</v>
      </c>
      <c r="F4306" t="s">
        <v>21</v>
      </c>
      <c r="G4306" t="s">
        <v>26</v>
      </c>
      <c r="H4306" t="s">
        <v>21</v>
      </c>
      <c r="I4306" t="s">
        <v>20</v>
      </c>
      <c r="J4306" t="s">
        <v>20</v>
      </c>
      <c r="K4306" t="s">
        <v>41</v>
      </c>
      <c r="L4306" t="s">
        <v>42</v>
      </c>
      <c r="M4306" t="s">
        <v>43</v>
      </c>
      <c r="N4306">
        <v>41.630043000000001</v>
      </c>
      <c r="O4306">
        <v>-111.809135</v>
      </c>
      <c r="P4306">
        <v>4676.682272</v>
      </c>
      <c r="Q4306">
        <v>1391</v>
      </c>
      <c r="R4306">
        <v>0</v>
      </c>
    </row>
    <row r="4307" spans="1:18" x14ac:dyDescent="0.25">
      <c r="A4307">
        <v>4306</v>
      </c>
      <c r="B4307">
        <v>94</v>
      </c>
      <c r="C4307">
        <v>571274</v>
      </c>
      <c r="D4307" t="s">
        <v>115</v>
      </c>
      <c r="E4307">
        <v>7.2670000000000003</v>
      </c>
      <c r="F4307" t="s">
        <v>19</v>
      </c>
      <c r="G4307" t="s">
        <v>20</v>
      </c>
      <c r="H4307" t="s">
        <v>19</v>
      </c>
      <c r="I4307">
        <v>68</v>
      </c>
      <c r="J4307" t="s">
        <v>20</v>
      </c>
      <c r="K4307" t="s">
        <v>31</v>
      </c>
      <c r="L4307" t="s">
        <v>48</v>
      </c>
      <c r="M4307" t="s">
        <v>70</v>
      </c>
      <c r="N4307">
        <v>40.653171999999998</v>
      </c>
      <c r="O4307">
        <v>-111.93883700000001</v>
      </c>
      <c r="P4307">
        <v>4276.6866209999998</v>
      </c>
      <c r="Q4307">
        <v>1437</v>
      </c>
      <c r="R4307">
        <v>0</v>
      </c>
    </row>
    <row r="4308" spans="1:18" x14ac:dyDescent="0.25">
      <c r="A4308">
        <v>4307</v>
      </c>
      <c r="B4308">
        <v>94</v>
      </c>
      <c r="C4308" t="e">
        <f>-Iow_qyDFMeR3bZJZqUIsV</f>
        <v>#NAME?</v>
      </c>
      <c r="D4308" t="s">
        <v>323</v>
      </c>
      <c r="E4308">
        <v>7.27</v>
      </c>
      <c r="F4308" t="s">
        <v>21</v>
      </c>
      <c r="G4308" t="s">
        <v>20</v>
      </c>
      <c r="H4308" t="s">
        <v>21</v>
      </c>
      <c r="I4308" t="s">
        <v>20</v>
      </c>
      <c r="J4308" t="s">
        <v>20</v>
      </c>
      <c r="K4308" t="s">
        <v>22</v>
      </c>
      <c r="L4308" t="s">
        <v>35</v>
      </c>
      <c r="M4308" t="s">
        <v>131</v>
      </c>
      <c r="N4308">
        <v>40.600881000000001</v>
      </c>
      <c r="O4308">
        <v>-111.33667699999999</v>
      </c>
      <c r="P4308">
        <v>6204.5839050000004</v>
      </c>
      <c r="Q4308">
        <v>1345</v>
      </c>
      <c r="R4308">
        <v>0</v>
      </c>
    </row>
    <row r="4309" spans="1:18" x14ac:dyDescent="0.25">
      <c r="A4309">
        <v>4308</v>
      </c>
      <c r="B4309">
        <v>94</v>
      </c>
      <c r="C4309">
        <v>1053954</v>
      </c>
      <c r="D4309" t="s">
        <v>127</v>
      </c>
      <c r="E4309">
        <v>7.2759999999999998</v>
      </c>
      <c r="F4309" t="s">
        <v>21</v>
      </c>
      <c r="G4309" t="s">
        <v>26</v>
      </c>
      <c r="H4309" t="s">
        <v>19</v>
      </c>
      <c r="I4309">
        <v>91</v>
      </c>
      <c r="J4309" t="s">
        <v>20</v>
      </c>
      <c r="K4309" t="s">
        <v>41</v>
      </c>
      <c r="L4309" t="s">
        <v>95</v>
      </c>
      <c r="M4309" t="s">
        <v>73</v>
      </c>
      <c r="N4309">
        <v>41.976033000000001</v>
      </c>
      <c r="O4309">
        <v>-111.81285800000001</v>
      </c>
      <c r="P4309">
        <v>4446.1299680000002</v>
      </c>
      <c r="Q4309">
        <v>1364</v>
      </c>
      <c r="R4309">
        <v>0</v>
      </c>
    </row>
    <row r="4310" spans="1:18" x14ac:dyDescent="0.25">
      <c r="A4310">
        <v>4309</v>
      </c>
      <c r="B4310">
        <v>94</v>
      </c>
      <c r="C4310">
        <v>27378217</v>
      </c>
      <c r="D4310" t="s">
        <v>185</v>
      </c>
      <c r="E4310">
        <v>7.28</v>
      </c>
      <c r="F4310" t="s">
        <v>21</v>
      </c>
      <c r="G4310" t="s">
        <v>26</v>
      </c>
      <c r="H4310" t="s">
        <v>21</v>
      </c>
      <c r="I4310" t="s">
        <v>20</v>
      </c>
      <c r="J4310" t="s">
        <v>20</v>
      </c>
      <c r="K4310" t="s">
        <v>41</v>
      </c>
      <c r="L4310" t="s">
        <v>57</v>
      </c>
      <c r="M4310" t="s">
        <v>58</v>
      </c>
      <c r="N4310">
        <v>41.172493000000003</v>
      </c>
      <c r="O4310">
        <v>-112.12267</v>
      </c>
      <c r="P4310">
        <v>4184.0288010000004</v>
      </c>
      <c r="Q4310">
        <v>309</v>
      </c>
      <c r="R4310">
        <v>0</v>
      </c>
    </row>
    <row r="4311" spans="1:18" x14ac:dyDescent="0.25">
      <c r="A4311">
        <v>4310</v>
      </c>
      <c r="B4311">
        <v>94</v>
      </c>
      <c r="C4311">
        <v>31194570</v>
      </c>
      <c r="D4311" t="s">
        <v>126</v>
      </c>
      <c r="E4311">
        <v>7.2809999999999997</v>
      </c>
      <c r="F4311" t="s">
        <v>21</v>
      </c>
      <c r="G4311" t="s">
        <v>26</v>
      </c>
      <c r="H4311" t="s">
        <v>21</v>
      </c>
      <c r="I4311" t="s">
        <v>20</v>
      </c>
      <c r="J4311" t="s">
        <v>20</v>
      </c>
      <c r="K4311" t="s">
        <v>41</v>
      </c>
      <c r="L4311" t="s">
        <v>57</v>
      </c>
      <c r="M4311" t="s">
        <v>93</v>
      </c>
      <c r="N4311">
        <v>41.296643000000003</v>
      </c>
      <c r="O4311">
        <v>-112.092111</v>
      </c>
      <c r="P4311">
        <v>4186.2456819999998</v>
      </c>
      <c r="Q4311">
        <v>1412</v>
      </c>
      <c r="R4311">
        <v>0</v>
      </c>
    </row>
    <row r="4312" spans="1:18" x14ac:dyDescent="0.25">
      <c r="A4312">
        <v>4311</v>
      </c>
      <c r="B4312">
        <v>94</v>
      </c>
      <c r="C4312" t="e">
        <f>-JO3P8zOFH5ir_9ZxfbqWV</f>
        <v>#NAME?</v>
      </c>
      <c r="D4312" t="s">
        <v>393</v>
      </c>
      <c r="E4312">
        <v>7.2830000000000004</v>
      </c>
      <c r="F4312" t="s">
        <v>21</v>
      </c>
      <c r="G4312" t="s">
        <v>26</v>
      </c>
      <c r="H4312" t="s">
        <v>21</v>
      </c>
      <c r="I4312" t="s">
        <v>20</v>
      </c>
      <c r="J4312" t="s">
        <v>20</v>
      </c>
      <c r="K4312" t="s">
        <v>27</v>
      </c>
      <c r="L4312" t="s">
        <v>158</v>
      </c>
      <c r="M4312" t="s">
        <v>190</v>
      </c>
      <c r="N4312">
        <v>39.540295</v>
      </c>
      <c r="O4312">
        <v>-110.40587600000001</v>
      </c>
      <c r="P4312">
        <v>6040.0391410000002</v>
      </c>
      <c r="Q4312">
        <v>333</v>
      </c>
      <c r="R4312">
        <v>0</v>
      </c>
    </row>
    <row r="4313" spans="1:18" x14ac:dyDescent="0.25">
      <c r="A4313">
        <v>4312</v>
      </c>
      <c r="B4313">
        <v>94</v>
      </c>
      <c r="C4313">
        <v>31408492</v>
      </c>
      <c r="D4313" t="s">
        <v>224</v>
      </c>
      <c r="E4313">
        <v>7.569</v>
      </c>
      <c r="F4313" t="s">
        <v>21</v>
      </c>
      <c r="G4313" t="s">
        <v>26</v>
      </c>
      <c r="H4313" t="s">
        <v>21</v>
      </c>
      <c r="I4313" t="s">
        <v>20</v>
      </c>
      <c r="J4313" t="s">
        <v>20</v>
      </c>
      <c r="K4313" t="s">
        <v>22</v>
      </c>
      <c r="L4313" t="s">
        <v>198</v>
      </c>
      <c r="M4313" t="s">
        <v>194</v>
      </c>
      <c r="N4313">
        <v>40.048583000000001</v>
      </c>
      <c r="O4313">
        <v>-111.691821</v>
      </c>
      <c r="P4313">
        <v>4526.9306560000005</v>
      </c>
      <c r="Q4313">
        <v>408</v>
      </c>
      <c r="R4313">
        <v>0</v>
      </c>
    </row>
    <row r="4314" spans="1:18" x14ac:dyDescent="0.25">
      <c r="A4314">
        <v>4313</v>
      </c>
      <c r="B4314">
        <v>94</v>
      </c>
      <c r="C4314">
        <v>31291245</v>
      </c>
      <c r="D4314" t="s">
        <v>126</v>
      </c>
      <c r="E4314">
        <v>7.57</v>
      </c>
      <c r="F4314" t="s">
        <v>21</v>
      </c>
      <c r="G4314" t="s">
        <v>26</v>
      </c>
      <c r="H4314" t="s">
        <v>21</v>
      </c>
      <c r="I4314" t="s">
        <v>20</v>
      </c>
      <c r="J4314" t="s">
        <v>20</v>
      </c>
      <c r="K4314" t="s">
        <v>41</v>
      </c>
      <c r="L4314" t="s">
        <v>57</v>
      </c>
      <c r="M4314" t="s">
        <v>93</v>
      </c>
      <c r="N4314">
        <v>41.298009</v>
      </c>
      <c r="O4314">
        <v>-112.08816899999999</v>
      </c>
      <c r="P4314">
        <v>4186.3058199999996</v>
      </c>
      <c r="Q4314">
        <v>1412</v>
      </c>
      <c r="R4314">
        <v>0</v>
      </c>
    </row>
    <row r="4315" spans="1:18" x14ac:dyDescent="0.25">
      <c r="A4315">
        <v>4314</v>
      </c>
      <c r="B4315">
        <v>94</v>
      </c>
      <c r="C4315">
        <v>31390117</v>
      </c>
      <c r="D4315" t="s">
        <v>184</v>
      </c>
      <c r="E4315">
        <v>7.5709999999999997</v>
      </c>
      <c r="F4315" t="s">
        <v>21</v>
      </c>
      <c r="G4315" t="s">
        <v>26</v>
      </c>
      <c r="H4315" t="s">
        <v>21</v>
      </c>
      <c r="I4315" t="s">
        <v>20</v>
      </c>
      <c r="J4315" t="s">
        <v>20</v>
      </c>
      <c r="K4315" t="s">
        <v>27</v>
      </c>
      <c r="L4315" t="s">
        <v>54</v>
      </c>
      <c r="M4315" t="s">
        <v>55</v>
      </c>
      <c r="N4315">
        <v>37.747686000000002</v>
      </c>
      <c r="O4315">
        <v>-113.055262</v>
      </c>
      <c r="P4315">
        <v>5473.9129620000003</v>
      </c>
      <c r="Q4315">
        <v>1410</v>
      </c>
      <c r="R4315">
        <v>0</v>
      </c>
    </row>
    <row r="4316" spans="1:18" x14ac:dyDescent="0.25">
      <c r="A4316">
        <v>4315</v>
      </c>
      <c r="B4316">
        <v>94</v>
      </c>
      <c r="C4316">
        <v>31817073</v>
      </c>
      <c r="D4316" t="s">
        <v>61</v>
      </c>
      <c r="E4316">
        <v>9.6880000000000006</v>
      </c>
      <c r="F4316" t="s">
        <v>21</v>
      </c>
      <c r="G4316" t="s">
        <v>26</v>
      </c>
      <c r="H4316" t="s">
        <v>21</v>
      </c>
      <c r="I4316" t="s">
        <v>20</v>
      </c>
      <c r="J4316" t="s">
        <v>20</v>
      </c>
      <c r="K4316" t="s">
        <v>22</v>
      </c>
      <c r="L4316" t="s">
        <v>60</v>
      </c>
      <c r="M4316" t="s">
        <v>62</v>
      </c>
      <c r="N4316">
        <v>40.328619000000003</v>
      </c>
      <c r="O4316">
        <v>-111.624647</v>
      </c>
      <c r="P4316">
        <v>4922.2585010000003</v>
      </c>
      <c r="Q4316">
        <v>403</v>
      </c>
      <c r="R4316">
        <v>0</v>
      </c>
    </row>
    <row r="4317" spans="1:18" x14ac:dyDescent="0.25">
      <c r="A4317">
        <v>4316</v>
      </c>
      <c r="B4317">
        <v>94</v>
      </c>
      <c r="C4317">
        <v>31370812</v>
      </c>
      <c r="D4317" t="s">
        <v>345</v>
      </c>
      <c r="E4317">
        <v>9.6950000000000003</v>
      </c>
      <c r="F4317" t="s">
        <v>21</v>
      </c>
      <c r="G4317" t="s">
        <v>26</v>
      </c>
      <c r="H4317" t="s">
        <v>21</v>
      </c>
      <c r="I4317" t="s">
        <v>20</v>
      </c>
      <c r="J4317" t="s">
        <v>20</v>
      </c>
      <c r="K4317" t="s">
        <v>27</v>
      </c>
      <c r="L4317" t="s">
        <v>75</v>
      </c>
      <c r="M4317" t="s">
        <v>76</v>
      </c>
      <c r="N4317">
        <v>38.683435000000003</v>
      </c>
      <c r="O4317">
        <v>-112.12166000000001</v>
      </c>
      <c r="P4317">
        <v>5267.0302410000004</v>
      </c>
      <c r="Q4317">
        <v>1403</v>
      </c>
      <c r="R4317">
        <v>0</v>
      </c>
    </row>
    <row r="4318" spans="1:18" x14ac:dyDescent="0.25">
      <c r="A4318">
        <v>4317</v>
      </c>
      <c r="B4318">
        <v>94</v>
      </c>
      <c r="C4318">
        <v>1471171</v>
      </c>
      <c r="D4318" t="s">
        <v>109</v>
      </c>
      <c r="E4318">
        <v>9.6989999999999998</v>
      </c>
      <c r="F4318" t="s">
        <v>19</v>
      </c>
      <c r="G4318" t="s">
        <v>20</v>
      </c>
      <c r="H4318" t="s">
        <v>21</v>
      </c>
      <c r="I4318" t="s">
        <v>20</v>
      </c>
      <c r="J4318" t="s">
        <v>20</v>
      </c>
      <c r="K4318" t="s">
        <v>41</v>
      </c>
      <c r="L4318" t="s">
        <v>42</v>
      </c>
      <c r="M4318" t="s">
        <v>73</v>
      </c>
      <c r="N4318">
        <v>41.702705000000002</v>
      </c>
      <c r="O4318">
        <v>-111.83488699999999</v>
      </c>
      <c r="P4318">
        <v>4446.9196789999996</v>
      </c>
      <c r="Q4318">
        <v>345</v>
      </c>
      <c r="R4318">
        <v>0</v>
      </c>
    </row>
    <row r="4319" spans="1:18" x14ac:dyDescent="0.25">
      <c r="A4319">
        <v>4318</v>
      </c>
      <c r="B4319">
        <v>94</v>
      </c>
      <c r="C4319">
        <v>31191920</v>
      </c>
      <c r="D4319" t="s">
        <v>310</v>
      </c>
      <c r="E4319">
        <v>9.6999999999999993</v>
      </c>
      <c r="F4319" t="s">
        <v>21</v>
      </c>
      <c r="G4319" t="s">
        <v>26</v>
      </c>
      <c r="H4319" t="s">
        <v>21</v>
      </c>
      <c r="I4319" t="s">
        <v>20</v>
      </c>
      <c r="J4319" t="s">
        <v>20</v>
      </c>
      <c r="K4319" t="s">
        <v>31</v>
      </c>
      <c r="L4319" t="s">
        <v>285</v>
      </c>
      <c r="M4319" t="s">
        <v>206</v>
      </c>
      <c r="N4319">
        <v>40.599957000000003</v>
      </c>
      <c r="O4319">
        <v>-112.47362200000001</v>
      </c>
      <c r="P4319">
        <v>4278.4283020000003</v>
      </c>
      <c r="Q4319">
        <v>1414</v>
      </c>
      <c r="R4319">
        <v>0</v>
      </c>
    </row>
    <row r="4320" spans="1:18" x14ac:dyDescent="0.25">
      <c r="A4320">
        <v>4319</v>
      </c>
      <c r="B4320">
        <v>94</v>
      </c>
      <c r="C4320">
        <v>31859623</v>
      </c>
      <c r="D4320" t="s">
        <v>115</v>
      </c>
      <c r="E4320">
        <v>9.7040000000000006</v>
      </c>
      <c r="F4320" t="s">
        <v>21</v>
      </c>
      <c r="G4320" t="s">
        <v>26</v>
      </c>
      <c r="H4320" t="s">
        <v>21</v>
      </c>
      <c r="I4320" t="s">
        <v>20</v>
      </c>
      <c r="J4320" t="s">
        <v>20</v>
      </c>
      <c r="K4320" t="s">
        <v>31</v>
      </c>
      <c r="L4320" t="s">
        <v>69</v>
      </c>
      <c r="M4320" t="s">
        <v>70</v>
      </c>
      <c r="N4320">
        <v>40.655800999999997</v>
      </c>
      <c r="O4320">
        <v>-111.892911</v>
      </c>
      <c r="P4320">
        <v>4260.9361019999997</v>
      </c>
      <c r="Q4320">
        <v>1437</v>
      </c>
      <c r="R4320">
        <v>0</v>
      </c>
    </row>
    <row r="4321" spans="1:18" x14ac:dyDescent="0.25">
      <c r="A4321">
        <v>4320</v>
      </c>
      <c r="B4321">
        <v>94</v>
      </c>
      <c r="C4321">
        <v>31296651</v>
      </c>
      <c r="D4321" t="s">
        <v>338</v>
      </c>
      <c r="E4321">
        <v>9.7129999999999992</v>
      </c>
      <c r="F4321" t="s">
        <v>21</v>
      </c>
      <c r="G4321" t="s">
        <v>20</v>
      </c>
      <c r="H4321" t="s">
        <v>21</v>
      </c>
      <c r="I4321" t="s">
        <v>20</v>
      </c>
      <c r="J4321" t="s">
        <v>20</v>
      </c>
      <c r="K4321" t="s">
        <v>27</v>
      </c>
      <c r="L4321" t="s">
        <v>72</v>
      </c>
      <c r="M4321" t="s">
        <v>73</v>
      </c>
      <c r="N4321">
        <v>37.095336000000003</v>
      </c>
      <c r="O4321">
        <v>-113.12025</v>
      </c>
      <c r="P4321">
        <v>4713.556313</v>
      </c>
      <c r="Q4321">
        <v>315</v>
      </c>
      <c r="R4321">
        <v>0</v>
      </c>
    </row>
    <row r="4322" spans="1:18" x14ac:dyDescent="0.25">
      <c r="A4322">
        <v>4321</v>
      </c>
      <c r="B4322">
        <v>94</v>
      </c>
      <c r="C4322">
        <v>1505024</v>
      </c>
      <c r="D4322" t="s">
        <v>88</v>
      </c>
      <c r="E4322">
        <v>9.7189999999999994</v>
      </c>
      <c r="F4322" t="s">
        <v>19</v>
      </c>
      <c r="G4322" t="s">
        <v>20</v>
      </c>
      <c r="H4322" t="s">
        <v>21</v>
      </c>
      <c r="I4322" t="s">
        <v>20</v>
      </c>
      <c r="J4322" t="s">
        <v>20</v>
      </c>
      <c r="K4322" t="s">
        <v>31</v>
      </c>
      <c r="L4322" t="s">
        <v>89</v>
      </c>
      <c r="M4322" t="s">
        <v>90</v>
      </c>
      <c r="N4322">
        <v>40.580644999999997</v>
      </c>
      <c r="O4322">
        <v>-111.87224000000001</v>
      </c>
      <c r="P4322">
        <v>4466.0842199999997</v>
      </c>
      <c r="Q4322">
        <v>318</v>
      </c>
      <c r="R4322">
        <v>0</v>
      </c>
    </row>
    <row r="4323" spans="1:18" x14ac:dyDescent="0.25">
      <c r="A4323">
        <v>4322</v>
      </c>
      <c r="B4323">
        <v>94</v>
      </c>
      <c r="C4323">
        <v>31306291</v>
      </c>
      <c r="D4323" t="s">
        <v>251</v>
      </c>
      <c r="E4323">
        <v>9.7289999999999992</v>
      </c>
      <c r="F4323" t="s">
        <v>21</v>
      </c>
      <c r="G4323" t="s">
        <v>26</v>
      </c>
      <c r="H4323" t="s">
        <v>21</v>
      </c>
      <c r="I4323" t="s">
        <v>20</v>
      </c>
      <c r="J4323" t="s">
        <v>20</v>
      </c>
      <c r="K4323" t="s">
        <v>27</v>
      </c>
      <c r="L4323" t="s">
        <v>165</v>
      </c>
      <c r="M4323" t="s">
        <v>166</v>
      </c>
      <c r="N4323">
        <v>39.052202000000001</v>
      </c>
      <c r="O4323">
        <v>-112.40980500000001</v>
      </c>
      <c r="P4323">
        <v>4604.8427780000002</v>
      </c>
      <c r="Q4323">
        <v>326</v>
      </c>
      <c r="R4323">
        <v>0</v>
      </c>
    </row>
    <row r="4324" spans="1:18" x14ac:dyDescent="0.25">
      <c r="A4324">
        <v>4323</v>
      </c>
      <c r="B4324">
        <v>94</v>
      </c>
      <c r="C4324">
        <v>31527808</v>
      </c>
      <c r="D4324" t="s">
        <v>231</v>
      </c>
      <c r="E4324">
        <v>9.7309999999999999</v>
      </c>
      <c r="F4324" t="s">
        <v>19</v>
      </c>
      <c r="G4324" t="s">
        <v>20</v>
      </c>
      <c r="H4324" t="s">
        <v>21</v>
      </c>
      <c r="I4324" t="s">
        <v>20</v>
      </c>
      <c r="J4324" t="s">
        <v>20</v>
      </c>
      <c r="K4324" t="s">
        <v>41</v>
      </c>
      <c r="L4324" t="s">
        <v>57</v>
      </c>
      <c r="M4324" t="s">
        <v>93</v>
      </c>
      <c r="N4324">
        <v>41.176189000000001</v>
      </c>
      <c r="O4324">
        <v>-112.02598999999999</v>
      </c>
      <c r="P4324">
        <v>4466.8716469999999</v>
      </c>
      <c r="Q4324">
        <v>1409</v>
      </c>
      <c r="R4324">
        <v>0</v>
      </c>
    </row>
    <row r="4325" spans="1:18" x14ac:dyDescent="0.25">
      <c r="A4325">
        <v>4324</v>
      </c>
      <c r="B4325">
        <v>94</v>
      </c>
      <c r="C4325">
        <v>31534282</v>
      </c>
      <c r="D4325" t="s">
        <v>412</v>
      </c>
      <c r="E4325">
        <v>9.7420000000000009</v>
      </c>
      <c r="F4325" t="s">
        <v>21</v>
      </c>
      <c r="G4325" t="s">
        <v>26</v>
      </c>
      <c r="H4325" t="s">
        <v>21</v>
      </c>
      <c r="I4325" t="s">
        <v>20</v>
      </c>
      <c r="J4325" t="s">
        <v>20</v>
      </c>
      <c r="K4325" t="s">
        <v>27</v>
      </c>
      <c r="L4325" t="s">
        <v>173</v>
      </c>
      <c r="M4325" t="s">
        <v>267</v>
      </c>
      <c r="N4325">
        <v>39.381546999999998</v>
      </c>
      <c r="O4325">
        <v>-112.33604699999999</v>
      </c>
      <c r="P4325">
        <v>4996.8076709999996</v>
      </c>
      <c r="Q4325">
        <v>1408</v>
      </c>
      <c r="R4325">
        <v>0</v>
      </c>
    </row>
    <row r="4326" spans="1:18" x14ac:dyDescent="0.25">
      <c r="A4326">
        <v>4325</v>
      </c>
      <c r="B4326">
        <v>94</v>
      </c>
      <c r="C4326">
        <v>31391277</v>
      </c>
      <c r="D4326" t="s">
        <v>124</v>
      </c>
      <c r="E4326">
        <v>9.7449999999999992</v>
      </c>
      <c r="F4326" t="s">
        <v>21</v>
      </c>
      <c r="G4326" t="s">
        <v>26</v>
      </c>
      <c r="H4326" t="s">
        <v>21</v>
      </c>
      <c r="I4326" t="s">
        <v>20</v>
      </c>
      <c r="J4326" t="s">
        <v>20</v>
      </c>
      <c r="K4326" t="s">
        <v>22</v>
      </c>
      <c r="L4326" t="s">
        <v>193</v>
      </c>
      <c r="M4326" t="s">
        <v>194</v>
      </c>
      <c r="N4326">
        <v>40.093435999999997</v>
      </c>
      <c r="O4326">
        <v>-111.95894800000001</v>
      </c>
      <c r="P4326">
        <v>4524.8807530000004</v>
      </c>
      <c r="Q4326">
        <v>1368</v>
      </c>
      <c r="R4326">
        <v>0</v>
      </c>
    </row>
    <row r="4327" spans="1:18" x14ac:dyDescent="0.25">
      <c r="A4327">
        <v>4326</v>
      </c>
      <c r="B4327">
        <v>94</v>
      </c>
      <c r="C4327" t="e">
        <f>-JLnZ-gTFHPHu9m7LsIAlk</f>
        <v>#NAME?</v>
      </c>
      <c r="D4327" t="s">
        <v>306</v>
      </c>
      <c r="E4327">
        <v>8.8490000000000002</v>
      </c>
      <c r="F4327" t="s">
        <v>21</v>
      </c>
      <c r="G4327" t="s">
        <v>20</v>
      </c>
      <c r="H4327" t="s">
        <v>21</v>
      </c>
      <c r="I4327" t="s">
        <v>20</v>
      </c>
      <c r="J4327" t="s">
        <v>20</v>
      </c>
      <c r="K4327" t="s">
        <v>27</v>
      </c>
      <c r="L4327" t="s">
        <v>307</v>
      </c>
      <c r="M4327" t="s">
        <v>82</v>
      </c>
      <c r="N4327">
        <v>39.684871999999999</v>
      </c>
      <c r="O4327">
        <v>-111.247766</v>
      </c>
      <c r="P4327">
        <v>8685.0789499999992</v>
      </c>
      <c r="Q4327">
        <v>430</v>
      </c>
      <c r="R4327">
        <v>0</v>
      </c>
    </row>
    <row r="4328" spans="1:18" x14ac:dyDescent="0.25">
      <c r="A4328">
        <v>4327</v>
      </c>
      <c r="B4328">
        <v>94</v>
      </c>
      <c r="C4328">
        <v>31779322</v>
      </c>
      <c r="D4328" t="s">
        <v>118</v>
      </c>
      <c r="E4328">
        <v>89.436000000000007</v>
      </c>
      <c r="F4328" t="s">
        <v>21</v>
      </c>
      <c r="G4328" t="s">
        <v>26</v>
      </c>
      <c r="H4328" t="s">
        <v>21</v>
      </c>
      <c r="I4328" t="s">
        <v>20</v>
      </c>
      <c r="J4328" t="s">
        <v>20</v>
      </c>
      <c r="K4328" t="s">
        <v>22</v>
      </c>
      <c r="L4328" t="s">
        <v>253</v>
      </c>
      <c r="M4328" t="s">
        <v>169</v>
      </c>
      <c r="N4328">
        <v>40.169749000000003</v>
      </c>
      <c r="O4328">
        <v>-110.34967399999999</v>
      </c>
      <c r="P4328">
        <v>5492.2433309999997</v>
      </c>
      <c r="Q4328">
        <v>310</v>
      </c>
      <c r="R4328">
        <v>0</v>
      </c>
    </row>
    <row r="4329" spans="1:18" x14ac:dyDescent="0.25">
      <c r="A4329">
        <v>4328</v>
      </c>
      <c r="B4329">
        <v>94</v>
      </c>
      <c r="C4329" t="e">
        <f>-IpQLT7KHNeRribKiHBfYk</f>
        <v>#NAME?</v>
      </c>
      <c r="D4329" t="s">
        <v>77</v>
      </c>
      <c r="E4329">
        <v>6.2030000000000003</v>
      </c>
      <c r="F4329" t="s">
        <v>21</v>
      </c>
      <c r="G4329" t="s">
        <v>26</v>
      </c>
      <c r="H4329" t="s">
        <v>21</v>
      </c>
      <c r="I4329" t="s">
        <v>20</v>
      </c>
      <c r="J4329" t="s">
        <v>20</v>
      </c>
      <c r="K4329" t="s">
        <v>31</v>
      </c>
      <c r="L4329" t="s">
        <v>78</v>
      </c>
      <c r="M4329" t="s">
        <v>79</v>
      </c>
      <c r="N4329">
        <v>40.728535999999998</v>
      </c>
      <c r="O4329">
        <v>-112.024878</v>
      </c>
      <c r="P4329">
        <v>4186.0251319999998</v>
      </c>
      <c r="Q4329">
        <v>1436</v>
      </c>
      <c r="R4329">
        <v>0</v>
      </c>
    </row>
    <row r="4330" spans="1:18" x14ac:dyDescent="0.25">
      <c r="A4330">
        <v>4329</v>
      </c>
      <c r="B4330">
        <v>94</v>
      </c>
      <c r="C4330" t="s">
        <v>658</v>
      </c>
      <c r="D4330" t="s">
        <v>323</v>
      </c>
      <c r="E4330">
        <v>6.2080000000000002</v>
      </c>
      <c r="F4330" t="s">
        <v>21</v>
      </c>
      <c r="G4330" t="s">
        <v>20</v>
      </c>
      <c r="H4330" t="s">
        <v>21</v>
      </c>
      <c r="I4330" t="s">
        <v>20</v>
      </c>
      <c r="J4330" t="s">
        <v>20</v>
      </c>
      <c r="K4330" t="s">
        <v>22</v>
      </c>
      <c r="L4330" t="s">
        <v>35</v>
      </c>
      <c r="M4330" t="s">
        <v>131</v>
      </c>
      <c r="N4330">
        <v>40.596175000000002</v>
      </c>
      <c r="O4330">
        <v>-111.355296</v>
      </c>
      <c r="P4330">
        <v>6455.2961960000002</v>
      </c>
      <c r="Q4330">
        <v>1345</v>
      </c>
      <c r="R4330">
        <v>0</v>
      </c>
    </row>
    <row r="4331" spans="1:18" x14ac:dyDescent="0.25">
      <c r="A4331">
        <v>4330</v>
      </c>
      <c r="B4331">
        <v>94</v>
      </c>
      <c r="C4331">
        <v>31312016</v>
      </c>
      <c r="D4331" t="s">
        <v>40</v>
      </c>
      <c r="E4331">
        <v>6.2089999999999996</v>
      </c>
      <c r="F4331" t="s">
        <v>21</v>
      </c>
      <c r="G4331" t="s">
        <v>26</v>
      </c>
      <c r="H4331" t="s">
        <v>21</v>
      </c>
      <c r="I4331" t="s">
        <v>20</v>
      </c>
      <c r="J4331" t="s">
        <v>20</v>
      </c>
      <c r="K4331" t="s">
        <v>41</v>
      </c>
      <c r="L4331" t="s">
        <v>42</v>
      </c>
      <c r="M4331" t="s">
        <v>43</v>
      </c>
      <c r="N4331">
        <v>41.634326999999999</v>
      </c>
      <c r="O4331">
        <v>-111.827275</v>
      </c>
      <c r="P4331">
        <v>4748.0929580000002</v>
      </c>
      <c r="Q4331">
        <v>1391</v>
      </c>
      <c r="R4331">
        <v>0</v>
      </c>
    </row>
    <row r="4332" spans="1:18" x14ac:dyDescent="0.25">
      <c r="A4332">
        <v>4331</v>
      </c>
      <c r="B4332">
        <v>94</v>
      </c>
      <c r="C4332" t="s">
        <v>659</v>
      </c>
      <c r="D4332" t="s">
        <v>304</v>
      </c>
      <c r="E4332">
        <v>6.2130000000000001</v>
      </c>
      <c r="F4332" t="s">
        <v>21</v>
      </c>
      <c r="G4332" t="s">
        <v>20</v>
      </c>
      <c r="H4332" t="s">
        <v>21</v>
      </c>
      <c r="I4332" t="s">
        <v>20</v>
      </c>
      <c r="J4332" t="s">
        <v>20</v>
      </c>
      <c r="K4332" t="s">
        <v>41</v>
      </c>
      <c r="L4332" t="s">
        <v>177</v>
      </c>
      <c r="M4332" t="s">
        <v>43</v>
      </c>
      <c r="N4332">
        <v>41.608353999999999</v>
      </c>
      <c r="O4332">
        <v>-112.06037999999999</v>
      </c>
      <c r="P4332">
        <v>4229.7628370000002</v>
      </c>
      <c r="Q4332">
        <v>1348</v>
      </c>
      <c r="R4332">
        <v>0</v>
      </c>
    </row>
    <row r="4333" spans="1:18" x14ac:dyDescent="0.25">
      <c r="A4333">
        <v>4332</v>
      </c>
      <c r="B4333">
        <v>94</v>
      </c>
      <c r="C4333">
        <v>31581662</v>
      </c>
      <c r="D4333" t="s">
        <v>172</v>
      </c>
      <c r="E4333">
        <v>52.021999999999998</v>
      </c>
      <c r="F4333" t="s">
        <v>21</v>
      </c>
      <c r="G4333" t="s">
        <v>26</v>
      </c>
      <c r="H4333" t="s">
        <v>21</v>
      </c>
      <c r="I4333" t="s">
        <v>20</v>
      </c>
      <c r="J4333" t="s">
        <v>20</v>
      </c>
      <c r="K4333" t="s">
        <v>27</v>
      </c>
      <c r="L4333" t="s">
        <v>230</v>
      </c>
      <c r="M4333" t="s">
        <v>174</v>
      </c>
      <c r="N4333">
        <v>39.567731000000002</v>
      </c>
      <c r="O4333">
        <v>-111.60567899999999</v>
      </c>
      <c r="P4333">
        <v>5521.7113669999999</v>
      </c>
      <c r="Q4333">
        <v>1411</v>
      </c>
      <c r="R4333">
        <v>0</v>
      </c>
    </row>
    <row r="4334" spans="1:18" x14ac:dyDescent="0.25">
      <c r="A4334">
        <v>4333</v>
      </c>
      <c r="B4334">
        <v>94</v>
      </c>
      <c r="C4334">
        <v>31195741</v>
      </c>
      <c r="D4334" t="s">
        <v>126</v>
      </c>
      <c r="E4334">
        <v>9.1859999999999999</v>
      </c>
      <c r="F4334" t="s">
        <v>21</v>
      </c>
      <c r="G4334" t="s">
        <v>26</v>
      </c>
      <c r="H4334" t="s">
        <v>21</v>
      </c>
      <c r="I4334" t="s">
        <v>20</v>
      </c>
      <c r="J4334" t="s">
        <v>20</v>
      </c>
      <c r="K4334" t="s">
        <v>41</v>
      </c>
      <c r="L4334" t="s">
        <v>57</v>
      </c>
      <c r="M4334" t="s">
        <v>93</v>
      </c>
      <c r="N4334">
        <v>41.305160999999998</v>
      </c>
      <c r="O4334">
        <v>-112.06663</v>
      </c>
      <c r="P4334">
        <v>4186.0607040000004</v>
      </c>
      <c r="Q4334">
        <v>1412</v>
      </c>
      <c r="R4334">
        <v>0</v>
      </c>
    </row>
    <row r="4335" spans="1:18" x14ac:dyDescent="0.25">
      <c r="A4335">
        <v>4334</v>
      </c>
      <c r="B4335">
        <v>94</v>
      </c>
      <c r="C4335">
        <v>27378872</v>
      </c>
      <c r="D4335" t="s">
        <v>185</v>
      </c>
      <c r="E4335">
        <v>9.1920000000000002</v>
      </c>
      <c r="F4335" t="s">
        <v>21</v>
      </c>
      <c r="G4335" t="s">
        <v>26</v>
      </c>
      <c r="H4335" t="s">
        <v>21</v>
      </c>
      <c r="I4335" t="s">
        <v>20</v>
      </c>
      <c r="J4335" t="s">
        <v>20</v>
      </c>
      <c r="K4335" t="s">
        <v>41</v>
      </c>
      <c r="L4335" t="s">
        <v>57</v>
      </c>
      <c r="M4335" t="s">
        <v>58</v>
      </c>
      <c r="N4335">
        <v>41.190728</v>
      </c>
      <c r="O4335">
        <v>-112.108968</v>
      </c>
      <c r="P4335">
        <v>4183.0916090000001</v>
      </c>
      <c r="Q4335">
        <v>309</v>
      </c>
      <c r="R4335">
        <v>0</v>
      </c>
    </row>
    <row r="4336" spans="1:18" x14ac:dyDescent="0.25">
      <c r="A4336">
        <v>4335</v>
      </c>
      <c r="B4336">
        <v>94</v>
      </c>
      <c r="C4336">
        <v>31531317</v>
      </c>
      <c r="D4336" t="s">
        <v>228</v>
      </c>
      <c r="E4336">
        <v>9.2089999999999996</v>
      </c>
      <c r="F4336" t="s">
        <v>21</v>
      </c>
      <c r="G4336" t="s">
        <v>26</v>
      </c>
      <c r="H4336" t="s">
        <v>21</v>
      </c>
      <c r="I4336" t="s">
        <v>20</v>
      </c>
      <c r="J4336" t="s">
        <v>20</v>
      </c>
      <c r="K4336" t="s">
        <v>22</v>
      </c>
      <c r="L4336" t="s">
        <v>155</v>
      </c>
      <c r="M4336" t="s">
        <v>76</v>
      </c>
      <c r="N4336">
        <v>39.558821000000002</v>
      </c>
      <c r="O4336">
        <v>-111.867696</v>
      </c>
      <c r="P4336">
        <v>5233.0081270000001</v>
      </c>
      <c r="Q4336">
        <v>320</v>
      </c>
      <c r="R4336">
        <v>0</v>
      </c>
    </row>
    <row r="4337" spans="1:18" x14ac:dyDescent="0.25">
      <c r="A4337">
        <v>4336</v>
      </c>
      <c r="B4337">
        <v>94</v>
      </c>
      <c r="C4337">
        <v>1504080</v>
      </c>
      <c r="D4337" t="s">
        <v>88</v>
      </c>
      <c r="E4337">
        <v>9.2110000000000003</v>
      </c>
      <c r="F4337" t="s">
        <v>19</v>
      </c>
      <c r="G4337" t="s">
        <v>20</v>
      </c>
      <c r="H4337" t="s">
        <v>21</v>
      </c>
      <c r="I4337" t="s">
        <v>20</v>
      </c>
      <c r="J4337" t="s">
        <v>20</v>
      </c>
      <c r="K4337" t="s">
        <v>31</v>
      </c>
      <c r="L4337" t="s">
        <v>89</v>
      </c>
      <c r="M4337" t="s">
        <v>90</v>
      </c>
      <c r="N4337">
        <v>40.573259999999998</v>
      </c>
      <c r="O4337">
        <v>-111.872179</v>
      </c>
      <c r="P4337">
        <v>4466.2327800000003</v>
      </c>
      <c r="Q4337">
        <v>318</v>
      </c>
      <c r="R4337">
        <v>0</v>
      </c>
    </row>
    <row r="4338" spans="1:18" x14ac:dyDescent="0.25">
      <c r="A4338">
        <v>4337</v>
      </c>
      <c r="B4338">
        <v>94</v>
      </c>
      <c r="C4338">
        <v>31858902</v>
      </c>
      <c r="D4338" t="s">
        <v>115</v>
      </c>
      <c r="E4338">
        <v>9.2149999999999999</v>
      </c>
      <c r="F4338" t="s">
        <v>19</v>
      </c>
      <c r="G4338" t="s">
        <v>20</v>
      </c>
      <c r="H4338" t="s">
        <v>21</v>
      </c>
      <c r="I4338" t="s">
        <v>20</v>
      </c>
      <c r="J4338" t="s">
        <v>20</v>
      </c>
      <c r="K4338" t="s">
        <v>31</v>
      </c>
      <c r="L4338" t="s">
        <v>69</v>
      </c>
      <c r="M4338" t="s">
        <v>70</v>
      </c>
      <c r="N4338">
        <v>40.654722</v>
      </c>
      <c r="O4338">
        <v>-111.902113</v>
      </c>
      <c r="P4338">
        <v>4253.3489220000001</v>
      </c>
      <c r="Q4338">
        <v>1437</v>
      </c>
      <c r="R4338">
        <v>0</v>
      </c>
    </row>
    <row r="4339" spans="1:18" x14ac:dyDescent="0.25">
      <c r="A4339">
        <v>4338</v>
      </c>
      <c r="B4339">
        <v>94</v>
      </c>
      <c r="C4339">
        <v>31278712</v>
      </c>
      <c r="D4339" t="s">
        <v>77</v>
      </c>
      <c r="E4339">
        <v>9.2170000000000005</v>
      </c>
      <c r="F4339" t="s">
        <v>19</v>
      </c>
      <c r="G4339" t="s">
        <v>20</v>
      </c>
      <c r="H4339" t="s">
        <v>21</v>
      </c>
      <c r="I4339" t="s">
        <v>20</v>
      </c>
      <c r="J4339" t="s">
        <v>20</v>
      </c>
      <c r="K4339" t="s">
        <v>31</v>
      </c>
      <c r="L4339" t="s">
        <v>78</v>
      </c>
      <c r="M4339" t="s">
        <v>79</v>
      </c>
      <c r="N4339">
        <v>40.772174</v>
      </c>
      <c r="O4339">
        <v>-112.025053</v>
      </c>
      <c r="P4339">
        <v>4188.191793</v>
      </c>
      <c r="Q4339">
        <v>1436</v>
      </c>
      <c r="R4339">
        <v>0</v>
      </c>
    </row>
    <row r="4340" spans="1:18" x14ac:dyDescent="0.25">
      <c r="A4340">
        <v>4339</v>
      </c>
      <c r="B4340">
        <v>94</v>
      </c>
      <c r="C4340">
        <v>807329</v>
      </c>
      <c r="D4340" t="s">
        <v>236</v>
      </c>
      <c r="E4340">
        <v>9.218</v>
      </c>
      <c r="F4340" t="s">
        <v>21</v>
      </c>
      <c r="G4340" t="s">
        <v>26</v>
      </c>
      <c r="H4340" t="s">
        <v>21</v>
      </c>
      <c r="I4340" t="s">
        <v>20</v>
      </c>
      <c r="J4340" t="s">
        <v>20</v>
      </c>
      <c r="K4340" t="s">
        <v>31</v>
      </c>
      <c r="L4340" t="s">
        <v>78</v>
      </c>
      <c r="M4340" t="s">
        <v>79</v>
      </c>
      <c r="N4340">
        <v>40.698155</v>
      </c>
      <c r="O4340">
        <v>-112.091815</v>
      </c>
      <c r="P4340">
        <v>4336.189343</v>
      </c>
      <c r="Q4340">
        <v>1398</v>
      </c>
      <c r="R4340">
        <v>0</v>
      </c>
    </row>
    <row r="4341" spans="1:18" x14ac:dyDescent="0.25">
      <c r="A4341">
        <v>4340</v>
      </c>
      <c r="B4341">
        <v>94</v>
      </c>
      <c r="C4341">
        <v>565588</v>
      </c>
      <c r="D4341" t="s">
        <v>115</v>
      </c>
      <c r="E4341">
        <v>6.266</v>
      </c>
      <c r="F4341" t="s">
        <v>19</v>
      </c>
      <c r="G4341" t="s">
        <v>20</v>
      </c>
      <c r="H4341" t="s">
        <v>21</v>
      </c>
      <c r="I4341" t="s">
        <v>20</v>
      </c>
      <c r="J4341" t="s">
        <v>20</v>
      </c>
      <c r="K4341" t="s">
        <v>31</v>
      </c>
      <c r="L4341" t="s">
        <v>48</v>
      </c>
      <c r="M4341" t="s">
        <v>70</v>
      </c>
      <c r="N4341">
        <v>40.653092000000001</v>
      </c>
      <c r="O4341">
        <v>-111.957877</v>
      </c>
      <c r="P4341">
        <v>4348.9642940000003</v>
      </c>
      <c r="Q4341">
        <v>1437</v>
      </c>
      <c r="R4341">
        <v>0</v>
      </c>
    </row>
    <row r="4342" spans="1:18" x14ac:dyDescent="0.25">
      <c r="A4342">
        <v>4341</v>
      </c>
      <c r="B4342">
        <v>94</v>
      </c>
      <c r="C4342">
        <v>31646516</v>
      </c>
      <c r="D4342" t="s">
        <v>88</v>
      </c>
      <c r="E4342">
        <v>6.2729999999999997</v>
      </c>
      <c r="F4342" t="s">
        <v>21</v>
      </c>
      <c r="G4342" t="s">
        <v>26</v>
      </c>
      <c r="H4342" t="s">
        <v>21</v>
      </c>
      <c r="I4342" t="s">
        <v>20</v>
      </c>
      <c r="J4342" t="s">
        <v>20</v>
      </c>
      <c r="K4342" t="s">
        <v>31</v>
      </c>
      <c r="L4342" t="s">
        <v>89</v>
      </c>
      <c r="M4342" t="s">
        <v>90</v>
      </c>
      <c r="N4342">
        <v>40.530723999999999</v>
      </c>
      <c r="O4342">
        <v>-111.871206</v>
      </c>
      <c r="P4342">
        <v>4420.3223090000001</v>
      </c>
      <c r="Q4342">
        <v>318</v>
      </c>
      <c r="R4342">
        <v>0</v>
      </c>
    </row>
    <row r="4343" spans="1:18" x14ac:dyDescent="0.25">
      <c r="A4343">
        <v>4342</v>
      </c>
      <c r="B4343">
        <v>94</v>
      </c>
      <c r="C4343">
        <v>31394898</v>
      </c>
      <c r="D4343" t="s">
        <v>114</v>
      </c>
      <c r="E4343">
        <v>6.282</v>
      </c>
      <c r="F4343" t="s">
        <v>21</v>
      </c>
      <c r="G4343" t="s">
        <v>26</v>
      </c>
      <c r="H4343" t="s">
        <v>21</v>
      </c>
      <c r="I4343" t="s">
        <v>20</v>
      </c>
      <c r="J4343" t="s">
        <v>20</v>
      </c>
      <c r="K4343" t="s">
        <v>41</v>
      </c>
      <c r="L4343" t="s">
        <v>87</v>
      </c>
      <c r="M4343" t="s">
        <v>82</v>
      </c>
      <c r="N4343">
        <v>41.102274999999999</v>
      </c>
      <c r="O4343">
        <v>-111.948286</v>
      </c>
      <c r="P4343">
        <v>4734.3542969999999</v>
      </c>
      <c r="Q4343">
        <v>405</v>
      </c>
      <c r="R4343">
        <v>0</v>
      </c>
    </row>
    <row r="4344" spans="1:18" x14ac:dyDescent="0.25">
      <c r="A4344">
        <v>4343</v>
      </c>
      <c r="B4344">
        <v>94</v>
      </c>
      <c r="C4344">
        <v>27867462</v>
      </c>
      <c r="D4344" t="s">
        <v>91</v>
      </c>
      <c r="E4344">
        <v>6.2850000000000001</v>
      </c>
      <c r="F4344" t="s">
        <v>21</v>
      </c>
      <c r="G4344" t="s">
        <v>26</v>
      </c>
      <c r="H4344" t="s">
        <v>21</v>
      </c>
      <c r="I4344" t="s">
        <v>20</v>
      </c>
      <c r="J4344" t="s">
        <v>20</v>
      </c>
      <c r="K4344" t="s">
        <v>41</v>
      </c>
      <c r="L4344" t="s">
        <v>42</v>
      </c>
      <c r="M4344" t="s">
        <v>73</v>
      </c>
      <c r="N4344">
        <v>41.697108</v>
      </c>
      <c r="O4344">
        <v>-111.97426400000001</v>
      </c>
      <c r="P4344">
        <v>4443.6693299999997</v>
      </c>
      <c r="Q4344">
        <v>1339</v>
      </c>
      <c r="R4344">
        <v>0</v>
      </c>
    </row>
    <row r="4345" spans="1:18" x14ac:dyDescent="0.25">
      <c r="A4345">
        <v>4344</v>
      </c>
      <c r="B4345">
        <v>94</v>
      </c>
      <c r="C4345">
        <v>535663</v>
      </c>
      <c r="D4345" t="s">
        <v>44</v>
      </c>
      <c r="E4345">
        <v>6.2910000000000004</v>
      </c>
      <c r="F4345" t="s">
        <v>21</v>
      </c>
      <c r="G4345" t="s">
        <v>26</v>
      </c>
      <c r="H4345" t="s">
        <v>21</v>
      </c>
      <c r="I4345" t="s">
        <v>20</v>
      </c>
      <c r="J4345" t="s">
        <v>20</v>
      </c>
      <c r="K4345" t="s">
        <v>41</v>
      </c>
      <c r="L4345" t="s">
        <v>87</v>
      </c>
      <c r="M4345" t="s">
        <v>46</v>
      </c>
      <c r="N4345">
        <v>40.968142</v>
      </c>
      <c r="O4345">
        <v>-111.883387</v>
      </c>
      <c r="P4345">
        <v>4277.6408700000002</v>
      </c>
      <c r="Q4345">
        <v>1395</v>
      </c>
      <c r="R4345">
        <v>0</v>
      </c>
    </row>
    <row r="4346" spans="1:18" x14ac:dyDescent="0.25">
      <c r="A4346">
        <v>4345</v>
      </c>
      <c r="B4346">
        <v>94</v>
      </c>
      <c r="C4346">
        <v>31761082</v>
      </c>
      <c r="D4346" t="s">
        <v>68</v>
      </c>
      <c r="E4346">
        <v>6.2960000000000003</v>
      </c>
      <c r="F4346" t="s">
        <v>21</v>
      </c>
      <c r="G4346" t="s">
        <v>20</v>
      </c>
      <c r="H4346" t="s">
        <v>21</v>
      </c>
      <c r="I4346" t="s">
        <v>20</v>
      </c>
      <c r="J4346" t="s">
        <v>20</v>
      </c>
      <c r="K4346" t="s">
        <v>31</v>
      </c>
      <c r="L4346" t="s">
        <v>32</v>
      </c>
      <c r="M4346" t="s">
        <v>70</v>
      </c>
      <c r="N4346">
        <v>40.674266000000003</v>
      </c>
      <c r="O4346">
        <v>-111.83586099999999</v>
      </c>
      <c r="P4346">
        <v>4395.0239430000001</v>
      </c>
      <c r="Q4346">
        <v>431</v>
      </c>
      <c r="R4346">
        <v>0</v>
      </c>
    </row>
    <row r="4347" spans="1:18" x14ac:dyDescent="0.25">
      <c r="A4347">
        <v>4346</v>
      </c>
      <c r="B4347">
        <v>94</v>
      </c>
      <c r="C4347">
        <v>31649496</v>
      </c>
      <c r="D4347" t="s">
        <v>418</v>
      </c>
      <c r="E4347">
        <v>6.2960000000000003</v>
      </c>
      <c r="F4347" t="s">
        <v>21</v>
      </c>
      <c r="G4347" t="s">
        <v>20</v>
      </c>
      <c r="H4347" t="s">
        <v>21</v>
      </c>
      <c r="I4347" t="s">
        <v>20</v>
      </c>
      <c r="J4347" t="s">
        <v>20</v>
      </c>
      <c r="K4347" t="s">
        <v>27</v>
      </c>
      <c r="L4347" t="s">
        <v>211</v>
      </c>
      <c r="M4347" t="s">
        <v>212</v>
      </c>
      <c r="N4347">
        <v>37.432898999999999</v>
      </c>
      <c r="O4347">
        <v>-109.369652</v>
      </c>
      <c r="P4347">
        <v>5184.844983</v>
      </c>
      <c r="Q4347">
        <v>361</v>
      </c>
      <c r="R4347">
        <v>0</v>
      </c>
    </row>
    <row r="4348" spans="1:18" x14ac:dyDescent="0.25">
      <c r="A4348">
        <v>4347</v>
      </c>
      <c r="B4348">
        <v>94</v>
      </c>
      <c r="C4348" t="s">
        <v>660</v>
      </c>
      <c r="D4348" t="s">
        <v>310</v>
      </c>
      <c r="E4348">
        <v>6.2990000000000004</v>
      </c>
      <c r="F4348" t="s">
        <v>21</v>
      </c>
      <c r="G4348" t="s">
        <v>20</v>
      </c>
      <c r="H4348" t="s">
        <v>21</v>
      </c>
      <c r="I4348" t="s">
        <v>20</v>
      </c>
      <c r="J4348" t="s">
        <v>20</v>
      </c>
      <c r="K4348" t="s">
        <v>31</v>
      </c>
      <c r="L4348" t="s">
        <v>285</v>
      </c>
      <c r="M4348" t="s">
        <v>206</v>
      </c>
      <c r="N4348">
        <v>40.633845000000001</v>
      </c>
      <c r="O4348">
        <v>-112.516807</v>
      </c>
      <c r="P4348">
        <v>4278.2262609999998</v>
      </c>
      <c r="Q4348">
        <v>1414</v>
      </c>
      <c r="R4348">
        <v>0</v>
      </c>
    </row>
    <row r="4349" spans="1:18" x14ac:dyDescent="0.25">
      <c r="A4349">
        <v>4348</v>
      </c>
      <c r="B4349">
        <v>94</v>
      </c>
      <c r="C4349">
        <v>2838108</v>
      </c>
      <c r="D4349" t="s">
        <v>113</v>
      </c>
      <c r="E4349">
        <v>6.3010000000000002</v>
      </c>
      <c r="F4349" t="s">
        <v>21</v>
      </c>
      <c r="G4349" t="s">
        <v>26</v>
      </c>
      <c r="H4349" t="s">
        <v>21</v>
      </c>
      <c r="I4349" t="s">
        <v>20</v>
      </c>
      <c r="J4349" t="s">
        <v>20</v>
      </c>
      <c r="K4349" t="s">
        <v>41</v>
      </c>
      <c r="L4349" t="s">
        <v>87</v>
      </c>
      <c r="M4349" t="s">
        <v>58</v>
      </c>
      <c r="N4349">
        <v>41.131345000000003</v>
      </c>
      <c r="O4349">
        <v>-111.924199</v>
      </c>
      <c r="P4349">
        <v>4463.6219709999996</v>
      </c>
      <c r="Q4349">
        <v>1363</v>
      </c>
      <c r="R4349">
        <v>0</v>
      </c>
    </row>
    <row r="4350" spans="1:18" x14ac:dyDescent="0.25">
      <c r="A4350">
        <v>4349</v>
      </c>
      <c r="B4350">
        <v>94</v>
      </c>
      <c r="C4350">
        <v>31602912</v>
      </c>
      <c r="D4350" t="s">
        <v>50</v>
      </c>
      <c r="E4350">
        <v>6.3019999999999996</v>
      </c>
      <c r="F4350" t="s">
        <v>21</v>
      </c>
      <c r="G4350" t="s">
        <v>26</v>
      </c>
      <c r="H4350" t="s">
        <v>21</v>
      </c>
      <c r="I4350" t="s">
        <v>20</v>
      </c>
      <c r="J4350" t="s">
        <v>20</v>
      </c>
      <c r="K4350" t="s">
        <v>27</v>
      </c>
      <c r="L4350" t="s">
        <v>51</v>
      </c>
      <c r="M4350" t="s">
        <v>52</v>
      </c>
      <c r="N4350">
        <v>37.798132000000003</v>
      </c>
      <c r="O4350">
        <v>-112.815972</v>
      </c>
      <c r="P4350">
        <v>6554.8319609999999</v>
      </c>
      <c r="Q4350">
        <v>1418</v>
      </c>
      <c r="R4350">
        <v>0</v>
      </c>
    </row>
    <row r="4351" spans="1:18" x14ac:dyDescent="0.25">
      <c r="A4351">
        <v>4350</v>
      </c>
      <c r="B4351">
        <v>94</v>
      </c>
      <c r="C4351">
        <v>31669269</v>
      </c>
      <c r="D4351" t="s">
        <v>185</v>
      </c>
      <c r="E4351">
        <v>6.3040000000000003</v>
      </c>
      <c r="F4351" t="s">
        <v>21</v>
      </c>
      <c r="G4351" t="s">
        <v>26</v>
      </c>
      <c r="H4351" t="s">
        <v>21</v>
      </c>
      <c r="I4351" t="s">
        <v>20</v>
      </c>
      <c r="J4351" t="s">
        <v>20</v>
      </c>
      <c r="K4351" t="s">
        <v>41</v>
      </c>
      <c r="L4351" t="s">
        <v>57</v>
      </c>
      <c r="M4351" t="s">
        <v>58</v>
      </c>
      <c r="N4351">
        <v>41.158355999999998</v>
      </c>
      <c r="O4351">
        <v>-112.122896</v>
      </c>
      <c r="P4351">
        <v>4184.2069620000002</v>
      </c>
      <c r="Q4351">
        <v>309</v>
      </c>
      <c r="R4351">
        <v>0</v>
      </c>
    </row>
    <row r="4352" spans="1:18" x14ac:dyDescent="0.25">
      <c r="A4352">
        <v>4351</v>
      </c>
      <c r="B4352">
        <v>94</v>
      </c>
      <c r="C4352">
        <v>31448125</v>
      </c>
      <c r="D4352" t="s">
        <v>254</v>
      </c>
      <c r="E4352">
        <v>6.3090000000000002</v>
      </c>
      <c r="F4352" t="s">
        <v>21</v>
      </c>
      <c r="G4352" t="s">
        <v>26</v>
      </c>
      <c r="H4352" t="s">
        <v>21</v>
      </c>
      <c r="I4352" t="s">
        <v>20</v>
      </c>
      <c r="J4352" t="s">
        <v>20</v>
      </c>
      <c r="K4352" t="s">
        <v>41</v>
      </c>
      <c r="L4352" t="s">
        <v>255</v>
      </c>
      <c r="M4352" t="s">
        <v>204</v>
      </c>
      <c r="N4352">
        <v>41.329706000000002</v>
      </c>
      <c r="O4352">
        <v>-111.824032</v>
      </c>
      <c r="P4352">
        <v>5293.83655</v>
      </c>
      <c r="Q4352">
        <v>1429</v>
      </c>
      <c r="R4352">
        <v>0</v>
      </c>
    </row>
    <row r="4353" spans="1:18" x14ac:dyDescent="0.25">
      <c r="A4353">
        <v>4352</v>
      </c>
      <c r="B4353">
        <v>94</v>
      </c>
      <c r="C4353">
        <v>28695152</v>
      </c>
      <c r="D4353" t="s">
        <v>142</v>
      </c>
      <c r="E4353">
        <v>64.561000000000007</v>
      </c>
      <c r="F4353" t="s">
        <v>21</v>
      </c>
      <c r="G4353" t="s">
        <v>20</v>
      </c>
      <c r="H4353" t="s">
        <v>21</v>
      </c>
      <c r="I4353" t="s">
        <v>20</v>
      </c>
      <c r="J4353" t="s">
        <v>20</v>
      </c>
      <c r="K4353" t="s">
        <v>27</v>
      </c>
      <c r="L4353" t="s">
        <v>143</v>
      </c>
      <c r="M4353" t="s">
        <v>106</v>
      </c>
      <c r="N4353">
        <v>38.457014000000001</v>
      </c>
      <c r="O4353">
        <v>-113.22414999999999</v>
      </c>
      <c r="P4353">
        <v>6153.9879119999996</v>
      </c>
      <c r="Q4353">
        <v>305</v>
      </c>
      <c r="R4353">
        <v>0</v>
      </c>
    </row>
    <row r="4354" spans="1:18" x14ac:dyDescent="0.25">
      <c r="A4354">
        <v>4353</v>
      </c>
      <c r="B4354">
        <v>94</v>
      </c>
      <c r="C4354" t="e">
        <f>-JQiKURQG4eqWfgO_uBfKF</f>
        <v>#NAME?</v>
      </c>
      <c r="D4354" t="s">
        <v>272</v>
      </c>
      <c r="E4354">
        <v>64.575000000000003</v>
      </c>
      <c r="F4354" t="s">
        <v>21</v>
      </c>
      <c r="G4354" t="s">
        <v>26</v>
      </c>
      <c r="H4354" t="s">
        <v>21</v>
      </c>
      <c r="I4354" t="s">
        <v>20</v>
      </c>
      <c r="J4354" t="s">
        <v>20</v>
      </c>
      <c r="K4354" t="s">
        <v>27</v>
      </c>
      <c r="L4354" t="s">
        <v>259</v>
      </c>
      <c r="M4354" t="s">
        <v>214</v>
      </c>
      <c r="N4354">
        <v>37.048273999999999</v>
      </c>
      <c r="O4354">
        <v>-112.533861</v>
      </c>
      <c r="P4354">
        <v>4873.0374879999999</v>
      </c>
      <c r="Q4354">
        <v>1384</v>
      </c>
      <c r="R4354">
        <v>0</v>
      </c>
    </row>
    <row r="4355" spans="1:18" x14ac:dyDescent="0.25">
      <c r="A4355">
        <v>4354</v>
      </c>
      <c r="B4355">
        <v>94</v>
      </c>
      <c r="C4355">
        <v>31713727</v>
      </c>
      <c r="D4355" t="s">
        <v>244</v>
      </c>
      <c r="E4355">
        <v>64.608999999999995</v>
      </c>
      <c r="F4355" t="s">
        <v>21</v>
      </c>
      <c r="G4355" t="s">
        <v>20</v>
      </c>
      <c r="H4355" t="s">
        <v>21</v>
      </c>
      <c r="I4355" t="s">
        <v>20</v>
      </c>
      <c r="J4355" t="s">
        <v>20</v>
      </c>
      <c r="K4355" t="s">
        <v>27</v>
      </c>
      <c r="L4355" t="s">
        <v>266</v>
      </c>
      <c r="M4355" t="s">
        <v>386</v>
      </c>
      <c r="N4355">
        <v>38.305567000000003</v>
      </c>
      <c r="O4355">
        <v>-111.49178999999999</v>
      </c>
      <c r="P4355">
        <v>6812.4240090000003</v>
      </c>
      <c r="Q4355">
        <v>1340</v>
      </c>
      <c r="R4355">
        <v>0</v>
      </c>
    </row>
    <row r="4356" spans="1:18" x14ac:dyDescent="0.25">
      <c r="A4356">
        <v>4355</v>
      </c>
      <c r="B4356">
        <v>94</v>
      </c>
      <c r="C4356">
        <v>27520347</v>
      </c>
      <c r="D4356" t="s">
        <v>383</v>
      </c>
      <c r="E4356">
        <v>0.88900000000000001</v>
      </c>
      <c r="F4356" t="s">
        <v>21</v>
      </c>
      <c r="G4356" t="s">
        <v>26</v>
      </c>
      <c r="H4356" t="s">
        <v>21</v>
      </c>
      <c r="I4356" t="s">
        <v>20</v>
      </c>
      <c r="J4356" t="s">
        <v>20</v>
      </c>
      <c r="K4356" t="s">
        <v>31</v>
      </c>
      <c r="L4356" t="s">
        <v>48</v>
      </c>
      <c r="M4356" t="s">
        <v>335</v>
      </c>
      <c r="N4356">
        <v>40.565679000000003</v>
      </c>
      <c r="O4356">
        <v>-112.09871</v>
      </c>
      <c r="P4356">
        <v>5424.6480000000001</v>
      </c>
      <c r="Q4356">
        <v>414</v>
      </c>
      <c r="R4356">
        <v>0</v>
      </c>
    </row>
    <row r="4357" spans="1:18" x14ac:dyDescent="0.25">
      <c r="A4357">
        <v>4356</v>
      </c>
      <c r="B4357">
        <v>94</v>
      </c>
      <c r="C4357">
        <v>27520867</v>
      </c>
      <c r="D4357" t="s">
        <v>383</v>
      </c>
      <c r="E4357">
        <v>0.94599999999999995</v>
      </c>
      <c r="F4357" t="s">
        <v>21</v>
      </c>
      <c r="G4357" t="s">
        <v>26</v>
      </c>
      <c r="H4357" t="s">
        <v>21</v>
      </c>
      <c r="I4357" t="s">
        <v>20</v>
      </c>
      <c r="J4357" t="s">
        <v>20</v>
      </c>
      <c r="K4357" t="s">
        <v>31</v>
      </c>
      <c r="L4357" t="s">
        <v>48</v>
      </c>
      <c r="M4357" t="s">
        <v>335</v>
      </c>
      <c r="N4357">
        <v>40.565922</v>
      </c>
      <c r="O4357">
        <v>-112.097675</v>
      </c>
      <c r="P4357">
        <v>5413.0410000000002</v>
      </c>
      <c r="Q4357">
        <v>414</v>
      </c>
      <c r="R4357">
        <v>0</v>
      </c>
    </row>
    <row r="4358" spans="1:18" x14ac:dyDescent="0.25">
      <c r="A4358">
        <v>4357</v>
      </c>
      <c r="B4358">
        <v>94</v>
      </c>
      <c r="C4358">
        <v>27522433</v>
      </c>
      <c r="D4358" t="s">
        <v>383</v>
      </c>
      <c r="E4358">
        <v>1.026</v>
      </c>
      <c r="F4358" t="s">
        <v>21</v>
      </c>
      <c r="G4358" t="s">
        <v>26</v>
      </c>
      <c r="H4358" t="s">
        <v>21</v>
      </c>
      <c r="I4358" t="s">
        <v>20</v>
      </c>
      <c r="J4358" t="s">
        <v>20</v>
      </c>
      <c r="K4358" t="s">
        <v>31</v>
      </c>
      <c r="L4358" t="s">
        <v>48</v>
      </c>
      <c r="M4358" t="s">
        <v>335</v>
      </c>
      <c r="N4358">
        <v>40.566161999999998</v>
      </c>
      <c r="O4358">
        <v>-112.096193</v>
      </c>
      <c r="P4358">
        <v>5401.5810000000001</v>
      </c>
      <c r="Q4358">
        <v>414</v>
      </c>
      <c r="R4358">
        <v>0</v>
      </c>
    </row>
    <row r="4359" spans="1:18" x14ac:dyDescent="0.25">
      <c r="A4359">
        <v>4358</v>
      </c>
      <c r="B4359">
        <v>94</v>
      </c>
      <c r="C4359">
        <v>27522479</v>
      </c>
      <c r="D4359" t="s">
        <v>383</v>
      </c>
      <c r="E4359">
        <v>1.081</v>
      </c>
      <c r="F4359" t="s">
        <v>21</v>
      </c>
      <c r="G4359" t="s">
        <v>26</v>
      </c>
      <c r="H4359" t="s">
        <v>21</v>
      </c>
      <c r="I4359" t="s">
        <v>20</v>
      </c>
      <c r="J4359" t="s">
        <v>20</v>
      </c>
      <c r="K4359" t="s">
        <v>31</v>
      </c>
      <c r="L4359" t="s">
        <v>48</v>
      </c>
      <c r="M4359" t="s">
        <v>335</v>
      </c>
      <c r="N4359">
        <v>40.566146000000003</v>
      </c>
      <c r="O4359">
        <v>-112.095151</v>
      </c>
      <c r="P4359">
        <v>5389.0330000000004</v>
      </c>
      <c r="Q4359">
        <v>414</v>
      </c>
      <c r="R4359">
        <v>0</v>
      </c>
    </row>
    <row r="4360" spans="1:18" x14ac:dyDescent="0.25">
      <c r="A4360">
        <v>4359</v>
      </c>
      <c r="B4360">
        <v>94</v>
      </c>
      <c r="C4360">
        <v>27522721</v>
      </c>
      <c r="D4360" t="s">
        <v>383</v>
      </c>
      <c r="E4360">
        <v>1.135</v>
      </c>
      <c r="F4360" t="s">
        <v>21</v>
      </c>
      <c r="G4360" t="s">
        <v>26</v>
      </c>
      <c r="H4360" t="s">
        <v>21</v>
      </c>
      <c r="I4360" t="s">
        <v>20</v>
      </c>
      <c r="J4360" t="s">
        <v>20</v>
      </c>
      <c r="K4360" t="s">
        <v>31</v>
      </c>
      <c r="L4360" t="s">
        <v>48</v>
      </c>
      <c r="M4360" t="s">
        <v>335</v>
      </c>
      <c r="N4360">
        <v>40.566125999999997</v>
      </c>
      <c r="O4360">
        <v>-112.094105</v>
      </c>
      <c r="P4360">
        <v>5384.57</v>
      </c>
      <c r="Q4360">
        <v>414</v>
      </c>
      <c r="R4360">
        <v>0</v>
      </c>
    </row>
    <row r="4361" spans="1:18" x14ac:dyDescent="0.25">
      <c r="A4361">
        <v>4360</v>
      </c>
      <c r="B4361">
        <v>94</v>
      </c>
      <c r="C4361">
        <v>27523386</v>
      </c>
      <c r="D4361" t="s">
        <v>383</v>
      </c>
      <c r="E4361">
        <v>1.5109999999999999</v>
      </c>
      <c r="F4361" t="s">
        <v>21</v>
      </c>
      <c r="G4361" t="s">
        <v>26</v>
      </c>
      <c r="H4361" t="s">
        <v>21</v>
      </c>
      <c r="I4361" t="s">
        <v>20</v>
      </c>
      <c r="J4361" t="s">
        <v>20</v>
      </c>
      <c r="K4361" t="s">
        <v>31</v>
      </c>
      <c r="L4361" t="s">
        <v>48</v>
      </c>
      <c r="M4361" t="s">
        <v>335</v>
      </c>
      <c r="N4361">
        <v>40.566074999999998</v>
      </c>
      <c r="O4361">
        <v>-112.086956</v>
      </c>
      <c r="P4361">
        <v>5327.7619999999997</v>
      </c>
      <c r="Q4361">
        <v>414</v>
      </c>
      <c r="R4361">
        <v>0</v>
      </c>
    </row>
    <row r="4362" spans="1:18" x14ac:dyDescent="0.25">
      <c r="A4362">
        <v>4361</v>
      </c>
      <c r="B4362">
        <v>94</v>
      </c>
      <c r="C4362">
        <v>27523530</v>
      </c>
      <c r="D4362" t="s">
        <v>383</v>
      </c>
      <c r="E4362">
        <v>1.591</v>
      </c>
      <c r="F4362" t="s">
        <v>21</v>
      </c>
      <c r="G4362" t="s">
        <v>26</v>
      </c>
      <c r="H4362" t="s">
        <v>21</v>
      </c>
      <c r="I4362" t="s">
        <v>20</v>
      </c>
      <c r="J4362" t="s">
        <v>20</v>
      </c>
      <c r="K4362" t="s">
        <v>31</v>
      </c>
      <c r="L4362" t="s">
        <v>48</v>
      </c>
      <c r="M4362" t="s">
        <v>335</v>
      </c>
      <c r="N4362">
        <v>40.566101000000003</v>
      </c>
      <c r="O4362">
        <v>-112.085421</v>
      </c>
      <c r="P4362">
        <v>5315.3950000000004</v>
      </c>
      <c r="Q4362">
        <v>414</v>
      </c>
      <c r="R4362">
        <v>0</v>
      </c>
    </row>
    <row r="4363" spans="1:18" x14ac:dyDescent="0.25">
      <c r="A4363">
        <v>4362</v>
      </c>
      <c r="B4363">
        <v>94</v>
      </c>
      <c r="C4363">
        <v>31409784</v>
      </c>
      <c r="D4363" t="s">
        <v>124</v>
      </c>
      <c r="E4363">
        <v>50.530999999999999</v>
      </c>
      <c r="F4363" t="s">
        <v>21</v>
      </c>
      <c r="G4363" t="s">
        <v>26</v>
      </c>
      <c r="H4363" t="s">
        <v>21</v>
      </c>
      <c r="I4363" t="s">
        <v>20</v>
      </c>
      <c r="J4363" t="s">
        <v>20</v>
      </c>
      <c r="K4363" t="s">
        <v>31</v>
      </c>
      <c r="L4363" t="s">
        <v>48</v>
      </c>
      <c r="M4363" t="s">
        <v>125</v>
      </c>
      <c r="N4363">
        <v>40.641768999999996</v>
      </c>
      <c r="O4363">
        <v>-111.938816</v>
      </c>
      <c r="P4363">
        <v>4304.8507540000001</v>
      </c>
      <c r="Q4363">
        <v>1368</v>
      </c>
      <c r="R4363">
        <v>0</v>
      </c>
    </row>
    <row r="4364" spans="1:18" x14ac:dyDescent="0.25">
      <c r="A4364">
        <v>4363</v>
      </c>
      <c r="B4364">
        <v>94</v>
      </c>
      <c r="C4364">
        <v>31339002</v>
      </c>
      <c r="D4364" t="s">
        <v>288</v>
      </c>
      <c r="E4364">
        <v>50.536000000000001</v>
      </c>
      <c r="F4364" t="s">
        <v>21</v>
      </c>
      <c r="G4364" t="s">
        <v>26</v>
      </c>
      <c r="H4364" t="s">
        <v>21</v>
      </c>
      <c r="I4364" t="s">
        <v>20</v>
      </c>
      <c r="J4364" t="s">
        <v>20</v>
      </c>
      <c r="K4364" t="s">
        <v>27</v>
      </c>
      <c r="L4364" t="s">
        <v>327</v>
      </c>
      <c r="M4364" t="s">
        <v>147</v>
      </c>
      <c r="N4364">
        <v>37.615465999999998</v>
      </c>
      <c r="O4364">
        <v>-109.478876</v>
      </c>
      <c r="P4364">
        <v>5970.8744219999999</v>
      </c>
      <c r="Q4364">
        <v>350</v>
      </c>
      <c r="R4364">
        <v>0</v>
      </c>
    </row>
    <row r="4365" spans="1:18" x14ac:dyDescent="0.25">
      <c r="A4365">
        <v>4364</v>
      </c>
      <c r="B4365">
        <v>94</v>
      </c>
      <c r="C4365">
        <v>31509295</v>
      </c>
      <c r="D4365" t="s">
        <v>124</v>
      </c>
      <c r="E4365">
        <v>59.92</v>
      </c>
      <c r="F4365" t="s">
        <v>21</v>
      </c>
      <c r="G4365" t="s">
        <v>26</v>
      </c>
      <c r="H4365" t="s">
        <v>21</v>
      </c>
      <c r="I4365" t="s">
        <v>20</v>
      </c>
      <c r="J4365" t="s">
        <v>20</v>
      </c>
      <c r="K4365" t="s">
        <v>31</v>
      </c>
      <c r="L4365" t="s">
        <v>362</v>
      </c>
      <c r="M4365" t="s">
        <v>365</v>
      </c>
      <c r="N4365">
        <v>40.778157</v>
      </c>
      <c r="O4365">
        <v>-111.939401</v>
      </c>
      <c r="P4365">
        <v>4162.4956350000002</v>
      </c>
      <c r="Q4365">
        <v>1368</v>
      </c>
      <c r="R4365">
        <v>0</v>
      </c>
    </row>
    <row r="4366" spans="1:18" x14ac:dyDescent="0.25">
      <c r="A4366">
        <v>4365</v>
      </c>
      <c r="B4366">
        <v>94</v>
      </c>
      <c r="C4366">
        <v>31348899</v>
      </c>
      <c r="D4366" t="s">
        <v>288</v>
      </c>
      <c r="E4366">
        <v>59.963999999999999</v>
      </c>
      <c r="F4366" t="s">
        <v>21</v>
      </c>
      <c r="G4366" t="s">
        <v>26</v>
      </c>
      <c r="H4366" t="s">
        <v>21</v>
      </c>
      <c r="I4366" t="s">
        <v>20</v>
      </c>
      <c r="J4366" t="s">
        <v>20</v>
      </c>
      <c r="K4366" t="s">
        <v>27</v>
      </c>
      <c r="L4366" t="s">
        <v>146</v>
      </c>
      <c r="M4366" t="s">
        <v>147</v>
      </c>
      <c r="N4366">
        <v>37.729154000000001</v>
      </c>
      <c r="O4366">
        <v>-109.412137</v>
      </c>
      <c r="P4366">
        <v>6951.8302000000003</v>
      </c>
      <c r="Q4366">
        <v>350</v>
      </c>
      <c r="R4366">
        <v>0</v>
      </c>
    </row>
    <row r="4367" spans="1:18" x14ac:dyDescent="0.25">
      <c r="A4367">
        <v>4366</v>
      </c>
      <c r="B4367">
        <v>94</v>
      </c>
      <c r="C4367">
        <v>1202796</v>
      </c>
      <c r="D4367" t="s">
        <v>100</v>
      </c>
      <c r="E4367">
        <v>6.0010000000000003</v>
      </c>
      <c r="F4367" t="s">
        <v>19</v>
      </c>
      <c r="G4367" t="s">
        <v>20</v>
      </c>
      <c r="H4367" t="s">
        <v>19</v>
      </c>
      <c r="I4367">
        <v>107</v>
      </c>
      <c r="J4367" t="s">
        <v>20</v>
      </c>
      <c r="K4367" t="s">
        <v>41</v>
      </c>
      <c r="L4367" t="s">
        <v>57</v>
      </c>
      <c r="M4367" t="s">
        <v>46</v>
      </c>
      <c r="N4367">
        <v>41.118076000000002</v>
      </c>
      <c r="O4367">
        <v>-112.064525</v>
      </c>
      <c r="P4367">
        <v>4304.7156859999996</v>
      </c>
      <c r="Q4367">
        <v>1396</v>
      </c>
      <c r="R4367">
        <v>0</v>
      </c>
    </row>
    <row r="4368" spans="1:18" x14ac:dyDescent="0.25">
      <c r="A4368">
        <v>4367</v>
      </c>
      <c r="B4368">
        <v>94</v>
      </c>
      <c r="C4368">
        <v>31406574</v>
      </c>
      <c r="D4368" t="s">
        <v>30</v>
      </c>
      <c r="E4368">
        <v>6.0069999999999997</v>
      </c>
      <c r="F4368" t="s">
        <v>21</v>
      </c>
      <c r="G4368" t="s">
        <v>20</v>
      </c>
      <c r="H4368" t="s">
        <v>21</v>
      </c>
      <c r="I4368" t="s">
        <v>20</v>
      </c>
      <c r="J4368" t="s">
        <v>20</v>
      </c>
      <c r="K4368" t="s">
        <v>31</v>
      </c>
      <c r="L4368" t="s">
        <v>32</v>
      </c>
      <c r="M4368" t="s">
        <v>33</v>
      </c>
      <c r="N4368">
        <v>40.571682000000003</v>
      </c>
      <c r="O4368">
        <v>-111.737752</v>
      </c>
      <c r="P4368">
        <v>6149.2331350000004</v>
      </c>
      <c r="Q4368">
        <v>415</v>
      </c>
      <c r="R4368">
        <v>0</v>
      </c>
    </row>
    <row r="4369" spans="1:18" x14ac:dyDescent="0.25">
      <c r="A4369">
        <v>4368</v>
      </c>
      <c r="B4369">
        <v>94</v>
      </c>
      <c r="C4369">
        <v>31709293</v>
      </c>
      <c r="D4369" t="s">
        <v>541</v>
      </c>
      <c r="E4369">
        <v>5.9020000000000001</v>
      </c>
      <c r="F4369" t="s">
        <v>21</v>
      </c>
      <c r="G4369" t="s">
        <v>26</v>
      </c>
      <c r="H4369" t="s">
        <v>21</v>
      </c>
      <c r="I4369" t="s">
        <v>20</v>
      </c>
      <c r="J4369" t="s">
        <v>20</v>
      </c>
      <c r="K4369" t="s">
        <v>27</v>
      </c>
      <c r="L4369" t="s">
        <v>158</v>
      </c>
      <c r="M4369" t="s">
        <v>112</v>
      </c>
      <c r="N4369">
        <v>39.484361</v>
      </c>
      <c r="O4369">
        <v>-110.89752300000001</v>
      </c>
      <c r="P4369">
        <v>6040.0466660000002</v>
      </c>
      <c r="Q4369">
        <v>1406</v>
      </c>
      <c r="R4369">
        <v>0</v>
      </c>
    </row>
    <row r="4370" spans="1:18" x14ac:dyDescent="0.25">
      <c r="A4370">
        <v>4369</v>
      </c>
      <c r="B4370">
        <v>94</v>
      </c>
      <c r="C4370">
        <v>31369919</v>
      </c>
      <c r="D4370" t="s">
        <v>345</v>
      </c>
      <c r="E4370">
        <v>5.9029999999999996</v>
      </c>
      <c r="F4370" t="s">
        <v>21</v>
      </c>
      <c r="G4370" t="s">
        <v>26</v>
      </c>
      <c r="H4370" t="s">
        <v>21</v>
      </c>
      <c r="I4370" t="s">
        <v>20</v>
      </c>
      <c r="J4370" t="s">
        <v>20</v>
      </c>
      <c r="K4370" t="s">
        <v>27</v>
      </c>
      <c r="L4370" t="s">
        <v>75</v>
      </c>
      <c r="M4370" t="s">
        <v>76</v>
      </c>
      <c r="N4370">
        <v>38.630237000000001</v>
      </c>
      <c r="O4370">
        <v>-112.123611</v>
      </c>
      <c r="P4370">
        <v>5317.5258350000004</v>
      </c>
      <c r="Q4370">
        <v>1403</v>
      </c>
      <c r="R4370">
        <v>0</v>
      </c>
    </row>
    <row r="4371" spans="1:18" x14ac:dyDescent="0.25">
      <c r="A4371">
        <v>4370</v>
      </c>
      <c r="B4371">
        <v>94</v>
      </c>
      <c r="C4371" t="e">
        <f>-Ip5M94nIxTqsQZcOD7wZF</f>
        <v>#NAME?</v>
      </c>
      <c r="D4371" t="s">
        <v>208</v>
      </c>
      <c r="E4371">
        <v>5.907</v>
      </c>
      <c r="F4371" t="s">
        <v>21</v>
      </c>
      <c r="G4371" t="s">
        <v>26</v>
      </c>
      <c r="H4371" t="s">
        <v>21</v>
      </c>
      <c r="I4371" t="s">
        <v>20</v>
      </c>
      <c r="J4371" t="s">
        <v>20</v>
      </c>
      <c r="K4371" t="s">
        <v>31</v>
      </c>
      <c r="L4371" t="s">
        <v>209</v>
      </c>
      <c r="M4371" t="s">
        <v>131</v>
      </c>
      <c r="N4371">
        <v>40.658718</v>
      </c>
      <c r="O4371">
        <v>-111.50792800000001</v>
      </c>
      <c r="P4371">
        <v>6777.1753509999999</v>
      </c>
      <c r="Q4371">
        <v>357</v>
      </c>
      <c r="R4371">
        <v>0</v>
      </c>
    </row>
    <row r="4372" spans="1:18" x14ac:dyDescent="0.25">
      <c r="A4372">
        <v>4371</v>
      </c>
      <c r="B4372">
        <v>94</v>
      </c>
      <c r="C4372">
        <v>1274935</v>
      </c>
      <c r="D4372" t="s">
        <v>189</v>
      </c>
      <c r="E4372">
        <v>5.9080000000000004</v>
      </c>
      <c r="F4372" t="s">
        <v>21</v>
      </c>
      <c r="G4372" t="s">
        <v>26</v>
      </c>
      <c r="H4372" t="s">
        <v>21</v>
      </c>
      <c r="I4372" t="s">
        <v>20</v>
      </c>
      <c r="J4372" t="s">
        <v>20</v>
      </c>
      <c r="K4372" t="s">
        <v>41</v>
      </c>
      <c r="L4372" t="s">
        <v>81</v>
      </c>
      <c r="M4372" t="s">
        <v>190</v>
      </c>
      <c r="N4372">
        <v>41.238629000000003</v>
      </c>
      <c r="O4372">
        <v>-111.94568599999999</v>
      </c>
      <c r="P4372">
        <v>4297.5432170000004</v>
      </c>
      <c r="Q4372">
        <v>412</v>
      </c>
      <c r="R4372">
        <v>0</v>
      </c>
    </row>
    <row r="4373" spans="1:18" x14ac:dyDescent="0.25">
      <c r="A4373">
        <v>4372</v>
      </c>
      <c r="B4373">
        <v>94</v>
      </c>
      <c r="C4373" t="e">
        <f>-JYguDD8GZi4Ysh2m6M8MF</f>
        <v>#NAME?</v>
      </c>
      <c r="D4373" t="s">
        <v>390</v>
      </c>
      <c r="E4373">
        <v>5.9089999999999998</v>
      </c>
      <c r="F4373" t="s">
        <v>21</v>
      </c>
      <c r="G4373" t="s">
        <v>20</v>
      </c>
      <c r="H4373" t="s">
        <v>21</v>
      </c>
      <c r="I4373" t="s">
        <v>20</v>
      </c>
      <c r="J4373" t="s">
        <v>20</v>
      </c>
      <c r="K4373" t="s">
        <v>22</v>
      </c>
      <c r="L4373" t="s">
        <v>84</v>
      </c>
      <c r="M4373" t="s">
        <v>335</v>
      </c>
      <c r="N4373">
        <v>40.431932000000003</v>
      </c>
      <c r="O4373">
        <v>-111.783665</v>
      </c>
      <c r="P4373">
        <v>4856.5880340000003</v>
      </c>
      <c r="Q4373">
        <v>1386</v>
      </c>
      <c r="R4373">
        <v>0</v>
      </c>
    </row>
    <row r="4374" spans="1:18" x14ac:dyDescent="0.25">
      <c r="A4374">
        <v>4373</v>
      </c>
      <c r="B4374">
        <v>94</v>
      </c>
      <c r="C4374">
        <v>28001110</v>
      </c>
      <c r="D4374" t="s">
        <v>346</v>
      </c>
      <c r="E4374">
        <v>5.9130000000000003</v>
      </c>
      <c r="F4374" t="s">
        <v>21</v>
      </c>
      <c r="G4374" t="s">
        <v>26</v>
      </c>
      <c r="H4374" t="s">
        <v>21</v>
      </c>
      <c r="I4374" t="s">
        <v>20</v>
      </c>
      <c r="J4374" t="s">
        <v>20</v>
      </c>
      <c r="K4374" t="s">
        <v>27</v>
      </c>
      <c r="L4374" t="s">
        <v>307</v>
      </c>
      <c r="M4374" t="s">
        <v>159</v>
      </c>
      <c r="N4374">
        <v>39.725166999999999</v>
      </c>
      <c r="O4374">
        <v>-111.160511</v>
      </c>
      <c r="P4374">
        <v>7643.1445949999998</v>
      </c>
      <c r="Q4374">
        <v>1389</v>
      </c>
      <c r="R4374">
        <v>0</v>
      </c>
    </row>
    <row r="4375" spans="1:18" x14ac:dyDescent="0.25">
      <c r="A4375">
        <v>4374</v>
      </c>
      <c r="B4375">
        <v>94</v>
      </c>
      <c r="C4375">
        <v>31192434</v>
      </c>
      <c r="D4375" t="s">
        <v>309</v>
      </c>
      <c r="E4375">
        <v>5.915</v>
      </c>
      <c r="F4375" t="s">
        <v>21</v>
      </c>
      <c r="G4375" t="s">
        <v>26</v>
      </c>
      <c r="H4375" t="s">
        <v>21</v>
      </c>
      <c r="I4375" t="s">
        <v>20</v>
      </c>
      <c r="J4375" t="s">
        <v>20</v>
      </c>
      <c r="K4375" t="s">
        <v>22</v>
      </c>
      <c r="L4375" t="s">
        <v>198</v>
      </c>
      <c r="M4375" t="s">
        <v>125</v>
      </c>
      <c r="N4375">
        <v>40.097960999999998</v>
      </c>
      <c r="O4375">
        <v>-111.75032899999999</v>
      </c>
      <c r="P4375">
        <v>4455.0661129999999</v>
      </c>
      <c r="Q4375">
        <v>339</v>
      </c>
      <c r="R4375">
        <v>0</v>
      </c>
    </row>
    <row r="4376" spans="1:18" x14ac:dyDescent="0.25">
      <c r="A4376">
        <v>4375</v>
      </c>
      <c r="B4376">
        <v>94</v>
      </c>
      <c r="C4376" t="e">
        <f>-IoN7thVGVyD8SIeWTDqNk</f>
        <v>#NAME?</v>
      </c>
      <c r="D4376" t="s">
        <v>272</v>
      </c>
      <c r="E4376">
        <v>293.32100000000003</v>
      </c>
      <c r="F4376" t="s">
        <v>21</v>
      </c>
      <c r="G4376" t="s">
        <v>26</v>
      </c>
      <c r="H4376" t="s">
        <v>21</v>
      </c>
      <c r="I4376" t="s">
        <v>20</v>
      </c>
      <c r="J4376" t="s">
        <v>20</v>
      </c>
      <c r="K4376" t="s">
        <v>27</v>
      </c>
      <c r="L4376" t="s">
        <v>230</v>
      </c>
      <c r="M4376" t="s">
        <v>174</v>
      </c>
      <c r="N4376">
        <v>39.761122</v>
      </c>
      <c r="O4376">
        <v>-111.482966</v>
      </c>
      <c r="P4376">
        <v>5977.7196610000001</v>
      </c>
      <c r="Q4376">
        <v>1384</v>
      </c>
      <c r="R4376">
        <v>0</v>
      </c>
    </row>
    <row r="4377" spans="1:18" x14ac:dyDescent="0.25">
      <c r="A4377">
        <v>4376</v>
      </c>
      <c r="B4377">
        <v>94</v>
      </c>
      <c r="C4377">
        <v>31311201</v>
      </c>
      <c r="D4377" t="s">
        <v>215</v>
      </c>
      <c r="E4377">
        <v>3.82</v>
      </c>
      <c r="F4377" t="s">
        <v>21</v>
      </c>
      <c r="G4377" t="s">
        <v>26</v>
      </c>
      <c r="H4377" t="s">
        <v>21</v>
      </c>
      <c r="I4377" t="s">
        <v>20</v>
      </c>
      <c r="J4377" t="s">
        <v>20</v>
      </c>
      <c r="K4377" t="s">
        <v>22</v>
      </c>
      <c r="L4377" t="s">
        <v>23</v>
      </c>
      <c r="M4377" t="s">
        <v>85</v>
      </c>
      <c r="N4377">
        <v>40.260689999999997</v>
      </c>
      <c r="O4377">
        <v>-111.716273</v>
      </c>
      <c r="P4377">
        <v>4468.964516</v>
      </c>
      <c r="Q4377">
        <v>330</v>
      </c>
      <c r="R4377">
        <v>0</v>
      </c>
    </row>
    <row r="4378" spans="1:18" x14ac:dyDescent="0.25">
      <c r="A4378">
        <v>4377</v>
      </c>
      <c r="B4378">
        <v>94</v>
      </c>
      <c r="C4378">
        <v>31192732</v>
      </c>
      <c r="D4378" t="s">
        <v>153</v>
      </c>
      <c r="E4378">
        <v>3.82</v>
      </c>
      <c r="F4378" t="s">
        <v>21</v>
      </c>
      <c r="G4378" t="s">
        <v>26</v>
      </c>
      <c r="H4378" t="s">
        <v>21</v>
      </c>
      <c r="I4378" t="s">
        <v>20</v>
      </c>
      <c r="J4378" t="s">
        <v>20</v>
      </c>
      <c r="K4378" t="s">
        <v>22</v>
      </c>
      <c r="L4378" t="s">
        <v>84</v>
      </c>
      <c r="M4378" t="s">
        <v>85</v>
      </c>
      <c r="N4378">
        <v>40.411022000000003</v>
      </c>
      <c r="O4378">
        <v>-111.75119100000001</v>
      </c>
      <c r="P4378">
        <v>4913.8172640000003</v>
      </c>
      <c r="R4378">
        <v>0</v>
      </c>
    </row>
    <row r="4379" spans="1:18" x14ac:dyDescent="0.25">
      <c r="A4379">
        <v>4378</v>
      </c>
      <c r="B4379">
        <v>94</v>
      </c>
      <c r="C4379" t="e">
        <f>-JYr1_TyHUqRtKxlu2kCeF</f>
        <v>#NAME?</v>
      </c>
      <c r="D4379" t="s">
        <v>199</v>
      </c>
      <c r="E4379">
        <v>37.784999999999997</v>
      </c>
      <c r="F4379" t="s">
        <v>21</v>
      </c>
      <c r="G4379" t="s">
        <v>20</v>
      </c>
      <c r="H4379" t="s">
        <v>21</v>
      </c>
      <c r="I4379" t="s">
        <v>20</v>
      </c>
      <c r="J4379" t="s">
        <v>20</v>
      </c>
      <c r="K4379" t="s">
        <v>27</v>
      </c>
      <c r="L4379" t="s">
        <v>64</v>
      </c>
      <c r="M4379" t="s">
        <v>200</v>
      </c>
      <c r="N4379">
        <v>38.261054000000001</v>
      </c>
      <c r="O4379">
        <v>-112.255531</v>
      </c>
      <c r="P4379">
        <v>6392.3146880000004</v>
      </c>
      <c r="Q4379">
        <v>341</v>
      </c>
      <c r="R4379">
        <v>0</v>
      </c>
    </row>
    <row r="4380" spans="1:18" x14ac:dyDescent="0.25">
      <c r="A4380">
        <v>4379</v>
      </c>
      <c r="B4380">
        <v>94</v>
      </c>
      <c r="C4380">
        <v>31521619</v>
      </c>
      <c r="D4380" t="s">
        <v>132</v>
      </c>
      <c r="E4380">
        <v>37.787999999999997</v>
      </c>
      <c r="F4380" t="s">
        <v>19</v>
      </c>
      <c r="G4380" t="s">
        <v>20</v>
      </c>
      <c r="H4380" t="s">
        <v>21</v>
      </c>
      <c r="I4380" t="s">
        <v>20</v>
      </c>
      <c r="J4380" t="s">
        <v>20</v>
      </c>
      <c r="K4380" t="s">
        <v>22</v>
      </c>
      <c r="L4380" t="s">
        <v>234</v>
      </c>
      <c r="M4380" t="s">
        <v>277</v>
      </c>
      <c r="N4380">
        <v>40.462631999999999</v>
      </c>
      <c r="O4380">
        <v>-109.576668</v>
      </c>
      <c r="P4380">
        <v>5486.8507380000001</v>
      </c>
      <c r="Q4380">
        <v>1405</v>
      </c>
      <c r="R4380">
        <v>0</v>
      </c>
    </row>
    <row r="4381" spans="1:18" x14ac:dyDescent="0.25">
      <c r="A4381">
        <v>4380</v>
      </c>
      <c r="B4381">
        <v>94</v>
      </c>
      <c r="C4381">
        <v>28192857</v>
      </c>
      <c r="D4381" t="s">
        <v>233</v>
      </c>
      <c r="E4381">
        <v>37.832999999999998</v>
      </c>
      <c r="F4381" t="s">
        <v>21</v>
      </c>
      <c r="G4381" t="s">
        <v>26</v>
      </c>
      <c r="H4381" t="s">
        <v>21</v>
      </c>
      <c r="I4381" t="s">
        <v>20</v>
      </c>
      <c r="J4381" t="s">
        <v>20</v>
      </c>
      <c r="K4381" t="s">
        <v>22</v>
      </c>
      <c r="L4381" t="s">
        <v>234</v>
      </c>
      <c r="M4381" t="s">
        <v>235</v>
      </c>
      <c r="N4381">
        <v>40.382812999999999</v>
      </c>
      <c r="O4381">
        <v>-109.498552</v>
      </c>
      <c r="P4381">
        <v>5297.7596940000003</v>
      </c>
      <c r="Q4381">
        <v>1354</v>
      </c>
      <c r="R4381">
        <v>0</v>
      </c>
    </row>
    <row r="4382" spans="1:18" x14ac:dyDescent="0.25">
      <c r="A4382">
        <v>4381</v>
      </c>
      <c r="B4382">
        <v>94</v>
      </c>
      <c r="C4382">
        <v>31693062</v>
      </c>
      <c r="D4382" t="s">
        <v>217</v>
      </c>
      <c r="E4382">
        <v>37.832999999999998</v>
      </c>
      <c r="F4382" t="s">
        <v>21</v>
      </c>
      <c r="G4382" t="s">
        <v>20</v>
      </c>
      <c r="H4382" t="s">
        <v>21</v>
      </c>
      <c r="I4382" t="s">
        <v>20</v>
      </c>
      <c r="J4382" t="s">
        <v>20</v>
      </c>
      <c r="K4382" t="s">
        <v>27</v>
      </c>
      <c r="L4382" t="s">
        <v>162</v>
      </c>
      <c r="M4382" t="s">
        <v>163</v>
      </c>
      <c r="N4382">
        <v>37.543522000000003</v>
      </c>
      <c r="O4382">
        <v>-113.683238</v>
      </c>
      <c r="P4382">
        <v>5577.6697439999998</v>
      </c>
      <c r="Q4382">
        <v>304</v>
      </c>
      <c r="R4382">
        <v>0</v>
      </c>
    </row>
    <row r="4383" spans="1:18" x14ac:dyDescent="0.25">
      <c r="A4383">
        <v>4382</v>
      </c>
      <c r="B4383">
        <v>94</v>
      </c>
      <c r="C4383">
        <v>31412025</v>
      </c>
      <c r="D4383" t="s">
        <v>63</v>
      </c>
      <c r="E4383">
        <v>37.832999999999998</v>
      </c>
      <c r="F4383" t="s">
        <v>21</v>
      </c>
      <c r="G4383" t="s">
        <v>26</v>
      </c>
      <c r="H4383" t="s">
        <v>21</v>
      </c>
      <c r="I4383" t="s">
        <v>20</v>
      </c>
      <c r="J4383" t="s">
        <v>20</v>
      </c>
      <c r="K4383" t="s">
        <v>27</v>
      </c>
      <c r="L4383" t="s">
        <v>266</v>
      </c>
      <c r="M4383" t="s">
        <v>29</v>
      </c>
      <c r="N4383">
        <v>38.510100999999999</v>
      </c>
      <c r="O4383">
        <v>-111.881362</v>
      </c>
      <c r="P4383">
        <v>6856.8825829999996</v>
      </c>
      <c r="Q4383">
        <v>1365</v>
      </c>
      <c r="R4383">
        <v>0</v>
      </c>
    </row>
    <row r="4384" spans="1:18" x14ac:dyDescent="0.25">
      <c r="A4384">
        <v>4383</v>
      </c>
      <c r="B4384">
        <v>94</v>
      </c>
      <c r="C4384">
        <v>31285840</v>
      </c>
      <c r="D4384" t="s">
        <v>241</v>
      </c>
      <c r="E4384">
        <v>37.854999999999997</v>
      </c>
      <c r="F4384" t="s">
        <v>21</v>
      </c>
      <c r="G4384" t="s">
        <v>26</v>
      </c>
      <c r="H4384" t="s">
        <v>21</v>
      </c>
      <c r="I4384" t="s">
        <v>20</v>
      </c>
      <c r="J4384" t="s">
        <v>20</v>
      </c>
      <c r="K4384" t="s">
        <v>27</v>
      </c>
      <c r="L4384" t="s">
        <v>111</v>
      </c>
      <c r="M4384" t="s">
        <v>243</v>
      </c>
      <c r="N4384">
        <v>39.211689999999997</v>
      </c>
      <c r="O4384">
        <v>-111.01963600000001</v>
      </c>
      <c r="P4384">
        <v>5608.128146</v>
      </c>
      <c r="Q4384">
        <v>1327</v>
      </c>
      <c r="R4384">
        <v>0</v>
      </c>
    </row>
    <row r="4385" spans="1:18" x14ac:dyDescent="0.25">
      <c r="A4385">
        <v>4384</v>
      </c>
      <c r="B4385">
        <v>94</v>
      </c>
      <c r="C4385">
        <v>31430698</v>
      </c>
      <c r="D4385" t="s">
        <v>221</v>
      </c>
      <c r="E4385">
        <v>37.936999999999998</v>
      </c>
      <c r="F4385" t="s">
        <v>21</v>
      </c>
      <c r="G4385" t="s">
        <v>26</v>
      </c>
      <c r="H4385" t="s">
        <v>21</v>
      </c>
      <c r="I4385" t="s">
        <v>20</v>
      </c>
      <c r="J4385" t="s">
        <v>20</v>
      </c>
      <c r="K4385" t="s">
        <v>22</v>
      </c>
      <c r="L4385" t="s">
        <v>155</v>
      </c>
      <c r="M4385" t="s">
        <v>174</v>
      </c>
      <c r="N4385">
        <v>39.671118999999997</v>
      </c>
      <c r="O4385">
        <v>-111.846957</v>
      </c>
      <c r="P4385">
        <v>5099.2416510000003</v>
      </c>
      <c r="Q4385">
        <v>1342</v>
      </c>
      <c r="R4385">
        <v>0</v>
      </c>
    </row>
    <row r="4386" spans="1:18" x14ac:dyDescent="0.25">
      <c r="A4386">
        <v>4385</v>
      </c>
      <c r="B4386">
        <v>94</v>
      </c>
      <c r="C4386">
        <v>31412036</v>
      </c>
      <c r="D4386" t="s">
        <v>63</v>
      </c>
      <c r="E4386">
        <v>37.945</v>
      </c>
      <c r="F4386" t="s">
        <v>21</v>
      </c>
      <c r="G4386" t="s">
        <v>26</v>
      </c>
      <c r="H4386" t="s">
        <v>21</v>
      </c>
      <c r="I4386" t="s">
        <v>20</v>
      </c>
      <c r="J4386" t="s">
        <v>20</v>
      </c>
      <c r="K4386" t="s">
        <v>27</v>
      </c>
      <c r="L4386" t="s">
        <v>266</v>
      </c>
      <c r="M4386" t="s">
        <v>29</v>
      </c>
      <c r="N4386">
        <v>38.511723000000003</v>
      </c>
      <c r="O4386">
        <v>-111.881367</v>
      </c>
      <c r="P4386">
        <v>6866.0654960000002</v>
      </c>
      <c r="Q4386">
        <v>1365</v>
      </c>
      <c r="R4386">
        <v>0</v>
      </c>
    </row>
    <row r="4387" spans="1:18" x14ac:dyDescent="0.25">
      <c r="A4387">
        <v>4386</v>
      </c>
      <c r="B4387">
        <v>94</v>
      </c>
      <c r="C4387">
        <v>31285851</v>
      </c>
      <c r="D4387" t="s">
        <v>241</v>
      </c>
      <c r="E4387">
        <v>37.953000000000003</v>
      </c>
      <c r="F4387" t="s">
        <v>21</v>
      </c>
      <c r="G4387" t="s">
        <v>26</v>
      </c>
      <c r="H4387" t="s">
        <v>21</v>
      </c>
      <c r="I4387" t="s">
        <v>20</v>
      </c>
      <c r="J4387" t="s">
        <v>20</v>
      </c>
      <c r="K4387" t="s">
        <v>27</v>
      </c>
      <c r="L4387" t="s">
        <v>111</v>
      </c>
      <c r="M4387" t="s">
        <v>243</v>
      </c>
      <c r="N4387">
        <v>39.211688000000002</v>
      </c>
      <c r="O4387">
        <v>-111.017791</v>
      </c>
      <c r="P4387">
        <v>5602.1674659999999</v>
      </c>
      <c r="Q4387">
        <v>1327</v>
      </c>
      <c r="R4387">
        <v>0</v>
      </c>
    </row>
    <row r="4388" spans="1:18" x14ac:dyDescent="0.25">
      <c r="A4388">
        <v>4387</v>
      </c>
      <c r="B4388">
        <v>94</v>
      </c>
      <c r="C4388" t="e">
        <f>-IowOuXFFma8uAZH8rH8rF</f>
        <v>#NAME?</v>
      </c>
      <c r="D4388" t="s">
        <v>272</v>
      </c>
      <c r="E4388">
        <v>370.08499999999998</v>
      </c>
      <c r="F4388" t="s">
        <v>21</v>
      </c>
      <c r="G4388" t="s">
        <v>26</v>
      </c>
      <c r="H4388" t="s">
        <v>21</v>
      </c>
      <c r="I4388" t="s">
        <v>20</v>
      </c>
      <c r="J4388" t="s">
        <v>20</v>
      </c>
      <c r="K4388" t="s">
        <v>31</v>
      </c>
      <c r="L4388" t="s">
        <v>69</v>
      </c>
      <c r="M4388" t="s">
        <v>49</v>
      </c>
      <c r="N4388">
        <v>40.635989000000002</v>
      </c>
      <c r="O4388">
        <v>-111.889252</v>
      </c>
      <c r="P4388">
        <v>4294.1997439999996</v>
      </c>
      <c r="Q4388">
        <v>1384</v>
      </c>
      <c r="R4388">
        <v>0</v>
      </c>
    </row>
    <row r="4389" spans="1:18" x14ac:dyDescent="0.25">
      <c r="A4389">
        <v>4388</v>
      </c>
      <c r="B4389">
        <v>94</v>
      </c>
      <c r="C4389" t="e">
        <f>-IowQVGpGdqaX0YsYvJmRF</f>
        <v>#NAME?</v>
      </c>
      <c r="D4389" t="s">
        <v>272</v>
      </c>
      <c r="E4389">
        <v>370.255</v>
      </c>
      <c r="F4389" t="s">
        <v>19</v>
      </c>
      <c r="G4389" t="s">
        <v>20</v>
      </c>
      <c r="H4389" t="s">
        <v>21</v>
      </c>
      <c r="I4389" t="s">
        <v>20</v>
      </c>
      <c r="J4389" t="s">
        <v>20</v>
      </c>
      <c r="K4389" t="s">
        <v>31</v>
      </c>
      <c r="L4389" t="s">
        <v>69</v>
      </c>
      <c r="M4389" t="s">
        <v>49</v>
      </c>
      <c r="N4389">
        <v>40.638461</v>
      </c>
      <c r="O4389">
        <v>-111.889138</v>
      </c>
      <c r="P4389">
        <v>4289.4697429999997</v>
      </c>
      <c r="Q4389">
        <v>1384</v>
      </c>
      <c r="R4389">
        <v>0</v>
      </c>
    </row>
    <row r="4390" spans="1:18" x14ac:dyDescent="0.25">
      <c r="A4390">
        <v>4389</v>
      </c>
      <c r="B4390">
        <v>94</v>
      </c>
      <c r="C4390">
        <v>31311098</v>
      </c>
      <c r="D4390" t="s">
        <v>40</v>
      </c>
      <c r="E4390">
        <v>4.6070000000000002</v>
      </c>
      <c r="F4390" t="s">
        <v>21</v>
      </c>
      <c r="G4390" t="s">
        <v>20</v>
      </c>
      <c r="H4390" t="s">
        <v>21</v>
      </c>
      <c r="I4390" t="s">
        <v>20</v>
      </c>
      <c r="J4390" t="s">
        <v>20</v>
      </c>
      <c r="K4390" t="s">
        <v>41</v>
      </c>
      <c r="L4390" t="s">
        <v>42</v>
      </c>
      <c r="M4390" t="s">
        <v>43</v>
      </c>
      <c r="N4390">
        <v>41.634109000000002</v>
      </c>
      <c r="O4390">
        <v>-111.85802200000001</v>
      </c>
      <c r="P4390">
        <v>4646.546233</v>
      </c>
      <c r="Q4390">
        <v>1391</v>
      </c>
      <c r="R4390">
        <v>0</v>
      </c>
    </row>
    <row r="4391" spans="1:18" x14ac:dyDescent="0.25">
      <c r="A4391">
        <v>4390</v>
      </c>
      <c r="B4391">
        <v>94</v>
      </c>
      <c r="C4391">
        <v>493578</v>
      </c>
      <c r="D4391" t="s">
        <v>83</v>
      </c>
      <c r="E4391">
        <v>4.609</v>
      </c>
      <c r="F4391" t="s">
        <v>21</v>
      </c>
      <c r="G4391" t="s">
        <v>26</v>
      </c>
      <c r="H4391" t="s">
        <v>21</v>
      </c>
      <c r="I4391" t="s">
        <v>20</v>
      </c>
      <c r="J4391" t="s">
        <v>20</v>
      </c>
      <c r="K4391" t="s">
        <v>22</v>
      </c>
      <c r="L4391" t="s">
        <v>84</v>
      </c>
      <c r="M4391" t="s">
        <v>85</v>
      </c>
      <c r="N4391">
        <v>40.442286000000003</v>
      </c>
      <c r="O4391">
        <v>-111.78421899999999</v>
      </c>
      <c r="P4391">
        <v>4856.8481869999996</v>
      </c>
      <c r="Q4391">
        <v>319</v>
      </c>
      <c r="R4391">
        <v>0</v>
      </c>
    </row>
    <row r="4392" spans="1:18" x14ac:dyDescent="0.25">
      <c r="A4392">
        <v>4391</v>
      </c>
      <c r="B4392">
        <v>94</v>
      </c>
      <c r="C4392">
        <v>31397863</v>
      </c>
      <c r="D4392" t="s">
        <v>124</v>
      </c>
      <c r="E4392">
        <v>39.314999999999998</v>
      </c>
      <c r="F4392" t="s">
        <v>21</v>
      </c>
      <c r="G4392" t="s">
        <v>26</v>
      </c>
      <c r="H4392" t="s">
        <v>21</v>
      </c>
      <c r="I4392" t="s">
        <v>20</v>
      </c>
      <c r="J4392" t="s">
        <v>20</v>
      </c>
      <c r="K4392" t="s">
        <v>31</v>
      </c>
      <c r="L4392" t="s">
        <v>89</v>
      </c>
      <c r="M4392" t="s">
        <v>125</v>
      </c>
      <c r="N4392">
        <v>40.479412000000004</v>
      </c>
      <c r="O4392">
        <v>-111.944625</v>
      </c>
      <c r="P4392">
        <v>4492.5627720000002</v>
      </c>
      <c r="Q4392">
        <v>1368</v>
      </c>
      <c r="R4392">
        <v>0</v>
      </c>
    </row>
    <row r="4393" spans="1:18" x14ac:dyDescent="0.25">
      <c r="A4393">
        <v>4392</v>
      </c>
      <c r="B4393">
        <v>94</v>
      </c>
      <c r="C4393">
        <v>31561667</v>
      </c>
      <c r="D4393" t="s">
        <v>213</v>
      </c>
      <c r="E4393">
        <v>99.718999999999994</v>
      </c>
      <c r="F4393" t="s">
        <v>21</v>
      </c>
      <c r="G4393" t="s">
        <v>26</v>
      </c>
      <c r="H4393" t="s">
        <v>19</v>
      </c>
      <c r="I4393">
        <v>174</v>
      </c>
      <c r="J4393" t="s">
        <v>20</v>
      </c>
      <c r="K4393" t="s">
        <v>27</v>
      </c>
      <c r="L4393" t="s">
        <v>173</v>
      </c>
      <c r="M4393" t="s">
        <v>214</v>
      </c>
      <c r="N4393">
        <v>39.461750000000002</v>
      </c>
      <c r="O4393">
        <v>-112.433252</v>
      </c>
      <c r="P4393">
        <v>4721.4176749999997</v>
      </c>
      <c r="Q4393">
        <v>1332</v>
      </c>
      <c r="R4393">
        <v>0</v>
      </c>
    </row>
    <row r="4394" spans="1:18" x14ac:dyDescent="0.25">
      <c r="A4394">
        <v>4393</v>
      </c>
      <c r="B4394">
        <v>94</v>
      </c>
      <c r="C4394">
        <v>31391642</v>
      </c>
      <c r="D4394" t="s">
        <v>203</v>
      </c>
      <c r="E4394">
        <v>8.1959999999999997</v>
      </c>
      <c r="F4394" t="s">
        <v>21</v>
      </c>
      <c r="G4394" t="s">
        <v>26</v>
      </c>
      <c r="H4394" t="s">
        <v>21</v>
      </c>
      <c r="I4394" t="s">
        <v>20</v>
      </c>
      <c r="J4394" t="s">
        <v>20</v>
      </c>
      <c r="K4394" t="s">
        <v>41</v>
      </c>
      <c r="L4394" t="s">
        <v>255</v>
      </c>
      <c r="M4394" t="s">
        <v>204</v>
      </c>
      <c r="N4394">
        <v>41.239806000000002</v>
      </c>
      <c r="O4394">
        <v>-111.936638</v>
      </c>
      <c r="P4394">
        <v>4327.9916409999996</v>
      </c>
      <c r="Q4394">
        <v>1349</v>
      </c>
      <c r="R4394">
        <v>0</v>
      </c>
    </row>
    <row r="4395" spans="1:18" x14ac:dyDescent="0.25">
      <c r="A4395">
        <v>4394</v>
      </c>
      <c r="B4395">
        <v>94</v>
      </c>
      <c r="C4395">
        <v>540106</v>
      </c>
      <c r="D4395" t="s">
        <v>44</v>
      </c>
      <c r="E4395">
        <v>8.1999999999999993</v>
      </c>
      <c r="F4395" t="s">
        <v>21</v>
      </c>
      <c r="G4395" t="s">
        <v>26</v>
      </c>
      <c r="H4395" t="s">
        <v>21</v>
      </c>
      <c r="I4395" t="s">
        <v>20</v>
      </c>
      <c r="J4395" t="s">
        <v>20</v>
      </c>
      <c r="K4395" t="s">
        <v>41</v>
      </c>
      <c r="L4395" t="s">
        <v>87</v>
      </c>
      <c r="M4395" t="s">
        <v>46</v>
      </c>
      <c r="N4395">
        <v>40.990293999999999</v>
      </c>
      <c r="O4395">
        <v>-111.892386</v>
      </c>
      <c r="P4395">
        <v>4262.5516779999998</v>
      </c>
      <c r="Q4395">
        <v>1395</v>
      </c>
      <c r="R4395">
        <v>0</v>
      </c>
    </row>
    <row r="4396" spans="1:18" x14ac:dyDescent="0.25">
      <c r="A4396">
        <v>4395</v>
      </c>
      <c r="B4396">
        <v>94</v>
      </c>
      <c r="C4396">
        <v>31693023</v>
      </c>
      <c r="D4396" t="s">
        <v>96</v>
      </c>
      <c r="E4396">
        <v>4.12</v>
      </c>
      <c r="F4396" t="s">
        <v>21</v>
      </c>
      <c r="G4396" t="s">
        <v>26</v>
      </c>
      <c r="H4396" t="s">
        <v>21</v>
      </c>
      <c r="I4396" t="s">
        <v>20</v>
      </c>
      <c r="J4396" t="s">
        <v>20</v>
      </c>
      <c r="K4396" t="s">
        <v>22</v>
      </c>
      <c r="L4396" t="s">
        <v>97</v>
      </c>
      <c r="M4396" t="s">
        <v>98</v>
      </c>
      <c r="N4396">
        <v>40.978794000000001</v>
      </c>
      <c r="O4396">
        <v>-109.78904300000001</v>
      </c>
      <c r="P4396">
        <v>6928.701994</v>
      </c>
      <c r="Q4396">
        <v>311</v>
      </c>
      <c r="R4396">
        <v>0</v>
      </c>
    </row>
    <row r="4397" spans="1:18" x14ac:dyDescent="0.25">
      <c r="A4397">
        <v>4396</v>
      </c>
      <c r="B4397">
        <v>94</v>
      </c>
      <c r="C4397">
        <v>503085</v>
      </c>
      <c r="D4397" t="s">
        <v>135</v>
      </c>
      <c r="E4397">
        <v>4.1210000000000004</v>
      </c>
      <c r="F4397" t="s">
        <v>19</v>
      </c>
      <c r="G4397" t="s">
        <v>20</v>
      </c>
      <c r="H4397" t="s">
        <v>21</v>
      </c>
      <c r="I4397" t="s">
        <v>20</v>
      </c>
      <c r="J4397" t="s">
        <v>20</v>
      </c>
      <c r="K4397" t="s">
        <v>31</v>
      </c>
      <c r="L4397" t="s">
        <v>89</v>
      </c>
      <c r="M4397" t="s">
        <v>144</v>
      </c>
      <c r="N4397">
        <v>40.558956999999999</v>
      </c>
      <c r="O4397">
        <v>-111.898269</v>
      </c>
      <c r="P4397">
        <v>4346.3212279999998</v>
      </c>
      <c r="Q4397">
        <v>1423</v>
      </c>
      <c r="R4397">
        <v>0</v>
      </c>
    </row>
    <row r="4398" spans="1:18" x14ac:dyDescent="0.25">
      <c r="A4398">
        <v>4397</v>
      </c>
      <c r="B4398">
        <v>94</v>
      </c>
      <c r="C4398">
        <v>780911</v>
      </c>
      <c r="D4398" t="s">
        <v>68</v>
      </c>
      <c r="E4398">
        <v>4.1280000000000001</v>
      </c>
      <c r="F4398" t="s">
        <v>19</v>
      </c>
      <c r="G4398" t="s">
        <v>20</v>
      </c>
      <c r="H4398" t="s">
        <v>21</v>
      </c>
      <c r="I4398" t="s">
        <v>20</v>
      </c>
      <c r="J4398" t="s">
        <v>20</v>
      </c>
      <c r="K4398" t="s">
        <v>31</v>
      </c>
      <c r="L4398" t="s">
        <v>69</v>
      </c>
      <c r="M4398" t="s">
        <v>70</v>
      </c>
      <c r="N4398">
        <v>40.674357999999998</v>
      </c>
      <c r="O4398">
        <v>-111.87700599999999</v>
      </c>
      <c r="P4398">
        <v>4240.5247900000004</v>
      </c>
      <c r="Q4398">
        <v>431</v>
      </c>
      <c r="R4398">
        <v>0</v>
      </c>
    </row>
    <row r="4399" spans="1:18" x14ac:dyDescent="0.25">
      <c r="A4399">
        <v>4398</v>
      </c>
      <c r="B4399">
        <v>94</v>
      </c>
      <c r="C4399">
        <v>31366790</v>
      </c>
      <c r="D4399" t="s">
        <v>229</v>
      </c>
      <c r="E4399">
        <v>4.9960000000000004</v>
      </c>
      <c r="F4399" t="s">
        <v>21</v>
      </c>
      <c r="G4399" t="s">
        <v>26</v>
      </c>
      <c r="H4399" t="s">
        <v>21</v>
      </c>
      <c r="I4399" t="s">
        <v>20</v>
      </c>
      <c r="J4399" t="s">
        <v>20</v>
      </c>
      <c r="K4399" t="s">
        <v>27</v>
      </c>
      <c r="L4399" t="s">
        <v>230</v>
      </c>
      <c r="M4399" t="s">
        <v>82</v>
      </c>
      <c r="N4399">
        <v>39.476131000000002</v>
      </c>
      <c r="O4399">
        <v>-111.561211</v>
      </c>
      <c r="P4399">
        <v>5456.6458400000001</v>
      </c>
      <c r="Q4399">
        <v>331</v>
      </c>
      <c r="R4399">
        <v>0</v>
      </c>
    </row>
    <row r="4400" spans="1:18" x14ac:dyDescent="0.25">
      <c r="A4400">
        <v>4399</v>
      </c>
      <c r="B4400">
        <v>94</v>
      </c>
      <c r="C4400">
        <v>543585</v>
      </c>
      <c r="D4400" t="s">
        <v>77</v>
      </c>
      <c r="E4400">
        <v>4.9980000000000002</v>
      </c>
      <c r="F4400" t="s">
        <v>19</v>
      </c>
      <c r="G4400" t="s">
        <v>20</v>
      </c>
      <c r="H4400" t="s">
        <v>21</v>
      </c>
      <c r="I4400" t="s">
        <v>20</v>
      </c>
      <c r="J4400" t="s">
        <v>20</v>
      </c>
      <c r="K4400" t="s">
        <v>31</v>
      </c>
      <c r="L4400" t="s">
        <v>78</v>
      </c>
      <c r="M4400" t="s">
        <v>79</v>
      </c>
      <c r="N4400">
        <v>40.711094000000003</v>
      </c>
      <c r="O4400">
        <v>-112.024907</v>
      </c>
      <c r="P4400">
        <v>4194.4268119999997</v>
      </c>
      <c r="Q4400">
        <v>1436</v>
      </c>
      <c r="R4400">
        <v>0</v>
      </c>
    </row>
    <row r="4401" spans="1:18" x14ac:dyDescent="0.25">
      <c r="A4401">
        <v>4400</v>
      </c>
      <c r="B4401">
        <v>94</v>
      </c>
      <c r="C4401" t="e">
        <f>-JNL1imSFm1fTRl2m_NFzk</f>
        <v>#NAME?</v>
      </c>
      <c r="D4401" t="s">
        <v>124</v>
      </c>
      <c r="E4401">
        <v>4.9989999999999997</v>
      </c>
      <c r="F4401" t="s">
        <v>21</v>
      </c>
      <c r="G4401" t="s">
        <v>26</v>
      </c>
      <c r="H4401" t="s">
        <v>21</v>
      </c>
      <c r="I4401" t="s">
        <v>20</v>
      </c>
      <c r="J4401" t="s">
        <v>20</v>
      </c>
      <c r="K4401" t="s">
        <v>22</v>
      </c>
      <c r="L4401" t="s">
        <v>193</v>
      </c>
      <c r="M4401" t="s">
        <v>194</v>
      </c>
      <c r="N4401">
        <v>40.024534000000003</v>
      </c>
      <c r="O4401">
        <v>-111.958279</v>
      </c>
      <c r="P4401">
        <v>4560.1390300000003</v>
      </c>
      <c r="Q4401">
        <v>1368</v>
      </c>
      <c r="R4401">
        <v>0</v>
      </c>
    </row>
    <row r="4402" spans="1:18" x14ac:dyDescent="0.25">
      <c r="A4402">
        <v>4401</v>
      </c>
      <c r="B4402">
        <v>94</v>
      </c>
      <c r="C4402" t="e">
        <f>-JY7JQhhFqagAfxxJS-Cxk</f>
        <v>#NAME?</v>
      </c>
      <c r="D4402" t="s">
        <v>199</v>
      </c>
      <c r="E4402">
        <v>40.003</v>
      </c>
      <c r="F4402" t="s">
        <v>21</v>
      </c>
      <c r="G4402" t="s">
        <v>20</v>
      </c>
      <c r="H4402" t="s">
        <v>21</v>
      </c>
      <c r="I4402" t="s">
        <v>20</v>
      </c>
      <c r="J4402" t="s">
        <v>20</v>
      </c>
      <c r="K4402" t="s">
        <v>27</v>
      </c>
      <c r="L4402" t="s">
        <v>64</v>
      </c>
      <c r="M4402" t="s">
        <v>200</v>
      </c>
      <c r="N4402">
        <v>38.239680999999997</v>
      </c>
      <c r="O4402">
        <v>-112.22855800000001</v>
      </c>
      <c r="P4402">
        <v>5978.1981299999998</v>
      </c>
      <c r="Q4402">
        <v>341</v>
      </c>
      <c r="R4402">
        <v>0</v>
      </c>
    </row>
    <row r="4403" spans="1:18" x14ac:dyDescent="0.25">
      <c r="A4403">
        <v>4402</v>
      </c>
      <c r="B4403">
        <v>94</v>
      </c>
      <c r="C4403">
        <v>31384389</v>
      </c>
      <c r="D4403" t="s">
        <v>116</v>
      </c>
      <c r="E4403">
        <v>40.006</v>
      </c>
      <c r="F4403" t="s">
        <v>19</v>
      </c>
      <c r="G4403" t="s">
        <v>20</v>
      </c>
      <c r="H4403" t="s">
        <v>19</v>
      </c>
      <c r="I4403">
        <v>142</v>
      </c>
      <c r="J4403" t="s">
        <v>20</v>
      </c>
      <c r="K4403" t="s">
        <v>41</v>
      </c>
      <c r="L4403" t="s">
        <v>95</v>
      </c>
      <c r="M4403" t="s">
        <v>117</v>
      </c>
      <c r="N4403">
        <v>41.922707000000003</v>
      </c>
      <c r="O4403">
        <v>-111.81434400000001</v>
      </c>
      <c r="P4403">
        <v>4558.4390839999996</v>
      </c>
      <c r="Q4403">
        <v>324</v>
      </c>
      <c r="R4403">
        <v>0</v>
      </c>
    </row>
    <row r="4404" spans="1:18" x14ac:dyDescent="0.25">
      <c r="A4404">
        <v>4403</v>
      </c>
      <c r="B4404">
        <v>94</v>
      </c>
      <c r="C4404" t="e">
        <f>-IoacqdWGlHNhfeuH1AS0F</f>
        <v>#NAME?</v>
      </c>
      <c r="D4404" t="s">
        <v>272</v>
      </c>
      <c r="E4404">
        <v>345.935</v>
      </c>
      <c r="F4404" t="s">
        <v>19</v>
      </c>
      <c r="G4404" t="s">
        <v>20</v>
      </c>
      <c r="H4404" t="s">
        <v>21</v>
      </c>
      <c r="I4404" t="s">
        <v>20</v>
      </c>
      <c r="J4404" t="s">
        <v>20</v>
      </c>
      <c r="K4404" t="s">
        <v>22</v>
      </c>
      <c r="L4404" t="s">
        <v>84</v>
      </c>
      <c r="M4404" t="s">
        <v>125</v>
      </c>
      <c r="N4404">
        <v>40.368040000000001</v>
      </c>
      <c r="O4404">
        <v>-111.75979599999999</v>
      </c>
      <c r="P4404">
        <v>4498.0473060000004</v>
      </c>
      <c r="Q4404">
        <v>1384</v>
      </c>
      <c r="R4404">
        <v>0</v>
      </c>
    </row>
    <row r="4405" spans="1:18" x14ac:dyDescent="0.25">
      <c r="A4405">
        <v>4404</v>
      </c>
      <c r="B4405">
        <v>94</v>
      </c>
      <c r="C4405" t="e">
        <f>-JT7826oHlD3BW73WaDQek</f>
        <v>#NAME?</v>
      </c>
      <c r="D4405" t="s">
        <v>272</v>
      </c>
      <c r="E4405">
        <v>346.173</v>
      </c>
      <c r="F4405" t="s">
        <v>21</v>
      </c>
      <c r="G4405" t="s">
        <v>26</v>
      </c>
      <c r="H4405" t="s">
        <v>21</v>
      </c>
      <c r="I4405" t="s">
        <v>20</v>
      </c>
      <c r="J4405" t="s">
        <v>20</v>
      </c>
      <c r="K4405" t="s">
        <v>22</v>
      </c>
      <c r="L4405" t="s">
        <v>84</v>
      </c>
      <c r="M4405" t="s">
        <v>125</v>
      </c>
      <c r="N4405">
        <v>40.369008999999998</v>
      </c>
      <c r="O4405">
        <v>-111.764079</v>
      </c>
      <c r="P4405">
        <v>4507.4478490000001</v>
      </c>
      <c r="Q4405">
        <v>1384</v>
      </c>
      <c r="R4405">
        <v>0</v>
      </c>
    </row>
    <row r="4406" spans="1:18" x14ac:dyDescent="0.25">
      <c r="A4406">
        <v>4405</v>
      </c>
      <c r="B4406">
        <v>94</v>
      </c>
      <c r="C4406" t="e">
        <f>-Ioag71tGh5cdKXIXyE40F</f>
        <v>#NAME?</v>
      </c>
      <c r="D4406" t="s">
        <v>272</v>
      </c>
      <c r="E4406">
        <v>346.45699999999999</v>
      </c>
      <c r="F4406" t="s">
        <v>19</v>
      </c>
      <c r="G4406" t="s">
        <v>20</v>
      </c>
      <c r="H4406" t="s">
        <v>21</v>
      </c>
      <c r="I4406" t="s">
        <v>20</v>
      </c>
      <c r="J4406" t="s">
        <v>20</v>
      </c>
      <c r="K4406" t="s">
        <v>22</v>
      </c>
      <c r="L4406" t="s">
        <v>84</v>
      </c>
      <c r="M4406" t="s">
        <v>125</v>
      </c>
      <c r="N4406">
        <v>40.370196</v>
      </c>
      <c r="O4406">
        <v>-111.76919599999999</v>
      </c>
      <c r="P4406">
        <v>4519.5201059999999</v>
      </c>
      <c r="Q4406">
        <v>1384</v>
      </c>
      <c r="R4406">
        <v>0</v>
      </c>
    </row>
    <row r="4407" spans="1:18" x14ac:dyDescent="0.25">
      <c r="A4407">
        <v>4406</v>
      </c>
      <c r="B4407">
        <v>94</v>
      </c>
      <c r="C4407" t="e">
        <f>-IoalpwOHrqCM9XbQLlD0F</f>
        <v>#NAME?</v>
      </c>
      <c r="D4407" t="s">
        <v>272</v>
      </c>
      <c r="E4407">
        <v>346.74700000000001</v>
      </c>
      <c r="F4407" t="s">
        <v>21</v>
      </c>
      <c r="G4407" t="s">
        <v>26</v>
      </c>
      <c r="H4407" t="s">
        <v>21</v>
      </c>
      <c r="I4407" t="s">
        <v>20</v>
      </c>
      <c r="J4407" t="s">
        <v>20</v>
      </c>
      <c r="K4407" t="s">
        <v>22</v>
      </c>
      <c r="L4407" t="s">
        <v>84</v>
      </c>
      <c r="M4407" t="s">
        <v>125</v>
      </c>
      <c r="N4407">
        <v>40.371350999999997</v>
      </c>
      <c r="O4407">
        <v>-111.774396</v>
      </c>
      <c r="P4407">
        <v>4526.907091</v>
      </c>
      <c r="Q4407">
        <v>1384</v>
      </c>
      <c r="R4407">
        <v>0</v>
      </c>
    </row>
    <row r="4408" spans="1:18" x14ac:dyDescent="0.25">
      <c r="A4408">
        <v>4407</v>
      </c>
      <c r="B4408">
        <v>94</v>
      </c>
      <c r="C4408" t="s">
        <v>661</v>
      </c>
      <c r="D4408" t="s">
        <v>272</v>
      </c>
      <c r="E4408">
        <v>346.98099999999999</v>
      </c>
      <c r="F4408" t="s">
        <v>21</v>
      </c>
      <c r="G4408" t="s">
        <v>26</v>
      </c>
      <c r="H4408" t="s">
        <v>21</v>
      </c>
      <c r="I4408" t="s">
        <v>20</v>
      </c>
      <c r="J4408" t="s">
        <v>20</v>
      </c>
      <c r="K4408" t="s">
        <v>22</v>
      </c>
      <c r="L4408" t="s">
        <v>84</v>
      </c>
      <c r="M4408" t="s">
        <v>125</v>
      </c>
      <c r="N4408">
        <v>40.372312999999998</v>
      </c>
      <c r="O4408">
        <v>-111.778632</v>
      </c>
      <c r="P4408">
        <v>4533.505932</v>
      </c>
      <c r="Q4408">
        <v>1384</v>
      </c>
      <c r="R4408">
        <v>0</v>
      </c>
    </row>
    <row r="4409" spans="1:18" x14ac:dyDescent="0.25">
      <c r="A4409">
        <v>4408</v>
      </c>
      <c r="B4409">
        <v>94</v>
      </c>
      <c r="C4409" t="e">
        <f>-IoanwSdFeLsqDt3087rvk</f>
        <v>#NAME?</v>
      </c>
      <c r="D4409" t="s">
        <v>272</v>
      </c>
      <c r="E4409">
        <v>347.1</v>
      </c>
      <c r="F4409" t="s">
        <v>19</v>
      </c>
      <c r="G4409" t="s">
        <v>20</v>
      </c>
      <c r="H4409" t="s">
        <v>21</v>
      </c>
      <c r="I4409" t="s">
        <v>20</v>
      </c>
      <c r="J4409" t="s">
        <v>20</v>
      </c>
      <c r="K4409" t="s">
        <v>22</v>
      </c>
      <c r="L4409" t="s">
        <v>84</v>
      </c>
      <c r="M4409" t="s">
        <v>125</v>
      </c>
      <c r="N4409">
        <v>40.37283</v>
      </c>
      <c r="O4409">
        <v>-111.780736</v>
      </c>
      <c r="P4409">
        <v>4537.8614619999998</v>
      </c>
      <c r="Q4409">
        <v>1384</v>
      </c>
      <c r="R4409">
        <v>0</v>
      </c>
    </row>
    <row r="4410" spans="1:18" x14ac:dyDescent="0.25">
      <c r="A4410">
        <v>4409</v>
      </c>
      <c r="B4410">
        <v>94</v>
      </c>
      <c r="C4410" t="e">
        <f>-IoaqX3kFiX1VcKA3GUinV</f>
        <v>#NAME?</v>
      </c>
      <c r="D4410" t="s">
        <v>272</v>
      </c>
      <c r="E4410">
        <v>347.20800000000003</v>
      </c>
      <c r="F4410" t="s">
        <v>21</v>
      </c>
      <c r="G4410" t="s">
        <v>26</v>
      </c>
      <c r="H4410" t="s">
        <v>21</v>
      </c>
      <c r="I4410" t="s">
        <v>20</v>
      </c>
      <c r="J4410" t="s">
        <v>20</v>
      </c>
      <c r="K4410" t="s">
        <v>22</v>
      </c>
      <c r="L4410" t="s">
        <v>84</v>
      </c>
      <c r="M4410" t="s">
        <v>125</v>
      </c>
      <c r="N4410">
        <v>40.373291000000002</v>
      </c>
      <c r="O4410">
        <v>-111.782667</v>
      </c>
      <c r="P4410">
        <v>4540.7928830000001</v>
      </c>
      <c r="Q4410">
        <v>1384</v>
      </c>
      <c r="R4410">
        <v>0</v>
      </c>
    </row>
    <row r="4411" spans="1:18" x14ac:dyDescent="0.25">
      <c r="A4411">
        <v>4410</v>
      </c>
      <c r="B4411">
        <v>94</v>
      </c>
      <c r="C4411" t="s">
        <v>662</v>
      </c>
      <c r="D4411" t="s">
        <v>272</v>
      </c>
      <c r="E4411">
        <v>347.36099999999999</v>
      </c>
      <c r="F4411" t="s">
        <v>19</v>
      </c>
      <c r="G4411" t="s">
        <v>20</v>
      </c>
      <c r="H4411" t="s">
        <v>19</v>
      </c>
      <c r="I4411">
        <v>180</v>
      </c>
      <c r="J4411" t="s">
        <v>20</v>
      </c>
      <c r="K4411" t="s">
        <v>22</v>
      </c>
      <c r="L4411" t="s">
        <v>84</v>
      </c>
      <c r="M4411" t="s">
        <v>125</v>
      </c>
      <c r="N4411">
        <v>40.373938000000003</v>
      </c>
      <c r="O4411">
        <v>-111.785417</v>
      </c>
      <c r="P4411">
        <v>4545.9509550000002</v>
      </c>
      <c r="Q4411">
        <v>1384</v>
      </c>
      <c r="R4411">
        <v>0</v>
      </c>
    </row>
    <row r="4412" spans="1:18" x14ac:dyDescent="0.25">
      <c r="A4412">
        <v>4411</v>
      </c>
      <c r="B4412">
        <v>94</v>
      </c>
      <c r="C4412" t="s">
        <v>663</v>
      </c>
      <c r="D4412" t="s">
        <v>272</v>
      </c>
      <c r="E4412">
        <v>347.50799999999998</v>
      </c>
      <c r="F4412" t="s">
        <v>21</v>
      </c>
      <c r="G4412" t="s">
        <v>26</v>
      </c>
      <c r="H4412" t="s">
        <v>21</v>
      </c>
      <c r="I4412" t="s">
        <v>20</v>
      </c>
      <c r="J4412" t="s">
        <v>20</v>
      </c>
      <c r="K4412" t="s">
        <v>22</v>
      </c>
      <c r="L4412" t="s">
        <v>84</v>
      </c>
      <c r="M4412" t="s">
        <v>125</v>
      </c>
      <c r="N4412">
        <v>40.374547999999997</v>
      </c>
      <c r="O4412">
        <v>-111.78804599999999</v>
      </c>
      <c r="P4412">
        <v>4546.3586290000003</v>
      </c>
      <c r="Q4412">
        <v>1384</v>
      </c>
      <c r="R4412">
        <v>0</v>
      </c>
    </row>
    <row r="4413" spans="1:18" x14ac:dyDescent="0.25">
      <c r="A4413">
        <v>4412</v>
      </c>
      <c r="B4413">
        <v>94</v>
      </c>
      <c r="C4413" t="e">
        <f>-IopZ4nQIeLoNEagviiyPF</f>
        <v>#NAME?</v>
      </c>
      <c r="D4413" t="s">
        <v>272</v>
      </c>
      <c r="E4413">
        <v>347.56400000000002</v>
      </c>
      <c r="F4413" t="s">
        <v>21</v>
      </c>
      <c r="G4413" t="s">
        <v>20</v>
      </c>
      <c r="H4413" t="s">
        <v>21</v>
      </c>
      <c r="I4413" t="s">
        <v>20</v>
      </c>
      <c r="J4413" t="s">
        <v>20</v>
      </c>
      <c r="K4413" t="s">
        <v>22</v>
      </c>
      <c r="L4413" t="s">
        <v>84</v>
      </c>
      <c r="M4413" t="s">
        <v>125</v>
      </c>
      <c r="N4413">
        <v>40.374777000000002</v>
      </c>
      <c r="O4413">
        <v>-111.789061</v>
      </c>
      <c r="P4413">
        <v>4545.9991970000001</v>
      </c>
      <c r="Q4413">
        <v>1384</v>
      </c>
      <c r="R4413">
        <v>0</v>
      </c>
    </row>
    <row r="4414" spans="1:18" x14ac:dyDescent="0.25">
      <c r="A4414">
        <v>4413</v>
      </c>
      <c r="B4414">
        <v>94</v>
      </c>
      <c r="C4414" t="e">
        <f>-Ip4FKPHGYaAOMu_5IC7bF</f>
        <v>#NAME?</v>
      </c>
      <c r="D4414" t="s">
        <v>272</v>
      </c>
      <c r="E4414">
        <v>377.51100000000002</v>
      </c>
      <c r="F4414" t="s">
        <v>21</v>
      </c>
      <c r="G4414" t="s">
        <v>26</v>
      </c>
      <c r="H4414" t="s">
        <v>21</v>
      </c>
      <c r="I4414" t="s">
        <v>20</v>
      </c>
      <c r="J4414" t="s">
        <v>20</v>
      </c>
      <c r="K4414" t="s">
        <v>31</v>
      </c>
      <c r="L4414" t="s">
        <v>66</v>
      </c>
      <c r="M4414" t="s">
        <v>49</v>
      </c>
      <c r="N4414">
        <v>40.744345000000003</v>
      </c>
      <c r="O4414">
        <v>-111.888143</v>
      </c>
      <c r="P4414">
        <v>4181.024214</v>
      </c>
      <c r="Q4414">
        <v>1384</v>
      </c>
      <c r="R4414">
        <v>0</v>
      </c>
    </row>
    <row r="4415" spans="1:18" x14ac:dyDescent="0.25">
      <c r="A4415">
        <v>4414</v>
      </c>
      <c r="B4415">
        <v>94</v>
      </c>
      <c r="C4415" t="s">
        <v>664</v>
      </c>
      <c r="D4415" t="s">
        <v>272</v>
      </c>
      <c r="E4415">
        <v>377.54700000000003</v>
      </c>
      <c r="F4415" t="s">
        <v>21</v>
      </c>
      <c r="G4415" t="s">
        <v>26</v>
      </c>
      <c r="H4415" t="s">
        <v>21</v>
      </c>
      <c r="I4415" t="s">
        <v>20</v>
      </c>
      <c r="J4415" t="s">
        <v>20</v>
      </c>
      <c r="K4415" t="s">
        <v>31</v>
      </c>
      <c r="L4415" t="s">
        <v>66</v>
      </c>
      <c r="M4415" t="s">
        <v>49</v>
      </c>
      <c r="N4415">
        <v>40.744867999999997</v>
      </c>
      <c r="O4415">
        <v>-111.888227</v>
      </c>
      <c r="P4415">
        <v>4180.4964829999999</v>
      </c>
      <c r="Q4415">
        <v>1384</v>
      </c>
      <c r="R4415">
        <v>0</v>
      </c>
    </row>
    <row r="4416" spans="1:18" x14ac:dyDescent="0.25">
      <c r="A4416">
        <v>4415</v>
      </c>
      <c r="B4416">
        <v>94</v>
      </c>
      <c r="C4416" t="e">
        <f>-Ip44RIZHJPqrvTnDSlXzF</f>
        <v>#NAME?</v>
      </c>
      <c r="D4416" t="s">
        <v>272</v>
      </c>
      <c r="E4416">
        <v>377.584</v>
      </c>
      <c r="F4416" t="s">
        <v>21</v>
      </c>
      <c r="G4416" t="s">
        <v>26</v>
      </c>
      <c r="H4416" t="s">
        <v>21</v>
      </c>
      <c r="I4416" t="s">
        <v>20</v>
      </c>
      <c r="J4416" t="s">
        <v>20</v>
      </c>
      <c r="K4416" t="s">
        <v>31</v>
      </c>
      <c r="L4416" t="s">
        <v>66</v>
      </c>
      <c r="M4416" t="s">
        <v>49</v>
      </c>
      <c r="N4416">
        <v>40.745392000000002</v>
      </c>
      <c r="O4416">
        <v>-111.888144</v>
      </c>
      <c r="P4416">
        <v>4180.6029989999997</v>
      </c>
      <c r="Q4416">
        <v>1384</v>
      </c>
      <c r="R4416">
        <v>0</v>
      </c>
    </row>
    <row r="4417" spans="1:18" x14ac:dyDescent="0.25">
      <c r="A4417">
        <v>4416</v>
      </c>
      <c r="B4417">
        <v>94</v>
      </c>
      <c r="C4417" t="s">
        <v>665</v>
      </c>
      <c r="D4417" t="s">
        <v>272</v>
      </c>
      <c r="E4417">
        <v>377.62900000000002</v>
      </c>
      <c r="F4417" t="s">
        <v>21</v>
      </c>
      <c r="G4417" t="s">
        <v>26</v>
      </c>
      <c r="H4417" t="s">
        <v>21</v>
      </c>
      <c r="I4417" t="s">
        <v>20</v>
      </c>
      <c r="J4417" t="s">
        <v>20</v>
      </c>
      <c r="K4417" t="s">
        <v>31</v>
      </c>
      <c r="L4417" t="s">
        <v>66</v>
      </c>
      <c r="M4417" t="s">
        <v>49</v>
      </c>
      <c r="N4417">
        <v>40.746053000000003</v>
      </c>
      <c r="O4417">
        <v>-111.888143</v>
      </c>
      <c r="P4417">
        <v>4180.7874240000001</v>
      </c>
      <c r="Q4417">
        <v>1384</v>
      </c>
      <c r="R4417">
        <v>0</v>
      </c>
    </row>
    <row r="4418" spans="1:18" x14ac:dyDescent="0.25">
      <c r="A4418">
        <v>4417</v>
      </c>
      <c r="B4418">
        <v>94</v>
      </c>
      <c r="C4418" t="s">
        <v>666</v>
      </c>
      <c r="D4418" t="s">
        <v>272</v>
      </c>
      <c r="E4418">
        <v>377.65499999999997</v>
      </c>
      <c r="F4418" t="s">
        <v>21</v>
      </c>
      <c r="G4418" t="s">
        <v>26</v>
      </c>
      <c r="H4418" t="s">
        <v>21</v>
      </c>
      <c r="I4418" t="s">
        <v>20</v>
      </c>
      <c r="J4418" t="s">
        <v>20</v>
      </c>
      <c r="K4418" t="s">
        <v>31</v>
      </c>
      <c r="L4418" t="s">
        <v>66</v>
      </c>
      <c r="M4418" t="s">
        <v>49</v>
      </c>
      <c r="N4418">
        <v>40.746440999999997</v>
      </c>
      <c r="O4418">
        <v>-111.888238</v>
      </c>
      <c r="P4418">
        <v>4181.022363</v>
      </c>
      <c r="Q4418">
        <v>1384</v>
      </c>
      <c r="R4418">
        <v>0</v>
      </c>
    </row>
    <row r="4419" spans="1:18" x14ac:dyDescent="0.25">
      <c r="A4419">
        <v>4418</v>
      </c>
      <c r="B4419">
        <v>94</v>
      </c>
      <c r="C4419" t="e">
        <f>-Ip4568ZIOXtHBKx5mHHWV</f>
        <v>#NAME?</v>
      </c>
      <c r="D4419" t="s">
        <v>272</v>
      </c>
      <c r="E4419">
        <v>377.68299999999999</v>
      </c>
      <c r="F4419" t="s">
        <v>21</v>
      </c>
      <c r="G4419" t="s">
        <v>26</v>
      </c>
      <c r="H4419" t="s">
        <v>21</v>
      </c>
      <c r="I4419" t="s">
        <v>20</v>
      </c>
      <c r="J4419" t="s">
        <v>20</v>
      </c>
      <c r="K4419" t="s">
        <v>31</v>
      </c>
      <c r="L4419" t="s">
        <v>66</v>
      </c>
      <c r="M4419" t="s">
        <v>49</v>
      </c>
      <c r="N4419">
        <v>40.746853999999999</v>
      </c>
      <c r="O4419">
        <v>-111.888126</v>
      </c>
      <c r="P4419">
        <v>4180.9996030000002</v>
      </c>
      <c r="Q4419">
        <v>1384</v>
      </c>
      <c r="R4419">
        <v>0</v>
      </c>
    </row>
    <row r="4420" spans="1:18" x14ac:dyDescent="0.25">
      <c r="A4420">
        <v>4419</v>
      </c>
      <c r="B4420">
        <v>94</v>
      </c>
      <c r="C4420" t="e">
        <f>-Ip49HCyF39yLgGL-KUtFF</f>
        <v>#NAME?</v>
      </c>
      <c r="D4420" t="s">
        <v>128</v>
      </c>
      <c r="E4420">
        <v>5.1829999999999998</v>
      </c>
      <c r="F4420" t="s">
        <v>21</v>
      </c>
      <c r="G4420" t="s">
        <v>20</v>
      </c>
      <c r="H4420" t="s">
        <v>21</v>
      </c>
      <c r="I4420" t="s">
        <v>20</v>
      </c>
      <c r="J4420" t="s">
        <v>20</v>
      </c>
      <c r="K4420" t="s">
        <v>41</v>
      </c>
      <c r="L4420" t="s">
        <v>95</v>
      </c>
      <c r="M4420" t="s">
        <v>73</v>
      </c>
      <c r="N4420">
        <v>41.772782999999997</v>
      </c>
      <c r="O4420">
        <v>-111.858465</v>
      </c>
      <c r="P4420">
        <v>4400.7454340000004</v>
      </c>
      <c r="Q4420">
        <v>5943</v>
      </c>
      <c r="R4420">
        <v>0</v>
      </c>
    </row>
    <row r="4421" spans="1:18" x14ac:dyDescent="0.25">
      <c r="A4421">
        <v>4420</v>
      </c>
      <c r="B4421">
        <v>94</v>
      </c>
      <c r="C4421">
        <v>31322562</v>
      </c>
      <c r="D4421" t="s">
        <v>413</v>
      </c>
      <c r="E4421">
        <v>6.2249999999999996</v>
      </c>
      <c r="F4421" t="s">
        <v>21</v>
      </c>
      <c r="G4421" t="s">
        <v>26</v>
      </c>
      <c r="H4421" t="s">
        <v>21</v>
      </c>
      <c r="I4421" t="s">
        <v>20</v>
      </c>
      <c r="J4421" t="s">
        <v>20</v>
      </c>
      <c r="K4421" t="s">
        <v>31</v>
      </c>
      <c r="L4421" t="s">
        <v>78</v>
      </c>
      <c r="M4421" t="s">
        <v>206</v>
      </c>
      <c r="N4421">
        <v>40.718130000000002</v>
      </c>
      <c r="O4421">
        <v>-112.110044</v>
      </c>
      <c r="P4421">
        <v>4184.021103</v>
      </c>
      <c r="Q4421">
        <v>411</v>
      </c>
      <c r="R4421">
        <v>0</v>
      </c>
    </row>
    <row r="4422" spans="1:18" x14ac:dyDescent="0.25">
      <c r="A4422">
        <v>4421</v>
      </c>
      <c r="B4422">
        <v>94</v>
      </c>
      <c r="C4422">
        <v>31694489</v>
      </c>
      <c r="D4422" t="s">
        <v>96</v>
      </c>
      <c r="E4422">
        <v>6.2270000000000003</v>
      </c>
      <c r="F4422" t="s">
        <v>21</v>
      </c>
      <c r="G4422" t="s">
        <v>20</v>
      </c>
      <c r="H4422" t="s">
        <v>21</v>
      </c>
      <c r="I4422" t="s">
        <v>20</v>
      </c>
      <c r="J4422" t="s">
        <v>20</v>
      </c>
      <c r="K4422" t="s">
        <v>22</v>
      </c>
      <c r="L4422" t="s">
        <v>97</v>
      </c>
      <c r="M4422" t="s">
        <v>98</v>
      </c>
      <c r="N4422">
        <v>40.977359</v>
      </c>
      <c r="O4422">
        <v>-109.749932</v>
      </c>
      <c r="P4422">
        <v>6576.4614000000001</v>
      </c>
      <c r="Q4422">
        <v>311</v>
      </c>
      <c r="R4422">
        <v>0</v>
      </c>
    </row>
    <row r="4423" spans="1:18" x14ac:dyDescent="0.25">
      <c r="A4423">
        <v>4422</v>
      </c>
      <c r="B4423">
        <v>94</v>
      </c>
      <c r="C4423">
        <v>31192102</v>
      </c>
      <c r="D4423" t="s">
        <v>339</v>
      </c>
      <c r="E4423">
        <v>6.2309999999999999</v>
      </c>
      <c r="F4423" t="s">
        <v>21</v>
      </c>
      <c r="G4423" t="s">
        <v>20</v>
      </c>
      <c r="H4423" t="s">
        <v>21</v>
      </c>
      <c r="I4423" t="s">
        <v>20</v>
      </c>
      <c r="J4423" t="s">
        <v>20</v>
      </c>
      <c r="K4423" t="s">
        <v>41</v>
      </c>
      <c r="L4423" t="s">
        <v>95</v>
      </c>
      <c r="M4423" t="s">
        <v>73</v>
      </c>
      <c r="N4423">
        <v>41.919455999999997</v>
      </c>
      <c r="O4423">
        <v>-112.02103700000001</v>
      </c>
      <c r="P4423">
        <v>4750.8858719999998</v>
      </c>
      <c r="Q4423">
        <v>1417</v>
      </c>
      <c r="R4423">
        <v>0</v>
      </c>
    </row>
    <row r="4424" spans="1:18" x14ac:dyDescent="0.25">
      <c r="A4424">
        <v>4423</v>
      </c>
      <c r="B4424">
        <v>94</v>
      </c>
      <c r="C4424">
        <v>31761071</v>
      </c>
      <c r="D4424" t="s">
        <v>68</v>
      </c>
      <c r="E4424">
        <v>6.2370000000000001</v>
      </c>
      <c r="F4424" t="s">
        <v>21</v>
      </c>
      <c r="G4424" t="s">
        <v>20</v>
      </c>
      <c r="H4424" t="s">
        <v>21</v>
      </c>
      <c r="I4424" t="s">
        <v>20</v>
      </c>
      <c r="J4424" t="s">
        <v>20</v>
      </c>
      <c r="K4424" t="s">
        <v>31</v>
      </c>
      <c r="L4424" t="s">
        <v>32</v>
      </c>
      <c r="M4424" t="s">
        <v>70</v>
      </c>
      <c r="N4424">
        <v>40.67427</v>
      </c>
      <c r="O4424">
        <v>-111.83698699999999</v>
      </c>
      <c r="P4424">
        <v>4387.7463710000002</v>
      </c>
      <c r="Q4424">
        <v>431</v>
      </c>
      <c r="R4424">
        <v>0</v>
      </c>
    </row>
    <row r="4425" spans="1:18" x14ac:dyDescent="0.25">
      <c r="A4425">
        <v>4424</v>
      </c>
      <c r="B4425">
        <v>94</v>
      </c>
      <c r="C4425">
        <v>31522985</v>
      </c>
      <c r="D4425" t="s">
        <v>231</v>
      </c>
      <c r="E4425">
        <v>6.2389999999999999</v>
      </c>
      <c r="F4425" t="s">
        <v>19</v>
      </c>
      <c r="G4425" t="s">
        <v>20</v>
      </c>
      <c r="H4425" t="s">
        <v>21</v>
      </c>
      <c r="I4425" t="s">
        <v>20</v>
      </c>
      <c r="J4425" t="s">
        <v>20</v>
      </c>
      <c r="K4425" t="s">
        <v>41</v>
      </c>
      <c r="L4425" t="s">
        <v>57</v>
      </c>
      <c r="M4425" t="s">
        <v>93</v>
      </c>
      <c r="N4425">
        <v>41.125307999999997</v>
      </c>
      <c r="O4425">
        <v>-112.02606299999999</v>
      </c>
      <c r="P4425">
        <v>4510.7347540000001</v>
      </c>
      <c r="Q4425">
        <v>1409</v>
      </c>
      <c r="R4425">
        <v>0</v>
      </c>
    </row>
    <row r="4426" spans="1:18" x14ac:dyDescent="0.25">
      <c r="A4426">
        <v>4425</v>
      </c>
      <c r="B4426">
        <v>94</v>
      </c>
      <c r="C4426">
        <v>31652060</v>
      </c>
      <c r="D4426" t="s">
        <v>240</v>
      </c>
      <c r="E4426">
        <v>8.9990000000000006</v>
      </c>
      <c r="F4426" t="s">
        <v>21</v>
      </c>
      <c r="G4426" t="s">
        <v>20</v>
      </c>
      <c r="H4426" t="s">
        <v>21</v>
      </c>
      <c r="I4426" t="s">
        <v>20</v>
      </c>
      <c r="J4426" t="s">
        <v>20</v>
      </c>
      <c r="K4426" t="s">
        <v>27</v>
      </c>
      <c r="L4426" t="s">
        <v>146</v>
      </c>
      <c r="M4426" t="s">
        <v>147</v>
      </c>
      <c r="N4426">
        <v>38.312362</v>
      </c>
      <c r="O4426">
        <v>-109.248755</v>
      </c>
      <c r="P4426">
        <v>6912.76656</v>
      </c>
      <c r="Q4426">
        <v>1355</v>
      </c>
      <c r="R4426">
        <v>0</v>
      </c>
    </row>
    <row r="4427" spans="1:18" x14ac:dyDescent="0.25">
      <c r="A4427">
        <v>4426</v>
      </c>
      <c r="B4427">
        <v>94</v>
      </c>
      <c r="C4427">
        <v>31853729</v>
      </c>
      <c r="D4427" t="s">
        <v>272</v>
      </c>
      <c r="E4427">
        <v>80.126000000000005</v>
      </c>
      <c r="F4427" t="s">
        <v>21</v>
      </c>
      <c r="G4427" t="s">
        <v>20</v>
      </c>
      <c r="H4427" t="s">
        <v>21</v>
      </c>
      <c r="I4427" t="s">
        <v>20</v>
      </c>
      <c r="J4427" t="s">
        <v>20</v>
      </c>
      <c r="K4427" t="s">
        <v>27</v>
      </c>
      <c r="L4427" t="s">
        <v>279</v>
      </c>
      <c r="M4427" t="s">
        <v>214</v>
      </c>
      <c r="N4427">
        <v>37.207866000000003</v>
      </c>
      <c r="O4427">
        <v>-112.68447999999999</v>
      </c>
      <c r="P4427">
        <v>5250.0825869999999</v>
      </c>
      <c r="Q4427">
        <v>1384</v>
      </c>
      <c r="R4427">
        <v>0</v>
      </c>
    </row>
    <row r="4428" spans="1:18" x14ac:dyDescent="0.25">
      <c r="A4428">
        <v>4427</v>
      </c>
      <c r="B4428">
        <v>94</v>
      </c>
      <c r="C4428">
        <v>31545456</v>
      </c>
      <c r="D4428" t="s">
        <v>213</v>
      </c>
      <c r="E4428">
        <v>80.385000000000005</v>
      </c>
      <c r="F4428" t="s">
        <v>21</v>
      </c>
      <c r="G4428" t="s">
        <v>26</v>
      </c>
      <c r="H4428" t="s">
        <v>21</v>
      </c>
      <c r="I4428" t="s">
        <v>20</v>
      </c>
      <c r="J4428" t="s">
        <v>20</v>
      </c>
      <c r="K4428" t="s">
        <v>27</v>
      </c>
      <c r="L4428" t="s">
        <v>173</v>
      </c>
      <c r="M4428" t="s">
        <v>214</v>
      </c>
      <c r="N4428">
        <v>39.330658</v>
      </c>
      <c r="O4428">
        <v>-112.717935</v>
      </c>
      <c r="P4428">
        <v>4511.6380380000001</v>
      </c>
      <c r="Q4428">
        <v>1332</v>
      </c>
      <c r="R4428">
        <v>0</v>
      </c>
    </row>
    <row r="4429" spans="1:18" x14ac:dyDescent="0.25">
      <c r="A4429">
        <v>4428</v>
      </c>
      <c r="B4429">
        <v>94</v>
      </c>
      <c r="C4429">
        <v>31372183</v>
      </c>
      <c r="D4429" t="s">
        <v>142</v>
      </c>
      <c r="E4429">
        <v>80.56</v>
      </c>
      <c r="F4429" t="s">
        <v>21</v>
      </c>
      <c r="G4429" t="s">
        <v>26</v>
      </c>
      <c r="H4429" t="s">
        <v>21</v>
      </c>
      <c r="I4429" t="s">
        <v>20</v>
      </c>
      <c r="J4429" t="s">
        <v>20</v>
      </c>
      <c r="K4429" t="s">
        <v>27</v>
      </c>
      <c r="L4429" t="s">
        <v>143</v>
      </c>
      <c r="M4429" t="s">
        <v>106</v>
      </c>
      <c r="N4429">
        <v>38.353363999999999</v>
      </c>
      <c r="O4429">
        <v>-112.98589699999999</v>
      </c>
      <c r="P4429">
        <v>4941.7609409999995</v>
      </c>
      <c r="Q4429">
        <v>305</v>
      </c>
      <c r="R4429">
        <v>0</v>
      </c>
    </row>
    <row r="4430" spans="1:18" x14ac:dyDescent="0.25">
      <c r="A4430">
        <v>4429</v>
      </c>
      <c r="B4430">
        <v>94</v>
      </c>
      <c r="C4430">
        <v>31768506</v>
      </c>
      <c r="D4430" t="s">
        <v>290</v>
      </c>
      <c r="E4430">
        <v>80.668999999999997</v>
      </c>
      <c r="F4430" t="s">
        <v>21</v>
      </c>
      <c r="G4430" t="s">
        <v>26</v>
      </c>
      <c r="H4430" t="s">
        <v>21</v>
      </c>
      <c r="I4430" t="s">
        <v>20</v>
      </c>
      <c r="J4430" t="s">
        <v>20</v>
      </c>
      <c r="K4430" t="s">
        <v>41</v>
      </c>
      <c r="L4430" t="s">
        <v>291</v>
      </c>
      <c r="M4430" t="s">
        <v>238</v>
      </c>
      <c r="N4430">
        <v>41.966278000000003</v>
      </c>
      <c r="O4430">
        <v>-112.94438</v>
      </c>
      <c r="P4430">
        <v>4374.0673649999999</v>
      </c>
      <c r="Q4430">
        <v>1343</v>
      </c>
      <c r="R4430">
        <v>0</v>
      </c>
    </row>
    <row r="4431" spans="1:18" x14ac:dyDescent="0.25">
      <c r="A4431">
        <v>4430</v>
      </c>
      <c r="B4431">
        <v>94</v>
      </c>
      <c r="C4431">
        <v>31412133</v>
      </c>
      <c r="D4431" t="s">
        <v>129</v>
      </c>
      <c r="E4431">
        <v>9.8610000000000007</v>
      </c>
      <c r="F4431" t="s">
        <v>21</v>
      </c>
      <c r="G4431" t="s">
        <v>20</v>
      </c>
      <c r="H4431" t="s">
        <v>21</v>
      </c>
      <c r="I4431" t="s">
        <v>20</v>
      </c>
      <c r="J4431" t="s">
        <v>20</v>
      </c>
      <c r="K4431" t="s">
        <v>31</v>
      </c>
      <c r="L4431" t="s">
        <v>130</v>
      </c>
      <c r="M4431" t="s">
        <v>131</v>
      </c>
      <c r="N4431">
        <v>40.610754</v>
      </c>
      <c r="O4431">
        <v>-111.12429299999999</v>
      </c>
      <c r="P4431">
        <v>7550.5865830000002</v>
      </c>
      <c r="Q4431">
        <v>340</v>
      </c>
      <c r="R4431">
        <v>0</v>
      </c>
    </row>
    <row r="4432" spans="1:18" x14ac:dyDescent="0.25">
      <c r="A4432">
        <v>4431</v>
      </c>
      <c r="B4432">
        <v>94</v>
      </c>
      <c r="C4432" t="e">
        <f>-Ip_B_IsGj9jsP9kUffl2F</f>
        <v>#NAME?</v>
      </c>
      <c r="D4432" t="s">
        <v>61</v>
      </c>
      <c r="E4432">
        <v>9.8729999999999993</v>
      </c>
      <c r="F4432" t="s">
        <v>21</v>
      </c>
      <c r="G4432" t="s">
        <v>26</v>
      </c>
      <c r="H4432" t="s">
        <v>21</v>
      </c>
      <c r="I4432" t="s">
        <v>20</v>
      </c>
      <c r="J4432" t="s">
        <v>20</v>
      </c>
      <c r="K4432" t="s">
        <v>22</v>
      </c>
      <c r="L4432" t="s">
        <v>60</v>
      </c>
      <c r="M4432" t="s">
        <v>62</v>
      </c>
      <c r="N4432">
        <v>40.328856999999999</v>
      </c>
      <c r="O4432">
        <v>-111.621177</v>
      </c>
      <c r="P4432">
        <v>4935.3406720000003</v>
      </c>
      <c r="Q4432">
        <v>403</v>
      </c>
      <c r="R4432">
        <v>0</v>
      </c>
    </row>
    <row r="4433" spans="1:18" x14ac:dyDescent="0.25">
      <c r="A4433">
        <v>4432</v>
      </c>
      <c r="B4433">
        <v>94</v>
      </c>
      <c r="C4433" t="e">
        <f>-JY24YA4HcTtsvJnhK7-eV</f>
        <v>#NAME?</v>
      </c>
      <c r="D4433" t="s">
        <v>199</v>
      </c>
      <c r="E4433">
        <v>9.875</v>
      </c>
      <c r="F4433" t="s">
        <v>21</v>
      </c>
      <c r="G4433" t="s">
        <v>26</v>
      </c>
      <c r="H4433" t="s">
        <v>21</v>
      </c>
      <c r="I4433" t="s">
        <v>20</v>
      </c>
      <c r="J4433" t="s">
        <v>20</v>
      </c>
      <c r="K4433" t="s">
        <v>27</v>
      </c>
      <c r="L4433" t="s">
        <v>103</v>
      </c>
      <c r="M4433" t="s">
        <v>200</v>
      </c>
      <c r="N4433">
        <v>38.263539999999999</v>
      </c>
      <c r="O4433">
        <v>-112.492149</v>
      </c>
      <c r="P4433">
        <v>7047.9419070000004</v>
      </c>
      <c r="Q4433">
        <v>341</v>
      </c>
      <c r="R4433">
        <v>0</v>
      </c>
    </row>
    <row r="4434" spans="1:18" x14ac:dyDescent="0.25">
      <c r="A4434">
        <v>4433</v>
      </c>
      <c r="B4434">
        <v>94</v>
      </c>
      <c r="C4434">
        <v>31482036</v>
      </c>
      <c r="D4434" t="s">
        <v>244</v>
      </c>
      <c r="E4434">
        <v>9.8770000000000007</v>
      </c>
      <c r="F4434" t="s">
        <v>21</v>
      </c>
      <c r="G4434" t="s">
        <v>26</v>
      </c>
      <c r="H4434" t="s">
        <v>21</v>
      </c>
      <c r="I4434" t="s">
        <v>20</v>
      </c>
      <c r="J4434" t="s">
        <v>20</v>
      </c>
      <c r="K4434" t="s">
        <v>27</v>
      </c>
      <c r="L4434" t="s">
        <v>75</v>
      </c>
      <c r="M4434" t="s">
        <v>58</v>
      </c>
      <c r="N4434">
        <v>38.840418999999997</v>
      </c>
      <c r="O4434">
        <v>-111.96759</v>
      </c>
      <c r="P4434">
        <v>5160.5946089999998</v>
      </c>
      <c r="Q4434">
        <v>1340</v>
      </c>
      <c r="R4434">
        <v>0</v>
      </c>
    </row>
    <row r="4435" spans="1:18" x14ac:dyDescent="0.25">
      <c r="A4435">
        <v>4434</v>
      </c>
      <c r="B4435">
        <v>94</v>
      </c>
      <c r="C4435">
        <v>31273609</v>
      </c>
      <c r="D4435" t="s">
        <v>303</v>
      </c>
      <c r="E4435">
        <v>9.8810000000000002</v>
      </c>
      <c r="F4435" t="s">
        <v>21</v>
      </c>
      <c r="G4435" t="s">
        <v>26</v>
      </c>
      <c r="H4435" t="s">
        <v>21</v>
      </c>
      <c r="I4435" t="s">
        <v>20</v>
      </c>
      <c r="J4435" t="s">
        <v>20</v>
      </c>
      <c r="K4435" t="s">
        <v>27</v>
      </c>
      <c r="L4435" t="s">
        <v>72</v>
      </c>
      <c r="M4435" t="s">
        <v>73</v>
      </c>
      <c r="N4435">
        <v>37.176603</v>
      </c>
      <c r="O4435">
        <v>-113.286231</v>
      </c>
      <c r="P4435">
        <v>3161.758816</v>
      </c>
      <c r="Q4435">
        <v>1326</v>
      </c>
      <c r="R4435">
        <v>0</v>
      </c>
    </row>
    <row r="4436" spans="1:18" x14ac:dyDescent="0.25">
      <c r="A4436">
        <v>4435</v>
      </c>
      <c r="B4436">
        <v>94</v>
      </c>
      <c r="C4436">
        <v>31470857</v>
      </c>
      <c r="D4436" t="s">
        <v>348</v>
      </c>
      <c r="E4436">
        <v>9.8840000000000003</v>
      </c>
      <c r="F4436" t="s">
        <v>21</v>
      </c>
      <c r="G4436" t="s">
        <v>26</v>
      </c>
      <c r="H4436" t="s">
        <v>21</v>
      </c>
      <c r="I4436" t="s">
        <v>20</v>
      </c>
      <c r="J4436" t="s">
        <v>20</v>
      </c>
      <c r="K4436" t="s">
        <v>27</v>
      </c>
      <c r="L4436" t="s">
        <v>122</v>
      </c>
      <c r="M4436" t="s">
        <v>123</v>
      </c>
      <c r="N4436">
        <v>38.239277000000001</v>
      </c>
      <c r="O4436">
        <v>-110.648948</v>
      </c>
      <c r="P4436">
        <v>4737.1726879999997</v>
      </c>
      <c r="Q4436">
        <v>1388</v>
      </c>
      <c r="R4436">
        <v>0</v>
      </c>
    </row>
    <row r="4437" spans="1:18" x14ac:dyDescent="0.25">
      <c r="A4437">
        <v>4436</v>
      </c>
      <c r="B4437">
        <v>94</v>
      </c>
      <c r="C4437">
        <v>31701255</v>
      </c>
      <c r="D4437" t="s">
        <v>96</v>
      </c>
      <c r="E4437">
        <v>8.2970000000000006</v>
      </c>
      <c r="F4437" t="s">
        <v>21</v>
      </c>
      <c r="G4437" t="s">
        <v>26</v>
      </c>
      <c r="H4437" t="s">
        <v>21</v>
      </c>
      <c r="I4437" t="s">
        <v>20</v>
      </c>
      <c r="J4437" t="s">
        <v>20</v>
      </c>
      <c r="K4437" t="s">
        <v>22</v>
      </c>
      <c r="L4437" t="s">
        <v>97</v>
      </c>
      <c r="M4437" t="s">
        <v>98</v>
      </c>
      <c r="N4437">
        <v>40.988309999999998</v>
      </c>
      <c r="O4437">
        <v>-109.71572399999999</v>
      </c>
      <c r="P4437">
        <v>6249.2832120000003</v>
      </c>
      <c r="Q4437">
        <v>311</v>
      </c>
      <c r="R4437">
        <v>0</v>
      </c>
    </row>
    <row r="4438" spans="1:18" x14ac:dyDescent="0.25">
      <c r="A4438">
        <v>4437</v>
      </c>
      <c r="B4438">
        <v>94</v>
      </c>
      <c r="C4438" t="s">
        <v>667</v>
      </c>
      <c r="D4438" t="s">
        <v>208</v>
      </c>
      <c r="E4438">
        <v>8.3059999999999992</v>
      </c>
      <c r="F4438" t="s">
        <v>21</v>
      </c>
      <c r="G4438" t="s">
        <v>26</v>
      </c>
      <c r="H4438" t="s">
        <v>21</v>
      </c>
      <c r="I4438" t="s">
        <v>20</v>
      </c>
      <c r="J4438" t="s">
        <v>20</v>
      </c>
      <c r="K4438" t="s">
        <v>31</v>
      </c>
      <c r="L4438" t="s">
        <v>209</v>
      </c>
      <c r="M4438" t="s">
        <v>131</v>
      </c>
      <c r="N4438">
        <v>40.683515</v>
      </c>
      <c r="O4438">
        <v>-111.53719</v>
      </c>
      <c r="P4438">
        <v>6609.8292899999997</v>
      </c>
      <c r="Q4438">
        <v>357</v>
      </c>
      <c r="R4438">
        <v>0</v>
      </c>
    </row>
    <row r="4439" spans="1:18" x14ac:dyDescent="0.25">
      <c r="A4439">
        <v>4438</v>
      </c>
      <c r="B4439">
        <v>94</v>
      </c>
      <c r="C4439">
        <v>31291517</v>
      </c>
      <c r="D4439" t="s">
        <v>126</v>
      </c>
      <c r="E4439">
        <v>8.3130000000000006</v>
      </c>
      <c r="F4439" t="s">
        <v>21</v>
      </c>
      <c r="G4439" t="s">
        <v>26</v>
      </c>
      <c r="H4439" t="s">
        <v>21</v>
      </c>
      <c r="I4439" t="s">
        <v>20</v>
      </c>
      <c r="J4439" t="s">
        <v>20</v>
      </c>
      <c r="K4439" t="s">
        <v>41</v>
      </c>
      <c r="L4439" t="s">
        <v>57</v>
      </c>
      <c r="M4439" t="s">
        <v>93</v>
      </c>
      <c r="N4439">
        <v>41.304715000000002</v>
      </c>
      <c r="O4439">
        <v>-112.08264200000001</v>
      </c>
      <c r="P4439">
        <v>4183.6176219999998</v>
      </c>
      <c r="Q4439">
        <v>1412</v>
      </c>
      <c r="R4439">
        <v>0</v>
      </c>
    </row>
    <row r="4440" spans="1:18" x14ac:dyDescent="0.25">
      <c r="A4440">
        <v>4439</v>
      </c>
      <c r="B4440">
        <v>94</v>
      </c>
      <c r="C4440" t="e">
        <f>-IpQUxQcFY5BWlLE7i7Tgk</f>
        <v>#NAME?</v>
      </c>
      <c r="D4440" t="s">
        <v>171</v>
      </c>
      <c r="E4440">
        <v>8.3160000000000007</v>
      </c>
      <c r="F4440" t="s">
        <v>21</v>
      </c>
      <c r="G4440" t="s">
        <v>20</v>
      </c>
      <c r="H4440" t="s">
        <v>21</v>
      </c>
      <c r="I4440" t="s">
        <v>20</v>
      </c>
      <c r="J4440" t="s">
        <v>20</v>
      </c>
      <c r="K4440" t="s">
        <v>31</v>
      </c>
      <c r="L4440" t="s">
        <v>362</v>
      </c>
      <c r="M4440" t="s">
        <v>79</v>
      </c>
      <c r="N4440">
        <v>40.697539999999996</v>
      </c>
      <c r="O4440">
        <v>-111.93356900000001</v>
      </c>
      <c r="P4440">
        <v>4191.0947589999996</v>
      </c>
      <c r="Q4440">
        <v>346</v>
      </c>
      <c r="R4440">
        <v>0</v>
      </c>
    </row>
    <row r="4441" spans="1:18" x14ac:dyDescent="0.25">
      <c r="A4441">
        <v>4440</v>
      </c>
      <c r="B4441">
        <v>94</v>
      </c>
      <c r="C4441">
        <v>31409708</v>
      </c>
      <c r="D4441" t="s">
        <v>224</v>
      </c>
      <c r="E4441">
        <v>8.3179999999999996</v>
      </c>
      <c r="F4441" t="s">
        <v>21</v>
      </c>
      <c r="G4441" t="s">
        <v>26</v>
      </c>
      <c r="H4441" t="s">
        <v>21</v>
      </c>
      <c r="I4441" t="s">
        <v>20</v>
      </c>
      <c r="J4441" t="s">
        <v>20</v>
      </c>
      <c r="K4441" t="s">
        <v>22</v>
      </c>
      <c r="L4441" t="s">
        <v>198</v>
      </c>
      <c r="M4441" t="s">
        <v>194</v>
      </c>
      <c r="N4441">
        <v>40.053299000000003</v>
      </c>
      <c r="O4441">
        <v>-111.679391</v>
      </c>
      <c r="P4441">
        <v>4529.035261</v>
      </c>
      <c r="Q4441">
        <v>408</v>
      </c>
      <c r="R4441">
        <v>0</v>
      </c>
    </row>
    <row r="4442" spans="1:18" x14ac:dyDescent="0.25">
      <c r="A4442">
        <v>4441</v>
      </c>
      <c r="B4442">
        <v>94</v>
      </c>
      <c r="C4442">
        <v>31395573</v>
      </c>
      <c r="D4442" t="s">
        <v>414</v>
      </c>
      <c r="E4442">
        <v>8.327</v>
      </c>
      <c r="F4442" t="s">
        <v>21</v>
      </c>
      <c r="G4442" t="s">
        <v>26</v>
      </c>
      <c r="H4442" t="s">
        <v>21</v>
      </c>
      <c r="I4442" t="s">
        <v>20</v>
      </c>
      <c r="J4442" t="s">
        <v>20</v>
      </c>
      <c r="K4442" t="s">
        <v>27</v>
      </c>
      <c r="L4442" t="s">
        <v>350</v>
      </c>
      <c r="M4442" t="s">
        <v>58</v>
      </c>
      <c r="N4442">
        <v>39.128194000000001</v>
      </c>
      <c r="O4442">
        <v>-111.71111000000001</v>
      </c>
      <c r="P4442">
        <v>5436.0492979999999</v>
      </c>
      <c r="Q4442">
        <v>336</v>
      </c>
      <c r="R4442">
        <v>0</v>
      </c>
    </row>
    <row r="4443" spans="1:18" x14ac:dyDescent="0.25">
      <c r="A4443">
        <v>4442</v>
      </c>
      <c r="B4443">
        <v>94</v>
      </c>
      <c r="C4443">
        <v>31525314</v>
      </c>
      <c r="D4443" t="s">
        <v>231</v>
      </c>
      <c r="E4443">
        <v>8.3330000000000002</v>
      </c>
      <c r="F4443" t="s">
        <v>21</v>
      </c>
      <c r="G4443" t="s">
        <v>26</v>
      </c>
      <c r="H4443" t="s">
        <v>21</v>
      </c>
      <c r="I4443" t="s">
        <v>20</v>
      </c>
      <c r="J4443" t="s">
        <v>20</v>
      </c>
      <c r="K4443" t="s">
        <v>41</v>
      </c>
      <c r="L4443" t="s">
        <v>57</v>
      </c>
      <c r="M4443" t="s">
        <v>93</v>
      </c>
      <c r="N4443">
        <v>41.155771999999999</v>
      </c>
      <c r="O4443">
        <v>-112.026055</v>
      </c>
      <c r="P4443">
        <v>4488.6899999999996</v>
      </c>
      <c r="Q4443">
        <v>1409</v>
      </c>
      <c r="R4443">
        <v>0</v>
      </c>
    </row>
    <row r="4444" spans="1:18" x14ac:dyDescent="0.25">
      <c r="A4444">
        <v>4443</v>
      </c>
      <c r="B4444">
        <v>94</v>
      </c>
      <c r="C4444">
        <v>31367178</v>
      </c>
      <c r="D4444" t="s">
        <v>229</v>
      </c>
      <c r="E4444">
        <v>8.3360000000000003</v>
      </c>
      <c r="F4444" t="s">
        <v>21</v>
      </c>
      <c r="G4444" t="s">
        <v>26</v>
      </c>
      <c r="H4444" t="s">
        <v>21</v>
      </c>
      <c r="I4444" t="s">
        <v>20</v>
      </c>
      <c r="J4444" t="s">
        <v>20</v>
      </c>
      <c r="K4444" t="s">
        <v>27</v>
      </c>
      <c r="L4444" t="s">
        <v>230</v>
      </c>
      <c r="M4444" t="s">
        <v>82</v>
      </c>
      <c r="N4444">
        <v>39.481852000000003</v>
      </c>
      <c r="O4444">
        <v>-111.49980100000001</v>
      </c>
      <c r="P4444">
        <v>5731.4862519999997</v>
      </c>
      <c r="Q4444">
        <v>331</v>
      </c>
      <c r="R4444">
        <v>0</v>
      </c>
    </row>
    <row r="4445" spans="1:18" x14ac:dyDescent="0.25">
      <c r="A4445">
        <v>4444</v>
      </c>
      <c r="B4445">
        <v>94</v>
      </c>
      <c r="C4445">
        <v>31405953</v>
      </c>
      <c r="D4445" t="s">
        <v>309</v>
      </c>
      <c r="E4445">
        <v>8.3420000000000005</v>
      </c>
      <c r="F4445" t="s">
        <v>21</v>
      </c>
      <c r="G4445" t="s">
        <v>20</v>
      </c>
      <c r="H4445" t="s">
        <v>21</v>
      </c>
      <c r="I4445" t="s">
        <v>20</v>
      </c>
      <c r="J4445" t="s">
        <v>20</v>
      </c>
      <c r="K4445" t="s">
        <v>22</v>
      </c>
      <c r="L4445" t="s">
        <v>140</v>
      </c>
      <c r="M4445" t="s">
        <v>125</v>
      </c>
      <c r="N4445">
        <v>40.114660999999998</v>
      </c>
      <c r="O4445">
        <v>-111.725661</v>
      </c>
      <c r="P4445">
        <v>4468.5930259999996</v>
      </c>
      <c r="Q4445">
        <v>339</v>
      </c>
      <c r="R4445">
        <v>0</v>
      </c>
    </row>
    <row r="4446" spans="1:18" x14ac:dyDescent="0.25">
      <c r="A4446">
        <v>4445</v>
      </c>
      <c r="B4446">
        <v>94</v>
      </c>
      <c r="C4446" t="e">
        <f>-JS5RcBdI-mGy39x8PLHlk</f>
        <v>#NAME?</v>
      </c>
      <c r="D4446" t="s">
        <v>272</v>
      </c>
      <c r="E4446">
        <v>376.00200000000001</v>
      </c>
      <c r="F4446" t="s">
        <v>19</v>
      </c>
      <c r="G4446" t="s">
        <v>20</v>
      </c>
      <c r="H4446" t="s">
        <v>21</v>
      </c>
      <c r="I4446" t="s">
        <v>20</v>
      </c>
      <c r="J4446" t="s">
        <v>20</v>
      </c>
      <c r="K4446" t="s">
        <v>31</v>
      </c>
      <c r="L4446" t="s">
        <v>66</v>
      </c>
      <c r="M4446" t="s">
        <v>49</v>
      </c>
      <c r="N4446">
        <v>40.722259000000001</v>
      </c>
      <c r="O4446">
        <v>-111.88825199999999</v>
      </c>
      <c r="P4446">
        <v>4198.5846339999998</v>
      </c>
      <c r="Q4446">
        <v>1384</v>
      </c>
      <c r="R4446">
        <v>0</v>
      </c>
    </row>
    <row r="4447" spans="1:18" x14ac:dyDescent="0.25">
      <c r="A4447">
        <v>4446</v>
      </c>
      <c r="B4447">
        <v>94</v>
      </c>
      <c r="C4447" t="e">
        <f>-Ip0a5b5GU9qbQdGh-OwgF</f>
        <v>#NAME?</v>
      </c>
      <c r="D4447" t="s">
        <v>272</v>
      </c>
      <c r="E4447">
        <v>376.03899999999999</v>
      </c>
      <c r="F4447" t="s">
        <v>21</v>
      </c>
      <c r="G4447" t="s">
        <v>26</v>
      </c>
      <c r="H4447" t="s">
        <v>21</v>
      </c>
      <c r="I4447" t="s">
        <v>20</v>
      </c>
      <c r="J4447" t="s">
        <v>20</v>
      </c>
      <c r="K4447" t="s">
        <v>31</v>
      </c>
      <c r="L4447" t="s">
        <v>66</v>
      </c>
      <c r="M4447" t="s">
        <v>49</v>
      </c>
      <c r="N4447">
        <v>40.722808000000001</v>
      </c>
      <c r="O4447">
        <v>-111.888248</v>
      </c>
      <c r="P4447">
        <v>4198.6778720000002</v>
      </c>
      <c r="Q4447">
        <v>1384</v>
      </c>
      <c r="R4447">
        <v>0</v>
      </c>
    </row>
    <row r="4448" spans="1:18" x14ac:dyDescent="0.25">
      <c r="A4448">
        <v>4447</v>
      </c>
      <c r="B4448">
        <v>94</v>
      </c>
      <c r="C4448" t="e">
        <f>-Ip0aaDYIB1sMltM3Qjm7F</f>
        <v>#NAME?</v>
      </c>
      <c r="D4448" t="s">
        <v>272</v>
      </c>
      <c r="E4448">
        <v>376.09399999999999</v>
      </c>
      <c r="F4448" t="s">
        <v>21</v>
      </c>
      <c r="G4448" t="s">
        <v>26</v>
      </c>
      <c r="H4448" t="s">
        <v>21</v>
      </c>
      <c r="I4448" t="s">
        <v>20</v>
      </c>
      <c r="J4448" t="s">
        <v>20</v>
      </c>
      <c r="K4448" t="s">
        <v>31</v>
      </c>
      <c r="L4448" t="s">
        <v>66</v>
      </c>
      <c r="M4448" t="s">
        <v>49</v>
      </c>
      <c r="N4448">
        <v>40.723623000000003</v>
      </c>
      <c r="O4448">
        <v>-111.88824700000001</v>
      </c>
      <c r="P4448">
        <v>4197.7712300000003</v>
      </c>
      <c r="Q4448">
        <v>1384</v>
      </c>
      <c r="R4448">
        <v>0</v>
      </c>
    </row>
    <row r="4449" spans="1:18" x14ac:dyDescent="0.25">
      <c r="A4449">
        <v>4448</v>
      </c>
      <c r="B4449">
        <v>94</v>
      </c>
      <c r="C4449" t="e">
        <f>-IsOFJGPFmmq9jE4n8d6wk</f>
        <v>#NAME?</v>
      </c>
      <c r="D4449" t="s">
        <v>272</v>
      </c>
      <c r="E4449">
        <v>376.10700000000003</v>
      </c>
      <c r="F4449" t="s">
        <v>21</v>
      </c>
      <c r="G4449" t="s">
        <v>20</v>
      </c>
      <c r="H4449" t="s">
        <v>21</v>
      </c>
      <c r="I4449" t="s">
        <v>20</v>
      </c>
      <c r="J4449" t="s">
        <v>20</v>
      </c>
      <c r="K4449" t="s">
        <v>31</v>
      </c>
      <c r="L4449" t="s">
        <v>66</v>
      </c>
      <c r="M4449" t="s">
        <v>49</v>
      </c>
      <c r="N4449">
        <v>40.723812000000002</v>
      </c>
      <c r="O4449">
        <v>-111.888244</v>
      </c>
      <c r="P4449">
        <v>4197.4626390000003</v>
      </c>
      <c r="Q4449">
        <v>1384</v>
      </c>
      <c r="R4449">
        <v>0</v>
      </c>
    </row>
    <row r="4450" spans="1:18" x14ac:dyDescent="0.25">
      <c r="A4450">
        <v>4449</v>
      </c>
      <c r="B4450">
        <v>94</v>
      </c>
      <c r="C4450">
        <v>27523574</v>
      </c>
      <c r="D4450" t="s">
        <v>383</v>
      </c>
      <c r="E4450">
        <v>1.62</v>
      </c>
      <c r="F4450" t="s">
        <v>21</v>
      </c>
      <c r="G4450" t="s">
        <v>26</v>
      </c>
      <c r="H4450" t="s">
        <v>21</v>
      </c>
      <c r="I4450" t="s">
        <v>20</v>
      </c>
      <c r="J4450" t="s">
        <v>20</v>
      </c>
      <c r="K4450" t="s">
        <v>31</v>
      </c>
      <c r="L4450" t="s">
        <v>48</v>
      </c>
      <c r="M4450" t="s">
        <v>335</v>
      </c>
      <c r="N4450">
        <v>40.566142999999997</v>
      </c>
      <c r="O4450">
        <v>-112.084863</v>
      </c>
      <c r="P4450">
        <v>5311.3140000000003</v>
      </c>
      <c r="Q4450">
        <v>414</v>
      </c>
      <c r="R4450">
        <v>0</v>
      </c>
    </row>
    <row r="4451" spans="1:18" x14ac:dyDescent="0.25">
      <c r="A4451">
        <v>4450</v>
      </c>
      <c r="B4451">
        <v>94</v>
      </c>
      <c r="C4451">
        <v>27523585</v>
      </c>
      <c r="D4451" t="s">
        <v>383</v>
      </c>
      <c r="E4451">
        <v>1.677</v>
      </c>
      <c r="F4451" t="s">
        <v>21</v>
      </c>
      <c r="G4451" t="s">
        <v>26</v>
      </c>
      <c r="H4451" t="s">
        <v>21</v>
      </c>
      <c r="I4451" t="s">
        <v>20</v>
      </c>
      <c r="J4451" t="s">
        <v>20</v>
      </c>
      <c r="K4451" t="s">
        <v>31</v>
      </c>
      <c r="L4451" t="s">
        <v>48</v>
      </c>
      <c r="M4451" t="s">
        <v>335</v>
      </c>
      <c r="N4451">
        <v>40.566273000000002</v>
      </c>
      <c r="O4451">
        <v>-112.08381199999999</v>
      </c>
      <c r="P4451">
        <v>5303.5810000000001</v>
      </c>
      <c r="Q4451">
        <v>414</v>
      </c>
      <c r="R4451">
        <v>0</v>
      </c>
    </row>
    <row r="4452" spans="1:18" x14ac:dyDescent="0.25">
      <c r="A4452">
        <v>4451</v>
      </c>
      <c r="B4452">
        <v>94</v>
      </c>
      <c r="C4452">
        <v>27524126</v>
      </c>
      <c r="D4452" t="s">
        <v>383</v>
      </c>
      <c r="E4452">
        <v>3.0230000000000001</v>
      </c>
      <c r="F4452" t="s">
        <v>19</v>
      </c>
      <c r="G4452" t="s">
        <v>20</v>
      </c>
      <c r="H4452" t="s">
        <v>19</v>
      </c>
      <c r="I4452">
        <v>111</v>
      </c>
      <c r="J4452" t="s">
        <v>20</v>
      </c>
      <c r="K4452" t="s">
        <v>31</v>
      </c>
      <c r="L4452" t="s">
        <v>48</v>
      </c>
      <c r="M4452" t="s">
        <v>335</v>
      </c>
      <c r="N4452">
        <v>40.575968000000003</v>
      </c>
      <c r="O4452">
        <v>-112.061633</v>
      </c>
      <c r="P4452">
        <v>5088.1419999999998</v>
      </c>
      <c r="Q4452">
        <v>414</v>
      </c>
      <c r="R4452">
        <v>0</v>
      </c>
    </row>
    <row r="4453" spans="1:18" x14ac:dyDescent="0.25">
      <c r="A4453">
        <v>4452</v>
      </c>
      <c r="B4453">
        <v>94</v>
      </c>
      <c r="C4453">
        <v>27524729</v>
      </c>
      <c r="D4453" t="s">
        <v>383</v>
      </c>
      <c r="E4453">
        <v>4.1749999999999998</v>
      </c>
      <c r="F4453" t="s">
        <v>21</v>
      </c>
      <c r="G4453" t="s">
        <v>26</v>
      </c>
      <c r="H4453" t="s">
        <v>21</v>
      </c>
      <c r="I4453" t="s">
        <v>20</v>
      </c>
      <c r="J4453" t="s">
        <v>20</v>
      </c>
      <c r="K4453" t="s">
        <v>31</v>
      </c>
      <c r="L4453" t="s">
        <v>48</v>
      </c>
      <c r="M4453" t="s">
        <v>335</v>
      </c>
      <c r="N4453">
        <v>40.584778</v>
      </c>
      <c r="O4453">
        <v>-112.04296600000001</v>
      </c>
      <c r="P4453">
        <v>4923.8</v>
      </c>
      <c r="Q4453">
        <v>414</v>
      </c>
      <c r="R4453">
        <v>0</v>
      </c>
    </row>
    <row r="4454" spans="1:18" x14ac:dyDescent="0.25">
      <c r="A4454">
        <v>4453</v>
      </c>
      <c r="B4454">
        <v>94</v>
      </c>
      <c r="C4454">
        <v>31662789</v>
      </c>
      <c r="D4454" t="s">
        <v>244</v>
      </c>
      <c r="E4454">
        <v>56.000999999999998</v>
      </c>
      <c r="F4454" t="s">
        <v>21</v>
      </c>
      <c r="G4454" t="s">
        <v>26</v>
      </c>
      <c r="H4454" t="s">
        <v>21</v>
      </c>
      <c r="I4454" t="s">
        <v>20</v>
      </c>
      <c r="J4454" t="s">
        <v>20</v>
      </c>
      <c r="K4454" t="s">
        <v>27</v>
      </c>
      <c r="L4454" t="s">
        <v>266</v>
      </c>
      <c r="M4454" t="s">
        <v>386</v>
      </c>
      <c r="N4454">
        <v>38.388072000000001</v>
      </c>
      <c r="O4454">
        <v>-111.587065</v>
      </c>
      <c r="P4454">
        <v>7083.0563920000004</v>
      </c>
      <c r="Q4454">
        <v>1340</v>
      </c>
      <c r="R4454">
        <v>0</v>
      </c>
    </row>
    <row r="4455" spans="1:18" x14ac:dyDescent="0.25">
      <c r="A4455">
        <v>4454</v>
      </c>
      <c r="B4455">
        <v>94</v>
      </c>
      <c r="C4455" t="e">
        <f>-JN0yiUAHU1_zD194zNXTk</f>
        <v>#NAME?</v>
      </c>
      <c r="D4455" t="s">
        <v>312</v>
      </c>
      <c r="E4455">
        <v>56.02</v>
      </c>
      <c r="F4455" t="s">
        <v>21</v>
      </c>
      <c r="G4455" t="s">
        <v>20</v>
      </c>
      <c r="H4455" t="s">
        <v>21</v>
      </c>
      <c r="I4455" t="s">
        <v>20</v>
      </c>
      <c r="J4455" t="s">
        <v>20</v>
      </c>
      <c r="K4455" t="s">
        <v>27</v>
      </c>
      <c r="L4455" t="s">
        <v>173</v>
      </c>
      <c r="M4455" t="s">
        <v>313</v>
      </c>
      <c r="N4455">
        <v>39.150384000000003</v>
      </c>
      <c r="O4455">
        <v>-112.71903</v>
      </c>
      <c r="P4455">
        <v>4509.3813829999999</v>
      </c>
      <c r="Q4455">
        <v>255</v>
      </c>
      <c r="R4455">
        <v>0</v>
      </c>
    </row>
    <row r="4456" spans="1:18" x14ac:dyDescent="0.25">
      <c r="A4456">
        <v>4455</v>
      </c>
      <c r="B4456">
        <v>94</v>
      </c>
      <c r="C4456">
        <v>31662800</v>
      </c>
      <c r="D4456" t="s">
        <v>244</v>
      </c>
      <c r="E4456">
        <v>56.076000000000001</v>
      </c>
      <c r="F4456" t="s">
        <v>21</v>
      </c>
      <c r="G4456" t="s">
        <v>26</v>
      </c>
      <c r="H4456" t="s">
        <v>21</v>
      </c>
      <c r="I4456" t="s">
        <v>20</v>
      </c>
      <c r="J4456" t="s">
        <v>20</v>
      </c>
      <c r="K4456" t="s">
        <v>27</v>
      </c>
      <c r="L4456" t="s">
        <v>266</v>
      </c>
      <c r="M4456" t="s">
        <v>386</v>
      </c>
      <c r="N4456">
        <v>38.387456999999998</v>
      </c>
      <c r="O4456">
        <v>-111.585916</v>
      </c>
      <c r="P4456">
        <v>7097.3580819999997</v>
      </c>
      <c r="Q4456">
        <v>1340</v>
      </c>
      <c r="R4456">
        <v>0</v>
      </c>
    </row>
    <row r="4457" spans="1:18" x14ac:dyDescent="0.25">
      <c r="A4457">
        <v>4456</v>
      </c>
      <c r="B4457">
        <v>94</v>
      </c>
      <c r="C4457">
        <v>31501253</v>
      </c>
      <c r="D4457" t="s">
        <v>124</v>
      </c>
      <c r="E4457">
        <v>56.104999999999997</v>
      </c>
      <c r="F4457" t="s">
        <v>19</v>
      </c>
      <c r="G4457" t="s">
        <v>20</v>
      </c>
      <c r="H4457" t="s">
        <v>21</v>
      </c>
      <c r="I4457" t="s">
        <v>20</v>
      </c>
      <c r="J4457" t="s">
        <v>20</v>
      </c>
      <c r="K4457" t="s">
        <v>31</v>
      </c>
      <c r="L4457" t="s">
        <v>362</v>
      </c>
      <c r="M4457" t="s">
        <v>125</v>
      </c>
      <c r="N4457">
        <v>40.722723999999999</v>
      </c>
      <c r="O4457">
        <v>-111.93894400000001</v>
      </c>
      <c r="P4457">
        <v>4186.4041729999999</v>
      </c>
      <c r="Q4457">
        <v>1368</v>
      </c>
      <c r="R4457">
        <v>0</v>
      </c>
    </row>
    <row r="4458" spans="1:18" x14ac:dyDescent="0.25">
      <c r="A4458">
        <v>4457</v>
      </c>
      <c r="B4458">
        <v>94</v>
      </c>
      <c r="C4458">
        <v>31825477</v>
      </c>
      <c r="D4458" t="s">
        <v>272</v>
      </c>
      <c r="E4458">
        <v>56.158999999999999</v>
      </c>
      <c r="F4458" t="s">
        <v>21</v>
      </c>
      <c r="G4458" t="s">
        <v>26</v>
      </c>
      <c r="H4458" t="s">
        <v>21</v>
      </c>
      <c r="I4458" t="s">
        <v>20</v>
      </c>
      <c r="J4458" t="s">
        <v>20</v>
      </c>
      <c r="K4458" t="s">
        <v>27</v>
      </c>
      <c r="L4458" t="s">
        <v>259</v>
      </c>
      <c r="M4458" t="s">
        <v>214</v>
      </c>
      <c r="N4458">
        <v>37.032238999999997</v>
      </c>
      <c r="O4458">
        <v>-112.394086</v>
      </c>
      <c r="P4458">
        <v>5110.8997520000003</v>
      </c>
      <c r="Q4458">
        <v>1384</v>
      </c>
      <c r="R4458">
        <v>0</v>
      </c>
    </row>
    <row r="4459" spans="1:18" x14ac:dyDescent="0.25">
      <c r="A4459">
        <v>4458</v>
      </c>
      <c r="B4459">
        <v>94</v>
      </c>
      <c r="C4459">
        <v>28030151</v>
      </c>
      <c r="D4459" t="s">
        <v>281</v>
      </c>
      <c r="E4459">
        <v>56.16</v>
      </c>
      <c r="F4459" t="s">
        <v>19</v>
      </c>
      <c r="G4459" t="s">
        <v>20</v>
      </c>
      <c r="H4459" t="s">
        <v>21</v>
      </c>
      <c r="I4459" t="s">
        <v>20</v>
      </c>
      <c r="J4459" t="s">
        <v>20</v>
      </c>
      <c r="K4459" t="s">
        <v>31</v>
      </c>
      <c r="L4459" t="s">
        <v>282</v>
      </c>
      <c r="M4459" t="s">
        <v>174</v>
      </c>
      <c r="N4459">
        <v>40.556665000000002</v>
      </c>
      <c r="O4459">
        <v>-112.297242</v>
      </c>
      <c r="P4459">
        <v>4757.7800090000001</v>
      </c>
      <c r="Q4459">
        <v>1347</v>
      </c>
      <c r="R4459">
        <v>0</v>
      </c>
    </row>
    <row r="4460" spans="1:18" x14ac:dyDescent="0.25">
      <c r="A4460">
        <v>4459</v>
      </c>
      <c r="B4460">
        <v>94</v>
      </c>
      <c r="C4460">
        <v>31644264</v>
      </c>
      <c r="D4460" t="s">
        <v>393</v>
      </c>
      <c r="E4460">
        <v>6.6959999999999997</v>
      </c>
      <c r="F4460" t="s">
        <v>21</v>
      </c>
      <c r="G4460" t="s">
        <v>26</v>
      </c>
      <c r="H4460" t="s">
        <v>21</v>
      </c>
      <c r="I4460" t="s">
        <v>20</v>
      </c>
      <c r="J4460" t="s">
        <v>20</v>
      </c>
      <c r="K4460" t="s">
        <v>27</v>
      </c>
      <c r="L4460" t="s">
        <v>158</v>
      </c>
      <c r="M4460" t="s">
        <v>190</v>
      </c>
      <c r="N4460">
        <v>39.532291999999998</v>
      </c>
      <c r="O4460">
        <v>-110.40230200000001</v>
      </c>
      <c r="P4460">
        <v>6091.7099989999997</v>
      </c>
      <c r="Q4460">
        <v>333</v>
      </c>
      <c r="R4460">
        <v>0</v>
      </c>
    </row>
    <row r="4461" spans="1:18" x14ac:dyDescent="0.25">
      <c r="A4461">
        <v>4460</v>
      </c>
      <c r="B4461">
        <v>94</v>
      </c>
      <c r="C4461">
        <v>31328748</v>
      </c>
      <c r="D4461" t="s">
        <v>288</v>
      </c>
      <c r="E4461">
        <v>45.665999999999997</v>
      </c>
      <c r="F4461" t="s">
        <v>21</v>
      </c>
      <c r="G4461" t="s">
        <v>26</v>
      </c>
      <c r="H4461" t="s">
        <v>21</v>
      </c>
      <c r="I4461" t="s">
        <v>20</v>
      </c>
      <c r="J4461" t="s">
        <v>20</v>
      </c>
      <c r="K4461" t="s">
        <v>27</v>
      </c>
      <c r="L4461" t="s">
        <v>327</v>
      </c>
      <c r="M4461" t="s">
        <v>212</v>
      </c>
      <c r="N4461">
        <v>37.550483999999997</v>
      </c>
      <c r="O4461">
        <v>-109.490623</v>
      </c>
      <c r="P4461">
        <v>5594.3786719999998</v>
      </c>
      <c r="Q4461">
        <v>350</v>
      </c>
      <c r="R4461">
        <v>0</v>
      </c>
    </row>
    <row r="4462" spans="1:18" x14ac:dyDescent="0.25">
      <c r="A4462">
        <v>4461</v>
      </c>
      <c r="B4462">
        <v>94</v>
      </c>
      <c r="C4462" t="s">
        <v>668</v>
      </c>
      <c r="D4462" t="s">
        <v>308</v>
      </c>
      <c r="E4462">
        <v>45.668999999999997</v>
      </c>
      <c r="F4462" t="s">
        <v>21</v>
      </c>
      <c r="G4462" t="s">
        <v>26</v>
      </c>
      <c r="H4462" t="s">
        <v>21</v>
      </c>
      <c r="I4462" t="s">
        <v>20</v>
      </c>
      <c r="J4462" t="s">
        <v>20</v>
      </c>
      <c r="K4462" t="s">
        <v>27</v>
      </c>
      <c r="L4462" t="s">
        <v>111</v>
      </c>
      <c r="M4462" t="s">
        <v>82</v>
      </c>
      <c r="N4462">
        <v>39.349569000000002</v>
      </c>
      <c r="O4462">
        <v>-110.998502</v>
      </c>
      <c r="P4462">
        <v>5854.661951</v>
      </c>
      <c r="Q4462">
        <v>1344</v>
      </c>
      <c r="R4462">
        <v>0</v>
      </c>
    </row>
    <row r="4463" spans="1:18" x14ac:dyDescent="0.25">
      <c r="A4463">
        <v>4462</v>
      </c>
      <c r="B4463">
        <v>94</v>
      </c>
      <c r="C4463">
        <v>31403125</v>
      </c>
      <c r="D4463" t="s">
        <v>124</v>
      </c>
      <c r="E4463">
        <v>45.716000000000001</v>
      </c>
      <c r="F4463" t="s">
        <v>21</v>
      </c>
      <c r="G4463" t="s">
        <v>26</v>
      </c>
      <c r="H4463" t="s">
        <v>21</v>
      </c>
      <c r="I4463" t="s">
        <v>20</v>
      </c>
      <c r="J4463" t="s">
        <v>20</v>
      </c>
      <c r="K4463" t="s">
        <v>31</v>
      </c>
      <c r="L4463" t="s">
        <v>48</v>
      </c>
      <c r="M4463" t="s">
        <v>125</v>
      </c>
      <c r="N4463">
        <v>40.571778000000002</v>
      </c>
      <c r="O4463">
        <v>-111.938676</v>
      </c>
      <c r="P4463">
        <v>4396.8056569999999</v>
      </c>
      <c r="Q4463">
        <v>1368</v>
      </c>
      <c r="R4463">
        <v>0</v>
      </c>
    </row>
    <row r="4464" spans="1:18" x14ac:dyDescent="0.25">
      <c r="A4464">
        <v>4463</v>
      </c>
      <c r="B4464">
        <v>94</v>
      </c>
      <c r="C4464">
        <v>27730316</v>
      </c>
      <c r="D4464" t="s">
        <v>217</v>
      </c>
      <c r="E4464">
        <v>45.735999999999997</v>
      </c>
      <c r="F4464" t="s">
        <v>21</v>
      </c>
      <c r="G4464" t="s">
        <v>20</v>
      </c>
      <c r="H4464" t="s">
        <v>21</v>
      </c>
      <c r="I4464" t="s">
        <v>20</v>
      </c>
      <c r="J4464" t="s">
        <v>20</v>
      </c>
      <c r="K4464" t="s">
        <v>27</v>
      </c>
      <c r="L4464" t="s">
        <v>162</v>
      </c>
      <c r="M4464" t="s">
        <v>163</v>
      </c>
      <c r="N4464">
        <v>37.633893</v>
      </c>
      <c r="O4464">
        <v>-113.66120100000001</v>
      </c>
      <c r="P4464">
        <v>5155.1523900000002</v>
      </c>
      <c r="Q4464">
        <v>304</v>
      </c>
      <c r="R4464">
        <v>0</v>
      </c>
    </row>
    <row r="4465" spans="1:18" x14ac:dyDescent="0.25">
      <c r="A4465">
        <v>4464</v>
      </c>
      <c r="B4465">
        <v>94</v>
      </c>
      <c r="C4465">
        <v>31403136</v>
      </c>
      <c r="D4465" t="s">
        <v>124</v>
      </c>
      <c r="E4465">
        <v>45.808</v>
      </c>
      <c r="F4465" t="s">
        <v>19</v>
      </c>
      <c r="G4465" t="s">
        <v>20</v>
      </c>
      <c r="H4465" t="s">
        <v>21</v>
      </c>
      <c r="I4465" t="s">
        <v>20</v>
      </c>
      <c r="J4465" t="s">
        <v>20</v>
      </c>
      <c r="K4465" t="s">
        <v>31</v>
      </c>
      <c r="L4465" t="s">
        <v>48</v>
      </c>
      <c r="M4465" t="s">
        <v>125</v>
      </c>
      <c r="N4465">
        <v>40.57311</v>
      </c>
      <c r="O4465">
        <v>-111.938682</v>
      </c>
      <c r="P4465">
        <v>4394.0167350000002</v>
      </c>
      <c r="Q4465">
        <v>1368</v>
      </c>
      <c r="R4465">
        <v>0</v>
      </c>
    </row>
    <row r="4466" spans="1:18" x14ac:dyDescent="0.25">
      <c r="A4466">
        <v>4465</v>
      </c>
      <c r="B4466">
        <v>94</v>
      </c>
      <c r="C4466" t="e">
        <f>-Iozyln0I85Wj3Id3g3tmF</f>
        <v>#NAME?</v>
      </c>
      <c r="D4466" t="s">
        <v>203</v>
      </c>
      <c r="E4466">
        <v>45.816000000000003</v>
      </c>
      <c r="F4466" t="s">
        <v>21</v>
      </c>
      <c r="G4466" t="s">
        <v>20</v>
      </c>
      <c r="H4466" t="s">
        <v>21</v>
      </c>
      <c r="I4466" t="s">
        <v>20</v>
      </c>
      <c r="J4466" t="s">
        <v>20</v>
      </c>
      <c r="K4466" t="s">
        <v>41</v>
      </c>
      <c r="L4466" t="s">
        <v>325</v>
      </c>
      <c r="M4466" t="s">
        <v>204</v>
      </c>
      <c r="N4466">
        <v>41.440474000000002</v>
      </c>
      <c r="O4466">
        <v>-111.503776</v>
      </c>
      <c r="P4466">
        <v>8883.2746040000002</v>
      </c>
      <c r="Q4466">
        <v>1349</v>
      </c>
      <c r="R4466">
        <v>0</v>
      </c>
    </row>
    <row r="4467" spans="1:18" x14ac:dyDescent="0.25">
      <c r="A4467">
        <v>4466</v>
      </c>
      <c r="B4467">
        <v>94</v>
      </c>
      <c r="C4467">
        <v>31403415</v>
      </c>
      <c r="D4467" t="s">
        <v>124</v>
      </c>
      <c r="E4467">
        <v>45.844000000000001</v>
      </c>
      <c r="F4467" t="s">
        <v>21</v>
      </c>
      <c r="G4467" t="s">
        <v>26</v>
      </c>
      <c r="H4467" t="s">
        <v>21</v>
      </c>
      <c r="I4467" t="s">
        <v>20</v>
      </c>
      <c r="J4467" t="s">
        <v>20</v>
      </c>
      <c r="K4467" t="s">
        <v>31</v>
      </c>
      <c r="L4467" t="s">
        <v>48</v>
      </c>
      <c r="M4467" t="s">
        <v>125</v>
      </c>
      <c r="N4467">
        <v>40.573636</v>
      </c>
      <c r="O4467">
        <v>-111.93866199999999</v>
      </c>
      <c r="P4467">
        <v>4392.2867269999997</v>
      </c>
      <c r="Q4467">
        <v>1368</v>
      </c>
      <c r="R4467">
        <v>0</v>
      </c>
    </row>
    <row r="4468" spans="1:18" x14ac:dyDescent="0.25">
      <c r="A4468">
        <v>4467</v>
      </c>
      <c r="B4468">
        <v>94</v>
      </c>
      <c r="C4468">
        <v>31503342</v>
      </c>
      <c r="D4468" t="s">
        <v>129</v>
      </c>
      <c r="E4468">
        <v>45.914000000000001</v>
      </c>
      <c r="F4468" t="s">
        <v>21</v>
      </c>
      <c r="G4468" t="s">
        <v>26</v>
      </c>
      <c r="H4468" t="s">
        <v>21</v>
      </c>
      <c r="I4468" t="s">
        <v>20</v>
      </c>
      <c r="J4468" t="s">
        <v>20</v>
      </c>
      <c r="K4468" t="s">
        <v>31</v>
      </c>
      <c r="L4468" t="s">
        <v>130</v>
      </c>
      <c r="M4468" t="s">
        <v>328</v>
      </c>
      <c r="N4468">
        <v>40.875898999999997</v>
      </c>
      <c r="O4468">
        <v>-110.831422</v>
      </c>
      <c r="P4468">
        <v>8446.2074809999995</v>
      </c>
      <c r="Q4468">
        <v>340</v>
      </c>
      <c r="R4468">
        <v>0</v>
      </c>
    </row>
    <row r="4469" spans="1:18" x14ac:dyDescent="0.25">
      <c r="A4469">
        <v>4468</v>
      </c>
      <c r="B4469">
        <v>94</v>
      </c>
      <c r="C4469">
        <v>31403426</v>
      </c>
      <c r="D4469" t="s">
        <v>124</v>
      </c>
      <c r="E4469">
        <v>45.951999999999998</v>
      </c>
      <c r="F4469" t="s">
        <v>21</v>
      </c>
      <c r="G4469" t="s">
        <v>26</v>
      </c>
      <c r="H4469" t="s">
        <v>21</v>
      </c>
      <c r="I4469" t="s">
        <v>20</v>
      </c>
      <c r="J4469" t="s">
        <v>20</v>
      </c>
      <c r="K4469" t="s">
        <v>31</v>
      </c>
      <c r="L4469" t="s">
        <v>48</v>
      </c>
      <c r="M4469" t="s">
        <v>125</v>
      </c>
      <c r="N4469">
        <v>40.575200000000002</v>
      </c>
      <c r="O4469">
        <v>-111.938688</v>
      </c>
      <c r="P4469">
        <v>4384.8604830000004</v>
      </c>
      <c r="Q4469">
        <v>1368</v>
      </c>
      <c r="R4469">
        <v>0</v>
      </c>
    </row>
    <row r="4470" spans="1:18" x14ac:dyDescent="0.25">
      <c r="A4470">
        <v>4469</v>
      </c>
      <c r="B4470">
        <v>94</v>
      </c>
      <c r="C4470" t="s">
        <v>669</v>
      </c>
      <c r="D4470" t="s">
        <v>272</v>
      </c>
      <c r="E4470">
        <v>458.976</v>
      </c>
      <c r="F4470" t="s">
        <v>19</v>
      </c>
      <c r="G4470" t="s">
        <v>20</v>
      </c>
      <c r="H4470" t="s">
        <v>21</v>
      </c>
      <c r="I4470" t="s">
        <v>20</v>
      </c>
      <c r="J4470" t="s">
        <v>20</v>
      </c>
      <c r="K4470" t="s">
        <v>41</v>
      </c>
      <c r="L4470" t="s">
        <v>177</v>
      </c>
      <c r="M4470" t="s">
        <v>152</v>
      </c>
      <c r="N4470">
        <v>41.739063000000002</v>
      </c>
      <c r="O4470">
        <v>-111.834721</v>
      </c>
      <c r="P4470">
        <v>4474.5293060000004</v>
      </c>
      <c r="Q4470">
        <v>1384</v>
      </c>
      <c r="R4470">
        <v>0</v>
      </c>
    </row>
    <row r="4471" spans="1:18" x14ac:dyDescent="0.25">
      <c r="A4471">
        <v>4470</v>
      </c>
      <c r="B4471">
        <v>94</v>
      </c>
      <c r="C4471" t="s">
        <v>670</v>
      </c>
      <c r="D4471" t="s">
        <v>272</v>
      </c>
      <c r="E4471">
        <v>459.10399999999998</v>
      </c>
      <c r="F4471" t="s">
        <v>19</v>
      </c>
      <c r="G4471" t="s">
        <v>20</v>
      </c>
      <c r="H4471" t="s">
        <v>21</v>
      </c>
      <c r="I4471" t="s">
        <v>20</v>
      </c>
      <c r="J4471" t="s">
        <v>20</v>
      </c>
      <c r="K4471" t="s">
        <v>41</v>
      </c>
      <c r="L4471" t="s">
        <v>95</v>
      </c>
      <c r="M4471" t="s">
        <v>152</v>
      </c>
      <c r="N4471">
        <v>41.739024000000001</v>
      </c>
      <c r="O4471">
        <v>-111.832156</v>
      </c>
      <c r="P4471">
        <v>4484.5188770000004</v>
      </c>
      <c r="Q4471">
        <v>1384</v>
      </c>
      <c r="R4471">
        <v>0</v>
      </c>
    </row>
    <row r="4472" spans="1:18" x14ac:dyDescent="0.25">
      <c r="A4472">
        <v>4471</v>
      </c>
      <c r="B4472">
        <v>94</v>
      </c>
      <c r="C4472">
        <v>31439049</v>
      </c>
      <c r="D4472" t="s">
        <v>107</v>
      </c>
      <c r="E4472">
        <v>3.8660000000000001</v>
      </c>
      <c r="F4472" t="s">
        <v>21</v>
      </c>
      <c r="G4472" t="s">
        <v>26</v>
      </c>
      <c r="H4472" t="s">
        <v>21</v>
      </c>
      <c r="I4472" t="s">
        <v>20</v>
      </c>
      <c r="J4472" t="s">
        <v>20</v>
      </c>
      <c r="K4472" t="s">
        <v>41</v>
      </c>
      <c r="L4472" t="s">
        <v>81</v>
      </c>
      <c r="M4472" t="s">
        <v>93</v>
      </c>
      <c r="N4472">
        <v>41.248666999999998</v>
      </c>
      <c r="O4472">
        <v>-111.97814099999999</v>
      </c>
      <c r="P4472">
        <v>4227.4229189999996</v>
      </c>
      <c r="Q4472">
        <v>413</v>
      </c>
      <c r="R4472">
        <v>0</v>
      </c>
    </row>
    <row r="4473" spans="1:18" x14ac:dyDescent="0.25">
      <c r="A4473">
        <v>4472</v>
      </c>
      <c r="B4473">
        <v>94</v>
      </c>
      <c r="C4473">
        <v>31759390</v>
      </c>
      <c r="D4473" t="s">
        <v>77</v>
      </c>
      <c r="E4473">
        <v>3.867</v>
      </c>
      <c r="F4473" t="s">
        <v>21</v>
      </c>
      <c r="G4473" t="s">
        <v>26</v>
      </c>
      <c r="H4473" t="s">
        <v>21</v>
      </c>
      <c r="I4473" t="s">
        <v>20</v>
      </c>
      <c r="J4473" t="s">
        <v>20</v>
      </c>
      <c r="K4473" t="s">
        <v>31</v>
      </c>
      <c r="L4473" t="s">
        <v>78</v>
      </c>
      <c r="M4473" t="s">
        <v>79</v>
      </c>
      <c r="N4473">
        <v>40.694721999999999</v>
      </c>
      <c r="O4473">
        <v>-112.024856</v>
      </c>
      <c r="P4473">
        <v>4252.4184180000002</v>
      </c>
      <c r="Q4473">
        <v>1436</v>
      </c>
      <c r="R4473">
        <v>0</v>
      </c>
    </row>
    <row r="4474" spans="1:18" x14ac:dyDescent="0.25">
      <c r="A4474">
        <v>4473</v>
      </c>
      <c r="B4474">
        <v>94</v>
      </c>
      <c r="C4474" t="e">
        <f>-IoRalp_IY1vj8n7gUmccF</f>
        <v>#NAME?</v>
      </c>
      <c r="D4474" t="s">
        <v>272</v>
      </c>
      <c r="E4474">
        <v>331.96300000000002</v>
      </c>
      <c r="F4474" t="s">
        <v>21</v>
      </c>
      <c r="G4474" t="s">
        <v>26</v>
      </c>
      <c r="H4474" t="s">
        <v>21</v>
      </c>
      <c r="I4474" t="s">
        <v>20</v>
      </c>
      <c r="J4474" t="s">
        <v>20</v>
      </c>
      <c r="K4474" t="s">
        <v>22</v>
      </c>
      <c r="L4474" t="s">
        <v>23</v>
      </c>
      <c r="M4474" t="s">
        <v>125</v>
      </c>
      <c r="N4474">
        <v>40.211118999999997</v>
      </c>
      <c r="O4474">
        <v>-111.63259600000001</v>
      </c>
      <c r="P4474">
        <v>4465.8964749999996</v>
      </c>
      <c r="Q4474">
        <v>1384</v>
      </c>
      <c r="R4474">
        <v>0</v>
      </c>
    </row>
    <row r="4475" spans="1:18" x14ac:dyDescent="0.25">
      <c r="A4475">
        <v>4474</v>
      </c>
      <c r="B4475">
        <v>94</v>
      </c>
      <c r="C4475">
        <v>1114584</v>
      </c>
      <c r="D4475" t="s">
        <v>101</v>
      </c>
      <c r="E4475">
        <v>3.1139999999999999</v>
      </c>
      <c r="F4475" t="s">
        <v>21</v>
      </c>
      <c r="G4475" t="s">
        <v>26</v>
      </c>
      <c r="H4475" t="s">
        <v>21</v>
      </c>
      <c r="I4475" t="s">
        <v>20</v>
      </c>
      <c r="J4475" t="s">
        <v>20</v>
      </c>
      <c r="K4475" t="s">
        <v>41</v>
      </c>
      <c r="L4475" t="s">
        <v>57</v>
      </c>
      <c r="M4475" t="s">
        <v>58</v>
      </c>
      <c r="N4475">
        <v>41.118091</v>
      </c>
      <c r="O4475">
        <v>-112.052914</v>
      </c>
      <c r="P4475">
        <v>4336.3728369999999</v>
      </c>
      <c r="Q4475">
        <v>328</v>
      </c>
      <c r="R4475">
        <v>0</v>
      </c>
    </row>
    <row r="4476" spans="1:18" x14ac:dyDescent="0.25">
      <c r="A4476">
        <v>4475</v>
      </c>
      <c r="B4476">
        <v>94</v>
      </c>
      <c r="C4476" t="e">
        <f>-IpVMd4JI9PNZNq_uwE5_V</f>
        <v>#NAME?</v>
      </c>
      <c r="D4476" t="s">
        <v>148</v>
      </c>
      <c r="E4476">
        <v>3.12</v>
      </c>
      <c r="F4476" t="s">
        <v>21</v>
      </c>
      <c r="G4476" t="s">
        <v>20</v>
      </c>
      <c r="H4476" t="s">
        <v>21</v>
      </c>
      <c r="I4476" t="s">
        <v>20</v>
      </c>
      <c r="J4476" t="s">
        <v>20</v>
      </c>
      <c r="K4476" t="s">
        <v>31</v>
      </c>
      <c r="L4476" t="s">
        <v>149</v>
      </c>
      <c r="M4476" t="s">
        <v>131</v>
      </c>
      <c r="N4476">
        <v>40.781455000000001</v>
      </c>
      <c r="O4476">
        <v>-111.391369</v>
      </c>
      <c r="P4476">
        <v>6004.790626</v>
      </c>
      <c r="Q4476">
        <v>263</v>
      </c>
      <c r="R4476">
        <v>0</v>
      </c>
    </row>
    <row r="4477" spans="1:18" x14ac:dyDescent="0.25">
      <c r="A4477">
        <v>4476</v>
      </c>
      <c r="B4477">
        <v>94</v>
      </c>
      <c r="C4477">
        <v>485422</v>
      </c>
      <c r="D4477" t="s">
        <v>83</v>
      </c>
      <c r="E4477">
        <v>3.133</v>
      </c>
      <c r="F4477" t="s">
        <v>19</v>
      </c>
      <c r="G4477" t="s">
        <v>20</v>
      </c>
      <c r="H4477" t="s">
        <v>21</v>
      </c>
      <c r="I4477" t="s">
        <v>20</v>
      </c>
      <c r="J4477" t="s">
        <v>20</v>
      </c>
      <c r="K4477" t="s">
        <v>22</v>
      </c>
      <c r="L4477" t="s">
        <v>84</v>
      </c>
      <c r="M4477" t="s">
        <v>85</v>
      </c>
      <c r="N4477">
        <v>40.420929999999998</v>
      </c>
      <c r="O4477">
        <v>-111.78673000000001</v>
      </c>
      <c r="P4477">
        <v>4827.5543120000002</v>
      </c>
      <c r="Q4477">
        <v>319</v>
      </c>
      <c r="R4477">
        <v>0</v>
      </c>
    </row>
    <row r="4478" spans="1:18" x14ac:dyDescent="0.25">
      <c r="A4478">
        <v>4477</v>
      </c>
      <c r="B4478">
        <v>94</v>
      </c>
      <c r="C4478">
        <v>28335679</v>
      </c>
      <c r="D4478" t="s">
        <v>160</v>
      </c>
      <c r="E4478">
        <v>3.1339999999999999</v>
      </c>
      <c r="F4478" t="s">
        <v>21</v>
      </c>
      <c r="G4478" t="s">
        <v>26</v>
      </c>
      <c r="H4478" t="s">
        <v>21</v>
      </c>
      <c r="I4478" t="s">
        <v>20</v>
      </c>
      <c r="J4478" t="s">
        <v>20</v>
      </c>
      <c r="K4478" t="s">
        <v>27</v>
      </c>
      <c r="L4478" t="s">
        <v>72</v>
      </c>
      <c r="M4478" t="s">
        <v>73</v>
      </c>
      <c r="N4478">
        <v>37.252839999999999</v>
      </c>
      <c r="O4478">
        <v>-113.284688</v>
      </c>
      <c r="P4478">
        <v>3301.7100479999999</v>
      </c>
      <c r="Q4478">
        <v>1335</v>
      </c>
      <c r="R4478">
        <v>0</v>
      </c>
    </row>
    <row r="4479" spans="1:18" x14ac:dyDescent="0.25">
      <c r="A4479">
        <v>4478</v>
      </c>
      <c r="B4479">
        <v>94</v>
      </c>
      <c r="C4479">
        <v>1370422</v>
      </c>
      <c r="D4479" t="s">
        <v>100</v>
      </c>
      <c r="E4479">
        <v>3.1379999999999999</v>
      </c>
      <c r="F4479" t="s">
        <v>21</v>
      </c>
      <c r="G4479" t="s">
        <v>26</v>
      </c>
      <c r="H4479" t="s">
        <v>21</v>
      </c>
      <c r="I4479" t="s">
        <v>20</v>
      </c>
      <c r="J4479" t="s">
        <v>20</v>
      </c>
      <c r="K4479" t="s">
        <v>41</v>
      </c>
      <c r="L4479" t="s">
        <v>57</v>
      </c>
      <c r="M4479" t="s">
        <v>46</v>
      </c>
      <c r="N4479">
        <v>41.089072999999999</v>
      </c>
      <c r="O4479">
        <v>-112.047965</v>
      </c>
      <c r="P4479">
        <v>4260.3755620000002</v>
      </c>
      <c r="Q4479">
        <v>1396</v>
      </c>
      <c r="R4479">
        <v>0</v>
      </c>
    </row>
    <row r="4480" spans="1:18" x14ac:dyDescent="0.25">
      <c r="A4480">
        <v>4479</v>
      </c>
      <c r="B4480">
        <v>94</v>
      </c>
      <c r="C4480" t="e">
        <f>-JXAvu9AIYD1rVig43yH-F</f>
        <v>#NAME?</v>
      </c>
      <c r="D4480" t="s">
        <v>63</v>
      </c>
      <c r="E4480">
        <v>39.334000000000003</v>
      </c>
      <c r="F4480" t="s">
        <v>21</v>
      </c>
      <c r="G4480" t="s">
        <v>20</v>
      </c>
      <c r="H4480" t="s">
        <v>21</v>
      </c>
      <c r="I4480" t="s">
        <v>20</v>
      </c>
      <c r="J4480" t="s">
        <v>20</v>
      </c>
      <c r="K4480" t="s">
        <v>27</v>
      </c>
      <c r="L4480" t="s">
        <v>266</v>
      </c>
      <c r="M4480" t="s">
        <v>29</v>
      </c>
      <c r="N4480">
        <v>38.531607000000001</v>
      </c>
      <c r="O4480">
        <v>-111.878292</v>
      </c>
      <c r="P4480">
        <v>6885.2338890000001</v>
      </c>
      <c r="Q4480">
        <v>1365</v>
      </c>
      <c r="R4480">
        <v>0</v>
      </c>
    </row>
    <row r="4481" spans="1:18" x14ac:dyDescent="0.25">
      <c r="A4481">
        <v>4480</v>
      </c>
      <c r="B4481">
        <v>94</v>
      </c>
      <c r="C4481">
        <v>31384045</v>
      </c>
      <c r="D4481" t="s">
        <v>116</v>
      </c>
      <c r="E4481">
        <v>39.334000000000003</v>
      </c>
      <c r="F4481" t="s">
        <v>21</v>
      </c>
      <c r="G4481" t="s">
        <v>26</v>
      </c>
      <c r="H4481" t="s">
        <v>21</v>
      </c>
      <c r="I4481" t="s">
        <v>20</v>
      </c>
      <c r="J4481" t="s">
        <v>20</v>
      </c>
      <c r="K4481" t="s">
        <v>41</v>
      </c>
      <c r="L4481" t="s">
        <v>95</v>
      </c>
      <c r="M4481" t="s">
        <v>117</v>
      </c>
      <c r="N4481">
        <v>41.912989000000003</v>
      </c>
      <c r="O4481">
        <v>-111.814567</v>
      </c>
      <c r="P4481">
        <v>4549.8290619999998</v>
      </c>
      <c r="Q4481">
        <v>324</v>
      </c>
      <c r="R4481">
        <v>0</v>
      </c>
    </row>
    <row r="4482" spans="1:18" x14ac:dyDescent="0.25">
      <c r="A4482">
        <v>4481</v>
      </c>
      <c r="B4482">
        <v>94</v>
      </c>
      <c r="C4482">
        <v>28194640</v>
      </c>
      <c r="D4482" t="s">
        <v>233</v>
      </c>
      <c r="E4482">
        <v>39.351999999999997</v>
      </c>
      <c r="F4482" t="s">
        <v>21</v>
      </c>
      <c r="G4482" t="s">
        <v>26</v>
      </c>
      <c r="H4482" t="s">
        <v>21</v>
      </c>
      <c r="I4482" t="s">
        <v>20</v>
      </c>
      <c r="J4482" t="s">
        <v>20</v>
      </c>
      <c r="K4482" t="s">
        <v>22</v>
      </c>
      <c r="L4482" t="s">
        <v>234</v>
      </c>
      <c r="M4482" t="s">
        <v>235</v>
      </c>
      <c r="N4482">
        <v>40.404820999999998</v>
      </c>
      <c r="O4482">
        <v>-109.49900700000001</v>
      </c>
      <c r="P4482">
        <v>5223.5964720000002</v>
      </c>
      <c r="Q4482">
        <v>1354</v>
      </c>
      <c r="R4482">
        <v>0</v>
      </c>
    </row>
    <row r="4483" spans="1:18" x14ac:dyDescent="0.25">
      <c r="A4483">
        <v>4482</v>
      </c>
      <c r="B4483">
        <v>94</v>
      </c>
      <c r="C4483">
        <v>31432886</v>
      </c>
      <c r="D4483" t="s">
        <v>221</v>
      </c>
      <c r="E4483">
        <v>39.377000000000002</v>
      </c>
      <c r="F4483" t="s">
        <v>21</v>
      </c>
      <c r="G4483" t="s">
        <v>26</v>
      </c>
      <c r="H4483" t="s">
        <v>21</v>
      </c>
      <c r="I4483" t="s">
        <v>20</v>
      </c>
      <c r="J4483" t="s">
        <v>20</v>
      </c>
      <c r="K4483" t="s">
        <v>22</v>
      </c>
      <c r="L4483" t="s">
        <v>155</v>
      </c>
      <c r="M4483" t="s">
        <v>174</v>
      </c>
      <c r="N4483">
        <v>39.689869000000002</v>
      </c>
      <c r="O4483">
        <v>-111.836196</v>
      </c>
      <c r="P4483">
        <v>5086.559655</v>
      </c>
      <c r="Q4483">
        <v>1342</v>
      </c>
      <c r="R4483">
        <v>0</v>
      </c>
    </row>
    <row r="4484" spans="1:18" x14ac:dyDescent="0.25">
      <c r="A4484">
        <v>4483</v>
      </c>
      <c r="B4484">
        <v>94</v>
      </c>
      <c r="C4484">
        <v>31397852</v>
      </c>
      <c r="D4484" t="s">
        <v>124</v>
      </c>
      <c r="E4484">
        <v>39.381</v>
      </c>
      <c r="F4484" t="s">
        <v>21</v>
      </c>
      <c r="G4484" t="s">
        <v>26</v>
      </c>
      <c r="H4484" t="s">
        <v>21</v>
      </c>
      <c r="I4484" t="s">
        <v>20</v>
      </c>
      <c r="J4484" t="s">
        <v>20</v>
      </c>
      <c r="K4484" t="s">
        <v>31</v>
      </c>
      <c r="L4484" t="s">
        <v>89</v>
      </c>
      <c r="M4484" t="s">
        <v>125</v>
      </c>
      <c r="N4484">
        <v>40.480328</v>
      </c>
      <c r="O4484">
        <v>-111.94421</v>
      </c>
      <c r="P4484">
        <v>4478.0322029999998</v>
      </c>
      <c r="Q4484">
        <v>1368</v>
      </c>
      <c r="R4484">
        <v>0</v>
      </c>
    </row>
    <row r="4485" spans="1:18" x14ac:dyDescent="0.25">
      <c r="A4485">
        <v>4484</v>
      </c>
      <c r="B4485">
        <v>94</v>
      </c>
      <c r="C4485">
        <v>31325933</v>
      </c>
      <c r="D4485" t="s">
        <v>288</v>
      </c>
      <c r="E4485">
        <v>39.432000000000002</v>
      </c>
      <c r="F4485" t="s">
        <v>21</v>
      </c>
      <c r="G4485" t="s">
        <v>26</v>
      </c>
      <c r="H4485" t="s">
        <v>21</v>
      </c>
      <c r="I4485" t="s">
        <v>20</v>
      </c>
      <c r="J4485" t="s">
        <v>20</v>
      </c>
      <c r="K4485" t="s">
        <v>27</v>
      </c>
      <c r="L4485" t="s">
        <v>327</v>
      </c>
      <c r="M4485" t="s">
        <v>212</v>
      </c>
      <c r="N4485">
        <v>37.465769999999999</v>
      </c>
      <c r="O4485">
        <v>-109.466992</v>
      </c>
      <c r="P4485">
        <v>5242.3506829999997</v>
      </c>
      <c r="Q4485">
        <v>350</v>
      </c>
      <c r="R4485">
        <v>0</v>
      </c>
    </row>
    <row r="4486" spans="1:18" x14ac:dyDescent="0.25">
      <c r="A4486">
        <v>4485</v>
      </c>
      <c r="B4486">
        <v>94</v>
      </c>
      <c r="C4486">
        <v>31523029</v>
      </c>
      <c r="D4486" t="s">
        <v>132</v>
      </c>
      <c r="E4486">
        <v>39.44</v>
      </c>
      <c r="F4486" t="s">
        <v>21</v>
      </c>
      <c r="G4486" t="s">
        <v>26</v>
      </c>
      <c r="H4486" t="s">
        <v>21</v>
      </c>
      <c r="I4486" t="s">
        <v>20</v>
      </c>
      <c r="J4486" t="s">
        <v>20</v>
      </c>
      <c r="K4486" t="s">
        <v>22</v>
      </c>
      <c r="L4486" t="s">
        <v>234</v>
      </c>
      <c r="M4486" t="s">
        <v>277</v>
      </c>
      <c r="N4486">
        <v>40.462819000000003</v>
      </c>
      <c r="O4486">
        <v>-109.54537500000001</v>
      </c>
      <c r="P4486">
        <v>5337.4070119999997</v>
      </c>
      <c r="Q4486">
        <v>1405</v>
      </c>
      <c r="R4486">
        <v>0</v>
      </c>
    </row>
    <row r="4487" spans="1:18" x14ac:dyDescent="0.25">
      <c r="A4487">
        <v>4486</v>
      </c>
      <c r="B4487">
        <v>94</v>
      </c>
      <c r="C4487">
        <v>31302567</v>
      </c>
      <c r="D4487" t="s">
        <v>316</v>
      </c>
      <c r="E4487">
        <v>39.444000000000003</v>
      </c>
      <c r="F4487" t="s">
        <v>21</v>
      </c>
      <c r="G4487" t="s">
        <v>26</v>
      </c>
      <c r="H4487" t="s">
        <v>21</v>
      </c>
      <c r="I4487" t="s">
        <v>20</v>
      </c>
      <c r="J4487" t="s">
        <v>20</v>
      </c>
      <c r="K4487" t="s">
        <v>22</v>
      </c>
      <c r="L4487" t="s">
        <v>168</v>
      </c>
      <c r="M4487" t="s">
        <v>302</v>
      </c>
      <c r="N4487">
        <v>40.385922000000001</v>
      </c>
      <c r="O4487">
        <v>-110.74378299999999</v>
      </c>
      <c r="P4487">
        <v>6606.414847</v>
      </c>
      <c r="Q4487">
        <v>1346</v>
      </c>
      <c r="R4487">
        <v>0</v>
      </c>
    </row>
    <row r="4488" spans="1:18" x14ac:dyDescent="0.25">
      <c r="A4488">
        <v>4487</v>
      </c>
      <c r="B4488">
        <v>94</v>
      </c>
      <c r="C4488">
        <v>31286767</v>
      </c>
      <c r="D4488" t="s">
        <v>241</v>
      </c>
      <c r="E4488">
        <v>39.463000000000001</v>
      </c>
      <c r="F4488" t="s">
        <v>21</v>
      </c>
      <c r="G4488" t="s">
        <v>26</v>
      </c>
      <c r="H4488" t="s">
        <v>21</v>
      </c>
      <c r="I4488" t="s">
        <v>20</v>
      </c>
      <c r="J4488" t="s">
        <v>20</v>
      </c>
      <c r="K4488" t="s">
        <v>27</v>
      </c>
      <c r="L4488" t="s">
        <v>111</v>
      </c>
      <c r="M4488" t="s">
        <v>243</v>
      </c>
      <c r="N4488">
        <v>39.220824999999998</v>
      </c>
      <c r="O4488">
        <v>-110.99757200000001</v>
      </c>
      <c r="P4488">
        <v>5623.3649699999996</v>
      </c>
      <c r="Q4488">
        <v>1327</v>
      </c>
      <c r="R4488">
        <v>0</v>
      </c>
    </row>
    <row r="4489" spans="1:18" x14ac:dyDescent="0.25">
      <c r="A4489">
        <v>4488</v>
      </c>
      <c r="B4489">
        <v>94</v>
      </c>
      <c r="C4489">
        <v>31309613</v>
      </c>
      <c r="D4489" t="s">
        <v>203</v>
      </c>
      <c r="E4489">
        <v>39.484000000000002</v>
      </c>
      <c r="F4489" t="s">
        <v>21</v>
      </c>
      <c r="G4489" t="s">
        <v>26</v>
      </c>
      <c r="H4489" t="s">
        <v>21</v>
      </c>
      <c r="I4489" t="s">
        <v>20</v>
      </c>
      <c r="J4489" t="s">
        <v>20</v>
      </c>
      <c r="K4489" t="s">
        <v>41</v>
      </c>
      <c r="L4489" t="s">
        <v>255</v>
      </c>
      <c r="M4489" t="s">
        <v>204</v>
      </c>
      <c r="N4489">
        <v>41.410460999999998</v>
      </c>
      <c r="O4489">
        <v>-111.558458</v>
      </c>
      <c r="P4489">
        <v>7856.3509729999996</v>
      </c>
      <c r="Q4489">
        <v>1349</v>
      </c>
      <c r="R4489">
        <v>0</v>
      </c>
    </row>
    <row r="4490" spans="1:18" x14ac:dyDescent="0.25">
      <c r="A4490">
        <v>4489</v>
      </c>
      <c r="B4490">
        <v>94</v>
      </c>
      <c r="C4490" t="e">
        <f>-JYr2ZyZHkqqwvQlNVDP_k</f>
        <v>#NAME?</v>
      </c>
      <c r="D4490" t="s">
        <v>199</v>
      </c>
      <c r="E4490">
        <v>39.515000000000001</v>
      </c>
      <c r="F4490" t="s">
        <v>21</v>
      </c>
      <c r="G4490" t="s">
        <v>20</v>
      </c>
      <c r="H4490" t="s">
        <v>21</v>
      </c>
      <c r="I4490" t="s">
        <v>20</v>
      </c>
      <c r="J4490" t="s">
        <v>20</v>
      </c>
      <c r="K4490" t="s">
        <v>27</v>
      </c>
      <c r="L4490" t="s">
        <v>64</v>
      </c>
      <c r="M4490" t="s">
        <v>200</v>
      </c>
      <c r="N4490">
        <v>38.245297999999998</v>
      </c>
      <c r="O4490">
        <v>-112.234026</v>
      </c>
      <c r="P4490">
        <v>6048.6602919999996</v>
      </c>
      <c r="Q4490">
        <v>341</v>
      </c>
      <c r="R4490">
        <v>0</v>
      </c>
    </row>
    <row r="4491" spans="1:18" x14ac:dyDescent="0.25">
      <c r="A4491">
        <v>4490</v>
      </c>
      <c r="B4491">
        <v>94</v>
      </c>
      <c r="C4491" t="s">
        <v>671</v>
      </c>
      <c r="D4491" t="s">
        <v>308</v>
      </c>
      <c r="E4491">
        <v>39.515999999999998</v>
      </c>
      <c r="F4491" t="s">
        <v>21</v>
      </c>
      <c r="G4491" t="s">
        <v>20</v>
      </c>
      <c r="H4491" t="s">
        <v>21</v>
      </c>
      <c r="I4491" t="s">
        <v>20</v>
      </c>
      <c r="J4491" t="s">
        <v>20</v>
      </c>
      <c r="K4491" t="s">
        <v>27</v>
      </c>
      <c r="L4491" t="s">
        <v>111</v>
      </c>
      <c r="M4491" t="s">
        <v>82</v>
      </c>
      <c r="N4491">
        <v>39.391514999999998</v>
      </c>
      <c r="O4491">
        <v>-111.092282</v>
      </c>
      <c r="P4491">
        <v>6474.0068529999999</v>
      </c>
      <c r="Q4491">
        <v>1344</v>
      </c>
      <c r="R4491">
        <v>0</v>
      </c>
    </row>
    <row r="4492" spans="1:18" x14ac:dyDescent="0.25">
      <c r="A4492">
        <v>4491</v>
      </c>
      <c r="B4492">
        <v>94</v>
      </c>
      <c r="C4492" t="s">
        <v>672</v>
      </c>
      <c r="D4492" t="s">
        <v>272</v>
      </c>
      <c r="E4492">
        <v>415.68099999999998</v>
      </c>
      <c r="F4492" t="s">
        <v>21</v>
      </c>
      <c r="G4492" t="s">
        <v>26</v>
      </c>
      <c r="H4492" t="s">
        <v>21</v>
      </c>
      <c r="I4492" t="s">
        <v>20</v>
      </c>
      <c r="J4492" t="s">
        <v>20</v>
      </c>
      <c r="K4492" t="s">
        <v>41</v>
      </c>
      <c r="L4492" t="s">
        <v>81</v>
      </c>
      <c r="M4492" t="s">
        <v>46</v>
      </c>
      <c r="N4492">
        <v>41.247962000000001</v>
      </c>
      <c r="O4492">
        <v>-111.969875</v>
      </c>
      <c r="P4492">
        <v>4240.6060470000002</v>
      </c>
      <c r="Q4492">
        <v>1384</v>
      </c>
      <c r="R4492">
        <v>0</v>
      </c>
    </row>
    <row r="4493" spans="1:18" x14ac:dyDescent="0.25">
      <c r="A4493">
        <v>4492</v>
      </c>
      <c r="B4493">
        <v>94</v>
      </c>
      <c r="C4493" t="e">
        <f>-IpUW0leHL5_2RP0--tDrF</f>
        <v>#NAME?</v>
      </c>
      <c r="D4493" t="s">
        <v>272</v>
      </c>
      <c r="E4493">
        <v>415.72399999999999</v>
      </c>
      <c r="F4493" t="s">
        <v>21</v>
      </c>
      <c r="G4493" t="s">
        <v>26</v>
      </c>
      <c r="H4493" t="s">
        <v>21</v>
      </c>
      <c r="I4493" t="s">
        <v>20</v>
      </c>
      <c r="J4493" t="s">
        <v>20</v>
      </c>
      <c r="K4493" t="s">
        <v>41</v>
      </c>
      <c r="L4493" t="s">
        <v>81</v>
      </c>
      <c r="M4493" t="s">
        <v>46</v>
      </c>
      <c r="N4493">
        <v>41.248570000000001</v>
      </c>
      <c r="O4493">
        <v>-111.96987300000001</v>
      </c>
      <c r="P4493">
        <v>4239.7012350000005</v>
      </c>
      <c r="Q4493">
        <v>1384</v>
      </c>
      <c r="R4493">
        <v>0</v>
      </c>
    </row>
    <row r="4494" spans="1:18" x14ac:dyDescent="0.25">
      <c r="A4494">
        <v>4493</v>
      </c>
      <c r="B4494">
        <v>94</v>
      </c>
      <c r="C4494" t="e">
        <f>-IpUWA1uIwaZPrdAH04oxk</f>
        <v>#NAME?</v>
      </c>
      <c r="D4494" t="s">
        <v>272</v>
      </c>
      <c r="E4494">
        <v>415.77300000000002</v>
      </c>
      <c r="F4494" t="s">
        <v>21</v>
      </c>
      <c r="G4494" t="s">
        <v>26</v>
      </c>
      <c r="H4494" t="s">
        <v>21</v>
      </c>
      <c r="I4494" t="s">
        <v>20</v>
      </c>
      <c r="J4494" t="s">
        <v>20</v>
      </c>
      <c r="K4494" t="s">
        <v>41</v>
      </c>
      <c r="L4494" t="s">
        <v>81</v>
      </c>
      <c r="M4494" t="s">
        <v>46</v>
      </c>
      <c r="N4494">
        <v>41.249268000000001</v>
      </c>
      <c r="O4494">
        <v>-111.969848</v>
      </c>
      <c r="P4494">
        <v>4240.770931</v>
      </c>
      <c r="Q4494">
        <v>1384</v>
      </c>
      <c r="R4494">
        <v>0</v>
      </c>
    </row>
    <row r="4495" spans="1:18" x14ac:dyDescent="0.25">
      <c r="A4495">
        <v>4494</v>
      </c>
      <c r="B4495">
        <v>94</v>
      </c>
      <c r="C4495" t="e">
        <f>-IpUWK-IID9Y-GrbpoHvok</f>
        <v>#NAME?</v>
      </c>
      <c r="D4495" t="s">
        <v>272</v>
      </c>
      <c r="E4495">
        <v>415.83800000000002</v>
      </c>
      <c r="F4495" t="s">
        <v>21</v>
      </c>
      <c r="G4495" t="s">
        <v>26</v>
      </c>
      <c r="H4495" t="s">
        <v>21</v>
      </c>
      <c r="I4495" t="s">
        <v>20</v>
      </c>
      <c r="J4495" t="s">
        <v>20</v>
      </c>
      <c r="K4495" t="s">
        <v>41</v>
      </c>
      <c r="L4495" t="s">
        <v>81</v>
      </c>
      <c r="M4495" t="s">
        <v>46</v>
      </c>
      <c r="N4495">
        <v>41.250210000000003</v>
      </c>
      <c r="O4495">
        <v>-111.969842</v>
      </c>
      <c r="P4495">
        <v>4242.6879090000002</v>
      </c>
      <c r="Q4495">
        <v>1384</v>
      </c>
      <c r="R4495">
        <v>0</v>
      </c>
    </row>
    <row r="4496" spans="1:18" x14ac:dyDescent="0.25">
      <c r="A4496">
        <v>4495</v>
      </c>
      <c r="B4496">
        <v>94</v>
      </c>
      <c r="C4496" t="e">
        <f>-IpUWVBSHgHsjzJRMU4tzF</f>
        <v>#NAME?</v>
      </c>
      <c r="D4496" t="s">
        <v>272</v>
      </c>
      <c r="E4496">
        <v>415.94200000000001</v>
      </c>
      <c r="F4496" t="s">
        <v>19</v>
      </c>
      <c r="G4496" t="s">
        <v>20</v>
      </c>
      <c r="H4496" t="s">
        <v>21</v>
      </c>
      <c r="I4496" t="s">
        <v>20</v>
      </c>
      <c r="J4496" t="s">
        <v>20</v>
      </c>
      <c r="K4496" t="s">
        <v>41</v>
      </c>
      <c r="L4496" t="s">
        <v>81</v>
      </c>
      <c r="M4496" t="s">
        <v>46</v>
      </c>
      <c r="N4496">
        <v>41.251708000000001</v>
      </c>
      <c r="O4496">
        <v>-111.969812</v>
      </c>
      <c r="P4496">
        <v>4241.3222070000002</v>
      </c>
      <c r="Q4496">
        <v>1384</v>
      </c>
      <c r="R4496">
        <v>0</v>
      </c>
    </row>
    <row r="4497" spans="1:18" x14ac:dyDescent="0.25">
      <c r="A4497">
        <v>4496</v>
      </c>
      <c r="B4497">
        <v>94</v>
      </c>
      <c r="C4497" t="e">
        <f>-IpUe25yGdT_kcCb7QD7UF</f>
        <v>#NAME?</v>
      </c>
      <c r="D4497" t="s">
        <v>272</v>
      </c>
      <c r="E4497">
        <v>416.04500000000002</v>
      </c>
      <c r="F4497" t="s">
        <v>21</v>
      </c>
      <c r="G4497" t="s">
        <v>26</v>
      </c>
      <c r="H4497" t="s">
        <v>21</v>
      </c>
      <c r="I4497" t="s">
        <v>20</v>
      </c>
      <c r="J4497" t="s">
        <v>20</v>
      </c>
      <c r="K4497" t="s">
        <v>41</v>
      </c>
      <c r="L4497" t="s">
        <v>81</v>
      </c>
      <c r="M4497" t="s">
        <v>46</v>
      </c>
      <c r="N4497">
        <v>41.253185999999999</v>
      </c>
      <c r="O4497">
        <v>-111.96978</v>
      </c>
      <c r="P4497">
        <v>4240.9350649999997</v>
      </c>
      <c r="Q4497">
        <v>1384</v>
      </c>
      <c r="R4497">
        <v>0</v>
      </c>
    </row>
    <row r="4498" spans="1:18" x14ac:dyDescent="0.25">
      <c r="A4498">
        <v>4497</v>
      </c>
      <c r="B4498">
        <v>94</v>
      </c>
      <c r="C4498" t="e">
        <f>-IpUeIdQGL1Q-zB9D_Ul9V</f>
        <v>#NAME?</v>
      </c>
      <c r="D4498" t="s">
        <v>272</v>
      </c>
      <c r="E4498">
        <v>416.15</v>
      </c>
      <c r="F4498" t="s">
        <v>21</v>
      </c>
      <c r="G4498" t="s">
        <v>26</v>
      </c>
      <c r="H4498" t="s">
        <v>21</v>
      </c>
      <c r="I4498" t="s">
        <v>20</v>
      </c>
      <c r="J4498" t="s">
        <v>20</v>
      </c>
      <c r="K4498" t="s">
        <v>41</v>
      </c>
      <c r="L4498" t="s">
        <v>81</v>
      </c>
      <c r="M4498" t="s">
        <v>46</v>
      </c>
      <c r="N4498">
        <v>41.254682000000003</v>
      </c>
      <c r="O4498">
        <v>-111.969748</v>
      </c>
      <c r="P4498">
        <v>4240.5265040000004</v>
      </c>
      <c r="Q4498">
        <v>1384</v>
      </c>
      <c r="R4498">
        <v>0</v>
      </c>
    </row>
    <row r="4499" spans="1:18" x14ac:dyDescent="0.25">
      <c r="A4499">
        <v>4498</v>
      </c>
      <c r="B4499">
        <v>94</v>
      </c>
      <c r="C4499" t="e">
        <f>-IpUePWlHYuYDLPTd1XA4k</f>
        <v>#NAME?</v>
      </c>
      <c r="D4499" t="s">
        <v>272</v>
      </c>
      <c r="E4499">
        <v>416.20699999999999</v>
      </c>
      <c r="F4499" t="s">
        <v>21</v>
      </c>
      <c r="G4499" t="s">
        <v>26</v>
      </c>
      <c r="H4499" t="s">
        <v>21</v>
      </c>
      <c r="I4499" t="s">
        <v>20</v>
      </c>
      <c r="J4499" t="s">
        <v>20</v>
      </c>
      <c r="K4499" t="s">
        <v>41</v>
      </c>
      <c r="L4499" t="s">
        <v>81</v>
      </c>
      <c r="M4499" t="s">
        <v>46</v>
      </c>
      <c r="N4499">
        <v>41.255515000000003</v>
      </c>
      <c r="O4499">
        <v>-111.96970899999999</v>
      </c>
      <c r="P4499">
        <v>4238.846622</v>
      </c>
      <c r="Q4499">
        <v>1384</v>
      </c>
      <c r="R4499">
        <v>0</v>
      </c>
    </row>
    <row r="4500" spans="1:18" x14ac:dyDescent="0.25">
      <c r="A4500">
        <v>4499</v>
      </c>
      <c r="B4500">
        <v>94</v>
      </c>
      <c r="C4500" t="e">
        <f>-IpYxU_LG5uvrRrsDprr3k</f>
        <v>#NAME?</v>
      </c>
      <c r="D4500" t="s">
        <v>272</v>
      </c>
      <c r="E4500">
        <v>461.18</v>
      </c>
      <c r="F4500" t="s">
        <v>21</v>
      </c>
      <c r="G4500" t="s">
        <v>20</v>
      </c>
      <c r="H4500" t="s">
        <v>21</v>
      </c>
      <c r="I4500" t="s">
        <v>20</v>
      </c>
      <c r="J4500" t="s">
        <v>20</v>
      </c>
      <c r="K4500" t="s">
        <v>41</v>
      </c>
      <c r="L4500" t="s">
        <v>95</v>
      </c>
      <c r="M4500" t="s">
        <v>152</v>
      </c>
      <c r="N4500">
        <v>41.743875000000003</v>
      </c>
      <c r="O4500">
        <v>-111.79395700000001</v>
      </c>
      <c r="P4500">
        <v>4746.1824539999998</v>
      </c>
      <c r="Q4500">
        <v>1384</v>
      </c>
      <c r="R4500">
        <v>0</v>
      </c>
    </row>
    <row r="4501" spans="1:18" x14ac:dyDescent="0.25">
      <c r="A4501">
        <v>4500</v>
      </c>
      <c r="B4501">
        <v>94</v>
      </c>
      <c r="C4501" t="e">
        <f>-IpYxf1WG8uwNdBfSZy2AV</f>
        <v>#NAME?</v>
      </c>
      <c r="D4501" t="s">
        <v>272</v>
      </c>
      <c r="E4501">
        <v>461.50200000000001</v>
      </c>
      <c r="F4501" t="s">
        <v>21</v>
      </c>
      <c r="G4501" t="s">
        <v>26</v>
      </c>
      <c r="H4501" t="s">
        <v>21</v>
      </c>
      <c r="I4501" t="s">
        <v>20</v>
      </c>
      <c r="J4501" t="s">
        <v>20</v>
      </c>
      <c r="K4501" t="s">
        <v>41</v>
      </c>
      <c r="L4501" t="s">
        <v>95</v>
      </c>
      <c r="M4501" t="s">
        <v>152</v>
      </c>
      <c r="N4501">
        <v>41.743102</v>
      </c>
      <c r="O4501">
        <v>-111.78783900000001</v>
      </c>
      <c r="P4501">
        <v>4646.9845519999999</v>
      </c>
      <c r="Q4501">
        <v>1384</v>
      </c>
      <c r="R4501">
        <v>0</v>
      </c>
    </row>
    <row r="4502" spans="1:18" x14ac:dyDescent="0.25">
      <c r="A4502">
        <v>4501</v>
      </c>
      <c r="B4502">
        <v>94</v>
      </c>
      <c r="C4502" t="e">
        <f>-JSZHQWTFQTLKfoVGsy_UF</f>
        <v>#NAME?</v>
      </c>
      <c r="D4502" t="s">
        <v>272</v>
      </c>
      <c r="E4502">
        <v>461.54599999999999</v>
      </c>
      <c r="F4502" t="s">
        <v>21</v>
      </c>
      <c r="G4502" t="s">
        <v>20</v>
      </c>
      <c r="H4502" t="s">
        <v>21</v>
      </c>
      <c r="I4502" t="s">
        <v>20</v>
      </c>
      <c r="J4502" t="s">
        <v>20</v>
      </c>
      <c r="K4502" t="s">
        <v>41</v>
      </c>
      <c r="L4502" t="s">
        <v>95</v>
      </c>
      <c r="M4502" t="s">
        <v>152</v>
      </c>
      <c r="N4502">
        <v>41.742995999999998</v>
      </c>
      <c r="O4502">
        <v>-111.78701599999999</v>
      </c>
      <c r="P4502">
        <v>4640.7678400000004</v>
      </c>
      <c r="Q4502">
        <v>1384</v>
      </c>
      <c r="R4502">
        <v>0</v>
      </c>
    </row>
    <row r="4503" spans="1:18" x14ac:dyDescent="0.25">
      <c r="A4503">
        <v>4502</v>
      </c>
      <c r="B4503">
        <v>94</v>
      </c>
      <c r="C4503" t="s">
        <v>673</v>
      </c>
      <c r="D4503" t="s">
        <v>272</v>
      </c>
      <c r="E4503">
        <v>462.21800000000002</v>
      </c>
      <c r="F4503" t="s">
        <v>21</v>
      </c>
      <c r="G4503" t="s">
        <v>20</v>
      </c>
      <c r="H4503" t="s">
        <v>21</v>
      </c>
      <c r="I4503" t="s">
        <v>20</v>
      </c>
      <c r="J4503" t="s">
        <v>20</v>
      </c>
      <c r="K4503" t="s">
        <v>41</v>
      </c>
      <c r="L4503" t="s">
        <v>95</v>
      </c>
      <c r="M4503" t="s">
        <v>152</v>
      </c>
      <c r="N4503">
        <v>41.741658000000001</v>
      </c>
      <c r="O4503">
        <v>-111.77476299999999</v>
      </c>
      <c r="P4503">
        <v>4691.4381469999998</v>
      </c>
      <c r="Q4503">
        <v>1384</v>
      </c>
      <c r="R4503">
        <v>0</v>
      </c>
    </row>
    <row r="4504" spans="1:18" x14ac:dyDescent="0.25">
      <c r="A4504">
        <v>4503</v>
      </c>
      <c r="B4504">
        <v>94</v>
      </c>
      <c r="C4504" t="e">
        <f>-IpYz6kqI9uGVXHOfcJXZF</f>
        <v>#NAME?</v>
      </c>
      <c r="D4504" t="s">
        <v>272</v>
      </c>
      <c r="E4504">
        <v>463.07100000000003</v>
      </c>
      <c r="F4504" t="s">
        <v>21</v>
      </c>
      <c r="G4504" t="s">
        <v>20</v>
      </c>
      <c r="H4504" t="s">
        <v>21</v>
      </c>
      <c r="I4504" t="s">
        <v>20</v>
      </c>
      <c r="J4504" t="s">
        <v>20</v>
      </c>
      <c r="K4504" t="s">
        <v>41</v>
      </c>
      <c r="L4504" t="s">
        <v>95</v>
      </c>
      <c r="M4504" t="s">
        <v>152</v>
      </c>
      <c r="N4504">
        <v>41.743955</v>
      </c>
      <c r="O4504">
        <v>-111.758858</v>
      </c>
      <c r="P4504">
        <v>4832.0404269999999</v>
      </c>
      <c r="Q4504">
        <v>1384</v>
      </c>
      <c r="R4504">
        <v>0</v>
      </c>
    </row>
    <row r="4505" spans="1:18" x14ac:dyDescent="0.25">
      <c r="A4505">
        <v>4504</v>
      </c>
      <c r="B4505">
        <v>94</v>
      </c>
      <c r="C4505" t="e">
        <f>-IpUpFzrH8HNpP2M4elFOV</f>
        <v>#NAME?</v>
      </c>
      <c r="D4505" t="s">
        <v>272</v>
      </c>
      <c r="E4505">
        <v>418.61599999999999</v>
      </c>
      <c r="F4505" t="s">
        <v>21</v>
      </c>
      <c r="G4505" t="s">
        <v>26</v>
      </c>
      <c r="H4505" t="s">
        <v>21</v>
      </c>
      <c r="I4505" t="s">
        <v>20</v>
      </c>
      <c r="J4505" t="s">
        <v>20</v>
      </c>
      <c r="K4505" t="s">
        <v>41</v>
      </c>
      <c r="L4505" t="s">
        <v>81</v>
      </c>
      <c r="M4505" t="s">
        <v>46</v>
      </c>
      <c r="N4505">
        <v>41.286312000000002</v>
      </c>
      <c r="O4505">
        <v>-111.989048</v>
      </c>
      <c r="P4505">
        <v>4253.0601829999996</v>
      </c>
      <c r="Q4505">
        <v>1384</v>
      </c>
      <c r="R4505">
        <v>0</v>
      </c>
    </row>
    <row r="4506" spans="1:18" x14ac:dyDescent="0.25">
      <c r="A4506">
        <v>4505</v>
      </c>
      <c r="B4506">
        <v>94</v>
      </c>
      <c r="C4506" t="e">
        <f>-IpUpWsNFF9qmiw26_Z51V</f>
        <v>#NAME?</v>
      </c>
      <c r="D4506" t="s">
        <v>272</v>
      </c>
      <c r="E4506">
        <v>419.26299999999998</v>
      </c>
      <c r="F4506" t="s">
        <v>21</v>
      </c>
      <c r="G4506" t="s">
        <v>26</v>
      </c>
      <c r="H4506" t="s">
        <v>21</v>
      </c>
      <c r="I4506" t="s">
        <v>20</v>
      </c>
      <c r="J4506" t="s">
        <v>20</v>
      </c>
      <c r="K4506" t="s">
        <v>41</v>
      </c>
      <c r="L4506" t="s">
        <v>81</v>
      </c>
      <c r="M4506" t="s">
        <v>46</v>
      </c>
      <c r="N4506">
        <v>41.294587</v>
      </c>
      <c r="O4506">
        <v>-111.994614</v>
      </c>
      <c r="P4506">
        <v>4257.1776099999997</v>
      </c>
      <c r="Q4506">
        <v>1384</v>
      </c>
      <c r="R4506">
        <v>0</v>
      </c>
    </row>
    <row r="4507" spans="1:18" x14ac:dyDescent="0.25">
      <c r="A4507">
        <v>4506</v>
      </c>
      <c r="B4507">
        <v>94</v>
      </c>
      <c r="C4507" t="e">
        <f>-IpUpovaHE9T8RivJVE6Mk</f>
        <v>#NAME?</v>
      </c>
      <c r="D4507" t="s">
        <v>272</v>
      </c>
      <c r="E4507">
        <v>419.43</v>
      </c>
      <c r="F4507" t="s">
        <v>19</v>
      </c>
      <c r="G4507" t="s">
        <v>20</v>
      </c>
      <c r="H4507" t="s">
        <v>21</v>
      </c>
      <c r="I4507" t="s">
        <v>20</v>
      </c>
      <c r="J4507" t="s">
        <v>20</v>
      </c>
      <c r="K4507" t="s">
        <v>41</v>
      </c>
      <c r="L4507" t="s">
        <v>81</v>
      </c>
      <c r="M4507" t="s">
        <v>46</v>
      </c>
      <c r="N4507">
        <v>41.296605999999997</v>
      </c>
      <c r="O4507">
        <v>-111.99635000000001</v>
      </c>
      <c r="P4507">
        <v>4253.7864920000002</v>
      </c>
      <c r="Q4507">
        <v>1384</v>
      </c>
      <c r="R4507">
        <v>0</v>
      </c>
    </row>
    <row r="4508" spans="1:18" x14ac:dyDescent="0.25">
      <c r="A4508">
        <v>4507</v>
      </c>
      <c r="B4508">
        <v>94</v>
      </c>
      <c r="C4508" t="s">
        <v>674</v>
      </c>
      <c r="D4508" t="s">
        <v>272</v>
      </c>
      <c r="E4508">
        <v>419.5</v>
      </c>
      <c r="F4508" t="s">
        <v>21</v>
      </c>
      <c r="G4508" t="s">
        <v>26</v>
      </c>
      <c r="H4508" t="s">
        <v>21</v>
      </c>
      <c r="I4508" t="s">
        <v>20</v>
      </c>
      <c r="J4508" t="s">
        <v>20</v>
      </c>
      <c r="K4508" t="s">
        <v>41</v>
      </c>
      <c r="L4508" t="s">
        <v>81</v>
      </c>
      <c r="M4508" t="s">
        <v>46</v>
      </c>
      <c r="N4508">
        <v>41.297426999999999</v>
      </c>
      <c r="O4508">
        <v>-111.997089</v>
      </c>
      <c r="P4508">
        <v>4254.1300199999996</v>
      </c>
      <c r="Q4508">
        <v>1384</v>
      </c>
      <c r="R4508">
        <v>0</v>
      </c>
    </row>
    <row r="4509" spans="1:18" x14ac:dyDescent="0.25">
      <c r="A4509">
        <v>4508</v>
      </c>
      <c r="B4509">
        <v>94</v>
      </c>
      <c r="C4509">
        <v>2362471</v>
      </c>
      <c r="D4509" t="s">
        <v>113</v>
      </c>
      <c r="E4509">
        <v>5.1840000000000002</v>
      </c>
      <c r="F4509" t="s">
        <v>21</v>
      </c>
      <c r="G4509" t="s">
        <v>26</v>
      </c>
      <c r="H4509" t="s">
        <v>21</v>
      </c>
      <c r="I4509" t="s">
        <v>20</v>
      </c>
      <c r="J4509" t="s">
        <v>20</v>
      </c>
      <c r="K4509" t="s">
        <v>41</v>
      </c>
      <c r="L4509" t="s">
        <v>87</v>
      </c>
      <c r="M4509" t="s">
        <v>58</v>
      </c>
      <c r="N4509">
        <v>41.134247000000002</v>
      </c>
      <c r="O4509">
        <v>-111.94454899999999</v>
      </c>
      <c r="P4509">
        <v>4452.5343830000002</v>
      </c>
      <c r="Q4509">
        <v>1363</v>
      </c>
      <c r="R4509">
        <v>0</v>
      </c>
    </row>
    <row r="4510" spans="1:18" x14ac:dyDescent="0.25">
      <c r="A4510">
        <v>4509</v>
      </c>
      <c r="B4510">
        <v>94</v>
      </c>
      <c r="C4510">
        <v>31402507</v>
      </c>
      <c r="D4510" t="s">
        <v>224</v>
      </c>
      <c r="E4510">
        <v>5.1849999999999996</v>
      </c>
      <c r="F4510" t="s">
        <v>21</v>
      </c>
      <c r="G4510" t="s">
        <v>26</v>
      </c>
      <c r="H4510" t="s">
        <v>21</v>
      </c>
      <c r="I4510" t="s">
        <v>20</v>
      </c>
      <c r="J4510" t="s">
        <v>20</v>
      </c>
      <c r="K4510" t="s">
        <v>22</v>
      </c>
      <c r="L4510" t="s">
        <v>198</v>
      </c>
      <c r="M4510" t="s">
        <v>194</v>
      </c>
      <c r="N4510">
        <v>40.042541</v>
      </c>
      <c r="O4510">
        <v>-111.733839</v>
      </c>
      <c r="P4510">
        <v>4602.9483250000003</v>
      </c>
      <c r="Q4510">
        <v>408</v>
      </c>
      <c r="R4510">
        <v>0</v>
      </c>
    </row>
    <row r="4511" spans="1:18" x14ac:dyDescent="0.25">
      <c r="A4511">
        <v>4510</v>
      </c>
      <c r="B4511">
        <v>94</v>
      </c>
      <c r="C4511">
        <v>31351937</v>
      </c>
      <c r="D4511" t="s">
        <v>34</v>
      </c>
      <c r="E4511">
        <v>5.1870000000000003</v>
      </c>
      <c r="F4511" t="s">
        <v>21</v>
      </c>
      <c r="G4511" t="s">
        <v>26</v>
      </c>
      <c r="H4511" t="s">
        <v>21</v>
      </c>
      <c r="I4511" t="s">
        <v>20</v>
      </c>
      <c r="J4511" t="s">
        <v>20</v>
      </c>
      <c r="K4511" t="s">
        <v>22</v>
      </c>
      <c r="L4511" t="s">
        <v>35</v>
      </c>
      <c r="M4511" t="s">
        <v>36</v>
      </c>
      <c r="N4511">
        <v>40.507649000000001</v>
      </c>
      <c r="O4511">
        <v>-111.450373</v>
      </c>
      <c r="P4511">
        <v>5454.0161209999997</v>
      </c>
      <c r="Q4511">
        <v>1400</v>
      </c>
      <c r="R4511">
        <v>0</v>
      </c>
    </row>
    <row r="4512" spans="1:18" x14ac:dyDescent="0.25">
      <c r="A4512">
        <v>4511</v>
      </c>
      <c r="B4512">
        <v>94</v>
      </c>
      <c r="C4512">
        <v>31193059</v>
      </c>
      <c r="D4512" t="s">
        <v>153</v>
      </c>
      <c r="E4512">
        <v>4.8120000000000003</v>
      </c>
      <c r="F4512" t="s">
        <v>21</v>
      </c>
      <c r="G4512" t="s">
        <v>26</v>
      </c>
      <c r="H4512" t="s">
        <v>21</v>
      </c>
      <c r="I4512" t="s">
        <v>20</v>
      </c>
      <c r="J4512" t="s">
        <v>20</v>
      </c>
      <c r="K4512" t="s">
        <v>22</v>
      </c>
      <c r="L4512" t="s">
        <v>84</v>
      </c>
      <c r="M4512" t="s">
        <v>85</v>
      </c>
      <c r="N4512">
        <v>40.425289999999997</v>
      </c>
      <c r="O4512">
        <v>-111.752053</v>
      </c>
      <c r="P4512">
        <v>5092.1008750000001</v>
      </c>
      <c r="R4512">
        <v>0</v>
      </c>
    </row>
    <row r="4513" spans="1:18" x14ac:dyDescent="0.25">
      <c r="A4513">
        <v>4512</v>
      </c>
      <c r="B4513">
        <v>94</v>
      </c>
      <c r="C4513">
        <v>804572</v>
      </c>
      <c r="D4513" t="s">
        <v>68</v>
      </c>
      <c r="E4513">
        <v>4.8120000000000003</v>
      </c>
      <c r="F4513" t="s">
        <v>21</v>
      </c>
      <c r="G4513" t="s">
        <v>26</v>
      </c>
      <c r="H4513" t="s">
        <v>21</v>
      </c>
      <c r="I4513" t="s">
        <v>20</v>
      </c>
      <c r="J4513" t="s">
        <v>20</v>
      </c>
      <c r="K4513" t="s">
        <v>31</v>
      </c>
      <c r="L4513" t="s">
        <v>32</v>
      </c>
      <c r="M4513" t="s">
        <v>70</v>
      </c>
      <c r="N4513">
        <v>40.674309999999998</v>
      </c>
      <c r="O4513">
        <v>-111.86401600000001</v>
      </c>
      <c r="P4513">
        <v>4264.256977</v>
      </c>
      <c r="Q4513">
        <v>431</v>
      </c>
      <c r="R4513">
        <v>0</v>
      </c>
    </row>
    <row r="4514" spans="1:18" x14ac:dyDescent="0.25">
      <c r="A4514">
        <v>4513</v>
      </c>
      <c r="B4514">
        <v>94</v>
      </c>
      <c r="C4514">
        <v>1371442</v>
      </c>
      <c r="D4514" t="s">
        <v>100</v>
      </c>
      <c r="E4514">
        <v>4.8129999999999997</v>
      </c>
      <c r="F4514" t="s">
        <v>21</v>
      </c>
      <c r="G4514" t="s">
        <v>26</v>
      </c>
      <c r="H4514" t="s">
        <v>21</v>
      </c>
      <c r="I4514" t="s">
        <v>20</v>
      </c>
      <c r="J4514" t="s">
        <v>20</v>
      </c>
      <c r="K4514" t="s">
        <v>41</v>
      </c>
      <c r="L4514" t="s">
        <v>57</v>
      </c>
      <c r="M4514" t="s">
        <v>46</v>
      </c>
      <c r="N4514">
        <v>41.100847999999999</v>
      </c>
      <c r="O4514">
        <v>-112.06457899999999</v>
      </c>
      <c r="P4514">
        <v>4251.7777539999997</v>
      </c>
      <c r="Q4514">
        <v>1396</v>
      </c>
      <c r="R4514">
        <v>0</v>
      </c>
    </row>
    <row r="4515" spans="1:18" x14ac:dyDescent="0.25">
      <c r="A4515">
        <v>4514</v>
      </c>
      <c r="B4515">
        <v>94</v>
      </c>
      <c r="C4515">
        <v>31435627</v>
      </c>
      <c r="D4515" t="s">
        <v>216</v>
      </c>
      <c r="E4515">
        <v>4.8159999999999998</v>
      </c>
      <c r="F4515" t="s">
        <v>21</v>
      </c>
      <c r="G4515" t="s">
        <v>26</v>
      </c>
      <c r="H4515" t="s">
        <v>21</v>
      </c>
      <c r="I4515" t="s">
        <v>20</v>
      </c>
      <c r="J4515" t="s">
        <v>20</v>
      </c>
      <c r="K4515" t="s">
        <v>27</v>
      </c>
      <c r="L4515" t="s">
        <v>158</v>
      </c>
      <c r="M4515" t="s">
        <v>159</v>
      </c>
      <c r="N4515">
        <v>39.685636000000002</v>
      </c>
      <c r="O4515">
        <v>-110.803465</v>
      </c>
      <c r="P4515">
        <v>6449.1748189999998</v>
      </c>
      <c r="Q4515">
        <v>1428</v>
      </c>
      <c r="R4515">
        <v>0</v>
      </c>
    </row>
    <row r="4516" spans="1:18" x14ac:dyDescent="0.25">
      <c r="A4516">
        <v>4515</v>
      </c>
      <c r="B4516">
        <v>94</v>
      </c>
      <c r="C4516">
        <v>31193815</v>
      </c>
      <c r="D4516" t="s">
        <v>126</v>
      </c>
      <c r="E4516">
        <v>4.8170000000000002</v>
      </c>
      <c r="F4516" t="s">
        <v>21</v>
      </c>
      <c r="G4516" t="s">
        <v>26</v>
      </c>
      <c r="H4516" t="s">
        <v>21</v>
      </c>
      <c r="I4516" t="s">
        <v>20</v>
      </c>
      <c r="J4516" t="s">
        <v>20</v>
      </c>
      <c r="K4516" t="s">
        <v>41</v>
      </c>
      <c r="L4516" t="s">
        <v>57</v>
      </c>
      <c r="M4516" t="s">
        <v>93</v>
      </c>
      <c r="N4516">
        <v>41.260894</v>
      </c>
      <c r="O4516">
        <v>-112.09240800000001</v>
      </c>
      <c r="P4516">
        <v>4184.473884</v>
      </c>
      <c r="Q4516">
        <v>1412</v>
      </c>
      <c r="R4516">
        <v>0</v>
      </c>
    </row>
    <row r="4517" spans="1:18" x14ac:dyDescent="0.25">
      <c r="A4517">
        <v>4516</v>
      </c>
      <c r="B4517">
        <v>94</v>
      </c>
      <c r="C4517">
        <v>31445373</v>
      </c>
      <c r="D4517" t="s">
        <v>107</v>
      </c>
      <c r="E4517">
        <v>4.8179999999999996</v>
      </c>
      <c r="F4517" t="s">
        <v>21</v>
      </c>
      <c r="G4517" t="s">
        <v>26</v>
      </c>
      <c r="H4517" t="s">
        <v>21</v>
      </c>
      <c r="I4517" t="s">
        <v>20</v>
      </c>
      <c r="J4517" t="s">
        <v>20</v>
      </c>
      <c r="K4517" t="s">
        <v>41</v>
      </c>
      <c r="L4517" t="s">
        <v>81</v>
      </c>
      <c r="M4517" t="s">
        <v>93</v>
      </c>
      <c r="N4517">
        <v>41.262562000000003</v>
      </c>
      <c r="O4517">
        <v>-111.977827</v>
      </c>
      <c r="P4517">
        <v>4228.4097599999996</v>
      </c>
      <c r="Q4517">
        <v>413</v>
      </c>
      <c r="R4517">
        <v>0</v>
      </c>
    </row>
    <row r="4518" spans="1:18" x14ac:dyDescent="0.25">
      <c r="A4518">
        <v>4517</v>
      </c>
      <c r="B4518">
        <v>94</v>
      </c>
      <c r="C4518" t="e">
        <f>-JXXSwOyF3TeEv05cJqHtV</f>
        <v>#NAME?</v>
      </c>
      <c r="D4518" t="s">
        <v>336</v>
      </c>
      <c r="E4518">
        <v>4.8280000000000003</v>
      </c>
      <c r="F4518" t="s">
        <v>21</v>
      </c>
      <c r="G4518" t="s">
        <v>26</v>
      </c>
      <c r="H4518" t="s">
        <v>21</v>
      </c>
      <c r="I4518" t="s">
        <v>20</v>
      </c>
      <c r="J4518" t="s">
        <v>20</v>
      </c>
      <c r="K4518" t="s">
        <v>31</v>
      </c>
      <c r="L4518" t="s">
        <v>32</v>
      </c>
      <c r="M4518" t="s">
        <v>33</v>
      </c>
      <c r="N4518">
        <v>40.625748000000002</v>
      </c>
      <c r="O4518">
        <v>-111.74249399999999</v>
      </c>
      <c r="P4518">
        <v>5767.3867</v>
      </c>
      <c r="Q4518">
        <v>404</v>
      </c>
      <c r="R4518">
        <v>0</v>
      </c>
    </row>
    <row r="4519" spans="1:18" x14ac:dyDescent="0.25">
      <c r="A4519">
        <v>4518</v>
      </c>
      <c r="B4519">
        <v>94</v>
      </c>
      <c r="C4519" t="e">
        <f>-JNX-VEQFiL-yen2vlFZSF</f>
        <v>#NAME?</v>
      </c>
      <c r="D4519" t="s">
        <v>50</v>
      </c>
      <c r="E4519">
        <v>42.531999999999996</v>
      </c>
      <c r="F4519" t="s">
        <v>21</v>
      </c>
      <c r="G4519" t="s">
        <v>20</v>
      </c>
      <c r="H4519" t="s">
        <v>21</v>
      </c>
      <c r="I4519" t="s">
        <v>20</v>
      </c>
      <c r="J4519" t="s">
        <v>20</v>
      </c>
      <c r="K4519" t="s">
        <v>27</v>
      </c>
      <c r="L4519" t="s">
        <v>247</v>
      </c>
      <c r="M4519" t="s">
        <v>52</v>
      </c>
      <c r="N4519">
        <v>37.764139</v>
      </c>
      <c r="O4519">
        <v>-112.529976</v>
      </c>
      <c r="P4519">
        <v>7764.142828</v>
      </c>
      <c r="Q4519">
        <v>1418</v>
      </c>
      <c r="R4519">
        <v>0</v>
      </c>
    </row>
    <row r="4520" spans="1:18" x14ac:dyDescent="0.25">
      <c r="A4520">
        <v>4519</v>
      </c>
      <c r="B4520">
        <v>94</v>
      </c>
      <c r="C4520">
        <v>31400543</v>
      </c>
      <c r="D4520" t="s">
        <v>124</v>
      </c>
      <c r="E4520">
        <v>42.545000000000002</v>
      </c>
      <c r="F4520" t="s">
        <v>21</v>
      </c>
      <c r="G4520" t="s">
        <v>26</v>
      </c>
      <c r="H4520" t="s">
        <v>21</v>
      </c>
      <c r="I4520" t="s">
        <v>20</v>
      </c>
      <c r="J4520" t="s">
        <v>20</v>
      </c>
      <c r="K4520" t="s">
        <v>31</v>
      </c>
      <c r="L4520" t="s">
        <v>48</v>
      </c>
      <c r="M4520" t="s">
        <v>125</v>
      </c>
      <c r="N4520">
        <v>40.525697000000001</v>
      </c>
      <c r="O4520">
        <v>-111.938734</v>
      </c>
      <c r="P4520">
        <v>4380.1165979999996</v>
      </c>
      <c r="Q4520">
        <v>1368</v>
      </c>
      <c r="R4520">
        <v>0</v>
      </c>
    </row>
    <row r="4521" spans="1:18" x14ac:dyDescent="0.25">
      <c r="A4521">
        <v>4520</v>
      </c>
      <c r="B4521">
        <v>94</v>
      </c>
      <c r="C4521">
        <v>31397033</v>
      </c>
      <c r="D4521" t="s">
        <v>184</v>
      </c>
      <c r="E4521">
        <v>42.55</v>
      </c>
      <c r="F4521" t="s">
        <v>21</v>
      </c>
      <c r="G4521" t="s">
        <v>26</v>
      </c>
      <c r="H4521" t="s">
        <v>21</v>
      </c>
      <c r="I4521" t="s">
        <v>20</v>
      </c>
      <c r="J4521" t="s">
        <v>20</v>
      </c>
      <c r="K4521" t="s">
        <v>27</v>
      </c>
      <c r="L4521" t="s">
        <v>143</v>
      </c>
      <c r="M4521" t="s">
        <v>55</v>
      </c>
      <c r="N4521">
        <v>38.212561000000001</v>
      </c>
      <c r="O4521">
        <v>-112.92388200000001</v>
      </c>
      <c r="P4521">
        <v>5224.5612160000001</v>
      </c>
      <c r="Q4521">
        <v>1410</v>
      </c>
      <c r="R4521">
        <v>0</v>
      </c>
    </row>
    <row r="4522" spans="1:18" x14ac:dyDescent="0.25">
      <c r="A4522">
        <v>4521</v>
      </c>
      <c r="B4522">
        <v>94</v>
      </c>
      <c r="C4522">
        <v>28159521</v>
      </c>
      <c r="D4522" t="s">
        <v>233</v>
      </c>
      <c r="E4522">
        <v>4.8529999999999998</v>
      </c>
      <c r="F4522" t="s">
        <v>21</v>
      </c>
      <c r="G4522" t="s">
        <v>26</v>
      </c>
      <c r="H4522" t="s">
        <v>21</v>
      </c>
      <c r="I4522" t="s">
        <v>20</v>
      </c>
      <c r="J4522" t="s">
        <v>20</v>
      </c>
      <c r="K4522" t="s">
        <v>22</v>
      </c>
      <c r="L4522" t="s">
        <v>234</v>
      </c>
      <c r="M4522" t="s">
        <v>235</v>
      </c>
      <c r="N4522">
        <v>40.019001000000003</v>
      </c>
      <c r="O4522">
        <v>-109.172968</v>
      </c>
      <c r="P4522">
        <v>5406.370226</v>
      </c>
      <c r="Q4522">
        <v>1354</v>
      </c>
      <c r="R4522">
        <v>0</v>
      </c>
    </row>
    <row r="4523" spans="1:18" x14ac:dyDescent="0.25">
      <c r="A4523">
        <v>4522</v>
      </c>
      <c r="B4523">
        <v>94</v>
      </c>
      <c r="C4523" t="e">
        <f>-IouzfuXIY9Up0IuYAZWqk</f>
        <v>#NAME?</v>
      </c>
      <c r="D4523" t="s">
        <v>176</v>
      </c>
      <c r="E4523">
        <v>4.8550000000000004</v>
      </c>
      <c r="F4523" t="s">
        <v>21</v>
      </c>
      <c r="G4523" t="s">
        <v>26</v>
      </c>
      <c r="H4523" t="s">
        <v>21</v>
      </c>
      <c r="I4523" t="s">
        <v>20</v>
      </c>
      <c r="J4523" t="s">
        <v>20</v>
      </c>
      <c r="K4523" t="s">
        <v>41</v>
      </c>
      <c r="L4523" t="s">
        <v>177</v>
      </c>
      <c r="M4523" t="s">
        <v>178</v>
      </c>
      <c r="N4523">
        <v>41.532814999999999</v>
      </c>
      <c r="O4523">
        <v>-112.05261400000001</v>
      </c>
      <c r="P4523">
        <v>4175.0318989999996</v>
      </c>
      <c r="Q4523">
        <v>1329</v>
      </c>
      <c r="R4523">
        <v>0</v>
      </c>
    </row>
    <row r="4524" spans="1:18" x14ac:dyDescent="0.25">
      <c r="A4524">
        <v>4523</v>
      </c>
      <c r="B4524">
        <v>94</v>
      </c>
      <c r="C4524" t="e">
        <f>-Ip0HHCZIum8--Wh2TbBHk</f>
        <v>#NAME?</v>
      </c>
      <c r="D4524" t="s">
        <v>99</v>
      </c>
      <c r="E4524">
        <v>4.8600000000000003</v>
      </c>
      <c r="F4524" t="s">
        <v>19</v>
      </c>
      <c r="G4524" t="s">
        <v>20</v>
      </c>
      <c r="H4524" t="s">
        <v>19</v>
      </c>
      <c r="I4524">
        <v>203</v>
      </c>
      <c r="J4524" t="s">
        <v>20</v>
      </c>
      <c r="K4524" t="s">
        <v>41</v>
      </c>
      <c r="L4524" t="s">
        <v>81</v>
      </c>
      <c r="M4524" t="s">
        <v>82</v>
      </c>
      <c r="N4524">
        <v>41.209910999999998</v>
      </c>
      <c r="O4524">
        <v>-111.94850599999999</v>
      </c>
      <c r="P4524">
        <v>4488.6631820000002</v>
      </c>
      <c r="Q4524">
        <v>1376</v>
      </c>
      <c r="R4524">
        <v>0</v>
      </c>
    </row>
    <row r="4525" spans="1:18" x14ac:dyDescent="0.25">
      <c r="A4525">
        <v>4524</v>
      </c>
      <c r="B4525">
        <v>94</v>
      </c>
      <c r="C4525" t="e">
        <f>-JWX7bXRI8HTF2wtG3TwCk</f>
        <v>#NAME?</v>
      </c>
      <c r="D4525" t="s">
        <v>114</v>
      </c>
      <c r="E4525">
        <v>4.867</v>
      </c>
      <c r="F4525" t="s">
        <v>21</v>
      </c>
      <c r="G4525" t="s">
        <v>26</v>
      </c>
      <c r="H4525" t="s">
        <v>21</v>
      </c>
      <c r="I4525" t="s">
        <v>20</v>
      </c>
      <c r="J4525" t="s">
        <v>20</v>
      </c>
      <c r="K4525" t="s">
        <v>41</v>
      </c>
      <c r="L4525" t="s">
        <v>87</v>
      </c>
      <c r="M4525" t="s">
        <v>82</v>
      </c>
      <c r="N4525">
        <v>41.103515000000002</v>
      </c>
      <c r="O4525">
        <v>-111.975347</v>
      </c>
      <c r="P4525">
        <v>4691.8662039999999</v>
      </c>
      <c r="Q4525">
        <v>405</v>
      </c>
      <c r="R4525">
        <v>0</v>
      </c>
    </row>
    <row r="4526" spans="1:18" x14ac:dyDescent="0.25">
      <c r="A4526">
        <v>4525</v>
      </c>
      <c r="B4526">
        <v>94</v>
      </c>
      <c r="C4526">
        <v>31605349</v>
      </c>
      <c r="D4526" t="s">
        <v>232</v>
      </c>
      <c r="E4526">
        <v>4.8719999999999999</v>
      </c>
      <c r="F4526" t="s">
        <v>21</v>
      </c>
      <c r="G4526" t="s">
        <v>26</v>
      </c>
      <c r="H4526" t="s">
        <v>21</v>
      </c>
      <c r="I4526" t="s">
        <v>20</v>
      </c>
      <c r="J4526" t="s">
        <v>20</v>
      </c>
      <c r="K4526" t="s">
        <v>31</v>
      </c>
      <c r="L4526" t="s">
        <v>130</v>
      </c>
      <c r="M4526" t="s">
        <v>131</v>
      </c>
      <c r="N4526">
        <v>40.677449000000003</v>
      </c>
      <c r="O4526">
        <v>-111.431871</v>
      </c>
      <c r="P4526">
        <v>6643.2537069999998</v>
      </c>
      <c r="Q4526">
        <v>1279</v>
      </c>
      <c r="R4526">
        <v>0</v>
      </c>
    </row>
    <row r="4527" spans="1:18" x14ac:dyDescent="0.25">
      <c r="A4527">
        <v>4526</v>
      </c>
      <c r="B4527">
        <v>94</v>
      </c>
      <c r="C4527">
        <v>31709282</v>
      </c>
      <c r="D4527" t="s">
        <v>541</v>
      </c>
      <c r="E4527">
        <v>4.8739999999999997</v>
      </c>
      <c r="F4527" t="s">
        <v>21</v>
      </c>
      <c r="G4527" t="s">
        <v>26</v>
      </c>
      <c r="H4527" t="s">
        <v>21</v>
      </c>
      <c r="I4527" t="s">
        <v>20</v>
      </c>
      <c r="J4527" t="s">
        <v>20</v>
      </c>
      <c r="K4527" t="s">
        <v>27</v>
      </c>
      <c r="L4527" t="s">
        <v>158</v>
      </c>
      <c r="M4527" t="s">
        <v>112</v>
      </c>
      <c r="N4527">
        <v>39.483632</v>
      </c>
      <c r="O4527">
        <v>-110.916557</v>
      </c>
      <c r="P4527">
        <v>6230.7777530000003</v>
      </c>
      <c r="Q4527">
        <v>1406</v>
      </c>
      <c r="R4527">
        <v>0</v>
      </c>
    </row>
    <row r="4528" spans="1:18" x14ac:dyDescent="0.25">
      <c r="A4528">
        <v>4527</v>
      </c>
      <c r="B4528">
        <v>94</v>
      </c>
      <c r="C4528">
        <v>1046248</v>
      </c>
      <c r="D4528" t="s">
        <v>127</v>
      </c>
      <c r="E4528">
        <v>4.883</v>
      </c>
      <c r="F4528" t="s">
        <v>21</v>
      </c>
      <c r="G4528" t="s">
        <v>26</v>
      </c>
      <c r="H4528" t="s">
        <v>21</v>
      </c>
      <c r="I4528" t="s">
        <v>20</v>
      </c>
      <c r="J4528" t="s">
        <v>20</v>
      </c>
      <c r="K4528" t="s">
        <v>41</v>
      </c>
      <c r="L4528" t="s">
        <v>95</v>
      </c>
      <c r="M4528" t="s">
        <v>73</v>
      </c>
      <c r="N4528">
        <v>41.975881999999999</v>
      </c>
      <c r="O4528">
        <v>-111.85952399999999</v>
      </c>
      <c r="P4528">
        <v>4457.660398</v>
      </c>
      <c r="Q4528">
        <v>1364</v>
      </c>
      <c r="R4528">
        <v>0</v>
      </c>
    </row>
    <row r="4529" spans="1:18" x14ac:dyDescent="0.25">
      <c r="A4529">
        <v>4528</v>
      </c>
      <c r="B4529">
        <v>94</v>
      </c>
      <c r="C4529">
        <v>31195008</v>
      </c>
      <c r="D4529" t="s">
        <v>354</v>
      </c>
      <c r="E4529">
        <v>4.883</v>
      </c>
      <c r="F4529" t="s">
        <v>21</v>
      </c>
      <c r="G4529" t="s">
        <v>20</v>
      </c>
      <c r="H4529" t="s">
        <v>21</v>
      </c>
      <c r="I4529" t="s">
        <v>20</v>
      </c>
      <c r="J4529" t="s">
        <v>20</v>
      </c>
      <c r="K4529" t="s">
        <v>27</v>
      </c>
      <c r="L4529" t="s">
        <v>64</v>
      </c>
      <c r="M4529" t="s">
        <v>58</v>
      </c>
      <c r="N4529">
        <v>38.151246999999998</v>
      </c>
      <c r="O4529">
        <v>-112.001052</v>
      </c>
      <c r="P4529">
        <v>6323.1284029999997</v>
      </c>
      <c r="Q4529">
        <v>1338</v>
      </c>
      <c r="R4529">
        <v>0</v>
      </c>
    </row>
    <row r="4530" spans="1:18" x14ac:dyDescent="0.25">
      <c r="A4530">
        <v>4529</v>
      </c>
      <c r="B4530">
        <v>94</v>
      </c>
      <c r="C4530">
        <v>31520677</v>
      </c>
      <c r="D4530" t="s">
        <v>231</v>
      </c>
      <c r="E4530">
        <v>4.8840000000000003</v>
      </c>
      <c r="F4530" t="s">
        <v>21</v>
      </c>
      <c r="G4530" t="s">
        <v>26</v>
      </c>
      <c r="H4530" t="s">
        <v>21</v>
      </c>
      <c r="I4530" t="s">
        <v>20</v>
      </c>
      <c r="J4530" t="s">
        <v>20</v>
      </c>
      <c r="K4530" t="s">
        <v>41</v>
      </c>
      <c r="L4530" t="s">
        <v>57</v>
      </c>
      <c r="M4530" t="s">
        <v>93</v>
      </c>
      <c r="N4530">
        <v>41.107149999999997</v>
      </c>
      <c r="O4530">
        <v>-112.01939299999999</v>
      </c>
      <c r="P4530">
        <v>4429.3626329999997</v>
      </c>
      <c r="Q4530">
        <v>1409</v>
      </c>
      <c r="R4530">
        <v>0</v>
      </c>
    </row>
    <row r="4531" spans="1:18" x14ac:dyDescent="0.25">
      <c r="A4531">
        <v>4530</v>
      </c>
      <c r="B4531">
        <v>94</v>
      </c>
      <c r="C4531" t="e">
        <f>-IpUsYiLFvmv9wtNcneVdV</f>
        <v>#NAME?</v>
      </c>
      <c r="D4531" t="s">
        <v>272</v>
      </c>
      <c r="E4531">
        <v>420.07799999999997</v>
      </c>
      <c r="F4531" t="s">
        <v>21</v>
      </c>
      <c r="G4531" t="s">
        <v>26</v>
      </c>
      <c r="H4531" t="s">
        <v>19</v>
      </c>
      <c r="I4531">
        <v>235</v>
      </c>
      <c r="J4531" t="s">
        <v>20</v>
      </c>
      <c r="K4531" t="s">
        <v>41</v>
      </c>
      <c r="L4531" t="s">
        <v>81</v>
      </c>
      <c r="M4531" t="s">
        <v>46</v>
      </c>
      <c r="N4531">
        <v>41.304285999999998</v>
      </c>
      <c r="O4531">
        <v>-112.003294</v>
      </c>
      <c r="P4531">
        <v>4247.4906380000002</v>
      </c>
      <c r="Q4531">
        <v>1384</v>
      </c>
      <c r="R4531">
        <v>0</v>
      </c>
    </row>
    <row r="4532" spans="1:18" x14ac:dyDescent="0.25">
      <c r="A4532">
        <v>4531</v>
      </c>
      <c r="B4532">
        <v>94</v>
      </c>
      <c r="C4532" t="e">
        <f>-IpUtHjBFSaYffNgSbhiik</f>
        <v>#NAME?</v>
      </c>
      <c r="D4532" t="s">
        <v>272</v>
      </c>
      <c r="E4532">
        <v>420.29399999999998</v>
      </c>
      <c r="F4532" t="s">
        <v>19</v>
      </c>
      <c r="G4532" t="s">
        <v>20</v>
      </c>
      <c r="H4532" t="s">
        <v>19</v>
      </c>
      <c r="I4532">
        <v>134</v>
      </c>
      <c r="J4532">
        <v>235</v>
      </c>
      <c r="K4532" t="s">
        <v>41</v>
      </c>
      <c r="L4532" t="s">
        <v>81</v>
      </c>
      <c r="M4532" t="s">
        <v>46</v>
      </c>
      <c r="N4532">
        <v>41.306849999999997</v>
      </c>
      <c r="O4532">
        <v>-112.00558700000001</v>
      </c>
      <c r="P4532">
        <v>4244.9292009999999</v>
      </c>
      <c r="Q4532">
        <v>1384</v>
      </c>
      <c r="R4532">
        <v>0</v>
      </c>
    </row>
    <row r="4533" spans="1:18" x14ac:dyDescent="0.25">
      <c r="A4533">
        <v>4532</v>
      </c>
      <c r="B4533">
        <v>94</v>
      </c>
      <c r="C4533" t="e">
        <f>-IpUvNEvIbiYLwwaFL5guk</f>
        <v>#NAME?</v>
      </c>
      <c r="D4533" t="s">
        <v>272</v>
      </c>
      <c r="E4533">
        <v>420.43900000000002</v>
      </c>
      <c r="F4533" t="s">
        <v>21</v>
      </c>
      <c r="G4533" t="s">
        <v>26</v>
      </c>
      <c r="H4533" t="s">
        <v>21</v>
      </c>
      <c r="I4533" t="s">
        <v>20</v>
      </c>
      <c r="J4533" t="s">
        <v>20</v>
      </c>
      <c r="K4533" t="s">
        <v>41</v>
      </c>
      <c r="L4533" t="s">
        <v>81</v>
      </c>
      <c r="M4533" t="s">
        <v>46</v>
      </c>
      <c r="N4533">
        <v>41.308588999999998</v>
      </c>
      <c r="O4533">
        <v>-112.007125</v>
      </c>
      <c r="P4533">
        <v>4246.4363960000001</v>
      </c>
      <c r="Q4533">
        <v>1384</v>
      </c>
      <c r="R4533">
        <v>0</v>
      </c>
    </row>
    <row r="4534" spans="1:18" x14ac:dyDescent="0.25">
      <c r="A4534">
        <v>4533</v>
      </c>
      <c r="B4534">
        <v>94</v>
      </c>
      <c r="C4534" t="e">
        <f>-IpUvjqgGTDmp7PYv6nafk</f>
        <v>#NAME?</v>
      </c>
      <c r="D4534" t="s">
        <v>272</v>
      </c>
      <c r="E4534">
        <v>420.678</v>
      </c>
      <c r="F4534" t="s">
        <v>21</v>
      </c>
      <c r="G4534" t="s">
        <v>20</v>
      </c>
      <c r="H4534" t="s">
        <v>21</v>
      </c>
      <c r="I4534" t="s">
        <v>20</v>
      </c>
      <c r="J4534" t="s">
        <v>20</v>
      </c>
      <c r="K4534" t="s">
        <v>41</v>
      </c>
      <c r="L4534" t="s">
        <v>81</v>
      </c>
      <c r="M4534" t="s">
        <v>46</v>
      </c>
      <c r="N4534">
        <v>41.311562000000002</v>
      </c>
      <c r="O4534">
        <v>-112.00945299999999</v>
      </c>
      <c r="P4534">
        <v>4243.1050240000004</v>
      </c>
      <c r="Q4534">
        <v>1384</v>
      </c>
      <c r="R4534">
        <v>0</v>
      </c>
    </row>
    <row r="4535" spans="1:18" x14ac:dyDescent="0.25">
      <c r="A4535">
        <v>4534</v>
      </c>
      <c r="B4535">
        <v>94</v>
      </c>
      <c r="C4535" t="e">
        <f>-JSimlzUGVq3LpcXOS0AYV</f>
        <v>#NAME?</v>
      </c>
      <c r="D4535" t="s">
        <v>272</v>
      </c>
      <c r="E4535">
        <v>420.7</v>
      </c>
      <c r="F4535" t="s">
        <v>21</v>
      </c>
      <c r="G4535" t="s">
        <v>26</v>
      </c>
      <c r="H4535" t="s">
        <v>21</v>
      </c>
      <c r="I4535" t="s">
        <v>20</v>
      </c>
      <c r="J4535" t="s">
        <v>20</v>
      </c>
      <c r="K4535" t="s">
        <v>41</v>
      </c>
      <c r="L4535" t="s">
        <v>81</v>
      </c>
      <c r="M4535" t="s">
        <v>46</v>
      </c>
      <c r="N4535">
        <v>41.311833999999998</v>
      </c>
      <c r="O4535">
        <v>-112.009674</v>
      </c>
      <c r="P4535">
        <v>4243.2692500000003</v>
      </c>
      <c r="Q4535">
        <v>1384</v>
      </c>
      <c r="R4535">
        <v>0</v>
      </c>
    </row>
    <row r="4536" spans="1:18" x14ac:dyDescent="0.25">
      <c r="A4536">
        <v>4535</v>
      </c>
      <c r="B4536">
        <v>94</v>
      </c>
      <c r="C4536">
        <v>31392997</v>
      </c>
      <c r="D4536" t="s">
        <v>114</v>
      </c>
      <c r="E4536">
        <v>4.1479999999999997</v>
      </c>
      <c r="F4536" t="s">
        <v>19</v>
      </c>
      <c r="G4536" t="s">
        <v>20</v>
      </c>
      <c r="H4536" t="s">
        <v>21</v>
      </c>
      <c r="I4536" t="s">
        <v>20</v>
      </c>
      <c r="J4536" t="s">
        <v>20</v>
      </c>
      <c r="K4536" t="s">
        <v>41</v>
      </c>
      <c r="L4536" t="s">
        <v>87</v>
      </c>
      <c r="M4536" t="s">
        <v>82</v>
      </c>
      <c r="N4536">
        <v>41.103546999999999</v>
      </c>
      <c r="O4536">
        <v>-111.98919600000001</v>
      </c>
      <c r="P4536">
        <v>4595.359383</v>
      </c>
      <c r="Q4536">
        <v>405</v>
      </c>
      <c r="R4536">
        <v>0</v>
      </c>
    </row>
    <row r="4537" spans="1:18" x14ac:dyDescent="0.25">
      <c r="A4537">
        <v>4536</v>
      </c>
      <c r="B4537">
        <v>94</v>
      </c>
      <c r="C4537">
        <v>28472250</v>
      </c>
      <c r="D4537" t="s">
        <v>99</v>
      </c>
      <c r="E4537">
        <v>4.1529999999999996</v>
      </c>
      <c r="F4537" t="s">
        <v>21</v>
      </c>
      <c r="G4537" t="s">
        <v>20</v>
      </c>
      <c r="H4537" t="s">
        <v>21</v>
      </c>
      <c r="I4537" t="s">
        <v>20</v>
      </c>
      <c r="J4537" t="s">
        <v>20</v>
      </c>
      <c r="K4537" t="s">
        <v>41</v>
      </c>
      <c r="L4537" t="s">
        <v>81</v>
      </c>
      <c r="M4537" t="s">
        <v>82</v>
      </c>
      <c r="N4537">
        <v>41.210093999999998</v>
      </c>
      <c r="O4537">
        <v>-111.962374</v>
      </c>
      <c r="P4537">
        <v>4308.6435030000002</v>
      </c>
      <c r="Q4537">
        <v>1376</v>
      </c>
      <c r="R4537">
        <v>0</v>
      </c>
    </row>
    <row r="4538" spans="1:18" x14ac:dyDescent="0.25">
      <c r="A4538">
        <v>4537</v>
      </c>
      <c r="B4538">
        <v>94</v>
      </c>
      <c r="C4538" t="e">
        <f>-Ip0b83MHqTmFAYcIlMCfV</f>
        <v>#NAME?</v>
      </c>
      <c r="D4538" t="s">
        <v>272</v>
      </c>
      <c r="E4538">
        <v>376.15100000000001</v>
      </c>
      <c r="F4538" t="s">
        <v>21</v>
      </c>
      <c r="G4538" t="s">
        <v>26</v>
      </c>
      <c r="H4538" t="s">
        <v>21</v>
      </c>
      <c r="I4538" t="s">
        <v>20</v>
      </c>
      <c r="J4538" t="s">
        <v>20</v>
      </c>
      <c r="K4538" t="s">
        <v>31</v>
      </c>
      <c r="L4538" t="s">
        <v>66</v>
      </c>
      <c r="M4538" t="s">
        <v>49</v>
      </c>
      <c r="N4538">
        <v>40.724437999999999</v>
      </c>
      <c r="O4538">
        <v>-111.88816199999999</v>
      </c>
      <c r="P4538">
        <v>4196.5115939999996</v>
      </c>
      <c r="Q4538">
        <v>1384</v>
      </c>
      <c r="R4538">
        <v>0</v>
      </c>
    </row>
    <row r="4539" spans="1:18" x14ac:dyDescent="0.25">
      <c r="A4539">
        <v>4538</v>
      </c>
      <c r="B4539">
        <v>94</v>
      </c>
      <c r="C4539" t="e">
        <f>-Ip0bPWOGZTMve5eUSjN5k</f>
        <v>#NAME?</v>
      </c>
      <c r="D4539" t="s">
        <v>272</v>
      </c>
      <c r="E4539">
        <v>376.22</v>
      </c>
      <c r="F4539" t="s">
        <v>19</v>
      </c>
      <c r="G4539" t="s">
        <v>20</v>
      </c>
      <c r="H4539" t="s">
        <v>19</v>
      </c>
      <c r="I4539">
        <v>201</v>
      </c>
      <c r="J4539" t="s">
        <v>20</v>
      </c>
      <c r="K4539" t="s">
        <v>31</v>
      </c>
      <c r="L4539" t="s">
        <v>66</v>
      </c>
      <c r="M4539" t="s">
        <v>49</v>
      </c>
      <c r="N4539">
        <v>40.725461000000003</v>
      </c>
      <c r="O4539">
        <v>-111.888239</v>
      </c>
      <c r="P4539">
        <v>4195.3784379999997</v>
      </c>
      <c r="Q4539">
        <v>1384</v>
      </c>
      <c r="R4539">
        <v>0</v>
      </c>
    </row>
    <row r="4540" spans="1:18" x14ac:dyDescent="0.25">
      <c r="A4540">
        <v>4539</v>
      </c>
      <c r="B4540">
        <v>94</v>
      </c>
      <c r="C4540">
        <v>31761003</v>
      </c>
      <c r="D4540" t="s">
        <v>77</v>
      </c>
      <c r="E4540">
        <v>5.2569999999999997</v>
      </c>
      <c r="F4540" t="s">
        <v>21</v>
      </c>
      <c r="G4540" t="s">
        <v>26</v>
      </c>
      <c r="H4540" t="s">
        <v>21</v>
      </c>
      <c r="I4540" t="s">
        <v>20</v>
      </c>
      <c r="J4540" t="s">
        <v>20</v>
      </c>
      <c r="K4540" t="s">
        <v>31</v>
      </c>
      <c r="L4540" t="s">
        <v>78</v>
      </c>
      <c r="M4540" t="s">
        <v>79</v>
      </c>
      <c r="N4540">
        <v>40.714838</v>
      </c>
      <c r="O4540">
        <v>-112.02482500000001</v>
      </c>
      <c r="P4540">
        <v>4192.0736580000003</v>
      </c>
      <c r="Q4540">
        <v>1436</v>
      </c>
      <c r="R4540">
        <v>0</v>
      </c>
    </row>
    <row r="4541" spans="1:18" x14ac:dyDescent="0.25">
      <c r="A4541">
        <v>4540</v>
      </c>
      <c r="B4541">
        <v>94</v>
      </c>
      <c r="C4541">
        <v>31404320</v>
      </c>
      <c r="D4541" t="s">
        <v>224</v>
      </c>
      <c r="E4541">
        <v>5.2590000000000003</v>
      </c>
      <c r="F4541" t="s">
        <v>19</v>
      </c>
      <c r="G4541" t="s">
        <v>20</v>
      </c>
      <c r="H4541" t="s">
        <v>21</v>
      </c>
      <c r="I4541" t="s">
        <v>20</v>
      </c>
      <c r="J4541" t="s">
        <v>20</v>
      </c>
      <c r="K4541" t="s">
        <v>22</v>
      </c>
      <c r="L4541" t="s">
        <v>198</v>
      </c>
      <c r="M4541" t="s">
        <v>194</v>
      </c>
      <c r="N4541">
        <v>40.043616999999998</v>
      </c>
      <c r="O4541">
        <v>-111.733852</v>
      </c>
      <c r="P4541">
        <v>4596.8499650000003</v>
      </c>
      <c r="Q4541">
        <v>408</v>
      </c>
      <c r="R4541">
        <v>0</v>
      </c>
    </row>
    <row r="4542" spans="1:18" x14ac:dyDescent="0.25">
      <c r="A4542">
        <v>4541</v>
      </c>
      <c r="B4542">
        <v>94</v>
      </c>
      <c r="C4542">
        <v>526174</v>
      </c>
      <c r="D4542" t="s">
        <v>262</v>
      </c>
      <c r="E4542">
        <v>5.2610000000000001</v>
      </c>
      <c r="F4542" t="s">
        <v>19</v>
      </c>
      <c r="G4542" t="s">
        <v>20</v>
      </c>
      <c r="H4542" t="s">
        <v>21</v>
      </c>
      <c r="I4542" t="s">
        <v>20</v>
      </c>
      <c r="J4542" t="s">
        <v>20</v>
      </c>
      <c r="K4542" t="s">
        <v>22</v>
      </c>
      <c r="L4542" t="s">
        <v>263</v>
      </c>
      <c r="M4542" t="s">
        <v>24</v>
      </c>
      <c r="N4542">
        <v>40.376758000000002</v>
      </c>
      <c r="O4542">
        <v>-111.820447</v>
      </c>
      <c r="P4542">
        <v>4501.0768790000002</v>
      </c>
      <c r="Q4542">
        <v>1419</v>
      </c>
      <c r="R4542">
        <v>0</v>
      </c>
    </row>
    <row r="4543" spans="1:18" x14ac:dyDescent="0.25">
      <c r="A4543">
        <v>4542</v>
      </c>
      <c r="B4543">
        <v>94</v>
      </c>
      <c r="C4543">
        <v>31459716</v>
      </c>
      <c r="D4543" t="s">
        <v>331</v>
      </c>
      <c r="E4543">
        <v>5.2610000000000001</v>
      </c>
      <c r="F4543" t="s">
        <v>21</v>
      </c>
      <c r="G4543" t="s">
        <v>20</v>
      </c>
      <c r="H4543" t="s">
        <v>21</v>
      </c>
      <c r="I4543" t="s">
        <v>20</v>
      </c>
      <c r="J4543" t="s">
        <v>20</v>
      </c>
      <c r="K4543" t="s">
        <v>27</v>
      </c>
      <c r="L4543" t="s">
        <v>111</v>
      </c>
      <c r="M4543" t="s">
        <v>112</v>
      </c>
      <c r="N4543">
        <v>39.357543999999997</v>
      </c>
      <c r="O4543">
        <v>-110.852062</v>
      </c>
      <c r="P4543">
        <v>5674.620543</v>
      </c>
      <c r="Q4543">
        <v>1427</v>
      </c>
      <c r="R4543">
        <v>0</v>
      </c>
    </row>
    <row r="4544" spans="1:18" x14ac:dyDescent="0.25">
      <c r="A4544">
        <v>4543</v>
      </c>
      <c r="B4544">
        <v>94</v>
      </c>
      <c r="C4544">
        <v>31607260</v>
      </c>
      <c r="D4544" t="s">
        <v>232</v>
      </c>
      <c r="E4544">
        <v>5.2619999999999996</v>
      </c>
      <c r="F4544" t="s">
        <v>21</v>
      </c>
      <c r="G4544" t="s">
        <v>20</v>
      </c>
      <c r="H4544" t="s">
        <v>21</v>
      </c>
      <c r="I4544" t="s">
        <v>20</v>
      </c>
      <c r="J4544" t="s">
        <v>20</v>
      </c>
      <c r="K4544" t="s">
        <v>31</v>
      </c>
      <c r="L4544" t="s">
        <v>130</v>
      </c>
      <c r="M4544" t="s">
        <v>131</v>
      </c>
      <c r="N4544">
        <v>40.672601999999998</v>
      </c>
      <c r="O4544">
        <v>-111.428003</v>
      </c>
      <c r="P4544">
        <v>6550.2104859999999</v>
      </c>
      <c r="Q4544">
        <v>1279</v>
      </c>
      <c r="R4544">
        <v>0</v>
      </c>
    </row>
    <row r="4545" spans="1:18" x14ac:dyDescent="0.25">
      <c r="A4545">
        <v>4544</v>
      </c>
      <c r="B4545">
        <v>94</v>
      </c>
      <c r="C4545">
        <v>563108</v>
      </c>
      <c r="D4545" t="s">
        <v>115</v>
      </c>
      <c r="E4545">
        <v>5.2649999999999997</v>
      </c>
      <c r="F4545" t="s">
        <v>19</v>
      </c>
      <c r="G4545" t="s">
        <v>20</v>
      </c>
      <c r="H4545" t="s">
        <v>21</v>
      </c>
      <c r="I4545" t="s">
        <v>20</v>
      </c>
      <c r="J4545" t="s">
        <v>20</v>
      </c>
      <c r="K4545" t="s">
        <v>31</v>
      </c>
      <c r="L4545" t="s">
        <v>48</v>
      </c>
      <c r="M4545" t="s">
        <v>70</v>
      </c>
      <c r="N4545">
        <v>40.653077000000003</v>
      </c>
      <c r="O4545">
        <v>-111.976967</v>
      </c>
      <c r="P4545">
        <v>4473.8256030000002</v>
      </c>
      <c r="Q4545">
        <v>1437</v>
      </c>
      <c r="R4545">
        <v>0</v>
      </c>
    </row>
    <row r="4546" spans="1:18" x14ac:dyDescent="0.25">
      <c r="A4546">
        <v>4545</v>
      </c>
      <c r="B4546">
        <v>94</v>
      </c>
      <c r="C4546">
        <v>31584376</v>
      </c>
      <c r="D4546" t="s">
        <v>271</v>
      </c>
      <c r="E4546">
        <v>5.2709999999999999</v>
      </c>
      <c r="F4546" t="s">
        <v>21</v>
      </c>
      <c r="G4546" t="s">
        <v>20</v>
      </c>
      <c r="H4546" t="s">
        <v>21</v>
      </c>
      <c r="I4546" t="s">
        <v>20</v>
      </c>
      <c r="J4546" t="s">
        <v>20</v>
      </c>
      <c r="K4546" t="s">
        <v>31</v>
      </c>
      <c r="L4546" t="s">
        <v>282</v>
      </c>
      <c r="M4546" t="s">
        <v>24</v>
      </c>
      <c r="N4546">
        <v>40.342243000000003</v>
      </c>
      <c r="O4546">
        <v>-112.303933</v>
      </c>
      <c r="P4546">
        <v>5524.9703170000003</v>
      </c>
      <c r="Q4546">
        <v>1372</v>
      </c>
      <c r="R4546">
        <v>0</v>
      </c>
    </row>
    <row r="4547" spans="1:18" x14ac:dyDescent="0.25">
      <c r="A4547">
        <v>4546</v>
      </c>
      <c r="B4547">
        <v>94</v>
      </c>
      <c r="C4547">
        <v>31523078</v>
      </c>
      <c r="D4547" t="s">
        <v>390</v>
      </c>
      <c r="E4547">
        <v>5.274</v>
      </c>
      <c r="F4547" t="s">
        <v>21</v>
      </c>
      <c r="G4547" t="s">
        <v>26</v>
      </c>
      <c r="H4547" t="s">
        <v>21</v>
      </c>
      <c r="I4547" t="s">
        <v>20</v>
      </c>
      <c r="J4547" t="s">
        <v>20</v>
      </c>
      <c r="K4547" t="s">
        <v>22</v>
      </c>
      <c r="L4547" t="s">
        <v>84</v>
      </c>
      <c r="M4547" t="s">
        <v>335</v>
      </c>
      <c r="N4547">
        <v>40.431901000000003</v>
      </c>
      <c r="O4547">
        <v>-111.79575199999999</v>
      </c>
      <c r="P4547">
        <v>4821.7043000000003</v>
      </c>
      <c r="Q4547">
        <v>1386</v>
      </c>
      <c r="R4547">
        <v>0</v>
      </c>
    </row>
    <row r="4548" spans="1:18" x14ac:dyDescent="0.25">
      <c r="A4548">
        <v>4547</v>
      </c>
      <c r="B4548">
        <v>94</v>
      </c>
      <c r="C4548">
        <v>1452660</v>
      </c>
      <c r="D4548" t="s">
        <v>109</v>
      </c>
      <c r="E4548">
        <v>5.2789999999999999</v>
      </c>
      <c r="F4548" t="s">
        <v>21</v>
      </c>
      <c r="G4548" t="s">
        <v>26</v>
      </c>
      <c r="H4548" t="s">
        <v>21</v>
      </c>
      <c r="I4548" t="s">
        <v>20</v>
      </c>
      <c r="J4548" t="s">
        <v>20</v>
      </c>
      <c r="K4548" t="s">
        <v>41</v>
      </c>
      <c r="L4548" t="s">
        <v>42</v>
      </c>
      <c r="M4548" t="s">
        <v>73</v>
      </c>
      <c r="N4548">
        <v>41.638750999999999</v>
      </c>
      <c r="O4548">
        <v>-111.832672</v>
      </c>
      <c r="P4548">
        <v>4726.8634570000004</v>
      </c>
      <c r="Q4548">
        <v>345</v>
      </c>
      <c r="R4548">
        <v>0</v>
      </c>
    </row>
    <row r="4549" spans="1:18" x14ac:dyDescent="0.25">
      <c r="A4549">
        <v>4548</v>
      </c>
      <c r="B4549">
        <v>94</v>
      </c>
      <c r="C4549">
        <v>31648777</v>
      </c>
      <c r="D4549" t="s">
        <v>240</v>
      </c>
      <c r="E4549">
        <v>5.282</v>
      </c>
      <c r="F4549" t="s">
        <v>21</v>
      </c>
      <c r="G4549" t="s">
        <v>20</v>
      </c>
      <c r="H4549" t="s">
        <v>21</v>
      </c>
      <c r="I4549" t="s">
        <v>20</v>
      </c>
      <c r="J4549" t="s">
        <v>20</v>
      </c>
      <c r="K4549" t="s">
        <v>27</v>
      </c>
      <c r="L4549" t="s">
        <v>146</v>
      </c>
      <c r="M4549" t="s">
        <v>147</v>
      </c>
      <c r="N4549">
        <v>38.316795999999997</v>
      </c>
      <c r="O4549">
        <v>-109.31446099999999</v>
      </c>
      <c r="P4549">
        <v>6433.1461929999996</v>
      </c>
      <c r="Q4549">
        <v>1355</v>
      </c>
      <c r="R4549">
        <v>0</v>
      </c>
    </row>
    <row r="4550" spans="1:18" x14ac:dyDescent="0.25">
      <c r="A4550">
        <v>4549</v>
      </c>
      <c r="B4550">
        <v>94</v>
      </c>
      <c r="C4550">
        <v>1477081</v>
      </c>
      <c r="D4550" t="s">
        <v>88</v>
      </c>
      <c r="E4550">
        <v>5.2839999999999998</v>
      </c>
      <c r="F4550" t="s">
        <v>19</v>
      </c>
      <c r="G4550" t="s">
        <v>20</v>
      </c>
      <c r="H4550" t="s">
        <v>21</v>
      </c>
      <c r="I4550" t="s">
        <v>20</v>
      </c>
      <c r="J4550" t="s">
        <v>20</v>
      </c>
      <c r="K4550" t="s">
        <v>31</v>
      </c>
      <c r="L4550" t="s">
        <v>89</v>
      </c>
      <c r="M4550" t="s">
        <v>90</v>
      </c>
      <c r="N4550">
        <v>40.526747</v>
      </c>
      <c r="O4550">
        <v>-111.88502</v>
      </c>
      <c r="P4550">
        <v>4376.0214619999997</v>
      </c>
      <c r="Q4550">
        <v>318</v>
      </c>
      <c r="R4550">
        <v>0</v>
      </c>
    </row>
    <row r="4551" spans="1:18" x14ac:dyDescent="0.25">
      <c r="A4551">
        <v>4550</v>
      </c>
      <c r="B4551">
        <v>94</v>
      </c>
      <c r="C4551" t="e">
        <f>-JLt-YTpFqDFhGWKeIA70V</f>
        <v>#NAME?</v>
      </c>
      <c r="D4551" t="s">
        <v>262</v>
      </c>
      <c r="E4551">
        <v>5.2869999999999999</v>
      </c>
      <c r="F4551" t="s">
        <v>19</v>
      </c>
      <c r="G4551" t="s">
        <v>20</v>
      </c>
      <c r="H4551" t="s">
        <v>21</v>
      </c>
      <c r="I4551" t="s">
        <v>20</v>
      </c>
      <c r="J4551" t="s">
        <v>20</v>
      </c>
      <c r="K4551" t="s">
        <v>22</v>
      </c>
      <c r="L4551" t="s">
        <v>263</v>
      </c>
      <c r="M4551" t="s">
        <v>24</v>
      </c>
      <c r="N4551">
        <v>40.376916999999999</v>
      </c>
      <c r="O4551">
        <v>-111.81993300000001</v>
      </c>
      <c r="P4551">
        <v>4508.3577670000004</v>
      </c>
      <c r="Q4551">
        <v>1419</v>
      </c>
      <c r="R4551">
        <v>0</v>
      </c>
    </row>
    <row r="4552" spans="1:18" x14ac:dyDescent="0.25">
      <c r="A4552">
        <v>4551</v>
      </c>
      <c r="B4552">
        <v>94</v>
      </c>
      <c r="C4552">
        <v>1271685</v>
      </c>
      <c r="D4552" t="s">
        <v>189</v>
      </c>
      <c r="E4552">
        <v>5.2869999999999999</v>
      </c>
      <c r="F4552" t="s">
        <v>21</v>
      </c>
      <c r="G4552" t="s">
        <v>26</v>
      </c>
      <c r="H4552" t="s">
        <v>21</v>
      </c>
      <c r="I4552" t="s">
        <v>20</v>
      </c>
      <c r="J4552" t="s">
        <v>20</v>
      </c>
      <c r="K4552" t="s">
        <v>41</v>
      </c>
      <c r="L4552" t="s">
        <v>81</v>
      </c>
      <c r="M4552" t="s">
        <v>190</v>
      </c>
      <c r="N4552">
        <v>41.229793999999998</v>
      </c>
      <c r="O4552">
        <v>-111.948042</v>
      </c>
      <c r="P4552">
        <v>4415.3017980000004</v>
      </c>
      <c r="Q4552">
        <v>412</v>
      </c>
      <c r="R4552">
        <v>0</v>
      </c>
    </row>
    <row r="4553" spans="1:18" x14ac:dyDescent="0.25">
      <c r="A4553">
        <v>4552</v>
      </c>
      <c r="B4553">
        <v>94</v>
      </c>
      <c r="C4553">
        <v>31311942</v>
      </c>
      <c r="D4553" t="s">
        <v>215</v>
      </c>
      <c r="E4553">
        <v>5.2889999999999997</v>
      </c>
      <c r="F4553" t="s">
        <v>19</v>
      </c>
      <c r="G4553" t="s">
        <v>20</v>
      </c>
      <c r="H4553" t="s">
        <v>21</v>
      </c>
      <c r="I4553" t="s">
        <v>20</v>
      </c>
      <c r="J4553" t="s">
        <v>20</v>
      </c>
      <c r="K4553" t="s">
        <v>22</v>
      </c>
      <c r="L4553" t="s">
        <v>23</v>
      </c>
      <c r="M4553" t="s">
        <v>85</v>
      </c>
      <c r="N4553">
        <v>40.279133999999999</v>
      </c>
      <c r="O4553">
        <v>-111.730363</v>
      </c>
      <c r="P4553">
        <v>4477.3716270000004</v>
      </c>
      <c r="Q4553">
        <v>330</v>
      </c>
      <c r="R4553">
        <v>0</v>
      </c>
    </row>
    <row r="4554" spans="1:18" x14ac:dyDescent="0.25">
      <c r="A4554">
        <v>4553</v>
      </c>
      <c r="B4554">
        <v>94</v>
      </c>
      <c r="C4554">
        <v>31193070</v>
      </c>
      <c r="D4554" t="s">
        <v>153</v>
      </c>
      <c r="E4554">
        <v>5.2919999999999998</v>
      </c>
      <c r="F4554" t="s">
        <v>21</v>
      </c>
      <c r="G4554" t="s">
        <v>26</v>
      </c>
      <c r="H4554" t="s">
        <v>19</v>
      </c>
      <c r="I4554">
        <v>92</v>
      </c>
      <c r="J4554" t="s">
        <v>20</v>
      </c>
      <c r="K4554" t="s">
        <v>22</v>
      </c>
      <c r="L4554" t="s">
        <v>84</v>
      </c>
      <c r="M4554" t="s">
        <v>85</v>
      </c>
      <c r="N4554">
        <v>40.432219000000003</v>
      </c>
      <c r="O4554">
        <v>-111.75192</v>
      </c>
      <c r="P4554">
        <v>4988.5391280000003</v>
      </c>
      <c r="R4554">
        <v>0</v>
      </c>
    </row>
    <row r="4555" spans="1:18" x14ac:dyDescent="0.25">
      <c r="A4555">
        <v>4554</v>
      </c>
      <c r="B4555">
        <v>94</v>
      </c>
      <c r="C4555">
        <v>1742621</v>
      </c>
      <c r="D4555" t="s">
        <v>197</v>
      </c>
      <c r="E4555">
        <v>5.2960000000000003</v>
      </c>
      <c r="F4555" t="s">
        <v>21</v>
      </c>
      <c r="G4555" t="s">
        <v>26</v>
      </c>
      <c r="H4555" t="s">
        <v>21</v>
      </c>
      <c r="I4555" t="s">
        <v>20</v>
      </c>
      <c r="J4555" t="s">
        <v>20</v>
      </c>
      <c r="K4555" t="s">
        <v>22</v>
      </c>
      <c r="L4555" t="s">
        <v>198</v>
      </c>
      <c r="M4555" t="s">
        <v>125</v>
      </c>
      <c r="N4555">
        <v>40.021757000000001</v>
      </c>
      <c r="O4555">
        <v>-111.787035</v>
      </c>
      <c r="P4555">
        <v>4613.7681439999997</v>
      </c>
      <c r="Q4555">
        <v>1416</v>
      </c>
      <c r="R4555">
        <v>0</v>
      </c>
    </row>
    <row r="4556" spans="1:18" x14ac:dyDescent="0.25">
      <c r="A4556">
        <v>4555</v>
      </c>
      <c r="B4556">
        <v>94</v>
      </c>
      <c r="C4556">
        <v>31310882</v>
      </c>
      <c r="D4556" t="s">
        <v>40</v>
      </c>
      <c r="E4556">
        <v>3.5960000000000001</v>
      </c>
      <c r="F4556" t="s">
        <v>21</v>
      </c>
      <c r="G4556" t="s">
        <v>26</v>
      </c>
      <c r="H4556" t="s">
        <v>21</v>
      </c>
      <c r="I4556" t="s">
        <v>20</v>
      </c>
      <c r="J4556" t="s">
        <v>20</v>
      </c>
      <c r="K4556" t="s">
        <v>41</v>
      </c>
      <c r="L4556" t="s">
        <v>42</v>
      </c>
      <c r="M4556" t="s">
        <v>43</v>
      </c>
      <c r="N4556">
        <v>41.640611</v>
      </c>
      <c r="O4556">
        <v>-111.868833</v>
      </c>
      <c r="P4556">
        <v>4581.3146070000003</v>
      </c>
      <c r="Q4556">
        <v>1391</v>
      </c>
      <c r="R4556">
        <v>0</v>
      </c>
    </row>
    <row r="4557" spans="1:18" x14ac:dyDescent="0.25">
      <c r="A4557">
        <v>4556</v>
      </c>
      <c r="B4557">
        <v>94</v>
      </c>
      <c r="C4557">
        <v>27690568</v>
      </c>
      <c r="D4557" t="s">
        <v>217</v>
      </c>
      <c r="E4557">
        <v>3.601</v>
      </c>
      <c r="F4557" t="s">
        <v>21</v>
      </c>
      <c r="G4557" t="s">
        <v>26</v>
      </c>
      <c r="H4557" t="s">
        <v>21</v>
      </c>
      <c r="I4557" t="s">
        <v>20</v>
      </c>
      <c r="J4557" t="s">
        <v>20</v>
      </c>
      <c r="K4557" t="s">
        <v>27</v>
      </c>
      <c r="L4557" t="s">
        <v>72</v>
      </c>
      <c r="M4557" t="s">
        <v>163</v>
      </c>
      <c r="N4557">
        <v>37.130378</v>
      </c>
      <c r="O4557">
        <v>-113.60266300000001</v>
      </c>
      <c r="P4557">
        <v>2883.869627</v>
      </c>
      <c r="Q4557">
        <v>304</v>
      </c>
      <c r="R4557">
        <v>0</v>
      </c>
    </row>
    <row r="4558" spans="1:18" x14ac:dyDescent="0.25">
      <c r="A4558">
        <v>4557</v>
      </c>
      <c r="B4558">
        <v>94</v>
      </c>
      <c r="C4558">
        <v>31366485</v>
      </c>
      <c r="D4558" t="s">
        <v>229</v>
      </c>
      <c r="E4558">
        <v>3.601</v>
      </c>
      <c r="F4558" t="s">
        <v>21</v>
      </c>
      <c r="G4558" t="s">
        <v>26</v>
      </c>
      <c r="H4558" t="s">
        <v>21</v>
      </c>
      <c r="I4558" t="s">
        <v>20</v>
      </c>
      <c r="J4558" t="s">
        <v>20</v>
      </c>
      <c r="K4558" t="s">
        <v>27</v>
      </c>
      <c r="L4558" t="s">
        <v>230</v>
      </c>
      <c r="M4558" t="s">
        <v>82</v>
      </c>
      <c r="N4558">
        <v>39.475794999999998</v>
      </c>
      <c r="O4558">
        <v>-111.58725099999999</v>
      </c>
      <c r="P4558">
        <v>5424.5809669999999</v>
      </c>
      <c r="Q4558">
        <v>331</v>
      </c>
      <c r="R4558">
        <v>0</v>
      </c>
    </row>
    <row r="4559" spans="1:18" x14ac:dyDescent="0.25">
      <c r="A4559">
        <v>4558</v>
      </c>
      <c r="B4559">
        <v>94</v>
      </c>
      <c r="C4559">
        <v>1238149</v>
      </c>
      <c r="D4559" t="s">
        <v>108</v>
      </c>
      <c r="E4559">
        <v>3.605</v>
      </c>
      <c r="F4559" t="s">
        <v>21</v>
      </c>
      <c r="G4559" t="s">
        <v>26</v>
      </c>
      <c r="H4559" t="s">
        <v>21</v>
      </c>
      <c r="I4559" t="s">
        <v>20</v>
      </c>
      <c r="J4559" t="s">
        <v>20</v>
      </c>
      <c r="K4559" t="s">
        <v>41</v>
      </c>
      <c r="L4559" t="s">
        <v>81</v>
      </c>
      <c r="M4559" t="s">
        <v>93</v>
      </c>
      <c r="N4559">
        <v>41.198884</v>
      </c>
      <c r="O4559">
        <v>-111.972587</v>
      </c>
      <c r="P4559">
        <v>4310.3846000000003</v>
      </c>
      <c r="Q4559">
        <v>1341</v>
      </c>
      <c r="R4559">
        <v>0</v>
      </c>
    </row>
    <row r="4560" spans="1:18" x14ac:dyDescent="0.25">
      <c r="A4560">
        <v>4559</v>
      </c>
      <c r="B4560">
        <v>94</v>
      </c>
      <c r="C4560" t="s">
        <v>675</v>
      </c>
      <c r="D4560" t="s">
        <v>272</v>
      </c>
      <c r="E4560">
        <v>328.55399999999997</v>
      </c>
      <c r="F4560" t="s">
        <v>21</v>
      </c>
      <c r="G4560" t="s">
        <v>26</v>
      </c>
      <c r="H4560" t="s">
        <v>21</v>
      </c>
      <c r="I4560" t="s">
        <v>20</v>
      </c>
      <c r="J4560" t="s">
        <v>20</v>
      </c>
      <c r="K4560" t="s">
        <v>22</v>
      </c>
      <c r="L4560" t="s">
        <v>23</v>
      </c>
      <c r="M4560" t="s">
        <v>125</v>
      </c>
      <c r="N4560">
        <v>40.168087999999997</v>
      </c>
      <c r="O4560">
        <v>-111.61061599999999</v>
      </c>
      <c r="P4560">
        <v>4516.6470760000002</v>
      </c>
      <c r="Q4560">
        <v>1384</v>
      </c>
      <c r="R4560">
        <v>0</v>
      </c>
    </row>
    <row r="4561" spans="1:18" x14ac:dyDescent="0.25">
      <c r="A4561">
        <v>4560</v>
      </c>
      <c r="B4561">
        <v>94</v>
      </c>
      <c r="C4561" t="e">
        <f>-IoRKHUvIaHo3bZvpji6Pk</f>
        <v>#NAME?</v>
      </c>
      <c r="D4561" t="s">
        <v>272</v>
      </c>
      <c r="E4561">
        <v>328.65100000000001</v>
      </c>
      <c r="F4561" t="s">
        <v>21</v>
      </c>
      <c r="G4561" t="s">
        <v>26</v>
      </c>
      <c r="H4561" t="s">
        <v>21</v>
      </c>
      <c r="I4561" t="s">
        <v>20</v>
      </c>
      <c r="J4561" t="s">
        <v>20</v>
      </c>
      <c r="K4561" t="s">
        <v>22</v>
      </c>
      <c r="L4561" t="s">
        <v>23</v>
      </c>
      <c r="M4561" t="s">
        <v>125</v>
      </c>
      <c r="N4561">
        <v>40.169468999999999</v>
      </c>
      <c r="O4561">
        <v>-111.610591</v>
      </c>
      <c r="P4561">
        <v>4512.8766850000002</v>
      </c>
      <c r="Q4561">
        <v>1384</v>
      </c>
      <c r="R4561">
        <v>0</v>
      </c>
    </row>
    <row r="4562" spans="1:18" x14ac:dyDescent="0.25">
      <c r="A4562">
        <v>4561</v>
      </c>
      <c r="B4562">
        <v>94</v>
      </c>
      <c r="C4562" t="s">
        <v>676</v>
      </c>
      <c r="D4562" t="s">
        <v>272</v>
      </c>
      <c r="E4562">
        <v>347.82100000000003</v>
      </c>
      <c r="F4562" t="s">
        <v>21</v>
      </c>
      <c r="G4562" t="s">
        <v>26</v>
      </c>
      <c r="H4562" t="s">
        <v>21</v>
      </c>
      <c r="I4562" t="s">
        <v>20</v>
      </c>
      <c r="J4562" t="s">
        <v>20</v>
      </c>
      <c r="K4562" t="s">
        <v>22</v>
      </c>
      <c r="L4562" t="s">
        <v>84</v>
      </c>
      <c r="M4562" t="s">
        <v>125</v>
      </c>
      <c r="N4562">
        <v>40.376365999999997</v>
      </c>
      <c r="O4562">
        <v>-111.79324</v>
      </c>
      <c r="P4562">
        <v>4549.0311849999998</v>
      </c>
      <c r="Q4562">
        <v>1384</v>
      </c>
      <c r="R4562">
        <v>0</v>
      </c>
    </row>
    <row r="4563" spans="1:18" x14ac:dyDescent="0.25">
      <c r="A4563">
        <v>4562</v>
      </c>
      <c r="B4563">
        <v>94</v>
      </c>
      <c r="C4563" t="e">
        <f>-JT7OFYtFXDm3G6esPdCDV</f>
        <v>#NAME?</v>
      </c>
      <c r="D4563" t="s">
        <v>272</v>
      </c>
      <c r="E4563">
        <v>347.85899999999998</v>
      </c>
      <c r="F4563" t="s">
        <v>21</v>
      </c>
      <c r="G4563" t="s">
        <v>26</v>
      </c>
      <c r="H4563" t="s">
        <v>21</v>
      </c>
      <c r="I4563" t="s">
        <v>20</v>
      </c>
      <c r="J4563" t="s">
        <v>20</v>
      </c>
      <c r="K4563" t="s">
        <v>22</v>
      </c>
      <c r="L4563" t="s">
        <v>84</v>
      </c>
      <c r="M4563" t="s">
        <v>125</v>
      </c>
      <c r="N4563">
        <v>40.376700999999997</v>
      </c>
      <c r="O4563">
        <v>-111.793789</v>
      </c>
      <c r="P4563">
        <v>4549.8266819999999</v>
      </c>
      <c r="Q4563">
        <v>1384</v>
      </c>
      <c r="R4563">
        <v>0</v>
      </c>
    </row>
    <row r="4564" spans="1:18" x14ac:dyDescent="0.25">
      <c r="A4564">
        <v>4563</v>
      </c>
      <c r="B4564">
        <v>94</v>
      </c>
      <c r="C4564" t="e">
        <f>-IopaKW6HlmgqXDOtPxCRV</f>
        <v>#NAME?</v>
      </c>
      <c r="D4564" t="s">
        <v>272</v>
      </c>
      <c r="E4564">
        <v>347.89</v>
      </c>
      <c r="F4564" t="s">
        <v>21</v>
      </c>
      <c r="G4564" t="s">
        <v>26</v>
      </c>
      <c r="H4564" t="s">
        <v>21</v>
      </c>
      <c r="I4564" t="s">
        <v>20</v>
      </c>
      <c r="J4564" t="s">
        <v>20</v>
      </c>
      <c r="K4564" t="s">
        <v>22</v>
      </c>
      <c r="L4564" t="s">
        <v>84</v>
      </c>
      <c r="M4564" t="s">
        <v>125</v>
      </c>
      <c r="N4564">
        <v>40.376783000000003</v>
      </c>
      <c r="O4564">
        <v>-111.79436</v>
      </c>
      <c r="P4564">
        <v>4549.4681920000003</v>
      </c>
      <c r="Q4564">
        <v>1384</v>
      </c>
      <c r="R4564">
        <v>0</v>
      </c>
    </row>
    <row r="4565" spans="1:18" x14ac:dyDescent="0.25">
      <c r="A4565">
        <v>4564</v>
      </c>
      <c r="B4565">
        <v>94</v>
      </c>
      <c r="C4565" t="s">
        <v>677</v>
      </c>
      <c r="D4565" t="s">
        <v>272</v>
      </c>
      <c r="E4565">
        <v>347.97399999999999</v>
      </c>
      <c r="F4565" t="s">
        <v>19</v>
      </c>
      <c r="G4565" t="s">
        <v>20</v>
      </c>
      <c r="H4565" t="s">
        <v>19</v>
      </c>
      <c r="I4565">
        <v>74</v>
      </c>
      <c r="J4565" t="s">
        <v>20</v>
      </c>
      <c r="K4565" t="s">
        <v>22</v>
      </c>
      <c r="L4565" t="s">
        <v>84</v>
      </c>
      <c r="M4565" t="s">
        <v>125</v>
      </c>
      <c r="N4565">
        <v>40.376797000000003</v>
      </c>
      <c r="O4565">
        <v>-111.795935</v>
      </c>
      <c r="P4565">
        <v>4546.8544739999998</v>
      </c>
      <c r="Q4565">
        <v>1384</v>
      </c>
      <c r="R4565">
        <v>0</v>
      </c>
    </row>
    <row r="4566" spans="1:18" x14ac:dyDescent="0.25">
      <c r="A4566">
        <v>4565</v>
      </c>
      <c r="B4566">
        <v>94</v>
      </c>
      <c r="C4566" t="e">
        <f>-IoRNQpbFMaNDRCIVWCIGV</f>
        <v>#NAME?</v>
      </c>
      <c r="D4566" t="s">
        <v>272</v>
      </c>
      <c r="E4566">
        <v>329.03699999999998</v>
      </c>
      <c r="F4566" t="s">
        <v>21</v>
      </c>
      <c r="G4566" t="s">
        <v>26</v>
      </c>
      <c r="H4566" t="s">
        <v>21</v>
      </c>
      <c r="I4566" t="s">
        <v>20</v>
      </c>
      <c r="J4566" t="s">
        <v>20</v>
      </c>
      <c r="K4566" t="s">
        <v>22</v>
      </c>
      <c r="L4566" t="s">
        <v>23</v>
      </c>
      <c r="M4566" t="s">
        <v>125</v>
      </c>
      <c r="N4566">
        <v>40.175024000000001</v>
      </c>
      <c r="O4566">
        <v>-111.610596</v>
      </c>
      <c r="P4566">
        <v>4488.8592099999996</v>
      </c>
      <c r="Q4566">
        <v>1384</v>
      </c>
      <c r="R4566">
        <v>0</v>
      </c>
    </row>
    <row r="4567" spans="1:18" x14ac:dyDescent="0.25">
      <c r="A4567">
        <v>4566</v>
      </c>
      <c r="B4567">
        <v>94</v>
      </c>
      <c r="C4567">
        <v>1169938</v>
      </c>
      <c r="D4567" t="s">
        <v>128</v>
      </c>
      <c r="E4567">
        <v>3.1389999999999998</v>
      </c>
      <c r="F4567" t="s">
        <v>21</v>
      </c>
      <c r="G4567" t="s">
        <v>26</v>
      </c>
      <c r="H4567" t="s">
        <v>21</v>
      </c>
      <c r="I4567" t="s">
        <v>20</v>
      </c>
      <c r="J4567" t="s">
        <v>20</v>
      </c>
      <c r="K4567" t="s">
        <v>41</v>
      </c>
      <c r="L4567" t="s">
        <v>95</v>
      </c>
      <c r="M4567" t="s">
        <v>73</v>
      </c>
      <c r="N4567">
        <v>41.743105999999997</v>
      </c>
      <c r="O4567">
        <v>-111.85920400000001</v>
      </c>
      <c r="P4567">
        <v>4402.598207</v>
      </c>
      <c r="Q4567">
        <v>5943</v>
      </c>
      <c r="R4567">
        <v>0</v>
      </c>
    </row>
    <row r="4568" spans="1:18" x14ac:dyDescent="0.25">
      <c r="A4568">
        <v>4567</v>
      </c>
      <c r="B4568">
        <v>94</v>
      </c>
      <c r="C4568">
        <v>31861579</v>
      </c>
      <c r="D4568" t="s">
        <v>135</v>
      </c>
      <c r="E4568">
        <v>3.1429999999999998</v>
      </c>
      <c r="F4568" t="s">
        <v>19</v>
      </c>
      <c r="G4568" t="s">
        <v>20</v>
      </c>
      <c r="H4568" t="s">
        <v>21</v>
      </c>
      <c r="I4568" t="s">
        <v>20</v>
      </c>
      <c r="J4568" t="s">
        <v>20</v>
      </c>
      <c r="K4568" t="s">
        <v>31</v>
      </c>
      <c r="L4568" t="s">
        <v>89</v>
      </c>
      <c r="M4568" t="s">
        <v>144</v>
      </c>
      <c r="N4568">
        <v>40.559793999999997</v>
      </c>
      <c r="O4568">
        <v>-111.917117</v>
      </c>
      <c r="P4568">
        <v>4335.6304330000003</v>
      </c>
      <c r="Q4568">
        <v>1423</v>
      </c>
      <c r="R4568">
        <v>0</v>
      </c>
    </row>
    <row r="4569" spans="1:18" x14ac:dyDescent="0.25">
      <c r="A4569">
        <v>4568</v>
      </c>
      <c r="B4569">
        <v>94</v>
      </c>
      <c r="C4569">
        <v>875893</v>
      </c>
      <c r="D4569" t="s">
        <v>115</v>
      </c>
      <c r="E4569">
        <v>3.1459999999999999</v>
      </c>
      <c r="F4569" t="s">
        <v>21</v>
      </c>
      <c r="G4569" t="s">
        <v>26</v>
      </c>
      <c r="H4569" t="s">
        <v>21</v>
      </c>
      <c r="I4569" t="s">
        <v>20</v>
      </c>
      <c r="J4569" t="s">
        <v>20</v>
      </c>
      <c r="K4569" t="s">
        <v>31</v>
      </c>
      <c r="L4569" t="s">
        <v>48</v>
      </c>
      <c r="M4569" t="s">
        <v>70</v>
      </c>
      <c r="N4569">
        <v>40.653038000000002</v>
      </c>
      <c r="O4569">
        <v>-112.017112</v>
      </c>
      <c r="P4569">
        <v>4654.350856</v>
      </c>
      <c r="Q4569">
        <v>1437</v>
      </c>
      <c r="R4569">
        <v>0</v>
      </c>
    </row>
    <row r="4570" spans="1:18" x14ac:dyDescent="0.25">
      <c r="A4570">
        <v>4569</v>
      </c>
      <c r="B4570">
        <v>94</v>
      </c>
      <c r="C4570">
        <v>31778423</v>
      </c>
      <c r="D4570" t="s">
        <v>272</v>
      </c>
      <c r="E4570">
        <v>3.1480000000000001</v>
      </c>
      <c r="F4570" t="s">
        <v>21</v>
      </c>
      <c r="G4570" t="s">
        <v>26</v>
      </c>
      <c r="H4570" t="s">
        <v>21</v>
      </c>
      <c r="I4570" t="s">
        <v>20</v>
      </c>
      <c r="J4570" t="s">
        <v>20</v>
      </c>
      <c r="K4570" t="s">
        <v>27</v>
      </c>
      <c r="L4570" t="s">
        <v>259</v>
      </c>
      <c r="M4570" t="s">
        <v>214</v>
      </c>
      <c r="N4570">
        <v>37.034376000000002</v>
      </c>
      <c r="O4570">
        <v>-111.612138</v>
      </c>
      <c r="P4570">
        <v>3903.1232030000001</v>
      </c>
      <c r="Q4570">
        <v>1384</v>
      </c>
      <c r="R4570">
        <v>0</v>
      </c>
    </row>
    <row r="4571" spans="1:18" x14ac:dyDescent="0.25">
      <c r="A4571">
        <v>4570</v>
      </c>
      <c r="B4571">
        <v>94</v>
      </c>
      <c r="C4571">
        <v>31192244</v>
      </c>
      <c r="D4571" t="s">
        <v>150</v>
      </c>
      <c r="E4571">
        <v>3.1480000000000001</v>
      </c>
      <c r="F4571" t="s">
        <v>21</v>
      </c>
      <c r="G4571" t="s">
        <v>26</v>
      </c>
      <c r="H4571" t="s">
        <v>21</v>
      </c>
      <c r="I4571" t="s">
        <v>20</v>
      </c>
      <c r="J4571" t="s">
        <v>20</v>
      </c>
      <c r="K4571" t="s">
        <v>27</v>
      </c>
      <c r="L4571" t="s">
        <v>151</v>
      </c>
      <c r="M4571" t="s">
        <v>152</v>
      </c>
      <c r="N4571">
        <v>38.991494000000003</v>
      </c>
      <c r="O4571">
        <v>-110.133925</v>
      </c>
      <c r="P4571">
        <v>4054.6565479999999</v>
      </c>
      <c r="Q4571">
        <v>1336</v>
      </c>
      <c r="R4571">
        <v>0</v>
      </c>
    </row>
    <row r="4572" spans="1:18" x14ac:dyDescent="0.25">
      <c r="A4572">
        <v>4571</v>
      </c>
      <c r="B4572">
        <v>94</v>
      </c>
      <c r="C4572">
        <v>541453</v>
      </c>
      <c r="D4572" t="s">
        <v>77</v>
      </c>
      <c r="E4572">
        <v>3.15</v>
      </c>
      <c r="F4572" t="s">
        <v>21</v>
      </c>
      <c r="G4572" t="s">
        <v>26</v>
      </c>
      <c r="H4572" t="s">
        <v>21</v>
      </c>
      <c r="I4572" t="s">
        <v>20</v>
      </c>
      <c r="J4572" t="s">
        <v>20</v>
      </c>
      <c r="K4572" t="s">
        <v>31</v>
      </c>
      <c r="L4572" t="s">
        <v>78</v>
      </c>
      <c r="M4572" t="s">
        <v>79</v>
      </c>
      <c r="N4572">
        <v>40.684334999999997</v>
      </c>
      <c r="O4572">
        <v>-112.024759</v>
      </c>
      <c r="P4572">
        <v>4380.8780790000001</v>
      </c>
      <c r="Q4572">
        <v>1436</v>
      </c>
      <c r="R4572">
        <v>0</v>
      </c>
    </row>
    <row r="4573" spans="1:18" x14ac:dyDescent="0.25">
      <c r="A4573">
        <v>4572</v>
      </c>
      <c r="B4573">
        <v>94</v>
      </c>
      <c r="C4573">
        <v>31406251</v>
      </c>
      <c r="D4573" t="s">
        <v>30</v>
      </c>
      <c r="E4573">
        <v>3.15</v>
      </c>
      <c r="F4573" t="s">
        <v>21</v>
      </c>
      <c r="G4573" t="s">
        <v>20</v>
      </c>
      <c r="H4573" t="s">
        <v>21</v>
      </c>
      <c r="I4573" t="s">
        <v>20</v>
      </c>
      <c r="J4573" t="s">
        <v>20</v>
      </c>
      <c r="K4573" t="s">
        <v>31</v>
      </c>
      <c r="L4573" t="s">
        <v>32</v>
      </c>
      <c r="M4573" t="s">
        <v>33</v>
      </c>
      <c r="N4573">
        <v>40.577016999999998</v>
      </c>
      <c r="O4573">
        <v>-111.78845699999999</v>
      </c>
      <c r="P4573">
        <v>5250.6061030000001</v>
      </c>
      <c r="Q4573">
        <v>415</v>
      </c>
      <c r="R4573">
        <v>0</v>
      </c>
    </row>
    <row r="4574" spans="1:18" x14ac:dyDescent="0.25">
      <c r="A4574">
        <v>4573</v>
      </c>
      <c r="B4574">
        <v>94</v>
      </c>
      <c r="C4574">
        <v>31311179</v>
      </c>
      <c r="D4574" t="s">
        <v>215</v>
      </c>
      <c r="E4574">
        <v>3.1589999999999998</v>
      </c>
      <c r="F4574" t="s">
        <v>21</v>
      </c>
      <c r="G4574" t="s">
        <v>26</v>
      </c>
      <c r="H4574" t="s">
        <v>21</v>
      </c>
      <c r="I4574" t="s">
        <v>20</v>
      </c>
      <c r="J4574" t="s">
        <v>20</v>
      </c>
      <c r="K4574" t="s">
        <v>22</v>
      </c>
      <c r="L4574" t="s">
        <v>23</v>
      </c>
      <c r="M4574" t="s">
        <v>85</v>
      </c>
      <c r="N4574">
        <v>40.253804000000002</v>
      </c>
      <c r="O4574">
        <v>-111.707607</v>
      </c>
      <c r="P4574">
        <v>4478.1913340000001</v>
      </c>
      <c r="Q4574">
        <v>330</v>
      </c>
      <c r="R4574">
        <v>0</v>
      </c>
    </row>
    <row r="4575" spans="1:18" x14ac:dyDescent="0.25">
      <c r="A4575">
        <v>4574</v>
      </c>
      <c r="B4575">
        <v>94</v>
      </c>
      <c r="C4575">
        <v>1140621</v>
      </c>
      <c r="D4575" t="s">
        <v>56</v>
      </c>
      <c r="E4575">
        <v>3.161</v>
      </c>
      <c r="F4575" t="s">
        <v>21</v>
      </c>
      <c r="G4575" t="s">
        <v>26</v>
      </c>
      <c r="H4575" t="s">
        <v>21</v>
      </c>
      <c r="I4575" t="s">
        <v>20</v>
      </c>
      <c r="J4575" t="s">
        <v>20</v>
      </c>
      <c r="K4575" t="s">
        <v>41</v>
      </c>
      <c r="L4575" t="s">
        <v>57</v>
      </c>
      <c r="M4575" t="s">
        <v>58</v>
      </c>
      <c r="N4575">
        <v>41.161594999999998</v>
      </c>
      <c r="O4575">
        <v>-112.06296</v>
      </c>
      <c r="P4575">
        <v>4257.4885400000003</v>
      </c>
      <c r="Q4575">
        <v>1459</v>
      </c>
      <c r="R4575">
        <v>0</v>
      </c>
    </row>
    <row r="4576" spans="1:18" x14ac:dyDescent="0.25">
      <c r="A4576">
        <v>4575</v>
      </c>
      <c r="B4576">
        <v>94</v>
      </c>
      <c r="C4576" t="e">
        <f>-IpURJktGRHmJwwpGGS2-V</f>
        <v>#NAME?</v>
      </c>
      <c r="D4576" t="s">
        <v>272</v>
      </c>
      <c r="E4576">
        <v>414.89699999999999</v>
      </c>
      <c r="F4576" t="s">
        <v>19</v>
      </c>
      <c r="G4576" t="s">
        <v>20</v>
      </c>
      <c r="H4576" t="s">
        <v>21</v>
      </c>
      <c r="I4576" t="s">
        <v>20</v>
      </c>
      <c r="J4576" t="s">
        <v>20</v>
      </c>
      <c r="K4576" t="s">
        <v>41</v>
      </c>
      <c r="L4576" t="s">
        <v>81</v>
      </c>
      <c r="M4576" t="s">
        <v>46</v>
      </c>
      <c r="N4576">
        <v>41.236690000000003</v>
      </c>
      <c r="O4576">
        <v>-111.970133</v>
      </c>
      <c r="P4576">
        <v>4242.9254300000002</v>
      </c>
      <c r="Q4576">
        <v>1384</v>
      </c>
      <c r="R4576">
        <v>0</v>
      </c>
    </row>
    <row r="4577" spans="1:18" x14ac:dyDescent="0.25">
      <c r="A4577">
        <v>4576</v>
      </c>
      <c r="B4577">
        <v>94</v>
      </c>
      <c r="C4577" t="e">
        <f>-IpUSdvLF7qgPHpugUpiSV</f>
        <v>#NAME?</v>
      </c>
      <c r="D4577" t="s">
        <v>272</v>
      </c>
      <c r="E4577">
        <v>414.97</v>
      </c>
      <c r="F4577" t="s">
        <v>21</v>
      </c>
      <c r="G4577" t="s">
        <v>26</v>
      </c>
      <c r="H4577" t="s">
        <v>21</v>
      </c>
      <c r="I4577" t="s">
        <v>20</v>
      </c>
      <c r="J4577" t="s">
        <v>20</v>
      </c>
      <c r="K4577" t="s">
        <v>41</v>
      </c>
      <c r="L4577" t="s">
        <v>81</v>
      </c>
      <c r="M4577" t="s">
        <v>46</v>
      </c>
      <c r="N4577">
        <v>41.237735000000001</v>
      </c>
      <c r="O4577">
        <v>-111.970096</v>
      </c>
      <c r="P4577">
        <v>4243.7701859999997</v>
      </c>
      <c r="Q4577">
        <v>1384</v>
      </c>
      <c r="R4577">
        <v>0</v>
      </c>
    </row>
    <row r="4578" spans="1:18" x14ac:dyDescent="0.25">
      <c r="A4578">
        <v>4577</v>
      </c>
      <c r="B4578">
        <v>94</v>
      </c>
      <c r="C4578" t="e">
        <f>-Ip-SE7XHG10uzR8wzVd0V</f>
        <v>#NAME?</v>
      </c>
      <c r="D4578" t="s">
        <v>338</v>
      </c>
      <c r="E4578">
        <v>4.7750000000000004</v>
      </c>
      <c r="F4578" t="s">
        <v>21</v>
      </c>
      <c r="G4578" t="s">
        <v>20</v>
      </c>
      <c r="H4578" t="s">
        <v>21</v>
      </c>
      <c r="I4578" t="s">
        <v>20</v>
      </c>
      <c r="J4578" t="s">
        <v>20</v>
      </c>
      <c r="K4578" t="s">
        <v>27</v>
      </c>
      <c r="L4578" t="s">
        <v>72</v>
      </c>
      <c r="M4578" t="s">
        <v>73</v>
      </c>
      <c r="N4578">
        <v>37.037796999999998</v>
      </c>
      <c r="O4578">
        <v>-113.071156</v>
      </c>
      <c r="P4578">
        <v>4774.3464169999997</v>
      </c>
      <c r="Q4578">
        <v>315</v>
      </c>
      <c r="R4578">
        <v>0</v>
      </c>
    </row>
    <row r="4579" spans="1:18" x14ac:dyDescent="0.25">
      <c r="A4579">
        <v>4578</v>
      </c>
      <c r="B4579">
        <v>94</v>
      </c>
      <c r="C4579">
        <v>31351904</v>
      </c>
      <c r="D4579" t="s">
        <v>34</v>
      </c>
      <c r="E4579">
        <v>4.7779999999999996</v>
      </c>
      <c r="F4579" t="s">
        <v>21</v>
      </c>
      <c r="G4579" t="s">
        <v>26</v>
      </c>
      <c r="H4579" t="s">
        <v>21</v>
      </c>
      <c r="I4579" t="s">
        <v>20</v>
      </c>
      <c r="J4579" t="s">
        <v>20</v>
      </c>
      <c r="K4579" t="s">
        <v>22</v>
      </c>
      <c r="L4579" t="s">
        <v>35</v>
      </c>
      <c r="M4579" t="s">
        <v>36</v>
      </c>
      <c r="N4579">
        <v>40.511766999999999</v>
      </c>
      <c r="O4579">
        <v>-111.45577400000001</v>
      </c>
      <c r="P4579">
        <v>5497.8596930000003</v>
      </c>
      <c r="Q4579">
        <v>1400</v>
      </c>
      <c r="R4579">
        <v>0</v>
      </c>
    </row>
    <row r="4580" spans="1:18" x14ac:dyDescent="0.25">
      <c r="A4580">
        <v>4579</v>
      </c>
      <c r="B4580">
        <v>94</v>
      </c>
      <c r="C4580">
        <v>533183</v>
      </c>
      <c r="D4580" t="s">
        <v>44</v>
      </c>
      <c r="E4580">
        <v>4.78</v>
      </c>
      <c r="F4580" t="s">
        <v>21</v>
      </c>
      <c r="G4580" t="s">
        <v>26</v>
      </c>
      <c r="H4580" t="s">
        <v>21</v>
      </c>
      <c r="I4580" t="s">
        <v>20</v>
      </c>
      <c r="J4580" t="s">
        <v>20</v>
      </c>
      <c r="K4580" t="s">
        <v>41</v>
      </c>
      <c r="L4580" t="s">
        <v>45</v>
      </c>
      <c r="M4580" t="s">
        <v>46</v>
      </c>
      <c r="N4580">
        <v>40.946434000000004</v>
      </c>
      <c r="O4580">
        <v>-111.88148200000001</v>
      </c>
      <c r="P4580">
        <v>4259.3605779999998</v>
      </c>
      <c r="Q4580">
        <v>1395</v>
      </c>
      <c r="R4580">
        <v>0</v>
      </c>
    </row>
    <row r="4581" spans="1:18" x14ac:dyDescent="0.25">
      <c r="A4581">
        <v>4580</v>
      </c>
      <c r="B4581">
        <v>94</v>
      </c>
      <c r="C4581">
        <v>1449236</v>
      </c>
      <c r="D4581" t="s">
        <v>109</v>
      </c>
      <c r="E4581">
        <v>4.78</v>
      </c>
      <c r="F4581" t="s">
        <v>21</v>
      </c>
      <c r="G4581" t="s">
        <v>26</v>
      </c>
      <c r="H4581" t="s">
        <v>21</v>
      </c>
      <c r="I4581" t="s">
        <v>20</v>
      </c>
      <c r="J4581" t="s">
        <v>20</v>
      </c>
      <c r="K4581" t="s">
        <v>41</v>
      </c>
      <c r="L4581" t="s">
        <v>42</v>
      </c>
      <c r="M4581" t="s">
        <v>73</v>
      </c>
      <c r="N4581">
        <v>41.631512000000001</v>
      </c>
      <c r="O4581">
        <v>-111.832629</v>
      </c>
      <c r="P4581">
        <v>4744.7504230000004</v>
      </c>
      <c r="Q4581">
        <v>345</v>
      </c>
      <c r="R4581">
        <v>0</v>
      </c>
    </row>
    <row r="4582" spans="1:18" x14ac:dyDescent="0.25">
      <c r="A4582">
        <v>4581</v>
      </c>
      <c r="B4582">
        <v>94</v>
      </c>
      <c r="C4582">
        <v>31520666</v>
      </c>
      <c r="D4582" t="s">
        <v>231</v>
      </c>
      <c r="E4582">
        <v>4.7809999999999997</v>
      </c>
      <c r="F4582" t="s">
        <v>21</v>
      </c>
      <c r="G4582" t="s">
        <v>26</v>
      </c>
      <c r="H4582" t="s">
        <v>21</v>
      </c>
      <c r="I4582" t="s">
        <v>20</v>
      </c>
      <c r="J4582" t="s">
        <v>20</v>
      </c>
      <c r="K4582" t="s">
        <v>41</v>
      </c>
      <c r="L4582" t="s">
        <v>57</v>
      </c>
      <c r="M4582" t="s">
        <v>93</v>
      </c>
      <c r="N4582">
        <v>41.106028999999999</v>
      </c>
      <c r="O4582">
        <v>-112.01806500000001</v>
      </c>
      <c r="P4582">
        <v>4428.7694270000002</v>
      </c>
      <c r="Q4582">
        <v>1409</v>
      </c>
      <c r="R4582">
        <v>0</v>
      </c>
    </row>
    <row r="4583" spans="1:18" x14ac:dyDescent="0.25">
      <c r="A4583">
        <v>4582</v>
      </c>
      <c r="B4583">
        <v>94</v>
      </c>
      <c r="C4583">
        <v>1266586</v>
      </c>
      <c r="D4583" t="s">
        <v>189</v>
      </c>
      <c r="E4583">
        <v>4.7830000000000004</v>
      </c>
      <c r="F4583" t="s">
        <v>19</v>
      </c>
      <c r="G4583" t="s">
        <v>20</v>
      </c>
      <c r="H4583" t="s">
        <v>21</v>
      </c>
      <c r="I4583" t="s">
        <v>20</v>
      </c>
      <c r="J4583" t="s">
        <v>20</v>
      </c>
      <c r="K4583" t="s">
        <v>41</v>
      </c>
      <c r="L4583" t="s">
        <v>81</v>
      </c>
      <c r="M4583" t="s">
        <v>190</v>
      </c>
      <c r="N4583">
        <v>41.222456000000001</v>
      </c>
      <c r="O4583">
        <v>-111.94820799999999</v>
      </c>
      <c r="P4583">
        <v>4407.9553599999999</v>
      </c>
      <c r="Q4583">
        <v>412</v>
      </c>
      <c r="R4583">
        <v>0</v>
      </c>
    </row>
    <row r="4584" spans="1:18" x14ac:dyDescent="0.25">
      <c r="A4584">
        <v>4583</v>
      </c>
      <c r="B4584">
        <v>94</v>
      </c>
      <c r="C4584">
        <v>31760300</v>
      </c>
      <c r="D4584" t="s">
        <v>77</v>
      </c>
      <c r="E4584">
        <v>4.7850000000000001</v>
      </c>
      <c r="F4584" t="s">
        <v>21</v>
      </c>
      <c r="G4584" t="s">
        <v>26</v>
      </c>
      <c r="H4584" t="s">
        <v>21</v>
      </c>
      <c r="I4584" t="s">
        <v>20</v>
      </c>
      <c r="J4584" t="s">
        <v>20</v>
      </c>
      <c r="K4584" t="s">
        <v>31</v>
      </c>
      <c r="L4584" t="s">
        <v>78</v>
      </c>
      <c r="M4584" t="s">
        <v>79</v>
      </c>
      <c r="N4584">
        <v>40.708022</v>
      </c>
      <c r="O4584">
        <v>-112.024894</v>
      </c>
      <c r="P4584">
        <v>4197.3940739999998</v>
      </c>
      <c r="Q4584">
        <v>1436</v>
      </c>
      <c r="R4584">
        <v>0</v>
      </c>
    </row>
    <row r="4585" spans="1:18" x14ac:dyDescent="0.25">
      <c r="A4585">
        <v>4584</v>
      </c>
      <c r="B4585">
        <v>94</v>
      </c>
      <c r="C4585">
        <v>31311473</v>
      </c>
      <c r="D4585" t="s">
        <v>215</v>
      </c>
      <c r="E4585">
        <v>4.7859999999999996</v>
      </c>
      <c r="F4585" t="s">
        <v>21</v>
      </c>
      <c r="G4585" t="s">
        <v>26</v>
      </c>
      <c r="H4585" t="s">
        <v>21</v>
      </c>
      <c r="I4585" t="s">
        <v>20</v>
      </c>
      <c r="J4585" t="s">
        <v>20</v>
      </c>
      <c r="K4585" t="s">
        <v>22</v>
      </c>
      <c r="L4585" t="s">
        <v>23</v>
      </c>
      <c r="M4585" t="s">
        <v>85</v>
      </c>
      <c r="N4585">
        <v>40.272914</v>
      </c>
      <c r="O4585">
        <v>-111.72538900000001</v>
      </c>
      <c r="P4585">
        <v>4472.0440959999996</v>
      </c>
      <c r="Q4585">
        <v>330</v>
      </c>
      <c r="R4585">
        <v>0</v>
      </c>
    </row>
    <row r="4586" spans="1:18" x14ac:dyDescent="0.25">
      <c r="A4586">
        <v>4585</v>
      </c>
      <c r="B4586">
        <v>94</v>
      </c>
      <c r="C4586">
        <v>31401863</v>
      </c>
      <c r="D4586" t="s">
        <v>224</v>
      </c>
      <c r="E4586">
        <v>4.79</v>
      </c>
      <c r="F4586" t="s">
        <v>21</v>
      </c>
      <c r="G4586" t="s">
        <v>26</v>
      </c>
      <c r="H4586" t="s">
        <v>21</v>
      </c>
      <c r="I4586" t="s">
        <v>20</v>
      </c>
      <c r="J4586" t="s">
        <v>20</v>
      </c>
      <c r="K4586" t="s">
        <v>22</v>
      </c>
      <c r="L4586" t="s">
        <v>198</v>
      </c>
      <c r="M4586" t="s">
        <v>194</v>
      </c>
      <c r="N4586">
        <v>40.036751000000002</v>
      </c>
      <c r="O4586">
        <v>-111.733903</v>
      </c>
      <c r="P4586">
        <v>4659.2824330000003</v>
      </c>
      <c r="Q4586">
        <v>408</v>
      </c>
      <c r="R4586">
        <v>0</v>
      </c>
    </row>
    <row r="4587" spans="1:18" x14ac:dyDescent="0.25">
      <c r="A4587">
        <v>4586</v>
      </c>
      <c r="B4587">
        <v>94</v>
      </c>
      <c r="C4587">
        <v>28487968</v>
      </c>
      <c r="D4587" t="s">
        <v>99</v>
      </c>
      <c r="E4587">
        <v>4.8019999999999996</v>
      </c>
      <c r="F4587" t="s">
        <v>21</v>
      </c>
      <c r="G4587" t="s">
        <v>20</v>
      </c>
      <c r="H4587" t="s">
        <v>21</v>
      </c>
      <c r="I4587" t="s">
        <v>20</v>
      </c>
      <c r="J4587" t="s">
        <v>20</v>
      </c>
      <c r="K4587" t="s">
        <v>41</v>
      </c>
      <c r="L4587" t="s">
        <v>81</v>
      </c>
      <c r="M4587" t="s">
        <v>82</v>
      </c>
      <c r="N4587">
        <v>41.209932999999999</v>
      </c>
      <c r="O4587">
        <v>-111.94986299999999</v>
      </c>
      <c r="P4587">
        <v>4467.3844589999999</v>
      </c>
      <c r="Q4587">
        <v>1376</v>
      </c>
      <c r="R4587">
        <v>0</v>
      </c>
    </row>
    <row r="4588" spans="1:18" x14ac:dyDescent="0.25">
      <c r="A4588">
        <v>4587</v>
      </c>
      <c r="B4588">
        <v>94</v>
      </c>
      <c r="C4588">
        <v>575938</v>
      </c>
      <c r="D4588" t="s">
        <v>115</v>
      </c>
      <c r="E4588">
        <v>8.1519999999999992</v>
      </c>
      <c r="F4588" t="s">
        <v>19</v>
      </c>
      <c r="G4588" t="s">
        <v>20</v>
      </c>
      <c r="H4588" t="s">
        <v>21</v>
      </c>
      <c r="I4588" t="s">
        <v>20</v>
      </c>
      <c r="J4588" t="s">
        <v>20</v>
      </c>
      <c r="K4588" t="s">
        <v>31</v>
      </c>
      <c r="L4588" t="s">
        <v>69</v>
      </c>
      <c r="M4588" t="s">
        <v>70</v>
      </c>
      <c r="N4588">
        <v>40.653039999999997</v>
      </c>
      <c r="O4588">
        <v>-111.922056</v>
      </c>
      <c r="P4588">
        <v>4214.2657600000002</v>
      </c>
      <c r="Q4588">
        <v>1437</v>
      </c>
      <c r="R4588">
        <v>0</v>
      </c>
    </row>
    <row r="4589" spans="1:18" x14ac:dyDescent="0.25">
      <c r="A4589">
        <v>4588</v>
      </c>
      <c r="B4589">
        <v>94</v>
      </c>
      <c r="C4589" t="e">
        <f>-JLzK6F3FuLsGOU1Bavyuk</f>
        <v>#NAME?</v>
      </c>
      <c r="D4589" t="s">
        <v>322</v>
      </c>
      <c r="E4589">
        <v>8.1549999999999994</v>
      </c>
      <c r="F4589" t="s">
        <v>21</v>
      </c>
      <c r="G4589" t="s">
        <v>20</v>
      </c>
      <c r="H4589" t="s">
        <v>21</v>
      </c>
      <c r="I4589" t="s">
        <v>20</v>
      </c>
      <c r="J4589" t="s">
        <v>20</v>
      </c>
      <c r="K4589" t="s">
        <v>31</v>
      </c>
      <c r="L4589" t="s">
        <v>84</v>
      </c>
      <c r="M4589" t="s">
        <v>24</v>
      </c>
      <c r="N4589">
        <v>40.511476999999999</v>
      </c>
      <c r="O4589">
        <v>-112.003743</v>
      </c>
      <c r="P4589">
        <v>4718.6955989999997</v>
      </c>
      <c r="Q4589">
        <v>6660</v>
      </c>
      <c r="R4589">
        <v>0</v>
      </c>
    </row>
    <row r="4590" spans="1:18" x14ac:dyDescent="0.25">
      <c r="A4590">
        <v>4589</v>
      </c>
      <c r="B4590">
        <v>94</v>
      </c>
      <c r="C4590">
        <v>540079</v>
      </c>
      <c r="D4590" t="s">
        <v>44</v>
      </c>
      <c r="E4590">
        <v>8.1549999999999994</v>
      </c>
      <c r="F4590" t="s">
        <v>21</v>
      </c>
      <c r="G4590" t="s">
        <v>20</v>
      </c>
      <c r="H4590" t="s">
        <v>21</v>
      </c>
      <c r="I4590" t="s">
        <v>20</v>
      </c>
      <c r="J4590" t="s">
        <v>20</v>
      </c>
      <c r="K4590" t="s">
        <v>41</v>
      </c>
      <c r="L4590" t="s">
        <v>87</v>
      </c>
      <c r="M4590" t="s">
        <v>46</v>
      </c>
      <c r="N4590">
        <v>40.990115000000003</v>
      </c>
      <c r="O4590">
        <v>-111.891566</v>
      </c>
      <c r="P4590">
        <v>4265.5184939999999</v>
      </c>
      <c r="Q4590">
        <v>1395</v>
      </c>
      <c r="R4590">
        <v>0</v>
      </c>
    </row>
    <row r="4591" spans="1:18" x14ac:dyDescent="0.25">
      <c r="A4591">
        <v>4590</v>
      </c>
      <c r="B4591">
        <v>94</v>
      </c>
      <c r="C4591">
        <v>31389674</v>
      </c>
      <c r="D4591" t="s">
        <v>364</v>
      </c>
      <c r="E4591">
        <v>8.1590000000000007</v>
      </c>
      <c r="F4591" t="s">
        <v>21</v>
      </c>
      <c r="G4591" t="s">
        <v>26</v>
      </c>
      <c r="H4591" t="s">
        <v>21</v>
      </c>
      <c r="I4591" t="s">
        <v>20</v>
      </c>
      <c r="J4591" t="s">
        <v>20</v>
      </c>
      <c r="K4591" t="s">
        <v>22</v>
      </c>
      <c r="L4591" t="s">
        <v>140</v>
      </c>
      <c r="M4591" t="s">
        <v>85</v>
      </c>
      <c r="N4591">
        <v>40.108466999999997</v>
      </c>
      <c r="O4591">
        <v>-111.656588</v>
      </c>
      <c r="P4591">
        <v>4528.9804249999997</v>
      </c>
      <c r="Q4591">
        <v>1401</v>
      </c>
      <c r="R4591">
        <v>0</v>
      </c>
    </row>
    <row r="4592" spans="1:18" x14ac:dyDescent="0.25">
      <c r="A4592">
        <v>4591</v>
      </c>
      <c r="B4592">
        <v>94</v>
      </c>
      <c r="C4592">
        <v>28702666</v>
      </c>
      <c r="D4592" t="s">
        <v>192</v>
      </c>
      <c r="E4592">
        <v>8.1639999999999997</v>
      </c>
      <c r="F4592" t="s">
        <v>21</v>
      </c>
      <c r="G4592" t="s">
        <v>26</v>
      </c>
      <c r="H4592" t="s">
        <v>21</v>
      </c>
      <c r="I4592" t="s">
        <v>20</v>
      </c>
      <c r="J4592" t="s">
        <v>20</v>
      </c>
      <c r="K4592" t="s">
        <v>22</v>
      </c>
      <c r="L4592" t="s">
        <v>140</v>
      </c>
      <c r="M4592" t="s">
        <v>125</v>
      </c>
      <c r="N4592">
        <v>40.161163000000002</v>
      </c>
      <c r="O4592">
        <v>-111.627921</v>
      </c>
      <c r="P4592">
        <v>4478.2632400000002</v>
      </c>
      <c r="Q4592">
        <v>1375</v>
      </c>
      <c r="R4592">
        <v>0</v>
      </c>
    </row>
    <row r="4593" spans="1:18" x14ac:dyDescent="0.25">
      <c r="A4593">
        <v>4592</v>
      </c>
      <c r="B4593">
        <v>94</v>
      </c>
      <c r="C4593">
        <v>27508461</v>
      </c>
      <c r="D4593" t="s">
        <v>96</v>
      </c>
      <c r="E4593">
        <v>8.1709999999999994</v>
      </c>
      <c r="F4593" t="s">
        <v>21</v>
      </c>
      <c r="G4593" t="s">
        <v>26</v>
      </c>
      <c r="H4593" t="s">
        <v>21</v>
      </c>
      <c r="I4593" t="s">
        <v>20</v>
      </c>
      <c r="J4593" t="s">
        <v>20</v>
      </c>
      <c r="K4593" t="s">
        <v>22</v>
      </c>
      <c r="L4593" t="s">
        <v>97</v>
      </c>
      <c r="M4593" t="s">
        <v>98</v>
      </c>
      <c r="N4593">
        <v>40.988292999999999</v>
      </c>
      <c r="O4593">
        <v>-109.718129</v>
      </c>
      <c r="P4593">
        <v>6265.3851489999997</v>
      </c>
      <c r="Q4593">
        <v>311</v>
      </c>
      <c r="R4593">
        <v>0</v>
      </c>
    </row>
    <row r="4594" spans="1:18" x14ac:dyDescent="0.25">
      <c r="A4594">
        <v>4593</v>
      </c>
      <c r="B4594">
        <v>94</v>
      </c>
      <c r="C4594">
        <v>31584398</v>
      </c>
      <c r="D4594" t="s">
        <v>271</v>
      </c>
      <c r="E4594">
        <v>8.1750000000000007</v>
      </c>
      <c r="F4594" t="s">
        <v>21</v>
      </c>
      <c r="G4594" t="s">
        <v>20</v>
      </c>
      <c r="H4594" t="s">
        <v>21</v>
      </c>
      <c r="I4594" t="s">
        <v>20</v>
      </c>
      <c r="J4594" t="s">
        <v>20</v>
      </c>
      <c r="K4594" t="s">
        <v>31</v>
      </c>
      <c r="L4594" t="s">
        <v>282</v>
      </c>
      <c r="M4594" t="s">
        <v>24</v>
      </c>
      <c r="N4594">
        <v>40.305306999999999</v>
      </c>
      <c r="O4594">
        <v>-112.278756</v>
      </c>
      <c r="P4594">
        <v>5437.0471649999999</v>
      </c>
      <c r="Q4594">
        <v>1372</v>
      </c>
      <c r="R4594">
        <v>0</v>
      </c>
    </row>
    <row r="4595" spans="1:18" x14ac:dyDescent="0.25">
      <c r="A4595">
        <v>4594</v>
      </c>
      <c r="B4595">
        <v>94</v>
      </c>
      <c r="C4595">
        <v>31409297</v>
      </c>
      <c r="D4595" t="s">
        <v>224</v>
      </c>
      <c r="E4595">
        <v>8.1940000000000008</v>
      </c>
      <c r="F4595" t="s">
        <v>21</v>
      </c>
      <c r="G4595" t="s">
        <v>26</v>
      </c>
      <c r="H4595" t="s">
        <v>21</v>
      </c>
      <c r="I4595" t="s">
        <v>20</v>
      </c>
      <c r="J4595" t="s">
        <v>20</v>
      </c>
      <c r="K4595" t="s">
        <v>22</v>
      </c>
      <c r="L4595" t="s">
        <v>198</v>
      </c>
      <c r="M4595" t="s">
        <v>194</v>
      </c>
      <c r="N4595">
        <v>40.052244999999999</v>
      </c>
      <c r="O4595">
        <v>-111.681292</v>
      </c>
      <c r="P4595">
        <v>4528.3001839999997</v>
      </c>
      <c r="Q4595">
        <v>408</v>
      </c>
      <c r="R4595">
        <v>0</v>
      </c>
    </row>
    <row r="4596" spans="1:18" x14ac:dyDescent="0.25">
      <c r="A4596">
        <v>4595</v>
      </c>
      <c r="B4596">
        <v>94</v>
      </c>
      <c r="C4596" t="s">
        <v>678</v>
      </c>
      <c r="D4596" t="s">
        <v>176</v>
      </c>
      <c r="E4596">
        <v>8.1959999999999997</v>
      </c>
      <c r="F4596" t="s">
        <v>21</v>
      </c>
      <c r="G4596" t="s">
        <v>26</v>
      </c>
      <c r="H4596" t="s">
        <v>21</v>
      </c>
      <c r="I4596" t="s">
        <v>20</v>
      </c>
      <c r="J4596" t="s">
        <v>20</v>
      </c>
      <c r="K4596" t="s">
        <v>41</v>
      </c>
      <c r="L4596" t="s">
        <v>177</v>
      </c>
      <c r="M4596" t="s">
        <v>178</v>
      </c>
      <c r="N4596">
        <v>41.551378</v>
      </c>
      <c r="O4596">
        <v>-112.11175</v>
      </c>
      <c r="P4596">
        <v>4178.5595080000003</v>
      </c>
      <c r="Q4596">
        <v>1329</v>
      </c>
      <c r="R4596">
        <v>0</v>
      </c>
    </row>
    <row r="4597" spans="1:18" x14ac:dyDescent="0.25">
      <c r="A4597">
        <v>4596</v>
      </c>
      <c r="B4597">
        <v>94</v>
      </c>
      <c r="C4597" t="e">
        <f>-IpUs337IS1c_w8bl7NM_V</f>
        <v>#NAME?</v>
      </c>
      <c r="D4597" t="s">
        <v>272</v>
      </c>
      <c r="E4597">
        <v>419.64800000000002</v>
      </c>
      <c r="F4597" t="s">
        <v>21</v>
      </c>
      <c r="G4597" t="s">
        <v>26</v>
      </c>
      <c r="H4597" t="s">
        <v>21</v>
      </c>
      <c r="I4597" t="s">
        <v>20</v>
      </c>
      <c r="J4597" t="s">
        <v>20</v>
      </c>
      <c r="K4597" t="s">
        <v>41</v>
      </c>
      <c r="L4597" t="s">
        <v>81</v>
      </c>
      <c r="M4597" t="s">
        <v>46</v>
      </c>
      <c r="N4597">
        <v>41.299183999999997</v>
      </c>
      <c r="O4597">
        <v>-111.998694</v>
      </c>
      <c r="P4597">
        <v>4253.1886999999997</v>
      </c>
      <c r="Q4597">
        <v>1384</v>
      </c>
      <c r="R4597">
        <v>0</v>
      </c>
    </row>
    <row r="4598" spans="1:18" x14ac:dyDescent="0.25">
      <c r="A4598">
        <v>4597</v>
      </c>
      <c r="B4598">
        <v>94</v>
      </c>
      <c r="C4598" t="e">
        <f>-IpUsF6bHAao3oMFQvstrk</f>
        <v>#NAME?</v>
      </c>
      <c r="D4598" t="s">
        <v>272</v>
      </c>
      <c r="E4598">
        <v>419.85899999999998</v>
      </c>
      <c r="F4598" t="s">
        <v>21</v>
      </c>
      <c r="G4598" t="s">
        <v>26</v>
      </c>
      <c r="H4598" t="s">
        <v>21</v>
      </c>
      <c r="I4598" t="s">
        <v>20</v>
      </c>
      <c r="J4598" t="s">
        <v>20</v>
      </c>
      <c r="K4598" t="s">
        <v>41</v>
      </c>
      <c r="L4598" t="s">
        <v>81</v>
      </c>
      <c r="M4598" t="s">
        <v>46</v>
      </c>
      <c r="N4598">
        <v>41.301681000000002</v>
      </c>
      <c r="O4598">
        <v>-112.00094300000001</v>
      </c>
      <c r="P4598">
        <v>4250.3549469999998</v>
      </c>
      <c r="Q4598">
        <v>1384</v>
      </c>
      <c r="R4598">
        <v>0</v>
      </c>
    </row>
    <row r="4599" spans="1:18" x14ac:dyDescent="0.25">
      <c r="A4599">
        <v>4598</v>
      </c>
      <c r="B4599">
        <v>94</v>
      </c>
      <c r="C4599" t="e">
        <f>-IpUsJxhGMHehFfCR0L9hV</f>
        <v>#NAME?</v>
      </c>
      <c r="D4599" t="s">
        <v>272</v>
      </c>
      <c r="E4599">
        <v>419.96499999999997</v>
      </c>
      <c r="F4599" t="s">
        <v>21</v>
      </c>
      <c r="G4599" t="s">
        <v>26</v>
      </c>
      <c r="H4599" t="s">
        <v>21</v>
      </c>
      <c r="I4599" t="s">
        <v>20</v>
      </c>
      <c r="J4599" t="s">
        <v>20</v>
      </c>
      <c r="K4599" t="s">
        <v>41</v>
      </c>
      <c r="L4599" t="s">
        <v>81</v>
      </c>
      <c r="M4599" t="s">
        <v>46</v>
      </c>
      <c r="N4599">
        <v>41.302942999999999</v>
      </c>
      <c r="O4599">
        <v>-112.002064</v>
      </c>
      <c r="P4599">
        <v>4248.3799909999998</v>
      </c>
      <c r="Q4599">
        <v>1384</v>
      </c>
      <c r="R4599">
        <v>0</v>
      </c>
    </row>
    <row r="4600" spans="1:18" x14ac:dyDescent="0.25">
      <c r="A4600">
        <v>4599</v>
      </c>
      <c r="B4600">
        <v>94</v>
      </c>
      <c r="C4600">
        <v>31579575</v>
      </c>
      <c r="D4600" t="s">
        <v>172</v>
      </c>
      <c r="E4600">
        <v>47.140999999999998</v>
      </c>
      <c r="F4600" t="s">
        <v>21</v>
      </c>
      <c r="G4600" t="s">
        <v>26</v>
      </c>
      <c r="H4600" t="s">
        <v>21</v>
      </c>
      <c r="I4600" t="s">
        <v>20</v>
      </c>
      <c r="J4600" t="s">
        <v>20</v>
      </c>
      <c r="K4600" t="s">
        <v>27</v>
      </c>
      <c r="L4600" t="s">
        <v>230</v>
      </c>
      <c r="M4600" t="s">
        <v>174</v>
      </c>
      <c r="N4600">
        <v>39.634011000000001</v>
      </c>
      <c r="O4600">
        <v>-111.634469</v>
      </c>
      <c r="P4600">
        <v>5878.8969470000002</v>
      </c>
      <c r="Q4600">
        <v>1411</v>
      </c>
      <c r="R4600">
        <v>0</v>
      </c>
    </row>
    <row r="4601" spans="1:18" x14ac:dyDescent="0.25">
      <c r="A4601">
        <v>4600</v>
      </c>
      <c r="B4601">
        <v>94</v>
      </c>
      <c r="C4601">
        <v>31319762</v>
      </c>
      <c r="D4601" t="s">
        <v>241</v>
      </c>
      <c r="E4601">
        <v>47.161000000000001</v>
      </c>
      <c r="F4601" t="s">
        <v>21</v>
      </c>
      <c r="G4601" t="s">
        <v>26</v>
      </c>
      <c r="H4601" t="s">
        <v>21</v>
      </c>
      <c r="I4601" t="s">
        <v>20</v>
      </c>
      <c r="J4601" t="s">
        <v>20</v>
      </c>
      <c r="K4601" t="s">
        <v>27</v>
      </c>
      <c r="L4601" t="s">
        <v>111</v>
      </c>
      <c r="M4601" t="s">
        <v>243</v>
      </c>
      <c r="N4601">
        <v>39.328249999999997</v>
      </c>
      <c r="O4601">
        <v>-110.964585</v>
      </c>
      <c r="P4601">
        <v>5736.9607290000004</v>
      </c>
      <c r="Q4601">
        <v>1327</v>
      </c>
      <c r="R4601">
        <v>0</v>
      </c>
    </row>
    <row r="4602" spans="1:18" x14ac:dyDescent="0.25">
      <c r="A4602">
        <v>4601</v>
      </c>
      <c r="B4602">
        <v>94</v>
      </c>
      <c r="C4602">
        <v>31293934</v>
      </c>
      <c r="D4602" t="s">
        <v>308</v>
      </c>
      <c r="E4602">
        <v>47.204999999999998</v>
      </c>
      <c r="F4602" t="s">
        <v>21</v>
      </c>
      <c r="G4602" t="s">
        <v>26</v>
      </c>
      <c r="H4602" t="s">
        <v>21</v>
      </c>
      <c r="I4602" t="s">
        <v>20</v>
      </c>
      <c r="J4602" t="s">
        <v>20</v>
      </c>
      <c r="K4602" t="s">
        <v>27</v>
      </c>
      <c r="L4602" t="s">
        <v>111</v>
      </c>
      <c r="M4602" t="s">
        <v>82</v>
      </c>
      <c r="N4602">
        <v>39.338344999999997</v>
      </c>
      <c r="O4602">
        <v>-110.973637</v>
      </c>
      <c r="P4602">
        <v>5774.4819820000002</v>
      </c>
      <c r="Q4602">
        <v>1344</v>
      </c>
      <c r="R4602">
        <v>0</v>
      </c>
    </row>
    <row r="4603" spans="1:18" x14ac:dyDescent="0.25">
      <c r="A4603">
        <v>4602</v>
      </c>
      <c r="B4603">
        <v>94</v>
      </c>
      <c r="C4603">
        <v>31579586</v>
      </c>
      <c r="D4603" t="s">
        <v>172</v>
      </c>
      <c r="E4603">
        <v>47.234999999999999</v>
      </c>
      <c r="F4603" t="s">
        <v>21</v>
      </c>
      <c r="G4603" t="s">
        <v>26</v>
      </c>
      <c r="H4603" t="s">
        <v>21</v>
      </c>
      <c r="I4603" t="s">
        <v>20</v>
      </c>
      <c r="J4603" t="s">
        <v>20</v>
      </c>
      <c r="K4603" t="s">
        <v>27</v>
      </c>
      <c r="L4603" t="s">
        <v>230</v>
      </c>
      <c r="M4603" t="s">
        <v>174</v>
      </c>
      <c r="N4603">
        <v>39.632638</v>
      </c>
      <c r="O4603">
        <v>-111.634462</v>
      </c>
      <c r="P4603">
        <v>5867.7932190000001</v>
      </c>
      <c r="Q4603">
        <v>1411</v>
      </c>
      <c r="R4603">
        <v>0</v>
      </c>
    </row>
    <row r="4604" spans="1:18" x14ac:dyDescent="0.25">
      <c r="A4604">
        <v>4603</v>
      </c>
      <c r="B4604">
        <v>94</v>
      </c>
      <c r="C4604">
        <v>31330331</v>
      </c>
      <c r="D4604" t="s">
        <v>288</v>
      </c>
      <c r="E4604">
        <v>47.238</v>
      </c>
      <c r="F4604" t="s">
        <v>21</v>
      </c>
      <c r="G4604" t="s">
        <v>26</v>
      </c>
      <c r="H4604" t="s">
        <v>19</v>
      </c>
      <c r="I4604">
        <v>95</v>
      </c>
      <c r="J4604" t="s">
        <v>20</v>
      </c>
      <c r="K4604" t="s">
        <v>27</v>
      </c>
      <c r="L4604" t="s">
        <v>327</v>
      </c>
      <c r="M4604" t="s">
        <v>212</v>
      </c>
      <c r="N4604">
        <v>37.572806</v>
      </c>
      <c r="O4604">
        <v>-109.48746300000001</v>
      </c>
      <c r="P4604">
        <v>5691.0026070000004</v>
      </c>
      <c r="Q4604">
        <v>350</v>
      </c>
      <c r="R4604">
        <v>0</v>
      </c>
    </row>
    <row r="4605" spans="1:18" x14ac:dyDescent="0.25">
      <c r="A4605">
        <v>4604</v>
      </c>
      <c r="B4605">
        <v>94</v>
      </c>
      <c r="C4605">
        <v>27731258</v>
      </c>
      <c r="D4605" t="s">
        <v>217</v>
      </c>
      <c r="E4605">
        <v>47.243000000000002</v>
      </c>
      <c r="F4605" t="s">
        <v>21</v>
      </c>
      <c r="G4605" t="s">
        <v>20</v>
      </c>
      <c r="H4605" t="s">
        <v>21</v>
      </c>
      <c r="I4605" t="s">
        <v>20</v>
      </c>
      <c r="J4605" t="s">
        <v>20</v>
      </c>
      <c r="K4605" t="s">
        <v>27</v>
      </c>
      <c r="L4605" t="s">
        <v>162</v>
      </c>
      <c r="M4605" t="s">
        <v>163</v>
      </c>
      <c r="N4605">
        <v>37.655757000000001</v>
      </c>
      <c r="O4605">
        <v>-113.661204</v>
      </c>
      <c r="P4605">
        <v>5134.6499219999996</v>
      </c>
      <c r="Q4605">
        <v>304</v>
      </c>
      <c r="R4605">
        <v>0</v>
      </c>
    </row>
    <row r="4606" spans="1:18" x14ac:dyDescent="0.25">
      <c r="A4606">
        <v>4605</v>
      </c>
      <c r="B4606">
        <v>94</v>
      </c>
      <c r="C4606" t="e">
        <f>-IpUwBCBFYuol1AkBel4_V</f>
        <v>#NAME?</v>
      </c>
      <c r="D4606" t="s">
        <v>272</v>
      </c>
      <c r="E4606">
        <v>420.92700000000002</v>
      </c>
      <c r="F4606" t="s">
        <v>21</v>
      </c>
      <c r="G4606" t="s">
        <v>26</v>
      </c>
      <c r="H4606" t="s">
        <v>21</v>
      </c>
      <c r="I4606" t="s">
        <v>20</v>
      </c>
      <c r="J4606" t="s">
        <v>20</v>
      </c>
      <c r="K4606" t="s">
        <v>41</v>
      </c>
      <c r="L4606" t="s">
        <v>81</v>
      </c>
      <c r="M4606" t="s">
        <v>46</v>
      </c>
      <c r="N4606">
        <v>41.314687999999997</v>
      </c>
      <c r="O4606">
        <v>-112.011781</v>
      </c>
      <c r="P4606">
        <v>4237.9137929999997</v>
      </c>
      <c r="Q4606">
        <v>1384</v>
      </c>
      <c r="R4606">
        <v>0</v>
      </c>
    </row>
    <row r="4607" spans="1:18" x14ac:dyDescent="0.25">
      <c r="A4607">
        <v>4606</v>
      </c>
      <c r="B4607">
        <v>94</v>
      </c>
      <c r="C4607" t="s">
        <v>679</v>
      </c>
      <c r="D4607" t="s">
        <v>272</v>
      </c>
      <c r="E4607">
        <v>421.20800000000003</v>
      </c>
      <c r="F4607" t="s">
        <v>21</v>
      </c>
      <c r="G4607" t="s">
        <v>26</v>
      </c>
      <c r="H4607" t="s">
        <v>21</v>
      </c>
      <c r="I4607" t="s">
        <v>20</v>
      </c>
      <c r="J4607" t="s">
        <v>20</v>
      </c>
      <c r="K4607" t="s">
        <v>41</v>
      </c>
      <c r="L4607" t="s">
        <v>81</v>
      </c>
      <c r="M4607" t="s">
        <v>46</v>
      </c>
      <c r="N4607">
        <v>41.318209000000003</v>
      </c>
      <c r="O4607">
        <v>-112.014426</v>
      </c>
      <c r="P4607">
        <v>4242.45442</v>
      </c>
      <c r="Q4607">
        <v>1384</v>
      </c>
      <c r="R4607">
        <v>0</v>
      </c>
    </row>
    <row r="4608" spans="1:18" x14ac:dyDescent="0.25">
      <c r="A4608">
        <v>4607</v>
      </c>
      <c r="B4608">
        <v>94</v>
      </c>
      <c r="C4608">
        <v>1464558</v>
      </c>
      <c r="D4608" t="s">
        <v>109</v>
      </c>
      <c r="E4608">
        <v>7.9039999999999999</v>
      </c>
      <c r="F4608" t="s">
        <v>21</v>
      </c>
      <c r="G4608" t="s">
        <v>26</v>
      </c>
      <c r="H4608" t="s">
        <v>21</v>
      </c>
      <c r="I4608" t="s">
        <v>20</v>
      </c>
      <c r="J4608" t="s">
        <v>20</v>
      </c>
      <c r="K4608" t="s">
        <v>41</v>
      </c>
      <c r="L4608" t="s">
        <v>42</v>
      </c>
      <c r="M4608" t="s">
        <v>73</v>
      </c>
      <c r="N4608">
        <v>41.676730999999997</v>
      </c>
      <c r="O4608">
        <v>-111.83337</v>
      </c>
      <c r="P4608">
        <v>4494.4621269999998</v>
      </c>
      <c r="Q4608">
        <v>345</v>
      </c>
      <c r="R4608">
        <v>0</v>
      </c>
    </row>
    <row r="4609" spans="1:18" x14ac:dyDescent="0.25">
      <c r="A4609">
        <v>4608</v>
      </c>
      <c r="B4609">
        <v>94</v>
      </c>
      <c r="C4609">
        <v>31608654</v>
      </c>
      <c r="D4609" t="s">
        <v>232</v>
      </c>
      <c r="E4609">
        <v>6.77</v>
      </c>
      <c r="F4609" t="s">
        <v>21</v>
      </c>
      <c r="G4609" t="s">
        <v>26</v>
      </c>
      <c r="H4609" t="s">
        <v>21</v>
      </c>
      <c r="I4609" t="s">
        <v>20</v>
      </c>
      <c r="J4609" t="s">
        <v>20</v>
      </c>
      <c r="K4609" t="s">
        <v>31</v>
      </c>
      <c r="L4609" t="s">
        <v>130</v>
      </c>
      <c r="M4609" t="s">
        <v>131</v>
      </c>
      <c r="N4609">
        <v>40.655186</v>
      </c>
      <c r="O4609">
        <v>-111.411337</v>
      </c>
      <c r="P4609">
        <v>6351.1282499999998</v>
      </c>
      <c r="Q4609">
        <v>1279</v>
      </c>
      <c r="R4609">
        <v>0</v>
      </c>
    </row>
    <row r="4610" spans="1:18" x14ac:dyDescent="0.25">
      <c r="A4610">
        <v>4609</v>
      </c>
      <c r="B4610">
        <v>94</v>
      </c>
      <c r="C4610">
        <v>31354966</v>
      </c>
      <c r="D4610" t="s">
        <v>34</v>
      </c>
      <c r="E4610">
        <v>6.7720000000000002</v>
      </c>
      <c r="F4610" t="s">
        <v>21</v>
      </c>
      <c r="G4610" t="s">
        <v>26</v>
      </c>
      <c r="H4610" t="s">
        <v>21</v>
      </c>
      <c r="I4610" t="s">
        <v>20</v>
      </c>
      <c r="J4610" t="s">
        <v>20</v>
      </c>
      <c r="K4610" t="s">
        <v>22</v>
      </c>
      <c r="L4610" t="s">
        <v>35</v>
      </c>
      <c r="M4610" t="s">
        <v>36</v>
      </c>
      <c r="N4610">
        <v>40.506416000000002</v>
      </c>
      <c r="O4610">
        <v>-111.420456</v>
      </c>
      <c r="P4610">
        <v>5525.3705470000004</v>
      </c>
      <c r="Q4610">
        <v>1400</v>
      </c>
      <c r="R4610">
        <v>0</v>
      </c>
    </row>
    <row r="4611" spans="1:18" x14ac:dyDescent="0.25">
      <c r="A4611">
        <v>4610</v>
      </c>
      <c r="B4611">
        <v>94</v>
      </c>
      <c r="C4611">
        <v>31312310</v>
      </c>
      <c r="D4611" t="s">
        <v>40</v>
      </c>
      <c r="E4611">
        <v>6.774</v>
      </c>
      <c r="F4611" t="s">
        <v>21</v>
      </c>
      <c r="G4611" t="s">
        <v>26</v>
      </c>
      <c r="H4611" t="s">
        <v>21</v>
      </c>
      <c r="I4611" t="s">
        <v>20</v>
      </c>
      <c r="J4611" t="s">
        <v>20</v>
      </c>
      <c r="K4611" t="s">
        <v>41</v>
      </c>
      <c r="L4611" t="s">
        <v>42</v>
      </c>
      <c r="M4611" t="s">
        <v>43</v>
      </c>
      <c r="N4611">
        <v>41.634394999999998</v>
      </c>
      <c r="O4611">
        <v>-111.81637499999999</v>
      </c>
      <c r="P4611">
        <v>4770.5294110000004</v>
      </c>
      <c r="Q4611">
        <v>1391</v>
      </c>
      <c r="R4611">
        <v>0</v>
      </c>
    </row>
    <row r="4612" spans="1:18" x14ac:dyDescent="0.25">
      <c r="A4612">
        <v>4611</v>
      </c>
      <c r="B4612">
        <v>94</v>
      </c>
      <c r="C4612">
        <v>31300274</v>
      </c>
      <c r="D4612" t="s">
        <v>203</v>
      </c>
      <c r="E4612">
        <v>6.7770000000000001</v>
      </c>
      <c r="F4612" t="s">
        <v>21</v>
      </c>
      <c r="G4612" t="s">
        <v>26</v>
      </c>
      <c r="H4612" t="s">
        <v>21</v>
      </c>
      <c r="I4612" t="s">
        <v>20</v>
      </c>
      <c r="J4612" t="s">
        <v>20</v>
      </c>
      <c r="K4612" t="s">
        <v>41</v>
      </c>
      <c r="L4612" t="s">
        <v>81</v>
      </c>
      <c r="M4612" t="s">
        <v>204</v>
      </c>
      <c r="N4612">
        <v>41.244241000000002</v>
      </c>
      <c r="O4612">
        <v>-111.96260599999999</v>
      </c>
      <c r="P4612">
        <v>4257.9730799999998</v>
      </c>
      <c r="Q4612">
        <v>1349</v>
      </c>
      <c r="R4612">
        <v>0</v>
      </c>
    </row>
    <row r="4613" spans="1:18" x14ac:dyDescent="0.25">
      <c r="A4613">
        <v>4612</v>
      </c>
      <c r="B4613">
        <v>94</v>
      </c>
      <c r="C4613">
        <v>31755902</v>
      </c>
      <c r="D4613" t="s">
        <v>128</v>
      </c>
      <c r="E4613">
        <v>6.79</v>
      </c>
      <c r="F4613" t="s">
        <v>19</v>
      </c>
      <c r="G4613" t="s">
        <v>20</v>
      </c>
      <c r="H4613" t="s">
        <v>19</v>
      </c>
      <c r="I4613">
        <v>91</v>
      </c>
      <c r="J4613" t="s">
        <v>20</v>
      </c>
      <c r="K4613" t="s">
        <v>41</v>
      </c>
      <c r="L4613" t="s">
        <v>95</v>
      </c>
      <c r="M4613" t="s">
        <v>73</v>
      </c>
      <c r="N4613">
        <v>41.777749999999997</v>
      </c>
      <c r="O4613">
        <v>-111.833958</v>
      </c>
      <c r="P4613">
        <v>4432.0266750000001</v>
      </c>
      <c r="Q4613">
        <v>5943</v>
      </c>
      <c r="R4613">
        <v>0</v>
      </c>
    </row>
    <row r="4614" spans="1:18" x14ac:dyDescent="0.25">
      <c r="A4614">
        <v>4613</v>
      </c>
      <c r="B4614">
        <v>94</v>
      </c>
      <c r="C4614" t="e">
        <f>-JLdXkRwGQeoh8Z66Kxu-F</f>
        <v>#NAME?</v>
      </c>
      <c r="D4614" t="s">
        <v>44</v>
      </c>
      <c r="E4614">
        <v>6.7939999999999996</v>
      </c>
      <c r="F4614" t="s">
        <v>21</v>
      </c>
      <c r="G4614" t="s">
        <v>26</v>
      </c>
      <c r="H4614" t="s">
        <v>21</v>
      </c>
      <c r="I4614" t="s">
        <v>20</v>
      </c>
      <c r="J4614" t="s">
        <v>20</v>
      </c>
      <c r="K4614" t="s">
        <v>41</v>
      </c>
      <c r="L4614" t="s">
        <v>87</v>
      </c>
      <c r="M4614" t="s">
        <v>46</v>
      </c>
      <c r="N4614">
        <v>40.975434</v>
      </c>
      <c r="O4614">
        <v>-111.88328300000001</v>
      </c>
      <c r="P4614">
        <v>4310.5660209999996</v>
      </c>
      <c r="Q4614">
        <v>1395</v>
      </c>
      <c r="R4614">
        <v>0</v>
      </c>
    </row>
    <row r="4615" spans="1:18" x14ac:dyDescent="0.25">
      <c r="A4615">
        <v>4614</v>
      </c>
      <c r="B4615">
        <v>94</v>
      </c>
      <c r="C4615">
        <v>31644275</v>
      </c>
      <c r="D4615" t="s">
        <v>393</v>
      </c>
      <c r="E4615">
        <v>6.7960000000000003</v>
      </c>
      <c r="F4615" t="s">
        <v>21</v>
      </c>
      <c r="G4615" t="s">
        <v>26</v>
      </c>
      <c r="H4615" t="s">
        <v>21</v>
      </c>
      <c r="I4615" t="s">
        <v>20</v>
      </c>
      <c r="J4615" t="s">
        <v>20</v>
      </c>
      <c r="K4615" t="s">
        <v>27</v>
      </c>
      <c r="L4615" t="s">
        <v>158</v>
      </c>
      <c r="M4615" t="s">
        <v>190</v>
      </c>
      <c r="N4615">
        <v>39.533607000000003</v>
      </c>
      <c r="O4615">
        <v>-110.403087</v>
      </c>
      <c r="P4615">
        <v>6073.1882610000002</v>
      </c>
      <c r="Q4615">
        <v>333</v>
      </c>
      <c r="R4615">
        <v>0</v>
      </c>
    </row>
    <row r="4616" spans="1:18" x14ac:dyDescent="0.25">
      <c r="A4616">
        <v>4615</v>
      </c>
      <c r="B4616">
        <v>94</v>
      </c>
      <c r="C4616">
        <v>1458409</v>
      </c>
      <c r="D4616" t="s">
        <v>109</v>
      </c>
      <c r="E4616">
        <v>6.8070000000000004</v>
      </c>
      <c r="F4616" t="s">
        <v>21</v>
      </c>
      <c r="G4616" t="s">
        <v>26</v>
      </c>
      <c r="H4616" t="s">
        <v>21</v>
      </c>
      <c r="I4616" t="s">
        <v>20</v>
      </c>
      <c r="J4616" t="s">
        <v>20</v>
      </c>
      <c r="K4616" t="s">
        <v>41</v>
      </c>
      <c r="L4616" t="s">
        <v>42</v>
      </c>
      <c r="M4616" t="s">
        <v>73</v>
      </c>
      <c r="N4616">
        <v>41.660845999999999</v>
      </c>
      <c r="O4616">
        <v>-111.83360500000001</v>
      </c>
      <c r="P4616">
        <v>4553.1997199999996</v>
      </c>
      <c r="Q4616">
        <v>345</v>
      </c>
      <c r="R4616">
        <v>0</v>
      </c>
    </row>
    <row r="4617" spans="1:18" x14ac:dyDescent="0.25">
      <c r="A4617">
        <v>4616</v>
      </c>
      <c r="B4617">
        <v>94</v>
      </c>
      <c r="C4617">
        <v>31526111</v>
      </c>
      <c r="D4617" t="s">
        <v>390</v>
      </c>
      <c r="E4617">
        <v>6.8129999999999997</v>
      </c>
      <c r="F4617" t="s">
        <v>21</v>
      </c>
      <c r="G4617" t="s">
        <v>26</v>
      </c>
      <c r="H4617" t="s">
        <v>21</v>
      </c>
      <c r="I4617" t="s">
        <v>20</v>
      </c>
      <c r="J4617" t="s">
        <v>20</v>
      </c>
      <c r="K4617" t="s">
        <v>22</v>
      </c>
      <c r="L4617" t="s">
        <v>84</v>
      </c>
      <c r="M4617" t="s">
        <v>335</v>
      </c>
      <c r="N4617">
        <v>40.432065999999999</v>
      </c>
      <c r="O4617">
        <v>-111.76645499999999</v>
      </c>
      <c r="P4617">
        <v>4916.1917270000004</v>
      </c>
      <c r="Q4617">
        <v>1386</v>
      </c>
      <c r="R4617">
        <v>0</v>
      </c>
    </row>
    <row r="4618" spans="1:18" x14ac:dyDescent="0.25">
      <c r="A4618">
        <v>4617</v>
      </c>
      <c r="B4618">
        <v>94</v>
      </c>
      <c r="C4618">
        <v>27867692</v>
      </c>
      <c r="D4618" t="s">
        <v>91</v>
      </c>
      <c r="E4618">
        <v>6.8140000000000001</v>
      </c>
      <c r="F4618" t="s">
        <v>21</v>
      </c>
      <c r="G4618" t="s">
        <v>26</v>
      </c>
      <c r="H4618" t="s">
        <v>21</v>
      </c>
      <c r="I4618" t="s">
        <v>20</v>
      </c>
      <c r="J4618" t="s">
        <v>20</v>
      </c>
      <c r="K4618" t="s">
        <v>41</v>
      </c>
      <c r="L4618" t="s">
        <v>42</v>
      </c>
      <c r="M4618" t="s">
        <v>73</v>
      </c>
      <c r="N4618">
        <v>41.703781999999997</v>
      </c>
      <c r="O4618">
        <v>-111.979263</v>
      </c>
      <c r="P4618">
        <v>4479.7564599999996</v>
      </c>
      <c r="Q4618">
        <v>1339</v>
      </c>
      <c r="R4618">
        <v>0</v>
      </c>
    </row>
    <row r="4619" spans="1:18" x14ac:dyDescent="0.25">
      <c r="A4619">
        <v>4618</v>
      </c>
      <c r="B4619">
        <v>94</v>
      </c>
      <c r="C4619" t="e">
        <f>-Ip9xi7qG-LDuJzvi4n3NV</f>
        <v>#NAME?</v>
      </c>
      <c r="D4619" t="s">
        <v>37</v>
      </c>
      <c r="E4619">
        <v>6.8179999999999996</v>
      </c>
      <c r="F4619" t="s">
        <v>21</v>
      </c>
      <c r="G4619" t="s">
        <v>26</v>
      </c>
      <c r="H4619" t="s">
        <v>21</v>
      </c>
      <c r="I4619" t="s">
        <v>20</v>
      </c>
      <c r="J4619" t="s">
        <v>20</v>
      </c>
      <c r="K4619" t="s">
        <v>27</v>
      </c>
      <c r="L4619" t="s">
        <v>38</v>
      </c>
      <c r="M4619" t="s">
        <v>39</v>
      </c>
      <c r="N4619">
        <v>38.639377000000003</v>
      </c>
      <c r="O4619">
        <v>-109.478184</v>
      </c>
      <c r="P4619">
        <v>3939.5019750000001</v>
      </c>
      <c r="Q4619">
        <v>1319</v>
      </c>
      <c r="R4619">
        <v>0</v>
      </c>
    </row>
    <row r="4620" spans="1:18" x14ac:dyDescent="0.25">
      <c r="A4620">
        <v>4619</v>
      </c>
      <c r="B4620">
        <v>94</v>
      </c>
      <c r="C4620">
        <v>1491235</v>
      </c>
      <c r="D4620" t="s">
        <v>88</v>
      </c>
      <c r="E4620">
        <v>6.8280000000000003</v>
      </c>
      <c r="F4620" t="s">
        <v>21</v>
      </c>
      <c r="G4620" t="s">
        <v>26</v>
      </c>
      <c r="H4620" t="s">
        <v>21</v>
      </c>
      <c r="I4620" t="s">
        <v>20</v>
      </c>
      <c r="J4620" t="s">
        <v>20</v>
      </c>
      <c r="K4620" t="s">
        <v>31</v>
      </c>
      <c r="L4620" t="s">
        <v>89</v>
      </c>
      <c r="M4620" t="s">
        <v>90</v>
      </c>
      <c r="N4620">
        <v>40.538783000000002</v>
      </c>
      <c r="O4620">
        <v>-111.871199</v>
      </c>
      <c r="P4620">
        <v>4435.8023009999997</v>
      </c>
      <c r="Q4620">
        <v>318</v>
      </c>
      <c r="R4620">
        <v>0</v>
      </c>
    </row>
    <row r="4621" spans="1:18" x14ac:dyDescent="0.25">
      <c r="A4621">
        <v>4620</v>
      </c>
      <c r="B4621">
        <v>94</v>
      </c>
      <c r="C4621">
        <v>31306432</v>
      </c>
      <c r="D4621" t="s">
        <v>316</v>
      </c>
      <c r="E4621">
        <v>60.57</v>
      </c>
      <c r="F4621" t="s">
        <v>21</v>
      </c>
      <c r="G4621" t="s">
        <v>26</v>
      </c>
      <c r="H4621" t="s">
        <v>21</v>
      </c>
      <c r="I4621" t="s">
        <v>20</v>
      </c>
      <c r="J4621" t="s">
        <v>20</v>
      </c>
      <c r="K4621" t="s">
        <v>22</v>
      </c>
      <c r="L4621" t="s">
        <v>168</v>
      </c>
      <c r="M4621" t="s">
        <v>302</v>
      </c>
      <c r="N4621">
        <v>40.259402000000001</v>
      </c>
      <c r="O4621">
        <v>-110.407993</v>
      </c>
      <c r="P4621">
        <v>5781.5298679999996</v>
      </c>
      <c r="Q4621">
        <v>1346</v>
      </c>
      <c r="R4621">
        <v>0</v>
      </c>
    </row>
    <row r="4622" spans="1:18" x14ac:dyDescent="0.25">
      <c r="A4622">
        <v>4621</v>
      </c>
      <c r="B4622">
        <v>94</v>
      </c>
      <c r="C4622">
        <v>31713322</v>
      </c>
      <c r="D4622" t="s">
        <v>244</v>
      </c>
      <c r="E4622">
        <v>60.584000000000003</v>
      </c>
      <c r="F4622" t="s">
        <v>21</v>
      </c>
      <c r="G4622" t="s">
        <v>26</v>
      </c>
      <c r="H4622" t="s">
        <v>21</v>
      </c>
      <c r="I4622" t="s">
        <v>20</v>
      </c>
      <c r="J4622" t="s">
        <v>20</v>
      </c>
      <c r="K4622" t="s">
        <v>27</v>
      </c>
      <c r="L4622" t="s">
        <v>266</v>
      </c>
      <c r="M4622" t="s">
        <v>386</v>
      </c>
      <c r="N4622">
        <v>38.340592000000001</v>
      </c>
      <c r="O4622">
        <v>-111.54240900000001</v>
      </c>
      <c r="P4622">
        <v>7068.2140060000002</v>
      </c>
      <c r="Q4622">
        <v>1340</v>
      </c>
      <c r="R4622">
        <v>0</v>
      </c>
    </row>
    <row r="4623" spans="1:18" x14ac:dyDescent="0.25">
      <c r="A4623">
        <v>4622</v>
      </c>
      <c r="B4623">
        <v>94</v>
      </c>
      <c r="C4623">
        <v>28223588</v>
      </c>
      <c r="D4623" t="s">
        <v>220</v>
      </c>
      <c r="E4623">
        <v>60.609000000000002</v>
      </c>
      <c r="F4623" t="s">
        <v>21</v>
      </c>
      <c r="G4623" t="s">
        <v>26</v>
      </c>
      <c r="H4623" t="s">
        <v>21</v>
      </c>
      <c r="I4623" t="s">
        <v>20</v>
      </c>
      <c r="J4623" t="s">
        <v>20</v>
      </c>
      <c r="K4623" t="s">
        <v>27</v>
      </c>
      <c r="L4623" t="s">
        <v>28</v>
      </c>
      <c r="M4623" t="s">
        <v>366</v>
      </c>
      <c r="N4623">
        <v>37.763482000000003</v>
      </c>
      <c r="O4623">
        <v>-111.58253499999999</v>
      </c>
      <c r="P4623">
        <v>5745.6646790000004</v>
      </c>
      <c r="Q4623">
        <v>1328</v>
      </c>
      <c r="R4623">
        <v>0</v>
      </c>
    </row>
    <row r="4624" spans="1:18" x14ac:dyDescent="0.25">
      <c r="A4624">
        <v>4623</v>
      </c>
      <c r="B4624">
        <v>94</v>
      </c>
      <c r="C4624">
        <v>31481033</v>
      </c>
      <c r="D4624" t="s">
        <v>319</v>
      </c>
      <c r="E4624">
        <v>60.628999999999998</v>
      </c>
      <c r="F4624" t="s">
        <v>21</v>
      </c>
      <c r="G4624" t="s">
        <v>26</v>
      </c>
      <c r="H4624" t="s">
        <v>21</v>
      </c>
      <c r="I4624" t="s">
        <v>20</v>
      </c>
      <c r="J4624" t="s">
        <v>20</v>
      </c>
      <c r="K4624" t="s">
        <v>27</v>
      </c>
      <c r="L4624" t="s">
        <v>54</v>
      </c>
      <c r="M4624" t="s">
        <v>55</v>
      </c>
      <c r="N4624">
        <v>37.680824000000001</v>
      </c>
      <c r="O4624">
        <v>-113.077789</v>
      </c>
      <c r="P4624">
        <v>5679.1348779999998</v>
      </c>
      <c r="Q4624">
        <v>314</v>
      </c>
      <c r="R4624">
        <v>0</v>
      </c>
    </row>
    <row r="4625" spans="1:18" x14ac:dyDescent="0.25">
      <c r="A4625">
        <v>4624</v>
      </c>
      <c r="B4625">
        <v>94</v>
      </c>
      <c r="C4625">
        <v>31510684</v>
      </c>
      <c r="D4625" t="s">
        <v>124</v>
      </c>
      <c r="E4625">
        <v>60.667000000000002</v>
      </c>
      <c r="F4625" t="s">
        <v>21</v>
      </c>
      <c r="G4625" t="s">
        <v>26</v>
      </c>
      <c r="H4625" t="s">
        <v>21</v>
      </c>
      <c r="I4625" t="s">
        <v>20</v>
      </c>
      <c r="J4625" t="s">
        <v>20</v>
      </c>
      <c r="K4625" t="s">
        <v>31</v>
      </c>
      <c r="L4625" t="s">
        <v>362</v>
      </c>
      <c r="M4625" t="s">
        <v>365</v>
      </c>
      <c r="N4625">
        <v>40.789011000000002</v>
      </c>
      <c r="O4625">
        <v>-111.93929799999999</v>
      </c>
      <c r="P4625">
        <v>4158.8805279999997</v>
      </c>
      <c r="Q4625">
        <v>1368</v>
      </c>
      <c r="R4625">
        <v>0</v>
      </c>
    </row>
    <row r="4626" spans="1:18" x14ac:dyDescent="0.25">
      <c r="A4626">
        <v>4625</v>
      </c>
      <c r="B4626">
        <v>94</v>
      </c>
      <c r="C4626">
        <v>31712806</v>
      </c>
      <c r="D4626" t="s">
        <v>244</v>
      </c>
      <c r="E4626">
        <v>60.670999999999999</v>
      </c>
      <c r="F4626" t="s">
        <v>21</v>
      </c>
      <c r="G4626" t="s">
        <v>26</v>
      </c>
      <c r="H4626" t="s">
        <v>21</v>
      </c>
      <c r="I4626" t="s">
        <v>20</v>
      </c>
      <c r="J4626" t="s">
        <v>20</v>
      </c>
      <c r="K4626" t="s">
        <v>27</v>
      </c>
      <c r="L4626" t="s">
        <v>266</v>
      </c>
      <c r="M4626" t="s">
        <v>386</v>
      </c>
      <c r="N4626">
        <v>38.340338000000003</v>
      </c>
      <c r="O4626">
        <v>-111.540886</v>
      </c>
      <c r="P4626">
        <v>7066.8237710000003</v>
      </c>
      <c r="Q4626">
        <v>1340</v>
      </c>
      <c r="R4626">
        <v>0</v>
      </c>
    </row>
    <row r="4627" spans="1:18" x14ac:dyDescent="0.25">
      <c r="A4627">
        <v>4626</v>
      </c>
      <c r="B4627">
        <v>94</v>
      </c>
      <c r="C4627">
        <v>532013</v>
      </c>
      <c r="D4627" t="s">
        <v>44</v>
      </c>
      <c r="E4627">
        <v>4.1589999999999998</v>
      </c>
      <c r="F4627" t="s">
        <v>21</v>
      </c>
      <c r="G4627" t="s">
        <v>26</v>
      </c>
      <c r="H4627" t="s">
        <v>21</v>
      </c>
      <c r="I4627" t="s">
        <v>20</v>
      </c>
      <c r="J4627" t="s">
        <v>20</v>
      </c>
      <c r="K4627" t="s">
        <v>41</v>
      </c>
      <c r="L4627" t="s">
        <v>45</v>
      </c>
      <c r="M4627" t="s">
        <v>46</v>
      </c>
      <c r="N4627">
        <v>40.937610999999997</v>
      </c>
      <c r="O4627">
        <v>-111.87925199999999</v>
      </c>
      <c r="P4627">
        <v>4265.1898659999997</v>
      </c>
      <c r="Q4627">
        <v>1395</v>
      </c>
      <c r="R4627">
        <v>0</v>
      </c>
    </row>
    <row r="4628" spans="1:18" x14ac:dyDescent="0.25">
      <c r="A4628">
        <v>4627</v>
      </c>
      <c r="B4628">
        <v>94</v>
      </c>
      <c r="C4628">
        <v>31444268</v>
      </c>
      <c r="D4628" t="s">
        <v>107</v>
      </c>
      <c r="E4628">
        <v>4.165</v>
      </c>
      <c r="F4628" t="s">
        <v>21</v>
      </c>
      <c r="G4628" t="s">
        <v>26</v>
      </c>
      <c r="H4628" t="s">
        <v>21</v>
      </c>
      <c r="I4628" t="s">
        <v>20</v>
      </c>
      <c r="J4628" t="s">
        <v>20</v>
      </c>
      <c r="K4628" t="s">
        <v>41</v>
      </c>
      <c r="L4628" t="s">
        <v>81</v>
      </c>
      <c r="M4628" t="s">
        <v>93</v>
      </c>
      <c r="N4628">
        <v>41.253037999999997</v>
      </c>
      <c r="O4628">
        <v>-111.978042</v>
      </c>
      <c r="P4628">
        <v>4224.7992949999998</v>
      </c>
      <c r="Q4628">
        <v>413</v>
      </c>
      <c r="R4628">
        <v>0</v>
      </c>
    </row>
    <row r="4629" spans="1:18" x14ac:dyDescent="0.25">
      <c r="A4629">
        <v>4628</v>
      </c>
      <c r="B4629">
        <v>94</v>
      </c>
      <c r="C4629">
        <v>1178155</v>
      </c>
      <c r="D4629" t="s">
        <v>128</v>
      </c>
      <c r="E4629">
        <v>4.165</v>
      </c>
      <c r="F4629" t="s">
        <v>19</v>
      </c>
      <c r="G4629" t="s">
        <v>20</v>
      </c>
      <c r="H4629" t="s">
        <v>21</v>
      </c>
      <c r="I4629" t="s">
        <v>20</v>
      </c>
      <c r="J4629" t="s">
        <v>20</v>
      </c>
      <c r="K4629" t="s">
        <v>41</v>
      </c>
      <c r="L4629" t="s">
        <v>95</v>
      </c>
      <c r="M4629" t="s">
        <v>73</v>
      </c>
      <c r="N4629">
        <v>41.757981999999998</v>
      </c>
      <c r="O4629">
        <v>-111.85880899999999</v>
      </c>
      <c r="P4629">
        <v>4405.8289699999996</v>
      </c>
      <c r="Q4629">
        <v>5943</v>
      </c>
      <c r="R4629">
        <v>0</v>
      </c>
    </row>
    <row r="4630" spans="1:18" x14ac:dyDescent="0.25">
      <c r="A4630">
        <v>4629</v>
      </c>
      <c r="B4630">
        <v>94</v>
      </c>
      <c r="C4630">
        <v>28224346</v>
      </c>
      <c r="D4630" t="s">
        <v>220</v>
      </c>
      <c r="E4630">
        <v>62.527999999999999</v>
      </c>
      <c r="F4630" t="s">
        <v>21</v>
      </c>
      <c r="G4630" t="s">
        <v>26</v>
      </c>
      <c r="H4630" t="s">
        <v>21</v>
      </c>
      <c r="I4630" t="s">
        <v>20</v>
      </c>
      <c r="J4630" t="s">
        <v>20</v>
      </c>
      <c r="K4630" t="s">
        <v>27</v>
      </c>
      <c r="L4630" t="s">
        <v>28</v>
      </c>
      <c r="M4630" t="s">
        <v>366</v>
      </c>
      <c r="N4630">
        <v>37.742992000000001</v>
      </c>
      <c r="O4630">
        <v>-111.55937</v>
      </c>
      <c r="P4630">
        <v>5707.3691689999996</v>
      </c>
      <c r="Q4630">
        <v>1328</v>
      </c>
      <c r="R4630">
        <v>0</v>
      </c>
    </row>
    <row r="4631" spans="1:18" x14ac:dyDescent="0.25">
      <c r="A4631">
        <v>4630</v>
      </c>
      <c r="B4631">
        <v>94</v>
      </c>
      <c r="C4631">
        <v>31511892</v>
      </c>
      <c r="D4631" t="s">
        <v>124</v>
      </c>
      <c r="E4631">
        <v>62.579000000000001</v>
      </c>
      <c r="F4631" t="s">
        <v>21</v>
      </c>
      <c r="G4631" t="s">
        <v>26</v>
      </c>
      <c r="H4631" t="s">
        <v>21</v>
      </c>
      <c r="I4631" t="s">
        <v>20</v>
      </c>
      <c r="J4631" t="s">
        <v>20</v>
      </c>
      <c r="K4631" t="s">
        <v>31</v>
      </c>
      <c r="L4631" t="s">
        <v>362</v>
      </c>
      <c r="M4631" t="s">
        <v>365</v>
      </c>
      <c r="N4631">
        <v>40.816785000000003</v>
      </c>
      <c r="O4631">
        <v>-111.93824600000001</v>
      </c>
      <c r="P4631">
        <v>4161.7581819999996</v>
      </c>
      <c r="Q4631">
        <v>1368</v>
      </c>
      <c r="R4631">
        <v>0</v>
      </c>
    </row>
    <row r="4632" spans="1:18" x14ac:dyDescent="0.25">
      <c r="A4632">
        <v>4631</v>
      </c>
      <c r="B4632">
        <v>94</v>
      </c>
      <c r="C4632" t="e">
        <f>-JNdkqAPGIil_wO8dzniHV</f>
        <v>#NAME?</v>
      </c>
      <c r="D4632" t="s">
        <v>281</v>
      </c>
      <c r="E4632">
        <v>62.643000000000001</v>
      </c>
      <c r="F4632" t="s">
        <v>21</v>
      </c>
      <c r="G4632" t="s">
        <v>20</v>
      </c>
      <c r="H4632" t="s">
        <v>21</v>
      </c>
      <c r="I4632" t="s">
        <v>20</v>
      </c>
      <c r="J4632" t="s">
        <v>20</v>
      </c>
      <c r="K4632" t="s">
        <v>31</v>
      </c>
      <c r="L4632" t="s">
        <v>282</v>
      </c>
      <c r="M4632" t="s">
        <v>283</v>
      </c>
      <c r="N4632">
        <v>40.649552</v>
      </c>
      <c r="O4632">
        <v>-112.288719</v>
      </c>
      <c r="P4632">
        <v>4238.0164299999997</v>
      </c>
      <c r="Q4632">
        <v>1347</v>
      </c>
      <c r="R4632">
        <v>0</v>
      </c>
    </row>
    <row r="4633" spans="1:18" x14ac:dyDescent="0.25">
      <c r="A4633">
        <v>4632</v>
      </c>
      <c r="B4633">
        <v>94</v>
      </c>
      <c r="C4633">
        <v>31327583</v>
      </c>
      <c r="D4633" t="s">
        <v>241</v>
      </c>
      <c r="E4633">
        <v>62.747</v>
      </c>
      <c r="F4633" t="s">
        <v>21</v>
      </c>
      <c r="G4633" t="s">
        <v>26</v>
      </c>
      <c r="H4633" t="s">
        <v>21</v>
      </c>
      <c r="I4633" t="s">
        <v>20</v>
      </c>
      <c r="J4633" t="s">
        <v>20</v>
      </c>
      <c r="K4633" t="s">
        <v>27</v>
      </c>
      <c r="L4633" t="s">
        <v>158</v>
      </c>
      <c r="M4633" t="s">
        <v>243</v>
      </c>
      <c r="N4633">
        <v>39.516398000000002</v>
      </c>
      <c r="O4633">
        <v>-110.829144</v>
      </c>
      <c r="P4633">
        <v>5574.651699</v>
      </c>
      <c r="Q4633">
        <v>1327</v>
      </c>
      <c r="R4633">
        <v>0</v>
      </c>
    </row>
    <row r="4634" spans="1:18" x14ac:dyDescent="0.25">
      <c r="A4634">
        <v>4633</v>
      </c>
      <c r="B4634">
        <v>94</v>
      </c>
      <c r="C4634">
        <v>31736053</v>
      </c>
      <c r="D4634" t="s">
        <v>118</v>
      </c>
      <c r="E4634">
        <v>62.783999999999999</v>
      </c>
      <c r="F4634" t="s">
        <v>21</v>
      </c>
      <c r="G4634" t="s">
        <v>26</v>
      </c>
      <c r="H4634" t="s">
        <v>21</v>
      </c>
      <c r="I4634" t="s">
        <v>20</v>
      </c>
      <c r="J4634" t="s">
        <v>20</v>
      </c>
      <c r="K4634" t="s">
        <v>22</v>
      </c>
      <c r="L4634" t="s">
        <v>168</v>
      </c>
      <c r="M4634" t="s">
        <v>120</v>
      </c>
      <c r="N4634">
        <v>40.209263</v>
      </c>
      <c r="O4634">
        <v>-110.825794</v>
      </c>
      <c r="P4634">
        <v>6612.5382179999997</v>
      </c>
      <c r="Q4634">
        <v>310</v>
      </c>
      <c r="R4634">
        <v>0</v>
      </c>
    </row>
    <row r="4635" spans="1:18" x14ac:dyDescent="0.25">
      <c r="A4635">
        <v>4634</v>
      </c>
      <c r="B4635">
        <v>94</v>
      </c>
      <c r="C4635">
        <v>31390106</v>
      </c>
      <c r="D4635" t="s">
        <v>184</v>
      </c>
      <c r="E4635">
        <v>7.532</v>
      </c>
      <c r="F4635" t="s">
        <v>21</v>
      </c>
      <c r="G4635" t="s">
        <v>20</v>
      </c>
      <c r="H4635" t="s">
        <v>21</v>
      </c>
      <c r="I4635" t="s">
        <v>20</v>
      </c>
      <c r="J4635" t="s">
        <v>20</v>
      </c>
      <c r="K4635" t="s">
        <v>27</v>
      </c>
      <c r="L4635" t="s">
        <v>54</v>
      </c>
      <c r="M4635" t="s">
        <v>55</v>
      </c>
      <c r="N4635">
        <v>37.747123999999999</v>
      </c>
      <c r="O4635">
        <v>-113.055256</v>
      </c>
      <c r="P4635">
        <v>5477.6425049999998</v>
      </c>
      <c r="Q4635">
        <v>1410</v>
      </c>
      <c r="R4635">
        <v>0</v>
      </c>
    </row>
    <row r="4636" spans="1:18" x14ac:dyDescent="0.25">
      <c r="A4636">
        <v>4635</v>
      </c>
      <c r="B4636">
        <v>94</v>
      </c>
      <c r="C4636">
        <v>27867977</v>
      </c>
      <c r="D4636" t="s">
        <v>91</v>
      </c>
      <c r="E4636">
        <v>7.532</v>
      </c>
      <c r="F4636" t="s">
        <v>21</v>
      </c>
      <c r="G4636" t="s">
        <v>26</v>
      </c>
      <c r="H4636" t="s">
        <v>21</v>
      </c>
      <c r="I4636" t="s">
        <v>20</v>
      </c>
      <c r="J4636" t="s">
        <v>20</v>
      </c>
      <c r="K4636" t="s">
        <v>41</v>
      </c>
      <c r="L4636" t="s">
        <v>42</v>
      </c>
      <c r="M4636" t="s">
        <v>73</v>
      </c>
      <c r="N4636">
        <v>41.71414</v>
      </c>
      <c r="O4636">
        <v>-111.97900300000001</v>
      </c>
      <c r="P4636">
        <v>4456.095883</v>
      </c>
      <c r="Q4636">
        <v>1339</v>
      </c>
      <c r="R4636">
        <v>0</v>
      </c>
    </row>
    <row r="4637" spans="1:18" x14ac:dyDescent="0.25">
      <c r="A4637">
        <v>4636</v>
      </c>
      <c r="B4637">
        <v>94</v>
      </c>
      <c r="C4637">
        <v>851706</v>
      </c>
      <c r="D4637" t="s">
        <v>68</v>
      </c>
      <c r="E4637">
        <v>7.532</v>
      </c>
      <c r="F4637" t="s">
        <v>21</v>
      </c>
      <c r="G4637" t="s">
        <v>26</v>
      </c>
      <c r="H4637" t="s">
        <v>21</v>
      </c>
      <c r="I4637" t="s">
        <v>20</v>
      </c>
      <c r="J4637" t="s">
        <v>20</v>
      </c>
      <c r="K4637" t="s">
        <v>31</v>
      </c>
      <c r="L4637" t="s">
        <v>32</v>
      </c>
      <c r="M4637" t="s">
        <v>70</v>
      </c>
      <c r="N4637">
        <v>40.675196999999997</v>
      </c>
      <c r="O4637">
        <v>-111.812631</v>
      </c>
      <c r="P4637">
        <v>4605.5685460000004</v>
      </c>
      <c r="Q4637">
        <v>431</v>
      </c>
      <c r="R4637">
        <v>0</v>
      </c>
    </row>
    <row r="4638" spans="1:18" x14ac:dyDescent="0.25">
      <c r="A4638">
        <v>4637</v>
      </c>
      <c r="B4638">
        <v>94</v>
      </c>
      <c r="C4638">
        <v>28229357</v>
      </c>
      <c r="D4638" t="s">
        <v>240</v>
      </c>
      <c r="E4638">
        <v>7.5460000000000003</v>
      </c>
      <c r="F4638" t="s">
        <v>21</v>
      </c>
      <c r="G4638" t="s">
        <v>26</v>
      </c>
      <c r="H4638" t="s">
        <v>21</v>
      </c>
      <c r="I4638" t="s">
        <v>20</v>
      </c>
      <c r="J4638" t="s">
        <v>20</v>
      </c>
      <c r="K4638" t="s">
        <v>27</v>
      </c>
      <c r="L4638" t="s">
        <v>146</v>
      </c>
      <c r="M4638" t="s">
        <v>147</v>
      </c>
      <c r="N4638">
        <v>38.309617000000003</v>
      </c>
      <c r="O4638">
        <v>-109.274924</v>
      </c>
      <c r="P4638">
        <v>6758.6451390000002</v>
      </c>
      <c r="Q4638">
        <v>1355</v>
      </c>
      <c r="R4638">
        <v>0</v>
      </c>
    </row>
    <row r="4639" spans="1:18" x14ac:dyDescent="0.25">
      <c r="A4639">
        <v>4638</v>
      </c>
      <c r="B4639">
        <v>94</v>
      </c>
      <c r="C4639">
        <v>31280455</v>
      </c>
      <c r="D4639" t="s">
        <v>347</v>
      </c>
      <c r="E4639">
        <v>7.556</v>
      </c>
      <c r="F4639" t="s">
        <v>21</v>
      </c>
      <c r="G4639" t="s">
        <v>26</v>
      </c>
      <c r="H4639" t="s">
        <v>21</v>
      </c>
      <c r="I4639" t="s">
        <v>20</v>
      </c>
      <c r="J4639" t="s">
        <v>20</v>
      </c>
      <c r="K4639" t="s">
        <v>41</v>
      </c>
      <c r="L4639" t="s">
        <v>325</v>
      </c>
      <c r="M4639" t="s">
        <v>204</v>
      </c>
      <c r="N4639">
        <v>41.502650000000003</v>
      </c>
      <c r="O4639">
        <v>-111.12380899999999</v>
      </c>
      <c r="P4639">
        <v>6257.2177810000003</v>
      </c>
      <c r="Q4639">
        <v>1334</v>
      </c>
      <c r="R4639">
        <v>0</v>
      </c>
    </row>
    <row r="4640" spans="1:18" x14ac:dyDescent="0.25">
      <c r="A4640">
        <v>4639</v>
      </c>
      <c r="B4640">
        <v>94</v>
      </c>
      <c r="C4640">
        <v>31191293</v>
      </c>
      <c r="D4640" t="s">
        <v>310</v>
      </c>
      <c r="E4640">
        <v>7.5640000000000001</v>
      </c>
      <c r="F4640" t="s">
        <v>21</v>
      </c>
      <c r="G4640" t="s">
        <v>26</v>
      </c>
      <c r="H4640" t="s">
        <v>21</v>
      </c>
      <c r="I4640" t="s">
        <v>20</v>
      </c>
      <c r="J4640" t="s">
        <v>20</v>
      </c>
      <c r="K4640" t="s">
        <v>31</v>
      </c>
      <c r="L4640" t="s">
        <v>285</v>
      </c>
      <c r="M4640" t="s">
        <v>206</v>
      </c>
      <c r="N4640">
        <v>40.619449000000003</v>
      </c>
      <c r="O4640">
        <v>-112.501981</v>
      </c>
      <c r="P4640">
        <v>4280.2300059999998</v>
      </c>
      <c r="Q4640">
        <v>1414</v>
      </c>
      <c r="R4640">
        <v>0</v>
      </c>
    </row>
    <row r="4641" spans="1:18" x14ac:dyDescent="0.25">
      <c r="A4641">
        <v>4640</v>
      </c>
      <c r="B4641">
        <v>94</v>
      </c>
      <c r="C4641">
        <v>31698472</v>
      </c>
      <c r="D4641" t="s">
        <v>96</v>
      </c>
      <c r="E4641">
        <v>7.5659999999999998</v>
      </c>
      <c r="F4641" t="s">
        <v>21</v>
      </c>
      <c r="G4641" t="s">
        <v>26</v>
      </c>
      <c r="H4641" t="s">
        <v>21</v>
      </c>
      <c r="I4641" t="s">
        <v>20</v>
      </c>
      <c r="J4641" t="s">
        <v>20</v>
      </c>
      <c r="K4641" t="s">
        <v>22</v>
      </c>
      <c r="L4641" t="s">
        <v>97</v>
      </c>
      <c r="M4641" t="s">
        <v>98</v>
      </c>
      <c r="N4641">
        <v>40.988222999999998</v>
      </c>
      <c r="O4641">
        <v>-109.729709</v>
      </c>
      <c r="P4641">
        <v>6380.4517210000004</v>
      </c>
      <c r="Q4641">
        <v>311</v>
      </c>
      <c r="R4641">
        <v>0</v>
      </c>
    </row>
    <row r="4642" spans="1:18" x14ac:dyDescent="0.25">
      <c r="A4642">
        <v>4641</v>
      </c>
      <c r="B4642">
        <v>94</v>
      </c>
      <c r="C4642">
        <v>28080660</v>
      </c>
      <c r="D4642" t="s">
        <v>220</v>
      </c>
      <c r="E4642">
        <v>7.5679999999999996</v>
      </c>
      <c r="F4642" t="s">
        <v>21</v>
      </c>
      <c r="G4642" t="s">
        <v>26</v>
      </c>
      <c r="H4642" t="s">
        <v>21</v>
      </c>
      <c r="I4642" t="s">
        <v>20</v>
      </c>
      <c r="J4642" t="s">
        <v>20</v>
      </c>
      <c r="K4642" t="s">
        <v>27</v>
      </c>
      <c r="L4642" t="s">
        <v>28</v>
      </c>
      <c r="M4642" t="s">
        <v>29</v>
      </c>
      <c r="N4642">
        <v>37.719642999999998</v>
      </c>
      <c r="O4642">
        <v>-112.255364</v>
      </c>
      <c r="P4642">
        <v>7734.4401440000001</v>
      </c>
      <c r="Q4642">
        <v>1328</v>
      </c>
      <c r="R4642">
        <v>0</v>
      </c>
    </row>
    <row r="4643" spans="1:18" x14ac:dyDescent="0.25">
      <c r="A4643">
        <v>4642</v>
      </c>
      <c r="B4643">
        <v>94</v>
      </c>
      <c r="C4643">
        <v>28047280</v>
      </c>
      <c r="D4643" t="s">
        <v>281</v>
      </c>
      <c r="E4643">
        <v>60.054000000000002</v>
      </c>
      <c r="F4643" t="s">
        <v>21</v>
      </c>
      <c r="G4643" t="s">
        <v>26</v>
      </c>
      <c r="H4643" t="s">
        <v>21</v>
      </c>
      <c r="I4643" t="s">
        <v>20</v>
      </c>
      <c r="J4643" t="s">
        <v>20</v>
      </c>
      <c r="K4643" t="s">
        <v>31</v>
      </c>
      <c r="L4643" t="s">
        <v>282</v>
      </c>
      <c r="M4643" t="s">
        <v>283</v>
      </c>
      <c r="N4643">
        <v>40.612786</v>
      </c>
      <c r="O4643">
        <v>-112.294616</v>
      </c>
      <c r="P4643">
        <v>4306.4040830000004</v>
      </c>
      <c r="Q4643">
        <v>1347</v>
      </c>
      <c r="R4643">
        <v>0</v>
      </c>
    </row>
    <row r="4644" spans="1:18" x14ac:dyDescent="0.25">
      <c r="A4644">
        <v>4643</v>
      </c>
      <c r="B4644">
        <v>94</v>
      </c>
      <c r="C4644">
        <v>31523779</v>
      </c>
      <c r="D4644" t="s">
        <v>231</v>
      </c>
      <c r="E4644">
        <v>7.2359999999999998</v>
      </c>
      <c r="F4644" t="s">
        <v>19</v>
      </c>
      <c r="G4644" t="s">
        <v>26</v>
      </c>
      <c r="H4644" t="s">
        <v>19</v>
      </c>
      <c r="I4644">
        <v>37</v>
      </c>
      <c r="J4644" t="s">
        <v>20</v>
      </c>
      <c r="K4644" t="s">
        <v>41</v>
      </c>
      <c r="L4644" t="s">
        <v>57</v>
      </c>
      <c r="M4644" t="s">
        <v>93</v>
      </c>
      <c r="N4644">
        <v>41.139856999999999</v>
      </c>
      <c r="O4644">
        <v>-112.02607999999999</v>
      </c>
      <c r="P4644">
        <v>4506.9256340000002</v>
      </c>
      <c r="Q4644">
        <v>1409</v>
      </c>
      <c r="R4644">
        <v>0</v>
      </c>
    </row>
    <row r="4645" spans="1:18" x14ac:dyDescent="0.25">
      <c r="A4645">
        <v>4644</v>
      </c>
      <c r="B4645">
        <v>94</v>
      </c>
      <c r="C4645">
        <v>31460654</v>
      </c>
      <c r="D4645" t="s">
        <v>331</v>
      </c>
      <c r="E4645">
        <v>7.2409999999999997</v>
      </c>
      <c r="F4645" t="s">
        <v>21</v>
      </c>
      <c r="G4645" t="s">
        <v>26</v>
      </c>
      <c r="H4645" t="s">
        <v>21</v>
      </c>
      <c r="I4645" t="s">
        <v>20</v>
      </c>
      <c r="J4645" t="s">
        <v>20</v>
      </c>
      <c r="K4645" t="s">
        <v>27</v>
      </c>
      <c r="L4645" t="s">
        <v>111</v>
      </c>
      <c r="M4645" t="s">
        <v>112</v>
      </c>
      <c r="N4645">
        <v>39.385854000000002</v>
      </c>
      <c r="O4645">
        <v>-110.852429</v>
      </c>
      <c r="P4645">
        <v>5727.9472059999998</v>
      </c>
      <c r="Q4645">
        <v>1427</v>
      </c>
      <c r="R4645">
        <v>0</v>
      </c>
    </row>
    <row r="4646" spans="1:18" x14ac:dyDescent="0.25">
      <c r="A4646">
        <v>4645</v>
      </c>
      <c r="B4646">
        <v>94</v>
      </c>
      <c r="C4646">
        <v>31498307</v>
      </c>
      <c r="D4646" t="s">
        <v>124</v>
      </c>
      <c r="E4646">
        <v>54.043999999999997</v>
      </c>
      <c r="F4646" t="s">
        <v>21</v>
      </c>
      <c r="G4646" t="s">
        <v>26</v>
      </c>
      <c r="H4646" t="s">
        <v>21</v>
      </c>
      <c r="I4646" t="s">
        <v>20</v>
      </c>
      <c r="J4646" t="s">
        <v>20</v>
      </c>
      <c r="K4646" t="s">
        <v>31</v>
      </c>
      <c r="L4646" t="s">
        <v>69</v>
      </c>
      <c r="M4646" t="s">
        <v>125</v>
      </c>
      <c r="N4646">
        <v>40.692793000000002</v>
      </c>
      <c r="O4646">
        <v>-111.93891000000001</v>
      </c>
      <c r="P4646">
        <v>4203.8718630000003</v>
      </c>
      <c r="Q4646">
        <v>1368</v>
      </c>
      <c r="R4646">
        <v>0</v>
      </c>
    </row>
    <row r="4647" spans="1:18" x14ac:dyDescent="0.25">
      <c r="A4647">
        <v>4646</v>
      </c>
      <c r="B4647">
        <v>94</v>
      </c>
      <c r="C4647">
        <v>31325156</v>
      </c>
      <c r="D4647" t="s">
        <v>241</v>
      </c>
      <c r="E4647">
        <v>54.054000000000002</v>
      </c>
      <c r="F4647" t="s">
        <v>21</v>
      </c>
      <c r="G4647" t="s">
        <v>26</v>
      </c>
      <c r="H4647" t="s">
        <v>21</v>
      </c>
      <c r="I4647" t="s">
        <v>20</v>
      </c>
      <c r="J4647" t="s">
        <v>20</v>
      </c>
      <c r="K4647" t="s">
        <v>27</v>
      </c>
      <c r="L4647" t="s">
        <v>111</v>
      </c>
      <c r="M4647" t="s">
        <v>243</v>
      </c>
      <c r="N4647">
        <v>39.40128</v>
      </c>
      <c r="O4647">
        <v>-110.890109</v>
      </c>
      <c r="P4647">
        <v>6010.122429</v>
      </c>
      <c r="Q4647">
        <v>1327</v>
      </c>
      <c r="R4647">
        <v>0</v>
      </c>
    </row>
    <row r="4648" spans="1:18" x14ac:dyDescent="0.25">
      <c r="A4648">
        <v>4647</v>
      </c>
      <c r="B4648">
        <v>94</v>
      </c>
      <c r="C4648">
        <v>28011960</v>
      </c>
      <c r="D4648" t="s">
        <v>281</v>
      </c>
      <c r="E4648">
        <v>54.085000000000001</v>
      </c>
      <c r="F4648" t="s">
        <v>21</v>
      </c>
      <c r="G4648" t="s">
        <v>26</v>
      </c>
      <c r="H4648" t="s">
        <v>21</v>
      </c>
      <c r="I4648" t="s">
        <v>20</v>
      </c>
      <c r="J4648" t="s">
        <v>20</v>
      </c>
      <c r="K4648" t="s">
        <v>31</v>
      </c>
      <c r="L4648" t="s">
        <v>282</v>
      </c>
      <c r="M4648" t="s">
        <v>174</v>
      </c>
      <c r="N4648">
        <v>40.526699999999998</v>
      </c>
      <c r="O4648">
        <v>-112.29860499999999</v>
      </c>
      <c r="P4648">
        <v>5023.4246919999996</v>
      </c>
      <c r="Q4648">
        <v>1347</v>
      </c>
      <c r="R4648">
        <v>0</v>
      </c>
    </row>
    <row r="4649" spans="1:18" x14ac:dyDescent="0.25">
      <c r="A4649">
        <v>4648</v>
      </c>
      <c r="B4649">
        <v>94</v>
      </c>
      <c r="C4649">
        <v>31498318</v>
      </c>
      <c r="D4649" t="s">
        <v>124</v>
      </c>
      <c r="E4649">
        <v>54.087000000000003</v>
      </c>
      <c r="F4649" t="s">
        <v>21</v>
      </c>
      <c r="G4649" t="s">
        <v>26</v>
      </c>
      <c r="H4649" t="s">
        <v>21</v>
      </c>
      <c r="I4649" t="s">
        <v>20</v>
      </c>
      <c r="J4649" t="s">
        <v>20</v>
      </c>
      <c r="K4649" t="s">
        <v>31</v>
      </c>
      <c r="L4649" t="s">
        <v>69</v>
      </c>
      <c r="M4649" t="s">
        <v>125</v>
      </c>
      <c r="N4649">
        <v>40.693415000000002</v>
      </c>
      <c r="O4649">
        <v>-111.938907</v>
      </c>
      <c r="P4649">
        <v>4203.411462</v>
      </c>
      <c r="Q4649">
        <v>1368</v>
      </c>
      <c r="R4649">
        <v>0</v>
      </c>
    </row>
    <row r="4650" spans="1:18" x14ac:dyDescent="0.25">
      <c r="A4650">
        <v>4649</v>
      </c>
      <c r="B4650">
        <v>94</v>
      </c>
      <c r="C4650">
        <v>31498329</v>
      </c>
      <c r="D4650" t="s">
        <v>124</v>
      </c>
      <c r="E4650">
        <v>54.152999999999999</v>
      </c>
      <c r="F4650" t="s">
        <v>21</v>
      </c>
      <c r="G4650" t="s">
        <v>26</v>
      </c>
      <c r="H4650" t="s">
        <v>21</v>
      </c>
      <c r="I4650" t="s">
        <v>20</v>
      </c>
      <c r="J4650" t="s">
        <v>20</v>
      </c>
      <c r="K4650" t="s">
        <v>31</v>
      </c>
      <c r="L4650" t="s">
        <v>69</v>
      </c>
      <c r="M4650" t="s">
        <v>125</v>
      </c>
      <c r="N4650">
        <v>40.694364</v>
      </c>
      <c r="O4650">
        <v>-111.938909</v>
      </c>
      <c r="P4650">
        <v>4203.4005969999998</v>
      </c>
      <c r="Q4650">
        <v>1368</v>
      </c>
      <c r="R4650">
        <v>0</v>
      </c>
    </row>
    <row r="4651" spans="1:18" x14ac:dyDescent="0.25">
      <c r="A4651">
        <v>4650</v>
      </c>
      <c r="B4651">
        <v>94</v>
      </c>
      <c r="C4651">
        <v>28012407</v>
      </c>
      <c r="D4651" t="s">
        <v>281</v>
      </c>
      <c r="E4651">
        <v>54.213000000000001</v>
      </c>
      <c r="F4651" t="s">
        <v>21</v>
      </c>
      <c r="G4651" t="s">
        <v>26</v>
      </c>
      <c r="H4651" t="s">
        <v>21</v>
      </c>
      <c r="I4651" t="s">
        <v>20</v>
      </c>
      <c r="J4651" t="s">
        <v>20</v>
      </c>
      <c r="K4651" t="s">
        <v>31</v>
      </c>
      <c r="L4651" t="s">
        <v>282</v>
      </c>
      <c r="M4651" t="s">
        <v>174</v>
      </c>
      <c r="N4651">
        <v>40.528551999999998</v>
      </c>
      <c r="O4651">
        <v>-112.298564</v>
      </c>
      <c r="P4651">
        <v>5004.4125389999999</v>
      </c>
      <c r="Q4651">
        <v>1347</v>
      </c>
      <c r="R4651">
        <v>0</v>
      </c>
    </row>
    <row r="4652" spans="1:18" x14ac:dyDescent="0.25">
      <c r="A4652">
        <v>4651</v>
      </c>
      <c r="B4652">
        <v>94</v>
      </c>
      <c r="C4652">
        <v>31498340</v>
      </c>
      <c r="D4652" t="s">
        <v>124</v>
      </c>
      <c r="E4652">
        <v>54.308999999999997</v>
      </c>
      <c r="F4652" t="s">
        <v>19</v>
      </c>
      <c r="G4652" t="s">
        <v>20</v>
      </c>
      <c r="H4652" t="s">
        <v>19</v>
      </c>
      <c r="I4652">
        <v>171</v>
      </c>
      <c r="J4652" t="s">
        <v>20</v>
      </c>
      <c r="K4652" t="s">
        <v>31</v>
      </c>
      <c r="L4652" t="s">
        <v>69</v>
      </c>
      <c r="M4652" t="s">
        <v>125</v>
      </c>
      <c r="N4652">
        <v>40.696634000000003</v>
      </c>
      <c r="O4652">
        <v>-111.938911</v>
      </c>
      <c r="P4652">
        <v>4200.143959</v>
      </c>
      <c r="Q4652">
        <v>1368</v>
      </c>
      <c r="R4652">
        <v>0</v>
      </c>
    </row>
    <row r="4653" spans="1:18" x14ac:dyDescent="0.25">
      <c r="A4653">
        <v>4652</v>
      </c>
      <c r="B4653">
        <v>94</v>
      </c>
      <c r="C4653">
        <v>28013702</v>
      </c>
      <c r="D4653" t="s">
        <v>281</v>
      </c>
      <c r="E4653">
        <v>54.356999999999999</v>
      </c>
      <c r="F4653" t="s">
        <v>19</v>
      </c>
      <c r="G4653" t="s">
        <v>20</v>
      </c>
      <c r="H4653" t="s">
        <v>21</v>
      </c>
      <c r="I4653" t="s">
        <v>20</v>
      </c>
      <c r="J4653" t="s">
        <v>20</v>
      </c>
      <c r="K4653" t="s">
        <v>31</v>
      </c>
      <c r="L4653" t="s">
        <v>282</v>
      </c>
      <c r="M4653" t="s">
        <v>174</v>
      </c>
      <c r="N4653">
        <v>40.530611</v>
      </c>
      <c r="O4653">
        <v>-112.29853</v>
      </c>
      <c r="P4653">
        <v>4986.5712100000001</v>
      </c>
      <c r="Q4653">
        <v>1347</v>
      </c>
      <c r="R4653">
        <v>0</v>
      </c>
    </row>
    <row r="4654" spans="1:18" x14ac:dyDescent="0.25">
      <c r="A4654">
        <v>4653</v>
      </c>
      <c r="B4654">
        <v>94</v>
      </c>
      <c r="C4654">
        <v>31747309</v>
      </c>
      <c r="D4654" t="s">
        <v>290</v>
      </c>
      <c r="E4654">
        <v>54.405999999999999</v>
      </c>
      <c r="F4654" t="s">
        <v>21</v>
      </c>
      <c r="G4654" t="s">
        <v>26</v>
      </c>
      <c r="H4654" t="s">
        <v>21</v>
      </c>
      <c r="I4654" t="s">
        <v>20</v>
      </c>
      <c r="J4654" t="s">
        <v>20</v>
      </c>
      <c r="K4654" t="s">
        <v>41</v>
      </c>
      <c r="L4654" t="s">
        <v>291</v>
      </c>
      <c r="M4654" t="s">
        <v>238</v>
      </c>
      <c r="N4654">
        <v>41.816879999999998</v>
      </c>
      <c r="O4654">
        <v>-113.339561</v>
      </c>
      <c r="P4654">
        <v>5496.5860510000002</v>
      </c>
      <c r="Q4654">
        <v>1343</v>
      </c>
      <c r="R4654">
        <v>0</v>
      </c>
    </row>
    <row r="4655" spans="1:18" x14ac:dyDescent="0.25">
      <c r="A4655">
        <v>4654</v>
      </c>
      <c r="B4655">
        <v>94</v>
      </c>
      <c r="C4655">
        <v>31498743</v>
      </c>
      <c r="D4655" t="s">
        <v>124</v>
      </c>
      <c r="E4655">
        <v>54.442</v>
      </c>
      <c r="F4655" t="s">
        <v>21</v>
      </c>
      <c r="G4655" t="s">
        <v>26</v>
      </c>
      <c r="H4655" t="s">
        <v>21</v>
      </c>
      <c r="I4655" t="s">
        <v>20</v>
      </c>
      <c r="J4655" t="s">
        <v>20</v>
      </c>
      <c r="K4655" t="s">
        <v>31</v>
      </c>
      <c r="L4655" t="s">
        <v>362</v>
      </c>
      <c r="M4655" t="s">
        <v>125</v>
      </c>
      <c r="N4655">
        <v>40.698559000000003</v>
      </c>
      <c r="O4655">
        <v>-111.93893300000001</v>
      </c>
      <c r="P4655">
        <v>4197.8372490000002</v>
      </c>
      <c r="Q4655">
        <v>1368</v>
      </c>
      <c r="R4655">
        <v>0</v>
      </c>
    </row>
    <row r="4656" spans="1:18" x14ac:dyDescent="0.25">
      <c r="A4656">
        <v>4655</v>
      </c>
      <c r="B4656">
        <v>94</v>
      </c>
      <c r="C4656">
        <v>31465637</v>
      </c>
      <c r="D4656" t="s">
        <v>319</v>
      </c>
      <c r="E4656">
        <v>54.475999999999999</v>
      </c>
      <c r="F4656" t="s">
        <v>21</v>
      </c>
      <c r="G4656" t="s">
        <v>26</v>
      </c>
      <c r="H4656" t="s">
        <v>21</v>
      </c>
      <c r="I4656" t="s">
        <v>20</v>
      </c>
      <c r="J4656" t="s">
        <v>20</v>
      </c>
      <c r="K4656" t="s">
        <v>27</v>
      </c>
      <c r="L4656" t="s">
        <v>54</v>
      </c>
      <c r="M4656" t="s">
        <v>55</v>
      </c>
      <c r="N4656">
        <v>37.673653999999999</v>
      </c>
      <c r="O4656">
        <v>-113.18527899999999</v>
      </c>
      <c r="P4656">
        <v>5400.0774060000003</v>
      </c>
      <c r="Q4656">
        <v>314</v>
      </c>
      <c r="R4656">
        <v>0</v>
      </c>
    </row>
    <row r="4657" spans="1:18" x14ac:dyDescent="0.25">
      <c r="A4657">
        <v>4656</v>
      </c>
      <c r="B4657">
        <v>94</v>
      </c>
      <c r="C4657" t="e">
        <f>-IoROkw8Iz9rCvNPcHqqsk</f>
        <v>#NAME?</v>
      </c>
      <c r="D4657" t="s">
        <v>272</v>
      </c>
      <c r="E4657">
        <v>329.12299999999999</v>
      </c>
      <c r="F4657" t="s">
        <v>21</v>
      </c>
      <c r="G4657" t="s">
        <v>26</v>
      </c>
      <c r="H4657" t="s">
        <v>21</v>
      </c>
      <c r="I4657" t="s">
        <v>20</v>
      </c>
      <c r="J4657" t="s">
        <v>20</v>
      </c>
      <c r="K4657" t="s">
        <v>22</v>
      </c>
      <c r="L4657" t="s">
        <v>23</v>
      </c>
      <c r="M4657" t="s">
        <v>125</v>
      </c>
      <c r="N4657">
        <v>40.176251000000001</v>
      </c>
      <c r="O4657">
        <v>-111.61059899999999</v>
      </c>
      <c r="P4657">
        <v>4486.2882710000003</v>
      </c>
      <c r="Q4657">
        <v>1384</v>
      </c>
      <c r="R4657">
        <v>0</v>
      </c>
    </row>
    <row r="4658" spans="1:18" x14ac:dyDescent="0.25">
      <c r="A4658">
        <v>4657</v>
      </c>
      <c r="B4658">
        <v>94</v>
      </c>
      <c r="C4658" t="e">
        <f>-IoRPBnIIV94LgxLyDTBGV</f>
        <v>#NAME?</v>
      </c>
      <c r="D4658" t="s">
        <v>272</v>
      </c>
      <c r="E4658">
        <v>329.28699999999998</v>
      </c>
      <c r="F4658" t="s">
        <v>21</v>
      </c>
      <c r="G4658" t="s">
        <v>20</v>
      </c>
      <c r="H4658" t="s">
        <v>21</v>
      </c>
      <c r="I4658" t="s">
        <v>20</v>
      </c>
      <c r="J4658" t="s">
        <v>20</v>
      </c>
      <c r="K4658" t="s">
        <v>22</v>
      </c>
      <c r="L4658" t="s">
        <v>23</v>
      </c>
      <c r="M4658" t="s">
        <v>125</v>
      </c>
      <c r="N4658">
        <v>40.178612000000001</v>
      </c>
      <c r="O4658">
        <v>-111.61062200000001</v>
      </c>
      <c r="P4658">
        <v>4481.6333999999997</v>
      </c>
      <c r="Q4658">
        <v>1384</v>
      </c>
      <c r="R4658">
        <v>0</v>
      </c>
    </row>
    <row r="4659" spans="1:18" x14ac:dyDescent="0.25">
      <c r="A4659">
        <v>4658</v>
      </c>
      <c r="B4659">
        <v>94</v>
      </c>
      <c r="C4659" t="e">
        <f>-IoRPZ9LFuiHY8rTVTMHJV</f>
        <v>#NAME?</v>
      </c>
      <c r="D4659" t="s">
        <v>272</v>
      </c>
      <c r="E4659">
        <v>329.334</v>
      </c>
      <c r="F4659" t="s">
        <v>21</v>
      </c>
      <c r="G4659" t="s">
        <v>26</v>
      </c>
      <c r="H4659" t="s">
        <v>21</v>
      </c>
      <c r="I4659" t="s">
        <v>20</v>
      </c>
      <c r="J4659" t="s">
        <v>20</v>
      </c>
      <c r="K4659" t="s">
        <v>22</v>
      </c>
      <c r="L4659" t="s">
        <v>23</v>
      </c>
      <c r="M4659" t="s">
        <v>125</v>
      </c>
      <c r="N4659">
        <v>40.179287000000002</v>
      </c>
      <c r="O4659">
        <v>-111.61062699999999</v>
      </c>
      <c r="P4659">
        <v>4479.8084129999997</v>
      </c>
      <c r="Q4659">
        <v>1384</v>
      </c>
      <c r="R4659">
        <v>0</v>
      </c>
    </row>
    <row r="4660" spans="1:18" x14ac:dyDescent="0.25">
      <c r="A4660">
        <v>4659</v>
      </c>
      <c r="B4660">
        <v>94</v>
      </c>
      <c r="C4660" t="e">
        <f>-IoRPssUHJLRsYRGm97b0F</f>
        <v>#NAME?</v>
      </c>
      <c r="D4660" t="s">
        <v>272</v>
      </c>
      <c r="E4660">
        <v>329.47</v>
      </c>
      <c r="F4660" t="s">
        <v>21</v>
      </c>
      <c r="G4660" t="s">
        <v>26</v>
      </c>
      <c r="H4660" t="s">
        <v>21</v>
      </c>
      <c r="I4660" t="s">
        <v>20</v>
      </c>
      <c r="J4660" t="s">
        <v>20</v>
      </c>
      <c r="K4660" t="s">
        <v>22</v>
      </c>
      <c r="L4660" t="s">
        <v>23</v>
      </c>
      <c r="M4660" t="s">
        <v>125</v>
      </c>
      <c r="N4660">
        <v>40.181247999999997</v>
      </c>
      <c r="O4660">
        <v>-111.610637</v>
      </c>
      <c r="P4660">
        <v>4475.4176950000001</v>
      </c>
      <c r="Q4660">
        <v>1384</v>
      </c>
      <c r="R4660">
        <v>0</v>
      </c>
    </row>
    <row r="4661" spans="1:18" x14ac:dyDescent="0.25">
      <c r="A4661">
        <v>4660</v>
      </c>
      <c r="B4661">
        <v>94</v>
      </c>
      <c r="C4661" t="e">
        <f>-IoRQColFrTocKLa7WDmHk</f>
        <v>#NAME?</v>
      </c>
      <c r="D4661" t="s">
        <v>272</v>
      </c>
      <c r="E4661">
        <v>329.55900000000003</v>
      </c>
      <c r="F4661" t="s">
        <v>21</v>
      </c>
      <c r="G4661" t="s">
        <v>26</v>
      </c>
      <c r="H4661" t="s">
        <v>21</v>
      </c>
      <c r="I4661" t="s">
        <v>20</v>
      </c>
      <c r="J4661" t="s">
        <v>20</v>
      </c>
      <c r="K4661" t="s">
        <v>22</v>
      </c>
      <c r="L4661" t="s">
        <v>23</v>
      </c>
      <c r="M4661" t="s">
        <v>125</v>
      </c>
      <c r="N4661">
        <v>40.18253</v>
      </c>
      <c r="O4661">
        <v>-111.610598</v>
      </c>
      <c r="P4661">
        <v>4475.741027</v>
      </c>
      <c r="Q4661">
        <v>1384</v>
      </c>
      <c r="R4661">
        <v>0</v>
      </c>
    </row>
    <row r="4662" spans="1:18" x14ac:dyDescent="0.25">
      <c r="A4662">
        <v>4661</v>
      </c>
      <c r="B4662">
        <v>94</v>
      </c>
      <c r="C4662" t="s">
        <v>680</v>
      </c>
      <c r="D4662" t="s">
        <v>272</v>
      </c>
      <c r="E4662">
        <v>329.77699999999999</v>
      </c>
      <c r="F4662" t="s">
        <v>19</v>
      </c>
      <c r="G4662" t="s">
        <v>20</v>
      </c>
      <c r="H4662" t="s">
        <v>19</v>
      </c>
      <c r="I4662">
        <v>75</v>
      </c>
      <c r="J4662" t="s">
        <v>20</v>
      </c>
      <c r="K4662" t="s">
        <v>22</v>
      </c>
      <c r="L4662" t="s">
        <v>23</v>
      </c>
      <c r="M4662" t="s">
        <v>125</v>
      </c>
      <c r="N4662">
        <v>40.185651</v>
      </c>
      <c r="O4662">
        <v>-111.610648</v>
      </c>
      <c r="P4662">
        <v>4476.4017940000003</v>
      </c>
      <c r="Q4662">
        <v>1384</v>
      </c>
      <c r="R4662">
        <v>0</v>
      </c>
    </row>
    <row r="4663" spans="1:18" x14ac:dyDescent="0.25">
      <c r="A4663">
        <v>4662</v>
      </c>
      <c r="B4663">
        <v>94</v>
      </c>
      <c r="C4663">
        <v>31381545</v>
      </c>
      <c r="D4663" t="s">
        <v>116</v>
      </c>
      <c r="E4663">
        <v>33.01</v>
      </c>
      <c r="F4663" t="s">
        <v>19</v>
      </c>
      <c r="G4663" t="s">
        <v>20</v>
      </c>
      <c r="H4663" t="s">
        <v>21</v>
      </c>
      <c r="I4663" t="s">
        <v>20</v>
      </c>
      <c r="J4663" t="s">
        <v>20</v>
      </c>
      <c r="K4663" t="s">
        <v>41</v>
      </c>
      <c r="L4663" t="s">
        <v>95</v>
      </c>
      <c r="M4663" t="s">
        <v>117</v>
      </c>
      <c r="N4663">
        <v>41.823957999999998</v>
      </c>
      <c r="O4663">
        <v>-111.833001</v>
      </c>
      <c r="P4663">
        <v>4496.4940880000004</v>
      </c>
      <c r="Q4663">
        <v>324</v>
      </c>
      <c r="R4663">
        <v>0</v>
      </c>
    </row>
    <row r="4664" spans="1:18" x14ac:dyDescent="0.25">
      <c r="A4664">
        <v>4663</v>
      </c>
      <c r="B4664">
        <v>94</v>
      </c>
      <c r="C4664">
        <v>31743361</v>
      </c>
      <c r="D4664" t="s">
        <v>290</v>
      </c>
      <c r="E4664">
        <v>33.012999999999998</v>
      </c>
      <c r="F4664" t="s">
        <v>21</v>
      </c>
      <c r="G4664" t="s">
        <v>26</v>
      </c>
      <c r="H4664" t="s">
        <v>21</v>
      </c>
      <c r="I4664" t="s">
        <v>20</v>
      </c>
      <c r="J4664" t="s">
        <v>20</v>
      </c>
      <c r="K4664" t="s">
        <v>41</v>
      </c>
      <c r="L4664" t="s">
        <v>291</v>
      </c>
      <c r="M4664" t="s">
        <v>238</v>
      </c>
      <c r="N4664">
        <v>41.610095000000001</v>
      </c>
      <c r="O4664">
        <v>-113.56573299999999</v>
      </c>
      <c r="P4664">
        <v>4888.9464230000003</v>
      </c>
      <c r="Q4664">
        <v>1343</v>
      </c>
      <c r="R4664">
        <v>0</v>
      </c>
    </row>
    <row r="4665" spans="1:18" x14ac:dyDescent="0.25">
      <c r="A4665">
        <v>4664</v>
      </c>
      <c r="B4665">
        <v>94</v>
      </c>
      <c r="C4665">
        <v>28189084</v>
      </c>
      <c r="D4665" t="s">
        <v>233</v>
      </c>
      <c r="E4665">
        <v>33.014000000000003</v>
      </c>
      <c r="F4665" t="s">
        <v>21</v>
      </c>
      <c r="G4665" t="s">
        <v>26</v>
      </c>
      <c r="H4665" t="s">
        <v>21</v>
      </c>
      <c r="I4665" t="s">
        <v>20</v>
      </c>
      <c r="J4665" t="s">
        <v>20</v>
      </c>
      <c r="K4665" t="s">
        <v>22</v>
      </c>
      <c r="L4665" t="s">
        <v>234</v>
      </c>
      <c r="M4665" t="s">
        <v>235</v>
      </c>
      <c r="N4665">
        <v>40.317101999999998</v>
      </c>
      <c r="O4665">
        <v>-109.48442300000001</v>
      </c>
      <c r="P4665">
        <v>4673.9661219999998</v>
      </c>
      <c r="Q4665">
        <v>1354</v>
      </c>
      <c r="R4665">
        <v>0</v>
      </c>
    </row>
    <row r="4666" spans="1:18" x14ac:dyDescent="0.25">
      <c r="A4666">
        <v>4665</v>
      </c>
      <c r="B4666">
        <v>94</v>
      </c>
      <c r="C4666">
        <v>31766502</v>
      </c>
      <c r="D4666" t="s">
        <v>312</v>
      </c>
      <c r="E4666">
        <v>33.017000000000003</v>
      </c>
      <c r="F4666" t="s">
        <v>21</v>
      </c>
      <c r="G4666" t="s">
        <v>26</v>
      </c>
      <c r="H4666" t="s">
        <v>21</v>
      </c>
      <c r="I4666" t="s">
        <v>20</v>
      </c>
      <c r="J4666" t="s">
        <v>20</v>
      </c>
      <c r="K4666" t="s">
        <v>27</v>
      </c>
      <c r="L4666" t="s">
        <v>173</v>
      </c>
      <c r="M4666" t="s">
        <v>313</v>
      </c>
      <c r="N4666">
        <v>38.833002</v>
      </c>
      <c r="O4666">
        <v>-112.848223</v>
      </c>
      <c r="P4666">
        <v>4857.3384889999998</v>
      </c>
      <c r="Q4666">
        <v>255</v>
      </c>
      <c r="R4666">
        <v>0</v>
      </c>
    </row>
    <row r="4667" spans="1:18" x14ac:dyDescent="0.25">
      <c r="A4667">
        <v>4666</v>
      </c>
      <c r="B4667">
        <v>94</v>
      </c>
      <c r="C4667">
        <v>31572457</v>
      </c>
      <c r="D4667" t="s">
        <v>172</v>
      </c>
      <c r="E4667">
        <v>33.018999999999998</v>
      </c>
      <c r="F4667" t="s">
        <v>21</v>
      </c>
      <c r="G4667" t="s">
        <v>26</v>
      </c>
      <c r="H4667" t="s">
        <v>21</v>
      </c>
      <c r="I4667" t="s">
        <v>20</v>
      </c>
      <c r="J4667" t="s">
        <v>20</v>
      </c>
      <c r="K4667" t="s">
        <v>22</v>
      </c>
      <c r="L4667" t="s">
        <v>155</v>
      </c>
      <c r="M4667" t="s">
        <v>174</v>
      </c>
      <c r="N4667">
        <v>39.710006999999997</v>
      </c>
      <c r="O4667">
        <v>-111.839991</v>
      </c>
      <c r="P4667">
        <v>5062.2236499999999</v>
      </c>
      <c r="Q4667">
        <v>1411</v>
      </c>
      <c r="R4667">
        <v>0</v>
      </c>
    </row>
    <row r="4668" spans="1:18" x14ac:dyDescent="0.25">
      <c r="A4668">
        <v>4667</v>
      </c>
      <c r="B4668">
        <v>94</v>
      </c>
      <c r="C4668" t="e">
        <f>-JN0UdGfIsTWQNFgErYH_V</f>
        <v>#NAME?</v>
      </c>
      <c r="D4668" t="s">
        <v>312</v>
      </c>
      <c r="E4668">
        <v>33.023000000000003</v>
      </c>
      <c r="F4668" t="s">
        <v>21</v>
      </c>
      <c r="G4668" t="s">
        <v>26</v>
      </c>
      <c r="H4668" t="s">
        <v>21</v>
      </c>
      <c r="I4668" t="s">
        <v>20</v>
      </c>
      <c r="J4668" t="s">
        <v>20</v>
      </c>
      <c r="K4668" t="s">
        <v>27</v>
      </c>
      <c r="L4668" t="s">
        <v>173</v>
      </c>
      <c r="M4668" t="s">
        <v>313</v>
      </c>
      <c r="N4668">
        <v>38.833084999999997</v>
      </c>
      <c r="O4668">
        <v>-112.848196</v>
      </c>
      <c r="P4668">
        <v>4857.5921330000001</v>
      </c>
      <c r="Q4668">
        <v>255</v>
      </c>
      <c r="R4668">
        <v>0</v>
      </c>
    </row>
    <row r="4669" spans="1:18" x14ac:dyDescent="0.25">
      <c r="A4669">
        <v>4668</v>
      </c>
      <c r="B4669">
        <v>94</v>
      </c>
      <c r="C4669">
        <v>31324456</v>
      </c>
      <c r="D4669" t="s">
        <v>278</v>
      </c>
      <c r="E4669">
        <v>33.042999999999999</v>
      </c>
      <c r="F4669" t="s">
        <v>21</v>
      </c>
      <c r="G4669" t="s">
        <v>26</v>
      </c>
      <c r="H4669" t="s">
        <v>21</v>
      </c>
      <c r="I4669" t="s">
        <v>20</v>
      </c>
      <c r="J4669" t="s">
        <v>20</v>
      </c>
      <c r="K4669" t="s">
        <v>27</v>
      </c>
      <c r="L4669" t="s">
        <v>279</v>
      </c>
      <c r="M4669" t="s">
        <v>280</v>
      </c>
      <c r="N4669">
        <v>37.503940999999998</v>
      </c>
      <c r="O4669">
        <v>-112.62474899999999</v>
      </c>
      <c r="P4669">
        <v>8017.8730960000003</v>
      </c>
      <c r="Q4669">
        <v>1330</v>
      </c>
      <c r="R4669">
        <v>0</v>
      </c>
    </row>
    <row r="4670" spans="1:18" x14ac:dyDescent="0.25">
      <c r="A4670">
        <v>4669</v>
      </c>
      <c r="B4670">
        <v>94</v>
      </c>
      <c r="C4670">
        <v>31400996</v>
      </c>
      <c r="D4670" t="s">
        <v>124</v>
      </c>
      <c r="E4670">
        <v>43.316000000000003</v>
      </c>
      <c r="F4670" t="s">
        <v>19</v>
      </c>
      <c r="G4670" t="s">
        <v>20</v>
      </c>
      <c r="H4670" t="s">
        <v>21</v>
      </c>
      <c r="I4670" t="s">
        <v>20</v>
      </c>
      <c r="J4670" t="s">
        <v>20</v>
      </c>
      <c r="K4670" t="s">
        <v>31</v>
      </c>
      <c r="L4670" t="s">
        <v>48</v>
      </c>
      <c r="M4670" t="s">
        <v>125</v>
      </c>
      <c r="N4670">
        <v>40.536893999999997</v>
      </c>
      <c r="O4670">
        <v>-111.93869599999999</v>
      </c>
      <c r="P4670">
        <v>4380.2379940000001</v>
      </c>
      <c r="Q4670">
        <v>1368</v>
      </c>
      <c r="R4670">
        <v>0</v>
      </c>
    </row>
    <row r="4671" spans="1:18" x14ac:dyDescent="0.25">
      <c r="A4671">
        <v>4670</v>
      </c>
      <c r="B4671">
        <v>94</v>
      </c>
      <c r="C4671">
        <v>31696317</v>
      </c>
      <c r="D4671" t="s">
        <v>217</v>
      </c>
      <c r="E4671">
        <v>43.341000000000001</v>
      </c>
      <c r="F4671" t="s">
        <v>21</v>
      </c>
      <c r="G4671" t="s">
        <v>20</v>
      </c>
      <c r="H4671" t="s">
        <v>21</v>
      </c>
      <c r="I4671" t="s">
        <v>20</v>
      </c>
      <c r="J4671" t="s">
        <v>20</v>
      </c>
      <c r="K4671" t="s">
        <v>27</v>
      </c>
      <c r="L4671" t="s">
        <v>162</v>
      </c>
      <c r="M4671" t="s">
        <v>163</v>
      </c>
      <c r="N4671">
        <v>37.599193999999997</v>
      </c>
      <c r="O4671">
        <v>-113.661851</v>
      </c>
      <c r="P4671">
        <v>5229.6789609999996</v>
      </c>
      <c r="Q4671">
        <v>304</v>
      </c>
      <c r="R4671">
        <v>0</v>
      </c>
    </row>
    <row r="4672" spans="1:18" x14ac:dyDescent="0.25">
      <c r="A4672">
        <v>4671</v>
      </c>
      <c r="B4672">
        <v>94</v>
      </c>
      <c r="C4672">
        <v>31802722</v>
      </c>
      <c r="D4672" t="s">
        <v>61</v>
      </c>
      <c r="E4672">
        <v>4.335</v>
      </c>
      <c r="F4672" t="s">
        <v>19</v>
      </c>
      <c r="G4672" t="s">
        <v>20</v>
      </c>
      <c r="H4672" t="s">
        <v>21</v>
      </c>
      <c r="I4672" t="s">
        <v>20</v>
      </c>
      <c r="J4672" t="s">
        <v>20</v>
      </c>
      <c r="K4672" t="s">
        <v>22</v>
      </c>
      <c r="L4672" t="s">
        <v>60</v>
      </c>
      <c r="M4672" t="s">
        <v>62</v>
      </c>
      <c r="N4672">
        <v>40.268695000000001</v>
      </c>
      <c r="O4672">
        <v>-111.65715299999999</v>
      </c>
      <c r="P4672">
        <v>4627.3930280000004</v>
      </c>
      <c r="Q4672">
        <v>403</v>
      </c>
      <c r="R4672">
        <v>0</v>
      </c>
    </row>
    <row r="4673" spans="1:18" x14ac:dyDescent="0.25">
      <c r="A4673">
        <v>4672</v>
      </c>
      <c r="B4673">
        <v>94</v>
      </c>
      <c r="C4673">
        <v>27374679</v>
      </c>
      <c r="D4673" t="s">
        <v>185</v>
      </c>
      <c r="E4673">
        <v>4.34</v>
      </c>
      <c r="F4673" t="s">
        <v>21</v>
      </c>
      <c r="G4673" t="s">
        <v>26</v>
      </c>
      <c r="H4673" t="s">
        <v>21</v>
      </c>
      <c r="I4673" t="s">
        <v>20</v>
      </c>
      <c r="J4673" t="s">
        <v>20</v>
      </c>
      <c r="K4673" t="s">
        <v>41</v>
      </c>
      <c r="L4673" t="s">
        <v>57</v>
      </c>
      <c r="M4673" t="s">
        <v>58</v>
      </c>
      <c r="N4673">
        <v>41.139854</v>
      </c>
      <c r="O4673">
        <v>-112.10930500000001</v>
      </c>
      <c r="P4673">
        <v>4185.5066649999999</v>
      </c>
      <c r="Q4673">
        <v>309</v>
      </c>
      <c r="R4673">
        <v>0</v>
      </c>
    </row>
    <row r="4674" spans="1:18" x14ac:dyDescent="0.25">
      <c r="A4674">
        <v>4673</v>
      </c>
      <c r="B4674">
        <v>94</v>
      </c>
      <c r="C4674" t="s">
        <v>681</v>
      </c>
      <c r="D4674" t="s">
        <v>312</v>
      </c>
      <c r="E4674">
        <v>4.3419999999999996</v>
      </c>
      <c r="F4674" t="s">
        <v>21</v>
      </c>
      <c r="G4674" t="s">
        <v>20</v>
      </c>
      <c r="H4674" t="s">
        <v>21</v>
      </c>
      <c r="I4674" t="s">
        <v>20</v>
      </c>
      <c r="J4674" t="s">
        <v>20</v>
      </c>
      <c r="K4674" t="s">
        <v>27</v>
      </c>
      <c r="L4674" t="s">
        <v>143</v>
      </c>
      <c r="M4674" t="s">
        <v>313</v>
      </c>
      <c r="N4674">
        <v>38.459522999999997</v>
      </c>
      <c r="O4674">
        <v>-113.00426299999999</v>
      </c>
      <c r="P4674">
        <v>4891.4886569999999</v>
      </c>
      <c r="Q4674">
        <v>255</v>
      </c>
      <c r="R4674">
        <v>0</v>
      </c>
    </row>
    <row r="4675" spans="1:18" x14ac:dyDescent="0.25">
      <c r="A4675">
        <v>4674</v>
      </c>
      <c r="B4675">
        <v>94</v>
      </c>
      <c r="C4675">
        <v>31294389</v>
      </c>
      <c r="D4675" t="s">
        <v>203</v>
      </c>
      <c r="E4675">
        <v>4.3419999999999996</v>
      </c>
      <c r="F4675" t="s">
        <v>19</v>
      </c>
      <c r="G4675" t="s">
        <v>20</v>
      </c>
      <c r="H4675" t="s">
        <v>21</v>
      </c>
      <c r="I4675" t="s">
        <v>20</v>
      </c>
      <c r="J4675" t="s">
        <v>20</v>
      </c>
      <c r="K4675" t="s">
        <v>41</v>
      </c>
      <c r="L4675" t="s">
        <v>81</v>
      </c>
      <c r="M4675" t="s">
        <v>204</v>
      </c>
      <c r="N4675">
        <v>41.244641999999999</v>
      </c>
      <c r="O4675">
        <v>-112.00953199999999</v>
      </c>
      <c r="P4675">
        <v>4209.3982839999999</v>
      </c>
      <c r="Q4675">
        <v>1349</v>
      </c>
      <c r="R4675">
        <v>0</v>
      </c>
    </row>
    <row r="4676" spans="1:18" x14ac:dyDescent="0.25">
      <c r="A4676">
        <v>4675</v>
      </c>
      <c r="B4676">
        <v>94</v>
      </c>
      <c r="C4676">
        <v>532028</v>
      </c>
      <c r="D4676" t="s">
        <v>44</v>
      </c>
      <c r="E4676">
        <v>4.3490000000000002</v>
      </c>
      <c r="F4676" t="s">
        <v>21</v>
      </c>
      <c r="G4676" t="s">
        <v>26</v>
      </c>
      <c r="H4676" t="s">
        <v>21</v>
      </c>
      <c r="I4676" t="s">
        <v>20</v>
      </c>
      <c r="J4676" t="s">
        <v>20</v>
      </c>
      <c r="K4676" t="s">
        <v>41</v>
      </c>
      <c r="L4676" t="s">
        <v>45</v>
      </c>
      <c r="M4676" t="s">
        <v>46</v>
      </c>
      <c r="N4676">
        <v>40.940325999999999</v>
      </c>
      <c r="O4676">
        <v>-111.879848</v>
      </c>
      <c r="P4676">
        <v>4265.2082540000001</v>
      </c>
      <c r="Q4676">
        <v>1395</v>
      </c>
      <c r="R4676">
        <v>0</v>
      </c>
    </row>
    <row r="4677" spans="1:18" x14ac:dyDescent="0.25">
      <c r="A4677">
        <v>4676</v>
      </c>
      <c r="B4677">
        <v>94</v>
      </c>
      <c r="C4677">
        <v>1371414</v>
      </c>
      <c r="D4677" t="s">
        <v>100</v>
      </c>
      <c r="E4677">
        <v>4.3490000000000002</v>
      </c>
      <c r="F4677" t="s">
        <v>21</v>
      </c>
      <c r="G4677" t="s">
        <v>26</v>
      </c>
      <c r="H4677" t="s">
        <v>21</v>
      </c>
      <c r="I4677" t="s">
        <v>20</v>
      </c>
      <c r="J4677" t="s">
        <v>20</v>
      </c>
      <c r="K4677" t="s">
        <v>41</v>
      </c>
      <c r="L4677" t="s">
        <v>57</v>
      </c>
      <c r="M4677" t="s">
        <v>46</v>
      </c>
      <c r="N4677">
        <v>41.094110000000001</v>
      </c>
      <c r="O4677">
        <v>-112.064626</v>
      </c>
      <c r="P4677">
        <v>4238.0171039999996</v>
      </c>
      <c r="Q4677">
        <v>1396</v>
      </c>
      <c r="R4677">
        <v>0</v>
      </c>
    </row>
    <row r="4678" spans="1:18" x14ac:dyDescent="0.25">
      <c r="A4678">
        <v>4677</v>
      </c>
      <c r="B4678">
        <v>94</v>
      </c>
      <c r="C4678">
        <v>1263833</v>
      </c>
      <c r="D4678" t="s">
        <v>189</v>
      </c>
      <c r="E4678">
        <v>4.3499999999999996</v>
      </c>
      <c r="F4678" t="s">
        <v>21</v>
      </c>
      <c r="G4678" t="s">
        <v>26</v>
      </c>
      <c r="H4678" t="s">
        <v>21</v>
      </c>
      <c r="I4678" t="s">
        <v>20</v>
      </c>
      <c r="J4678" t="s">
        <v>20</v>
      </c>
      <c r="K4678" t="s">
        <v>41</v>
      </c>
      <c r="L4678" t="s">
        <v>81</v>
      </c>
      <c r="M4678" t="s">
        <v>190</v>
      </c>
      <c r="N4678">
        <v>41.216161999999997</v>
      </c>
      <c r="O4678">
        <v>-111.94833300000001</v>
      </c>
      <c r="P4678">
        <v>4428.6816150000004</v>
      </c>
      <c r="Q4678">
        <v>412</v>
      </c>
      <c r="R4678">
        <v>0</v>
      </c>
    </row>
    <row r="4679" spans="1:18" x14ac:dyDescent="0.25">
      <c r="A4679">
        <v>4678</v>
      </c>
      <c r="B4679">
        <v>94</v>
      </c>
      <c r="C4679">
        <v>31351610</v>
      </c>
      <c r="D4679" t="s">
        <v>34</v>
      </c>
      <c r="E4679">
        <v>4.3570000000000002</v>
      </c>
      <c r="F4679" t="s">
        <v>21</v>
      </c>
      <c r="G4679" t="s">
        <v>26</v>
      </c>
      <c r="H4679" t="s">
        <v>21</v>
      </c>
      <c r="I4679" t="s">
        <v>20</v>
      </c>
      <c r="J4679" t="s">
        <v>20</v>
      </c>
      <c r="K4679" t="s">
        <v>22</v>
      </c>
      <c r="L4679" t="s">
        <v>35</v>
      </c>
      <c r="M4679" t="s">
        <v>36</v>
      </c>
      <c r="N4679">
        <v>40.512062999999998</v>
      </c>
      <c r="O4679">
        <v>-111.463728</v>
      </c>
      <c r="P4679">
        <v>5520.1844570000003</v>
      </c>
      <c r="Q4679">
        <v>1400</v>
      </c>
      <c r="R4679">
        <v>0</v>
      </c>
    </row>
    <row r="4680" spans="1:18" x14ac:dyDescent="0.25">
      <c r="A4680">
        <v>4679</v>
      </c>
      <c r="B4680">
        <v>94</v>
      </c>
      <c r="C4680">
        <v>31899371</v>
      </c>
      <c r="D4680" t="s">
        <v>272</v>
      </c>
      <c r="E4680">
        <v>89.489000000000004</v>
      </c>
      <c r="F4680" t="s">
        <v>21</v>
      </c>
      <c r="G4680" t="s">
        <v>26</v>
      </c>
      <c r="H4680" t="s">
        <v>21</v>
      </c>
      <c r="I4680" t="s">
        <v>20</v>
      </c>
      <c r="J4680" t="s">
        <v>20</v>
      </c>
      <c r="K4680" t="s">
        <v>27</v>
      </c>
      <c r="L4680" t="s">
        <v>279</v>
      </c>
      <c r="M4680" t="s">
        <v>214</v>
      </c>
      <c r="N4680">
        <v>37.314771999999998</v>
      </c>
      <c r="O4680">
        <v>-112.597515</v>
      </c>
      <c r="P4680">
        <v>5667.9085910000003</v>
      </c>
      <c r="Q4680">
        <v>1384</v>
      </c>
      <c r="R4680">
        <v>0</v>
      </c>
    </row>
    <row r="4681" spans="1:18" x14ac:dyDescent="0.25">
      <c r="A4681">
        <v>4680</v>
      </c>
      <c r="B4681">
        <v>94</v>
      </c>
      <c r="C4681">
        <v>31555452</v>
      </c>
      <c r="D4681" t="s">
        <v>213</v>
      </c>
      <c r="E4681">
        <v>89.561999999999998</v>
      </c>
      <c r="F4681" t="s">
        <v>21</v>
      </c>
      <c r="G4681" t="s">
        <v>26</v>
      </c>
      <c r="H4681" t="s">
        <v>21</v>
      </c>
      <c r="I4681" t="s">
        <v>20</v>
      </c>
      <c r="J4681" t="s">
        <v>20</v>
      </c>
      <c r="K4681" t="s">
        <v>27</v>
      </c>
      <c r="L4681" t="s">
        <v>173</v>
      </c>
      <c r="M4681" t="s">
        <v>214</v>
      </c>
      <c r="N4681">
        <v>39.354562000000001</v>
      </c>
      <c r="O4681">
        <v>-112.56291</v>
      </c>
      <c r="P4681">
        <v>4570.2166470000002</v>
      </c>
      <c r="Q4681">
        <v>1332</v>
      </c>
      <c r="R4681">
        <v>0</v>
      </c>
    </row>
    <row r="4682" spans="1:18" x14ac:dyDescent="0.25">
      <c r="A4682">
        <v>4681</v>
      </c>
      <c r="B4682">
        <v>94</v>
      </c>
      <c r="C4682">
        <v>31899382</v>
      </c>
      <c r="D4682" t="s">
        <v>272</v>
      </c>
      <c r="E4682">
        <v>89.597999999999999</v>
      </c>
      <c r="F4682" t="s">
        <v>21</v>
      </c>
      <c r="G4682" t="s">
        <v>26</v>
      </c>
      <c r="H4682" t="s">
        <v>21</v>
      </c>
      <c r="I4682" t="s">
        <v>20</v>
      </c>
      <c r="J4682" t="s">
        <v>20</v>
      </c>
      <c r="K4682" t="s">
        <v>27</v>
      </c>
      <c r="L4682" t="s">
        <v>279</v>
      </c>
      <c r="M4682" t="s">
        <v>214</v>
      </c>
      <c r="N4682">
        <v>37.316353999999997</v>
      </c>
      <c r="O4682">
        <v>-112.59752899999999</v>
      </c>
      <c r="P4682">
        <v>5683.4305439999998</v>
      </c>
      <c r="Q4682">
        <v>1384</v>
      </c>
      <c r="R4682">
        <v>0</v>
      </c>
    </row>
    <row r="4683" spans="1:18" x14ac:dyDescent="0.25">
      <c r="A4683">
        <v>4682</v>
      </c>
      <c r="B4683">
        <v>94</v>
      </c>
      <c r="C4683">
        <v>31474419</v>
      </c>
      <c r="D4683" t="s">
        <v>320</v>
      </c>
      <c r="E4683">
        <v>89.614999999999995</v>
      </c>
      <c r="F4683" t="s">
        <v>21</v>
      </c>
      <c r="G4683" t="s">
        <v>26</v>
      </c>
      <c r="H4683" t="s">
        <v>21</v>
      </c>
      <c r="I4683" t="s">
        <v>20</v>
      </c>
      <c r="J4683" t="s">
        <v>20</v>
      </c>
      <c r="K4683" t="s">
        <v>27</v>
      </c>
      <c r="L4683" t="s">
        <v>173</v>
      </c>
      <c r="M4683" t="s">
        <v>166</v>
      </c>
      <c r="N4683">
        <v>39.352466999999997</v>
      </c>
      <c r="O4683">
        <v>-112.55970600000001</v>
      </c>
      <c r="P4683">
        <v>4567.7128510000002</v>
      </c>
      <c r="Q4683">
        <v>1356</v>
      </c>
      <c r="R4683">
        <v>0</v>
      </c>
    </row>
    <row r="4684" spans="1:18" x14ac:dyDescent="0.25">
      <c r="A4684">
        <v>4683</v>
      </c>
      <c r="B4684">
        <v>94</v>
      </c>
      <c r="C4684">
        <v>31899393</v>
      </c>
      <c r="D4684" t="s">
        <v>272</v>
      </c>
      <c r="E4684">
        <v>89.709000000000003</v>
      </c>
      <c r="F4684" t="s">
        <v>21</v>
      </c>
      <c r="G4684" t="s">
        <v>26</v>
      </c>
      <c r="H4684" t="s">
        <v>21</v>
      </c>
      <c r="I4684" t="s">
        <v>20</v>
      </c>
      <c r="J4684" t="s">
        <v>20</v>
      </c>
      <c r="K4684" t="s">
        <v>27</v>
      </c>
      <c r="L4684" t="s">
        <v>279</v>
      </c>
      <c r="M4684" t="s">
        <v>214</v>
      </c>
      <c r="N4684">
        <v>37.317965000000001</v>
      </c>
      <c r="O4684">
        <v>-112.597543</v>
      </c>
      <c r="P4684">
        <v>5698.2543660000001</v>
      </c>
      <c r="Q4684">
        <v>1384</v>
      </c>
      <c r="R4684">
        <v>0</v>
      </c>
    </row>
    <row r="4685" spans="1:18" x14ac:dyDescent="0.25">
      <c r="A4685">
        <v>4684</v>
      </c>
      <c r="B4685">
        <v>94</v>
      </c>
      <c r="C4685">
        <v>31771405</v>
      </c>
      <c r="D4685" t="s">
        <v>290</v>
      </c>
      <c r="E4685">
        <v>89.734999999999999</v>
      </c>
      <c r="F4685" t="s">
        <v>21</v>
      </c>
      <c r="G4685" t="s">
        <v>20</v>
      </c>
      <c r="H4685" t="s">
        <v>21</v>
      </c>
      <c r="I4685" t="s">
        <v>20</v>
      </c>
      <c r="J4685" t="s">
        <v>20</v>
      </c>
      <c r="K4685" t="s">
        <v>41</v>
      </c>
      <c r="L4685" t="s">
        <v>291</v>
      </c>
      <c r="M4685" t="s">
        <v>238</v>
      </c>
      <c r="N4685">
        <v>41.966056999999999</v>
      </c>
      <c r="O4685">
        <v>-112.768874</v>
      </c>
      <c r="P4685">
        <v>4464.09998</v>
      </c>
      <c r="Q4685">
        <v>1343</v>
      </c>
      <c r="R4685">
        <v>0</v>
      </c>
    </row>
    <row r="4686" spans="1:18" x14ac:dyDescent="0.25">
      <c r="A4686">
        <v>4685</v>
      </c>
      <c r="B4686">
        <v>94</v>
      </c>
      <c r="C4686">
        <v>31373304</v>
      </c>
      <c r="D4686" t="s">
        <v>142</v>
      </c>
      <c r="E4686">
        <v>88.897999999999996</v>
      </c>
      <c r="F4686" t="s">
        <v>21</v>
      </c>
      <c r="G4686" t="s">
        <v>26</v>
      </c>
      <c r="H4686" t="s">
        <v>21</v>
      </c>
      <c r="I4686" t="s">
        <v>20</v>
      </c>
      <c r="J4686" t="s">
        <v>20</v>
      </c>
      <c r="K4686" t="s">
        <v>27</v>
      </c>
      <c r="L4686" t="s">
        <v>143</v>
      </c>
      <c r="M4686" t="s">
        <v>106</v>
      </c>
      <c r="N4686">
        <v>38.240248000000001</v>
      </c>
      <c r="O4686">
        <v>-112.938402</v>
      </c>
      <c r="P4686">
        <v>5285.5137089999998</v>
      </c>
      <c r="Q4686">
        <v>305</v>
      </c>
      <c r="R4686">
        <v>0</v>
      </c>
    </row>
    <row r="4687" spans="1:18" x14ac:dyDescent="0.25">
      <c r="A4687">
        <v>4686</v>
      </c>
      <c r="B4687">
        <v>94</v>
      </c>
      <c r="C4687">
        <v>31582328</v>
      </c>
      <c r="D4687" t="s">
        <v>172</v>
      </c>
      <c r="E4687">
        <v>54.848999999999997</v>
      </c>
      <c r="F4687" t="s">
        <v>21</v>
      </c>
      <c r="G4687" t="s">
        <v>26</v>
      </c>
      <c r="H4687" t="s">
        <v>21</v>
      </c>
      <c r="I4687" t="s">
        <v>20</v>
      </c>
      <c r="J4687" t="s">
        <v>20</v>
      </c>
      <c r="K4687" t="s">
        <v>27</v>
      </c>
      <c r="L4687" t="s">
        <v>230</v>
      </c>
      <c r="M4687" t="s">
        <v>174</v>
      </c>
      <c r="N4687">
        <v>39.528651000000004</v>
      </c>
      <c r="O4687">
        <v>-111.590594</v>
      </c>
      <c r="P4687">
        <v>5479.6118759999999</v>
      </c>
      <c r="Q4687">
        <v>1411</v>
      </c>
      <c r="R4687">
        <v>0</v>
      </c>
    </row>
    <row r="4688" spans="1:18" x14ac:dyDescent="0.25">
      <c r="A4688">
        <v>4687</v>
      </c>
      <c r="B4688">
        <v>94</v>
      </c>
      <c r="C4688">
        <v>28022530</v>
      </c>
      <c r="D4688" t="s">
        <v>281</v>
      </c>
      <c r="E4688">
        <v>54.906999999999996</v>
      </c>
      <c r="F4688" t="s">
        <v>19</v>
      </c>
      <c r="G4688" t="s">
        <v>20</v>
      </c>
      <c r="H4688" t="s">
        <v>21</v>
      </c>
      <c r="I4688" t="s">
        <v>20</v>
      </c>
      <c r="J4688" t="s">
        <v>20</v>
      </c>
      <c r="K4688" t="s">
        <v>31</v>
      </c>
      <c r="L4688" t="s">
        <v>282</v>
      </c>
      <c r="M4688" t="s">
        <v>174</v>
      </c>
      <c r="N4688">
        <v>40.53857</v>
      </c>
      <c r="O4688">
        <v>-112.298395</v>
      </c>
      <c r="P4688">
        <v>4910.7287260000003</v>
      </c>
      <c r="Q4688">
        <v>1347</v>
      </c>
      <c r="R4688">
        <v>0</v>
      </c>
    </row>
    <row r="4689" spans="1:18" x14ac:dyDescent="0.25">
      <c r="A4689">
        <v>4688</v>
      </c>
      <c r="B4689">
        <v>94</v>
      </c>
      <c r="C4689">
        <v>31747320</v>
      </c>
      <c r="D4689" t="s">
        <v>290</v>
      </c>
      <c r="E4689">
        <v>54.91</v>
      </c>
      <c r="F4689" t="s">
        <v>21</v>
      </c>
      <c r="G4689" t="s">
        <v>26</v>
      </c>
      <c r="H4689" t="s">
        <v>21</v>
      </c>
      <c r="I4689" t="s">
        <v>20</v>
      </c>
      <c r="J4689" t="s">
        <v>20</v>
      </c>
      <c r="K4689" t="s">
        <v>41</v>
      </c>
      <c r="L4689" t="s">
        <v>291</v>
      </c>
      <c r="M4689" t="s">
        <v>238</v>
      </c>
      <c r="N4689">
        <v>41.817005000000002</v>
      </c>
      <c r="O4689">
        <v>-113.32979400000001</v>
      </c>
      <c r="P4689">
        <v>5492.9008720000002</v>
      </c>
      <c r="Q4689">
        <v>1343</v>
      </c>
      <c r="R4689">
        <v>0</v>
      </c>
    </row>
    <row r="4690" spans="1:18" x14ac:dyDescent="0.25">
      <c r="A4690">
        <v>4689</v>
      </c>
      <c r="B4690">
        <v>94</v>
      </c>
      <c r="C4690">
        <v>31582339</v>
      </c>
      <c r="D4690" t="s">
        <v>172</v>
      </c>
      <c r="E4690">
        <v>54.917000000000002</v>
      </c>
      <c r="F4690" t="s">
        <v>21</v>
      </c>
      <c r="G4690" t="s">
        <v>26</v>
      </c>
      <c r="H4690" t="s">
        <v>21</v>
      </c>
      <c r="I4690" t="s">
        <v>20</v>
      </c>
      <c r="J4690" t="s">
        <v>20</v>
      </c>
      <c r="K4690" t="s">
        <v>27</v>
      </c>
      <c r="L4690" t="s">
        <v>230</v>
      </c>
      <c r="M4690" t="s">
        <v>174</v>
      </c>
      <c r="N4690">
        <v>39.527666000000004</v>
      </c>
      <c r="O4690">
        <v>-111.59057799999999</v>
      </c>
      <c r="P4690">
        <v>5476.4048739999998</v>
      </c>
      <c r="Q4690">
        <v>1411</v>
      </c>
      <c r="R4690">
        <v>0</v>
      </c>
    </row>
    <row r="4691" spans="1:18" x14ac:dyDescent="0.25">
      <c r="A4691">
        <v>4690</v>
      </c>
      <c r="B4691">
        <v>94</v>
      </c>
      <c r="C4691">
        <v>31582350</v>
      </c>
      <c r="D4691" t="s">
        <v>172</v>
      </c>
      <c r="E4691">
        <v>54.981000000000002</v>
      </c>
      <c r="F4691" t="s">
        <v>21</v>
      </c>
      <c r="G4691" t="s">
        <v>26</v>
      </c>
      <c r="H4691" t="s">
        <v>21</v>
      </c>
      <c r="I4691" t="s">
        <v>20</v>
      </c>
      <c r="J4691" t="s">
        <v>20</v>
      </c>
      <c r="K4691" t="s">
        <v>27</v>
      </c>
      <c r="L4691" t="s">
        <v>230</v>
      </c>
      <c r="M4691" t="s">
        <v>174</v>
      </c>
      <c r="N4691">
        <v>39.526744000000001</v>
      </c>
      <c r="O4691">
        <v>-111.590558</v>
      </c>
      <c r="P4691">
        <v>5474.3301039999997</v>
      </c>
      <c r="Q4691">
        <v>1411</v>
      </c>
      <c r="R4691">
        <v>0</v>
      </c>
    </row>
    <row r="4692" spans="1:18" x14ac:dyDescent="0.25">
      <c r="A4692">
        <v>4691</v>
      </c>
      <c r="B4692">
        <v>94</v>
      </c>
      <c r="C4692" t="s">
        <v>682</v>
      </c>
      <c r="D4692" t="s">
        <v>118</v>
      </c>
      <c r="E4692">
        <v>55.026000000000003</v>
      </c>
      <c r="F4692" t="s">
        <v>21</v>
      </c>
      <c r="G4692" t="s">
        <v>20</v>
      </c>
      <c r="H4692" t="s">
        <v>21</v>
      </c>
      <c r="I4692" t="s">
        <v>20</v>
      </c>
      <c r="J4692" t="s">
        <v>20</v>
      </c>
      <c r="K4692" t="s">
        <v>22</v>
      </c>
      <c r="L4692" t="s">
        <v>119</v>
      </c>
      <c r="M4692" t="s">
        <v>120</v>
      </c>
      <c r="N4692">
        <v>40.194293999999999</v>
      </c>
      <c r="O4692">
        <v>-110.962808</v>
      </c>
      <c r="P4692">
        <v>7155.6472549999999</v>
      </c>
      <c r="Q4692">
        <v>310</v>
      </c>
      <c r="R4692">
        <v>0</v>
      </c>
    </row>
    <row r="4693" spans="1:18" x14ac:dyDescent="0.25">
      <c r="A4693">
        <v>4692</v>
      </c>
      <c r="B4693">
        <v>94</v>
      </c>
      <c r="C4693">
        <v>28023450</v>
      </c>
      <c r="D4693" t="s">
        <v>281</v>
      </c>
      <c r="E4693">
        <v>55.043999999999997</v>
      </c>
      <c r="F4693" t="s">
        <v>21</v>
      </c>
      <c r="G4693" t="s">
        <v>26</v>
      </c>
      <c r="H4693" t="s">
        <v>21</v>
      </c>
      <c r="I4693" t="s">
        <v>20</v>
      </c>
      <c r="J4693" t="s">
        <v>20</v>
      </c>
      <c r="K4693" t="s">
        <v>31</v>
      </c>
      <c r="L4693" t="s">
        <v>282</v>
      </c>
      <c r="M4693" t="s">
        <v>174</v>
      </c>
      <c r="N4693">
        <v>40.540548999999999</v>
      </c>
      <c r="O4693">
        <v>-112.298359</v>
      </c>
      <c r="P4693">
        <v>4890.4369299999998</v>
      </c>
      <c r="Q4693">
        <v>1347</v>
      </c>
      <c r="R4693">
        <v>0</v>
      </c>
    </row>
    <row r="4694" spans="1:18" x14ac:dyDescent="0.25">
      <c r="A4694">
        <v>4693</v>
      </c>
      <c r="B4694">
        <v>94</v>
      </c>
      <c r="C4694">
        <v>31825455</v>
      </c>
      <c r="D4694" t="s">
        <v>272</v>
      </c>
      <c r="E4694">
        <v>55.093000000000004</v>
      </c>
      <c r="F4694" t="s">
        <v>21</v>
      </c>
      <c r="G4694" t="s">
        <v>26</v>
      </c>
      <c r="H4694" t="s">
        <v>21</v>
      </c>
      <c r="I4694" t="s">
        <v>20</v>
      </c>
      <c r="J4694" t="s">
        <v>20</v>
      </c>
      <c r="K4694" t="s">
        <v>27</v>
      </c>
      <c r="L4694" t="s">
        <v>259</v>
      </c>
      <c r="M4694" t="s">
        <v>214</v>
      </c>
      <c r="N4694">
        <v>37.036310999999998</v>
      </c>
      <c r="O4694">
        <v>-112.37543100000001</v>
      </c>
      <c r="P4694">
        <v>5032.6567400000004</v>
      </c>
      <c r="Q4694">
        <v>1384</v>
      </c>
      <c r="R4694">
        <v>0</v>
      </c>
    </row>
    <row r="4695" spans="1:18" x14ac:dyDescent="0.25">
      <c r="A4695">
        <v>4694</v>
      </c>
      <c r="B4695">
        <v>94</v>
      </c>
      <c r="C4695">
        <v>31418207</v>
      </c>
      <c r="D4695" t="s">
        <v>288</v>
      </c>
      <c r="E4695">
        <v>72.685000000000002</v>
      </c>
      <c r="F4695" t="s">
        <v>21</v>
      </c>
      <c r="G4695" t="s">
        <v>26</v>
      </c>
      <c r="H4695" t="s">
        <v>21</v>
      </c>
      <c r="I4695" t="s">
        <v>20</v>
      </c>
      <c r="J4695" t="s">
        <v>20</v>
      </c>
      <c r="K4695" t="s">
        <v>27</v>
      </c>
      <c r="L4695" t="s">
        <v>146</v>
      </c>
      <c r="M4695" t="s">
        <v>147</v>
      </c>
      <c r="N4695">
        <v>37.884647999999999</v>
      </c>
      <c r="O4695">
        <v>-109.34285800000001</v>
      </c>
      <c r="P4695">
        <v>6941.6810310000001</v>
      </c>
      <c r="Q4695">
        <v>350</v>
      </c>
      <c r="R4695">
        <v>0</v>
      </c>
    </row>
    <row r="4696" spans="1:18" x14ac:dyDescent="0.25">
      <c r="A4696">
        <v>4695</v>
      </c>
      <c r="B4696">
        <v>94</v>
      </c>
      <c r="C4696">
        <v>31769343</v>
      </c>
      <c r="D4696" t="s">
        <v>118</v>
      </c>
      <c r="E4696">
        <v>72.873000000000005</v>
      </c>
      <c r="F4696" t="s">
        <v>21</v>
      </c>
      <c r="G4696" t="s">
        <v>20</v>
      </c>
      <c r="H4696" t="s">
        <v>21</v>
      </c>
      <c r="I4696" t="s">
        <v>20</v>
      </c>
      <c r="J4696" t="s">
        <v>20</v>
      </c>
      <c r="K4696" t="s">
        <v>22</v>
      </c>
      <c r="L4696" t="s">
        <v>253</v>
      </c>
      <c r="M4696" t="s">
        <v>120</v>
      </c>
      <c r="N4696">
        <v>40.181711</v>
      </c>
      <c r="O4696">
        <v>-110.650756</v>
      </c>
      <c r="P4696">
        <v>6801.2724449999996</v>
      </c>
      <c r="Q4696">
        <v>310</v>
      </c>
      <c r="R4696">
        <v>0</v>
      </c>
    </row>
    <row r="4697" spans="1:18" x14ac:dyDescent="0.25">
      <c r="A4697">
        <v>4696</v>
      </c>
      <c r="B4697">
        <v>94</v>
      </c>
      <c r="C4697">
        <v>31418218</v>
      </c>
      <c r="D4697" t="s">
        <v>288</v>
      </c>
      <c r="E4697">
        <v>72.953999999999994</v>
      </c>
      <c r="F4697" t="s">
        <v>21</v>
      </c>
      <c r="G4697" t="s">
        <v>20</v>
      </c>
      <c r="H4697" t="s">
        <v>21</v>
      </c>
      <c r="I4697" t="s">
        <v>20</v>
      </c>
      <c r="J4697" t="s">
        <v>20</v>
      </c>
      <c r="K4697" t="s">
        <v>27</v>
      </c>
      <c r="L4697" t="s">
        <v>146</v>
      </c>
      <c r="M4697" t="s">
        <v>147</v>
      </c>
      <c r="N4697">
        <v>37.888421000000001</v>
      </c>
      <c r="O4697">
        <v>-109.341601</v>
      </c>
      <c r="P4697">
        <v>6994.1563420000002</v>
      </c>
      <c r="Q4697">
        <v>350</v>
      </c>
      <c r="R4697">
        <v>0</v>
      </c>
    </row>
    <row r="4698" spans="1:18" x14ac:dyDescent="0.25">
      <c r="A4698">
        <v>4697</v>
      </c>
      <c r="B4698">
        <v>94</v>
      </c>
      <c r="C4698" t="e">
        <f>-IowZsaEFL1QnPapUQGvwV</f>
        <v>#NAME?</v>
      </c>
      <c r="D4698" t="s">
        <v>118</v>
      </c>
      <c r="E4698">
        <v>73.055000000000007</v>
      </c>
      <c r="F4698" t="s">
        <v>21</v>
      </c>
      <c r="G4698" t="s">
        <v>20</v>
      </c>
      <c r="H4698" t="s">
        <v>21</v>
      </c>
      <c r="I4698" t="s">
        <v>20</v>
      </c>
      <c r="J4698" t="s">
        <v>20</v>
      </c>
      <c r="K4698" t="s">
        <v>22</v>
      </c>
      <c r="L4698" t="s">
        <v>253</v>
      </c>
      <c r="M4698" t="s">
        <v>120</v>
      </c>
      <c r="N4698">
        <v>40.181565999999997</v>
      </c>
      <c r="O4698">
        <v>-110.64731</v>
      </c>
      <c r="P4698">
        <v>6794.6255819999997</v>
      </c>
      <c r="Q4698">
        <v>310</v>
      </c>
      <c r="R4698">
        <v>0</v>
      </c>
    </row>
    <row r="4699" spans="1:18" x14ac:dyDescent="0.25">
      <c r="A4699">
        <v>4698</v>
      </c>
      <c r="B4699">
        <v>94</v>
      </c>
      <c r="C4699">
        <v>28699545</v>
      </c>
      <c r="D4699" t="s">
        <v>142</v>
      </c>
      <c r="E4699">
        <v>73.171999999999997</v>
      </c>
      <c r="F4699" t="s">
        <v>21</v>
      </c>
      <c r="G4699" t="s">
        <v>26</v>
      </c>
      <c r="H4699" t="s">
        <v>21</v>
      </c>
      <c r="I4699" t="s">
        <v>20</v>
      </c>
      <c r="J4699" t="s">
        <v>20</v>
      </c>
      <c r="K4699" t="s">
        <v>27</v>
      </c>
      <c r="L4699" t="s">
        <v>143</v>
      </c>
      <c r="M4699" t="s">
        <v>106</v>
      </c>
      <c r="N4699">
        <v>38.413863999999997</v>
      </c>
      <c r="O4699">
        <v>-113.075687</v>
      </c>
      <c r="P4699">
        <v>5171.9420040000005</v>
      </c>
      <c r="Q4699">
        <v>305</v>
      </c>
      <c r="R4699">
        <v>0</v>
      </c>
    </row>
    <row r="4700" spans="1:18" x14ac:dyDescent="0.25">
      <c r="A4700">
        <v>4699</v>
      </c>
      <c r="B4700">
        <v>94</v>
      </c>
      <c r="C4700">
        <v>31418229</v>
      </c>
      <c r="D4700" t="s">
        <v>288</v>
      </c>
      <c r="E4700">
        <v>73.251000000000005</v>
      </c>
      <c r="F4700" t="s">
        <v>21</v>
      </c>
      <c r="G4700" t="s">
        <v>20</v>
      </c>
      <c r="H4700" t="s">
        <v>21</v>
      </c>
      <c r="I4700" t="s">
        <v>20</v>
      </c>
      <c r="J4700" t="s">
        <v>20</v>
      </c>
      <c r="K4700" t="s">
        <v>27</v>
      </c>
      <c r="L4700" t="s">
        <v>146</v>
      </c>
      <c r="M4700" t="s">
        <v>147</v>
      </c>
      <c r="N4700">
        <v>37.892688</v>
      </c>
      <c r="O4700">
        <v>-109.341587</v>
      </c>
      <c r="P4700">
        <v>7001.8478519999999</v>
      </c>
      <c r="Q4700">
        <v>350</v>
      </c>
      <c r="R4700">
        <v>0</v>
      </c>
    </row>
    <row r="4701" spans="1:18" x14ac:dyDescent="0.25">
      <c r="A4701">
        <v>4700</v>
      </c>
      <c r="B4701">
        <v>94</v>
      </c>
      <c r="C4701">
        <v>31769604</v>
      </c>
      <c r="D4701" t="s">
        <v>118</v>
      </c>
      <c r="E4701">
        <v>73.516000000000005</v>
      </c>
      <c r="F4701" t="s">
        <v>21</v>
      </c>
      <c r="G4701" t="s">
        <v>20</v>
      </c>
      <c r="H4701" t="s">
        <v>21</v>
      </c>
      <c r="I4701" t="s">
        <v>20</v>
      </c>
      <c r="J4701" t="s">
        <v>20</v>
      </c>
      <c r="K4701" t="s">
        <v>22</v>
      </c>
      <c r="L4701" t="s">
        <v>253</v>
      </c>
      <c r="M4701" t="s">
        <v>120</v>
      </c>
      <c r="N4701">
        <v>40.181199999999997</v>
      </c>
      <c r="O4701">
        <v>-110.638582</v>
      </c>
      <c r="P4701">
        <v>6738.1025929999996</v>
      </c>
      <c r="Q4701">
        <v>310</v>
      </c>
      <c r="R4701">
        <v>0</v>
      </c>
    </row>
    <row r="4702" spans="1:18" x14ac:dyDescent="0.25">
      <c r="A4702">
        <v>4701</v>
      </c>
      <c r="B4702">
        <v>94</v>
      </c>
      <c r="C4702">
        <v>28705056</v>
      </c>
      <c r="D4702" t="s">
        <v>142</v>
      </c>
      <c r="E4702">
        <v>73.578000000000003</v>
      </c>
      <c r="F4702" t="s">
        <v>21</v>
      </c>
      <c r="G4702" t="s">
        <v>26</v>
      </c>
      <c r="H4702" t="s">
        <v>21</v>
      </c>
      <c r="I4702" t="s">
        <v>20</v>
      </c>
      <c r="J4702" t="s">
        <v>20</v>
      </c>
      <c r="K4702" t="s">
        <v>27</v>
      </c>
      <c r="L4702" t="s">
        <v>143</v>
      </c>
      <c r="M4702" t="s">
        <v>106</v>
      </c>
      <c r="N4702">
        <v>38.411802999999999</v>
      </c>
      <c r="O4702">
        <v>-113.068647</v>
      </c>
      <c r="P4702">
        <v>5138.7972959999997</v>
      </c>
      <c r="Q4702">
        <v>305</v>
      </c>
      <c r="R4702">
        <v>0</v>
      </c>
    </row>
    <row r="4703" spans="1:18" x14ac:dyDescent="0.25">
      <c r="A4703">
        <v>4702</v>
      </c>
      <c r="B4703">
        <v>94</v>
      </c>
      <c r="C4703">
        <v>28705078</v>
      </c>
      <c r="D4703" t="s">
        <v>142</v>
      </c>
      <c r="E4703">
        <v>73.724999999999994</v>
      </c>
      <c r="F4703" t="s">
        <v>21</v>
      </c>
      <c r="G4703" t="s">
        <v>26</v>
      </c>
      <c r="H4703" t="s">
        <v>21</v>
      </c>
      <c r="I4703" t="s">
        <v>20</v>
      </c>
      <c r="J4703" t="s">
        <v>20</v>
      </c>
      <c r="K4703" t="s">
        <v>27</v>
      </c>
      <c r="L4703" t="s">
        <v>143</v>
      </c>
      <c r="M4703" t="s">
        <v>106</v>
      </c>
      <c r="N4703">
        <v>38.411062999999999</v>
      </c>
      <c r="O4703">
        <v>-113.06611700000001</v>
      </c>
      <c r="P4703">
        <v>5127.4759530000001</v>
      </c>
      <c r="Q4703">
        <v>305</v>
      </c>
      <c r="R4703">
        <v>0</v>
      </c>
    </row>
    <row r="4704" spans="1:18" x14ac:dyDescent="0.25">
      <c r="A4704">
        <v>4703</v>
      </c>
      <c r="B4704">
        <v>94</v>
      </c>
      <c r="C4704">
        <v>31769615</v>
      </c>
      <c r="D4704" t="s">
        <v>118</v>
      </c>
      <c r="E4704">
        <v>73.772999999999996</v>
      </c>
      <c r="F4704" t="s">
        <v>21</v>
      </c>
      <c r="G4704" t="s">
        <v>20</v>
      </c>
      <c r="H4704" t="s">
        <v>21</v>
      </c>
      <c r="I4704" t="s">
        <v>20</v>
      </c>
      <c r="J4704" t="s">
        <v>20</v>
      </c>
      <c r="K4704" t="s">
        <v>22</v>
      </c>
      <c r="L4704" t="s">
        <v>253</v>
      </c>
      <c r="M4704" t="s">
        <v>120</v>
      </c>
      <c r="N4704">
        <v>40.180999</v>
      </c>
      <c r="O4704">
        <v>-110.633712</v>
      </c>
      <c r="P4704">
        <v>6711.5960160000004</v>
      </c>
      <c r="Q4704">
        <v>310</v>
      </c>
      <c r="R4704">
        <v>0</v>
      </c>
    </row>
    <row r="4705" spans="1:18" x14ac:dyDescent="0.25">
      <c r="A4705">
        <v>4704</v>
      </c>
      <c r="B4705">
        <v>94</v>
      </c>
      <c r="C4705">
        <v>31750602</v>
      </c>
      <c r="D4705" t="s">
        <v>290</v>
      </c>
      <c r="E4705">
        <v>74.05</v>
      </c>
      <c r="F4705" t="s">
        <v>21</v>
      </c>
      <c r="G4705" t="s">
        <v>20</v>
      </c>
      <c r="H4705" t="s">
        <v>21</v>
      </c>
      <c r="I4705" t="s">
        <v>20</v>
      </c>
      <c r="J4705" t="s">
        <v>20</v>
      </c>
      <c r="K4705" t="s">
        <v>41</v>
      </c>
      <c r="L4705" t="s">
        <v>291</v>
      </c>
      <c r="M4705" t="s">
        <v>238</v>
      </c>
      <c r="N4705">
        <v>41.958404999999999</v>
      </c>
      <c r="O4705">
        <v>-113.068625</v>
      </c>
      <c r="P4705">
        <v>4757.7585760000002</v>
      </c>
      <c r="Q4705">
        <v>1343</v>
      </c>
      <c r="R4705">
        <v>0</v>
      </c>
    </row>
    <row r="4706" spans="1:18" x14ac:dyDescent="0.25">
      <c r="A4706">
        <v>4705</v>
      </c>
      <c r="B4706">
        <v>94</v>
      </c>
      <c r="C4706">
        <v>31769626</v>
      </c>
      <c r="D4706" t="s">
        <v>118</v>
      </c>
      <c r="E4706">
        <v>74.266999999999996</v>
      </c>
      <c r="F4706" t="s">
        <v>21</v>
      </c>
      <c r="G4706" t="s">
        <v>20</v>
      </c>
      <c r="H4706" t="s">
        <v>21</v>
      </c>
      <c r="I4706" t="s">
        <v>20</v>
      </c>
      <c r="J4706" t="s">
        <v>20</v>
      </c>
      <c r="K4706" t="s">
        <v>22</v>
      </c>
      <c r="L4706" t="s">
        <v>253</v>
      </c>
      <c r="M4706" t="s">
        <v>120</v>
      </c>
      <c r="N4706">
        <v>40.180594999999997</v>
      </c>
      <c r="O4706">
        <v>-110.624358</v>
      </c>
      <c r="P4706">
        <v>6629.6657960000002</v>
      </c>
      <c r="Q4706">
        <v>310</v>
      </c>
      <c r="R4706">
        <v>0</v>
      </c>
    </row>
    <row r="4707" spans="1:18" x14ac:dyDescent="0.25">
      <c r="A4707">
        <v>4706</v>
      </c>
      <c r="B4707">
        <v>94</v>
      </c>
      <c r="C4707">
        <v>31701222</v>
      </c>
      <c r="D4707" t="s">
        <v>217</v>
      </c>
      <c r="E4707">
        <v>50.195999999999998</v>
      </c>
      <c r="F4707" t="s">
        <v>21</v>
      </c>
      <c r="G4707" t="s">
        <v>26</v>
      </c>
      <c r="H4707" t="s">
        <v>21</v>
      </c>
      <c r="I4707" t="s">
        <v>20</v>
      </c>
      <c r="J4707" t="s">
        <v>20</v>
      </c>
      <c r="K4707" t="s">
        <v>27</v>
      </c>
      <c r="L4707" t="s">
        <v>162</v>
      </c>
      <c r="M4707" t="s">
        <v>163</v>
      </c>
      <c r="N4707">
        <v>37.697665999999998</v>
      </c>
      <c r="O4707">
        <v>-113.656508</v>
      </c>
      <c r="P4707">
        <v>5111.8100260000001</v>
      </c>
      <c r="Q4707">
        <v>304</v>
      </c>
      <c r="R4707">
        <v>0</v>
      </c>
    </row>
    <row r="4708" spans="1:18" x14ac:dyDescent="0.25">
      <c r="A4708">
        <v>4707</v>
      </c>
      <c r="B4708">
        <v>94</v>
      </c>
      <c r="C4708">
        <v>1459554</v>
      </c>
      <c r="D4708" t="s">
        <v>109</v>
      </c>
      <c r="E4708">
        <v>7.1040000000000001</v>
      </c>
      <c r="F4708" t="s">
        <v>21</v>
      </c>
      <c r="G4708" t="s">
        <v>26</v>
      </c>
      <c r="H4708" t="s">
        <v>21</v>
      </c>
      <c r="I4708" t="s">
        <v>20</v>
      </c>
      <c r="J4708" t="s">
        <v>20</v>
      </c>
      <c r="K4708" t="s">
        <v>41</v>
      </c>
      <c r="L4708" t="s">
        <v>42</v>
      </c>
      <c r="M4708" t="s">
        <v>73</v>
      </c>
      <c r="N4708">
        <v>41.665145000000003</v>
      </c>
      <c r="O4708">
        <v>-111.83365000000001</v>
      </c>
      <c r="P4708">
        <v>4530.8979040000004</v>
      </c>
      <c r="Q4708">
        <v>345</v>
      </c>
      <c r="R4708">
        <v>0</v>
      </c>
    </row>
    <row r="4709" spans="1:18" x14ac:dyDescent="0.25">
      <c r="A4709">
        <v>4708</v>
      </c>
      <c r="B4709">
        <v>94</v>
      </c>
      <c r="C4709">
        <v>31194559</v>
      </c>
      <c r="D4709" t="s">
        <v>126</v>
      </c>
      <c r="E4709">
        <v>7.1079999999999997</v>
      </c>
      <c r="F4709" t="s">
        <v>21</v>
      </c>
      <c r="G4709" t="s">
        <v>26</v>
      </c>
      <c r="H4709" t="s">
        <v>21</v>
      </c>
      <c r="I4709" t="s">
        <v>20</v>
      </c>
      <c r="J4709" t="s">
        <v>20</v>
      </c>
      <c r="K4709" t="s">
        <v>41</v>
      </c>
      <c r="L4709" t="s">
        <v>57</v>
      </c>
      <c r="M4709" t="s">
        <v>93</v>
      </c>
      <c r="N4709">
        <v>41.294133000000002</v>
      </c>
      <c r="O4709">
        <v>-112.092449</v>
      </c>
      <c r="P4709">
        <v>4186.8541480000004</v>
      </c>
      <c r="Q4709">
        <v>1412</v>
      </c>
      <c r="R4709">
        <v>0</v>
      </c>
    </row>
    <row r="4710" spans="1:18" x14ac:dyDescent="0.25">
      <c r="A4710">
        <v>4709</v>
      </c>
      <c r="B4710">
        <v>94</v>
      </c>
      <c r="C4710">
        <v>1374968</v>
      </c>
      <c r="D4710" t="s">
        <v>363</v>
      </c>
      <c r="E4710">
        <v>7.12</v>
      </c>
      <c r="F4710" t="s">
        <v>21</v>
      </c>
      <c r="G4710" t="s">
        <v>26</v>
      </c>
      <c r="H4710" t="s">
        <v>21</v>
      </c>
      <c r="I4710" t="s">
        <v>20</v>
      </c>
      <c r="J4710" t="s">
        <v>20</v>
      </c>
      <c r="K4710" t="s">
        <v>41</v>
      </c>
      <c r="L4710" t="s">
        <v>95</v>
      </c>
      <c r="M4710" t="s">
        <v>73</v>
      </c>
      <c r="N4710">
        <v>41.838667999999998</v>
      </c>
      <c r="O4710">
        <v>-111.853967</v>
      </c>
      <c r="P4710">
        <v>4457.9876379999996</v>
      </c>
      <c r="Q4710">
        <v>356</v>
      </c>
      <c r="R4710">
        <v>0</v>
      </c>
    </row>
    <row r="4711" spans="1:18" x14ac:dyDescent="0.25">
      <c r="A4711">
        <v>4710</v>
      </c>
      <c r="B4711">
        <v>94</v>
      </c>
      <c r="C4711">
        <v>31355310</v>
      </c>
      <c r="D4711" t="s">
        <v>34</v>
      </c>
      <c r="E4711">
        <v>7.1289999999999996</v>
      </c>
      <c r="F4711" t="s">
        <v>19</v>
      </c>
      <c r="G4711" t="s">
        <v>20</v>
      </c>
      <c r="H4711" t="s">
        <v>19</v>
      </c>
      <c r="I4711">
        <v>40</v>
      </c>
      <c r="J4711">
        <v>189</v>
      </c>
      <c r="K4711" t="s">
        <v>22</v>
      </c>
      <c r="L4711" t="s">
        <v>35</v>
      </c>
      <c r="M4711" t="s">
        <v>36</v>
      </c>
      <c r="N4711">
        <v>40.506363999999998</v>
      </c>
      <c r="O4711">
        <v>-111.4135</v>
      </c>
      <c r="P4711">
        <v>5549.3238570000003</v>
      </c>
      <c r="Q4711">
        <v>1400</v>
      </c>
      <c r="R4711">
        <v>0</v>
      </c>
    </row>
    <row r="4712" spans="1:18" x14ac:dyDescent="0.25">
      <c r="A4712">
        <v>4711</v>
      </c>
      <c r="B4712">
        <v>94</v>
      </c>
      <c r="C4712">
        <v>768047</v>
      </c>
      <c r="D4712" t="s">
        <v>44</v>
      </c>
      <c r="E4712">
        <v>5.734</v>
      </c>
      <c r="F4712" t="s">
        <v>21</v>
      </c>
      <c r="G4712" t="s">
        <v>26</v>
      </c>
      <c r="H4712" t="s">
        <v>21</v>
      </c>
      <c r="I4712" t="s">
        <v>20</v>
      </c>
      <c r="J4712" t="s">
        <v>20</v>
      </c>
      <c r="K4712" t="s">
        <v>41</v>
      </c>
      <c r="L4712" t="s">
        <v>45</v>
      </c>
      <c r="M4712" t="s">
        <v>46</v>
      </c>
      <c r="N4712">
        <v>40.960065999999998</v>
      </c>
      <c r="O4712">
        <v>-111.883343</v>
      </c>
      <c r="P4712">
        <v>4241.2431630000001</v>
      </c>
      <c r="Q4712">
        <v>1395</v>
      </c>
      <c r="R4712">
        <v>0</v>
      </c>
    </row>
    <row r="4713" spans="1:18" x14ac:dyDescent="0.25">
      <c r="A4713">
        <v>4712</v>
      </c>
      <c r="B4713">
        <v>94</v>
      </c>
      <c r="C4713">
        <v>31522019</v>
      </c>
      <c r="D4713" t="s">
        <v>231</v>
      </c>
      <c r="E4713">
        <v>5.7409999999999997</v>
      </c>
      <c r="F4713" t="s">
        <v>19</v>
      </c>
      <c r="G4713" t="s">
        <v>20</v>
      </c>
      <c r="H4713" t="s">
        <v>19</v>
      </c>
      <c r="I4713">
        <v>107</v>
      </c>
      <c r="J4713" t="s">
        <v>20</v>
      </c>
      <c r="K4713" t="s">
        <v>41</v>
      </c>
      <c r="L4713" t="s">
        <v>57</v>
      </c>
      <c r="M4713" t="s">
        <v>93</v>
      </c>
      <c r="N4713">
        <v>41.118062999999999</v>
      </c>
      <c r="O4713">
        <v>-112.02606900000001</v>
      </c>
      <c r="P4713">
        <v>4466.4360589999997</v>
      </c>
      <c r="Q4713">
        <v>1409</v>
      </c>
      <c r="R4713">
        <v>0</v>
      </c>
    </row>
    <row r="4714" spans="1:18" x14ac:dyDescent="0.25">
      <c r="A4714">
        <v>4713</v>
      </c>
      <c r="B4714">
        <v>94</v>
      </c>
      <c r="C4714">
        <v>31807693</v>
      </c>
      <c r="D4714" t="s">
        <v>61</v>
      </c>
      <c r="E4714">
        <v>5.7430000000000003</v>
      </c>
      <c r="F4714" t="s">
        <v>19</v>
      </c>
      <c r="G4714" t="s">
        <v>20</v>
      </c>
      <c r="H4714" t="s">
        <v>21</v>
      </c>
      <c r="I4714" t="s">
        <v>20</v>
      </c>
      <c r="J4714" t="s">
        <v>20</v>
      </c>
      <c r="K4714" t="s">
        <v>22</v>
      </c>
      <c r="L4714" t="s">
        <v>60</v>
      </c>
      <c r="M4714" t="s">
        <v>62</v>
      </c>
      <c r="N4714">
        <v>40.288970999999997</v>
      </c>
      <c r="O4714">
        <v>-111.658524</v>
      </c>
      <c r="P4714">
        <v>4667.3713669999997</v>
      </c>
      <c r="Q4714">
        <v>403</v>
      </c>
      <c r="R4714">
        <v>0</v>
      </c>
    </row>
    <row r="4715" spans="1:18" x14ac:dyDescent="0.25">
      <c r="A4715">
        <v>4714</v>
      </c>
      <c r="B4715">
        <v>94</v>
      </c>
      <c r="C4715">
        <v>31404331</v>
      </c>
      <c r="D4715" t="s">
        <v>224</v>
      </c>
      <c r="E4715">
        <v>5.7539999999999996</v>
      </c>
      <c r="F4715" t="s">
        <v>21</v>
      </c>
      <c r="G4715" t="s">
        <v>26</v>
      </c>
      <c r="H4715" t="s">
        <v>21</v>
      </c>
      <c r="I4715" t="s">
        <v>20</v>
      </c>
      <c r="J4715" t="s">
        <v>20</v>
      </c>
      <c r="K4715" t="s">
        <v>22</v>
      </c>
      <c r="L4715" t="s">
        <v>198</v>
      </c>
      <c r="M4715" t="s">
        <v>194</v>
      </c>
      <c r="N4715">
        <v>40.044516999999999</v>
      </c>
      <c r="O4715">
        <v>-111.72544000000001</v>
      </c>
      <c r="P4715">
        <v>4592.7063090000001</v>
      </c>
      <c r="Q4715">
        <v>408</v>
      </c>
      <c r="R4715">
        <v>0</v>
      </c>
    </row>
    <row r="4716" spans="1:18" x14ac:dyDescent="0.25">
      <c r="A4716">
        <v>4715</v>
      </c>
      <c r="B4716">
        <v>94</v>
      </c>
      <c r="C4716">
        <v>31481705</v>
      </c>
      <c r="D4716" t="s">
        <v>319</v>
      </c>
      <c r="E4716">
        <v>60.686</v>
      </c>
      <c r="F4716" t="s">
        <v>21</v>
      </c>
      <c r="G4716" t="s">
        <v>26</v>
      </c>
      <c r="H4716" t="s">
        <v>21</v>
      </c>
      <c r="I4716" t="s">
        <v>20</v>
      </c>
      <c r="J4716" t="s">
        <v>20</v>
      </c>
      <c r="K4716" t="s">
        <v>27</v>
      </c>
      <c r="L4716" t="s">
        <v>54</v>
      </c>
      <c r="M4716" t="s">
        <v>55</v>
      </c>
      <c r="N4716">
        <v>37.680841000000001</v>
      </c>
      <c r="O4716">
        <v>-113.07674</v>
      </c>
      <c r="P4716">
        <v>5681.8207460000003</v>
      </c>
      <c r="Q4716">
        <v>314</v>
      </c>
      <c r="R4716">
        <v>0</v>
      </c>
    </row>
    <row r="4717" spans="1:18" x14ac:dyDescent="0.25">
      <c r="A4717">
        <v>4716</v>
      </c>
      <c r="B4717">
        <v>94</v>
      </c>
      <c r="C4717">
        <v>31712817</v>
      </c>
      <c r="D4717" t="s">
        <v>244</v>
      </c>
      <c r="E4717">
        <v>60.704999999999998</v>
      </c>
      <c r="F4717" t="s">
        <v>21</v>
      </c>
      <c r="G4717" t="s">
        <v>26</v>
      </c>
      <c r="H4717" t="s">
        <v>21</v>
      </c>
      <c r="I4717" t="s">
        <v>20</v>
      </c>
      <c r="J4717" t="s">
        <v>20</v>
      </c>
      <c r="K4717" t="s">
        <v>27</v>
      </c>
      <c r="L4717" t="s">
        <v>266</v>
      </c>
      <c r="M4717" t="s">
        <v>386</v>
      </c>
      <c r="N4717">
        <v>38.339987000000001</v>
      </c>
      <c r="O4717">
        <v>-111.540425</v>
      </c>
      <c r="P4717">
        <v>7061.4274640000003</v>
      </c>
      <c r="Q4717">
        <v>1340</v>
      </c>
      <c r="R4717">
        <v>0</v>
      </c>
    </row>
    <row r="4718" spans="1:18" x14ac:dyDescent="0.25">
      <c r="A4718">
        <v>4717</v>
      </c>
      <c r="B4718">
        <v>94</v>
      </c>
      <c r="C4718">
        <v>31481716</v>
      </c>
      <c r="D4718" t="s">
        <v>319</v>
      </c>
      <c r="E4718">
        <v>60.719000000000001</v>
      </c>
      <c r="F4718" t="s">
        <v>21</v>
      </c>
      <c r="G4718" t="s">
        <v>26</v>
      </c>
      <c r="H4718" t="s">
        <v>21</v>
      </c>
      <c r="I4718" t="s">
        <v>20</v>
      </c>
      <c r="J4718" t="s">
        <v>20</v>
      </c>
      <c r="K4718" t="s">
        <v>27</v>
      </c>
      <c r="L4718" t="s">
        <v>54</v>
      </c>
      <c r="M4718" t="s">
        <v>55</v>
      </c>
      <c r="N4718">
        <v>37.68085</v>
      </c>
      <c r="O4718">
        <v>-113.076149</v>
      </c>
      <c r="P4718">
        <v>5683.0826450000004</v>
      </c>
      <c r="Q4718">
        <v>314</v>
      </c>
      <c r="R4718">
        <v>0</v>
      </c>
    </row>
    <row r="4719" spans="1:18" x14ac:dyDescent="0.25">
      <c r="A4719">
        <v>4718</v>
      </c>
      <c r="B4719">
        <v>94</v>
      </c>
      <c r="C4719">
        <v>31713333</v>
      </c>
      <c r="D4719" t="s">
        <v>244</v>
      </c>
      <c r="E4719">
        <v>60.761000000000003</v>
      </c>
      <c r="F4719" t="s">
        <v>21</v>
      </c>
      <c r="G4719" t="s">
        <v>26</v>
      </c>
      <c r="H4719" t="s">
        <v>21</v>
      </c>
      <c r="I4719" t="s">
        <v>20</v>
      </c>
      <c r="J4719" t="s">
        <v>20</v>
      </c>
      <c r="K4719" t="s">
        <v>27</v>
      </c>
      <c r="L4719" t="s">
        <v>266</v>
      </c>
      <c r="M4719" t="s">
        <v>386</v>
      </c>
      <c r="N4719">
        <v>38.339281999999997</v>
      </c>
      <c r="O4719">
        <v>-111.53995</v>
      </c>
      <c r="P4719">
        <v>7053.0779689999999</v>
      </c>
      <c r="Q4719">
        <v>1340</v>
      </c>
      <c r="R4719">
        <v>0</v>
      </c>
    </row>
    <row r="4720" spans="1:18" x14ac:dyDescent="0.25">
      <c r="A4720">
        <v>4719</v>
      </c>
      <c r="B4720">
        <v>94</v>
      </c>
      <c r="C4720">
        <v>27957501</v>
      </c>
      <c r="D4720" t="s">
        <v>265</v>
      </c>
      <c r="E4720">
        <v>6.9480000000000004</v>
      </c>
      <c r="F4720" t="s">
        <v>21</v>
      </c>
      <c r="G4720" t="s">
        <v>26</v>
      </c>
      <c r="H4720" t="s">
        <v>21</v>
      </c>
      <c r="I4720" t="s">
        <v>20</v>
      </c>
      <c r="J4720" t="s">
        <v>20</v>
      </c>
      <c r="K4720" t="s">
        <v>27</v>
      </c>
      <c r="L4720" t="s">
        <v>266</v>
      </c>
      <c r="M4720" t="s">
        <v>267</v>
      </c>
      <c r="N4720">
        <v>38.469493</v>
      </c>
      <c r="O4720">
        <v>-111.578817</v>
      </c>
      <c r="P4720">
        <v>7374.5436909999999</v>
      </c>
      <c r="Q4720">
        <v>1371</v>
      </c>
      <c r="R4720">
        <v>0</v>
      </c>
    </row>
    <row r="4721" spans="1:18" x14ac:dyDescent="0.25">
      <c r="A4721">
        <v>4720</v>
      </c>
      <c r="B4721">
        <v>94</v>
      </c>
      <c r="C4721">
        <v>27378104</v>
      </c>
      <c r="D4721" t="s">
        <v>185</v>
      </c>
      <c r="E4721">
        <v>6.9509999999999996</v>
      </c>
      <c r="F4721" t="s">
        <v>21</v>
      </c>
      <c r="G4721" t="s">
        <v>26</v>
      </c>
      <c r="H4721" t="s">
        <v>21</v>
      </c>
      <c r="I4721" t="s">
        <v>20</v>
      </c>
      <c r="J4721" t="s">
        <v>20</v>
      </c>
      <c r="K4721" t="s">
        <v>41</v>
      </c>
      <c r="L4721" t="s">
        <v>57</v>
      </c>
      <c r="M4721" t="s">
        <v>58</v>
      </c>
      <c r="N4721">
        <v>41.167740000000002</v>
      </c>
      <c r="O4721">
        <v>-112.122741</v>
      </c>
      <c r="P4721">
        <v>4184.7122230000004</v>
      </c>
      <c r="Q4721">
        <v>309</v>
      </c>
      <c r="R4721">
        <v>0</v>
      </c>
    </row>
    <row r="4722" spans="1:18" x14ac:dyDescent="0.25">
      <c r="A4722">
        <v>4721</v>
      </c>
      <c r="B4722">
        <v>94</v>
      </c>
      <c r="C4722">
        <v>31364732</v>
      </c>
      <c r="D4722" t="s">
        <v>343</v>
      </c>
      <c r="E4722">
        <v>6.9530000000000003</v>
      </c>
      <c r="F4722" t="s">
        <v>21</v>
      </c>
      <c r="G4722" t="s">
        <v>26</v>
      </c>
      <c r="H4722" t="s">
        <v>21</v>
      </c>
      <c r="I4722" t="s">
        <v>20</v>
      </c>
      <c r="J4722" t="s">
        <v>20</v>
      </c>
      <c r="K4722" t="s">
        <v>27</v>
      </c>
      <c r="L4722" t="s">
        <v>230</v>
      </c>
      <c r="M4722" t="s">
        <v>82</v>
      </c>
      <c r="N4722">
        <v>39.546760999999996</v>
      </c>
      <c r="O4722">
        <v>-111.45732</v>
      </c>
      <c r="P4722">
        <v>5850.7749569999996</v>
      </c>
      <c r="Q4722">
        <v>1402</v>
      </c>
      <c r="R4722">
        <v>0</v>
      </c>
    </row>
    <row r="4723" spans="1:18" x14ac:dyDescent="0.25">
      <c r="A4723">
        <v>4722</v>
      </c>
      <c r="B4723">
        <v>94</v>
      </c>
      <c r="C4723" t="e">
        <f>-JPh4PKpG5X1CgBp73-H-F</f>
        <v>#NAME?</v>
      </c>
      <c r="D4723" t="s">
        <v>171</v>
      </c>
      <c r="E4723">
        <v>6.9530000000000003</v>
      </c>
      <c r="F4723" t="s">
        <v>21</v>
      </c>
      <c r="G4723" t="s">
        <v>26</v>
      </c>
      <c r="H4723" t="s">
        <v>21</v>
      </c>
      <c r="I4723" t="s">
        <v>20</v>
      </c>
      <c r="J4723" t="s">
        <v>20</v>
      </c>
      <c r="K4723" t="s">
        <v>31</v>
      </c>
      <c r="L4723" t="s">
        <v>362</v>
      </c>
      <c r="M4723" t="s">
        <v>683</v>
      </c>
      <c r="N4723">
        <v>40.696759999999998</v>
      </c>
      <c r="O4723">
        <v>-111.95918</v>
      </c>
      <c r="P4723">
        <v>4198.9125160000003</v>
      </c>
      <c r="Q4723">
        <v>346</v>
      </c>
      <c r="R4723">
        <v>0</v>
      </c>
    </row>
    <row r="4724" spans="1:18" x14ac:dyDescent="0.25">
      <c r="A4724">
        <v>4723</v>
      </c>
      <c r="B4724">
        <v>94</v>
      </c>
      <c r="C4724">
        <v>31354988</v>
      </c>
      <c r="D4724" t="s">
        <v>34</v>
      </c>
      <c r="E4724">
        <v>6.9550000000000001</v>
      </c>
      <c r="F4724" t="s">
        <v>21</v>
      </c>
      <c r="G4724" t="s">
        <v>26</v>
      </c>
      <c r="H4724" t="s">
        <v>21</v>
      </c>
      <c r="I4724" t="s">
        <v>20</v>
      </c>
      <c r="J4724" t="s">
        <v>20</v>
      </c>
      <c r="K4724" t="s">
        <v>22</v>
      </c>
      <c r="L4724" t="s">
        <v>35</v>
      </c>
      <c r="M4724" t="s">
        <v>36</v>
      </c>
      <c r="N4724">
        <v>40.506383999999997</v>
      </c>
      <c r="O4724">
        <v>-111.416999</v>
      </c>
      <c r="P4724">
        <v>5536.1730610000004</v>
      </c>
      <c r="Q4724">
        <v>1400</v>
      </c>
      <c r="R4724">
        <v>0</v>
      </c>
    </row>
    <row r="4725" spans="1:18" x14ac:dyDescent="0.25">
      <c r="A4725">
        <v>4724</v>
      </c>
      <c r="B4725">
        <v>94</v>
      </c>
      <c r="C4725">
        <v>1459053</v>
      </c>
      <c r="D4725" t="s">
        <v>109</v>
      </c>
      <c r="E4725">
        <v>6.9569999999999999</v>
      </c>
      <c r="F4725" t="s">
        <v>21</v>
      </c>
      <c r="G4725" t="s">
        <v>26</v>
      </c>
      <c r="H4725" t="s">
        <v>21</v>
      </c>
      <c r="I4725" t="s">
        <v>20</v>
      </c>
      <c r="J4725" t="s">
        <v>20</v>
      </c>
      <c r="K4725" t="s">
        <v>41</v>
      </c>
      <c r="L4725" t="s">
        <v>42</v>
      </c>
      <c r="M4725" t="s">
        <v>73</v>
      </c>
      <c r="N4725">
        <v>41.663018999999998</v>
      </c>
      <c r="O4725">
        <v>-111.833707</v>
      </c>
      <c r="P4725">
        <v>4535.7745420000001</v>
      </c>
      <c r="Q4725">
        <v>345</v>
      </c>
      <c r="R4725">
        <v>0</v>
      </c>
    </row>
    <row r="4726" spans="1:18" x14ac:dyDescent="0.25">
      <c r="A4726">
        <v>4725</v>
      </c>
      <c r="B4726">
        <v>94</v>
      </c>
      <c r="C4726">
        <v>27867736</v>
      </c>
      <c r="D4726" t="s">
        <v>91</v>
      </c>
      <c r="E4726">
        <v>6.9580000000000002</v>
      </c>
      <c r="F4726" t="s">
        <v>21</v>
      </c>
      <c r="G4726" t="s">
        <v>26</v>
      </c>
      <c r="H4726" t="s">
        <v>21</v>
      </c>
      <c r="I4726" t="s">
        <v>20</v>
      </c>
      <c r="J4726" t="s">
        <v>20</v>
      </c>
      <c r="K4726" t="s">
        <v>41</v>
      </c>
      <c r="L4726" t="s">
        <v>42</v>
      </c>
      <c r="M4726" t="s">
        <v>73</v>
      </c>
      <c r="N4726">
        <v>41.705843999999999</v>
      </c>
      <c r="O4726">
        <v>-111.97936799999999</v>
      </c>
      <c r="P4726">
        <v>4469.8064649999997</v>
      </c>
      <c r="Q4726">
        <v>1339</v>
      </c>
      <c r="R4726">
        <v>0</v>
      </c>
    </row>
    <row r="4727" spans="1:18" x14ac:dyDescent="0.25">
      <c r="A4727">
        <v>4726</v>
      </c>
      <c r="B4727">
        <v>94</v>
      </c>
      <c r="C4727">
        <v>31311726</v>
      </c>
      <c r="D4727" t="s">
        <v>40</v>
      </c>
      <c r="E4727">
        <v>5.9219999999999997</v>
      </c>
      <c r="F4727" t="s">
        <v>19</v>
      </c>
      <c r="G4727" t="s">
        <v>20</v>
      </c>
      <c r="H4727" t="s">
        <v>19</v>
      </c>
      <c r="I4727">
        <v>165</v>
      </c>
      <c r="J4727" t="s">
        <v>20</v>
      </c>
      <c r="K4727" t="s">
        <v>41</v>
      </c>
      <c r="L4727" t="s">
        <v>42</v>
      </c>
      <c r="M4727" t="s">
        <v>43</v>
      </c>
      <c r="N4727">
        <v>41.633588000000003</v>
      </c>
      <c r="O4727">
        <v>-111.83265299999999</v>
      </c>
      <c r="P4727">
        <v>4741.1555200000003</v>
      </c>
      <c r="Q4727">
        <v>1391</v>
      </c>
      <c r="R4727">
        <v>0</v>
      </c>
    </row>
    <row r="4728" spans="1:18" x14ac:dyDescent="0.25">
      <c r="A4728">
        <v>4727</v>
      </c>
      <c r="B4728">
        <v>94</v>
      </c>
      <c r="C4728">
        <v>1454441</v>
      </c>
      <c r="D4728" t="s">
        <v>109</v>
      </c>
      <c r="E4728">
        <v>5.923</v>
      </c>
      <c r="F4728" t="s">
        <v>21</v>
      </c>
      <c r="G4728" t="s">
        <v>26</v>
      </c>
      <c r="H4728" t="s">
        <v>21</v>
      </c>
      <c r="I4728" t="s">
        <v>20</v>
      </c>
      <c r="J4728" t="s">
        <v>20</v>
      </c>
      <c r="K4728" t="s">
        <v>41</v>
      </c>
      <c r="L4728" t="s">
        <v>42</v>
      </c>
      <c r="M4728" t="s">
        <v>73</v>
      </c>
      <c r="N4728">
        <v>41.648091999999998</v>
      </c>
      <c r="O4728">
        <v>-111.83277</v>
      </c>
      <c r="P4728">
        <v>4628.7693140000001</v>
      </c>
      <c r="Q4728">
        <v>345</v>
      </c>
      <c r="R4728">
        <v>0</v>
      </c>
    </row>
    <row r="4729" spans="1:18" x14ac:dyDescent="0.25">
      <c r="A4729">
        <v>4728</v>
      </c>
      <c r="B4729">
        <v>94</v>
      </c>
      <c r="C4729">
        <v>31367062</v>
      </c>
      <c r="D4729" t="s">
        <v>229</v>
      </c>
      <c r="E4729">
        <v>5.9260000000000002</v>
      </c>
      <c r="F4729" t="s">
        <v>21</v>
      </c>
      <c r="G4729" t="s">
        <v>26</v>
      </c>
      <c r="H4729" t="s">
        <v>21</v>
      </c>
      <c r="I4729" t="s">
        <v>20</v>
      </c>
      <c r="J4729" t="s">
        <v>20</v>
      </c>
      <c r="K4729" t="s">
        <v>27</v>
      </c>
      <c r="L4729" t="s">
        <v>230</v>
      </c>
      <c r="M4729" t="s">
        <v>82</v>
      </c>
      <c r="N4729">
        <v>39.478884999999998</v>
      </c>
      <c r="O4729">
        <v>-111.544329</v>
      </c>
      <c r="P4729">
        <v>5511.9166249999998</v>
      </c>
      <c r="Q4729">
        <v>331</v>
      </c>
      <c r="R4729">
        <v>0</v>
      </c>
    </row>
    <row r="4730" spans="1:18" x14ac:dyDescent="0.25">
      <c r="A4730">
        <v>4729</v>
      </c>
      <c r="B4730">
        <v>94</v>
      </c>
      <c r="C4730" t="e">
        <f>-Ip5MT6AF55kb4jIrDWnAk</f>
        <v>#NAME?</v>
      </c>
      <c r="D4730" t="s">
        <v>208</v>
      </c>
      <c r="E4730">
        <v>5.9320000000000004</v>
      </c>
      <c r="F4730" t="s">
        <v>21</v>
      </c>
      <c r="G4730" t="s">
        <v>26</v>
      </c>
      <c r="H4730" t="s">
        <v>21</v>
      </c>
      <c r="I4730" t="s">
        <v>20</v>
      </c>
      <c r="J4730" t="s">
        <v>20</v>
      </c>
      <c r="K4730" t="s">
        <v>31</v>
      </c>
      <c r="L4730" t="s">
        <v>209</v>
      </c>
      <c r="M4730" t="s">
        <v>131</v>
      </c>
      <c r="N4730">
        <v>40.659022999999998</v>
      </c>
      <c r="O4730">
        <v>-111.50817499999999</v>
      </c>
      <c r="P4730">
        <v>6774.3527910000003</v>
      </c>
      <c r="Q4730">
        <v>357</v>
      </c>
      <c r="R4730">
        <v>0</v>
      </c>
    </row>
    <row r="4731" spans="1:18" x14ac:dyDescent="0.25">
      <c r="A4731">
        <v>4730</v>
      </c>
      <c r="B4731">
        <v>94</v>
      </c>
      <c r="C4731">
        <v>546186</v>
      </c>
      <c r="D4731" t="s">
        <v>77</v>
      </c>
      <c r="E4731">
        <v>5.9370000000000003</v>
      </c>
      <c r="F4731" t="s">
        <v>19</v>
      </c>
      <c r="G4731" t="s">
        <v>20</v>
      </c>
      <c r="H4731" t="s">
        <v>21</v>
      </c>
      <c r="I4731" t="s">
        <v>20</v>
      </c>
      <c r="J4731" t="s">
        <v>20</v>
      </c>
      <c r="K4731" t="s">
        <v>31</v>
      </c>
      <c r="L4731" t="s">
        <v>78</v>
      </c>
      <c r="M4731" t="s">
        <v>79</v>
      </c>
      <c r="N4731">
        <v>40.724682999999999</v>
      </c>
      <c r="O4731">
        <v>-112.024891</v>
      </c>
      <c r="P4731">
        <v>4206.2349050000003</v>
      </c>
      <c r="Q4731">
        <v>1436</v>
      </c>
      <c r="R4731">
        <v>0</v>
      </c>
    </row>
    <row r="4732" spans="1:18" x14ac:dyDescent="0.25">
      <c r="A4732">
        <v>4731</v>
      </c>
      <c r="B4732">
        <v>94</v>
      </c>
      <c r="C4732">
        <v>31503634</v>
      </c>
      <c r="D4732" t="s">
        <v>292</v>
      </c>
      <c r="E4732">
        <v>5.9450000000000003</v>
      </c>
      <c r="F4732" t="s">
        <v>21</v>
      </c>
      <c r="G4732" t="s">
        <v>26</v>
      </c>
      <c r="H4732" t="s">
        <v>19</v>
      </c>
      <c r="I4732">
        <v>35</v>
      </c>
      <c r="J4732" t="s">
        <v>20</v>
      </c>
      <c r="K4732" t="s">
        <v>22</v>
      </c>
      <c r="L4732" t="s">
        <v>253</v>
      </c>
      <c r="M4732" t="s">
        <v>134</v>
      </c>
      <c r="N4732">
        <v>40.247796000000001</v>
      </c>
      <c r="O4732">
        <v>-110.38696299999999</v>
      </c>
      <c r="P4732">
        <v>5943.8163430000004</v>
      </c>
      <c r="Q4732">
        <v>323</v>
      </c>
      <c r="R4732">
        <v>0</v>
      </c>
    </row>
    <row r="4733" spans="1:18" x14ac:dyDescent="0.25">
      <c r="A4733">
        <v>4732</v>
      </c>
      <c r="B4733">
        <v>94</v>
      </c>
      <c r="C4733">
        <v>31394568</v>
      </c>
      <c r="D4733" t="s">
        <v>114</v>
      </c>
      <c r="E4733">
        <v>5.9470000000000001</v>
      </c>
      <c r="F4733" t="s">
        <v>21</v>
      </c>
      <c r="G4733" t="s">
        <v>26</v>
      </c>
      <c r="H4733" t="s">
        <v>21</v>
      </c>
      <c r="I4733" t="s">
        <v>20</v>
      </c>
      <c r="J4733" t="s">
        <v>20</v>
      </c>
      <c r="K4733" t="s">
        <v>41</v>
      </c>
      <c r="L4733" t="s">
        <v>87</v>
      </c>
      <c r="M4733" t="s">
        <v>82</v>
      </c>
      <c r="N4733">
        <v>41.103118000000002</v>
      </c>
      <c r="O4733">
        <v>-111.954627</v>
      </c>
      <c r="P4733">
        <v>4726.249057</v>
      </c>
      <c r="Q4733">
        <v>405</v>
      </c>
      <c r="R4733">
        <v>0</v>
      </c>
    </row>
    <row r="4734" spans="1:18" x14ac:dyDescent="0.25">
      <c r="A4734">
        <v>4733</v>
      </c>
      <c r="B4734">
        <v>94</v>
      </c>
      <c r="C4734">
        <v>564690</v>
      </c>
      <c r="D4734" t="s">
        <v>115</v>
      </c>
      <c r="E4734">
        <v>5.95</v>
      </c>
      <c r="F4734" t="s">
        <v>21</v>
      </c>
      <c r="G4734" t="s">
        <v>26</v>
      </c>
      <c r="H4734" t="s">
        <v>21</v>
      </c>
      <c r="I4734" t="s">
        <v>20</v>
      </c>
      <c r="J4734" t="s">
        <v>20</v>
      </c>
      <c r="K4734" t="s">
        <v>31</v>
      </c>
      <c r="L4734" t="s">
        <v>48</v>
      </c>
      <c r="M4734" t="s">
        <v>70</v>
      </c>
      <c r="N4734">
        <v>40.653092000000001</v>
      </c>
      <c r="O4734">
        <v>-111.96390599999999</v>
      </c>
      <c r="P4734">
        <v>4398.3985080000002</v>
      </c>
      <c r="Q4734">
        <v>1437</v>
      </c>
      <c r="R4734">
        <v>0</v>
      </c>
    </row>
    <row r="4735" spans="1:18" x14ac:dyDescent="0.25">
      <c r="A4735">
        <v>4734</v>
      </c>
      <c r="B4735">
        <v>94</v>
      </c>
      <c r="C4735">
        <v>31459749</v>
      </c>
      <c r="D4735" t="s">
        <v>331</v>
      </c>
      <c r="E4735">
        <v>5.952</v>
      </c>
      <c r="F4735" t="s">
        <v>21</v>
      </c>
      <c r="G4735" t="s">
        <v>26</v>
      </c>
      <c r="H4735" t="s">
        <v>21</v>
      </c>
      <c r="I4735" t="s">
        <v>20</v>
      </c>
      <c r="J4735" t="s">
        <v>20</v>
      </c>
      <c r="K4735" t="s">
        <v>27</v>
      </c>
      <c r="L4735" t="s">
        <v>111</v>
      </c>
      <c r="M4735" t="s">
        <v>112</v>
      </c>
      <c r="N4735">
        <v>39.367362</v>
      </c>
      <c r="O4735">
        <v>-110.850854</v>
      </c>
      <c r="P4735">
        <v>5716.437422</v>
      </c>
      <c r="Q4735">
        <v>1427</v>
      </c>
      <c r="R4735">
        <v>0</v>
      </c>
    </row>
    <row r="4736" spans="1:18" x14ac:dyDescent="0.25">
      <c r="A4736">
        <v>4735</v>
      </c>
      <c r="B4736">
        <v>94</v>
      </c>
      <c r="C4736">
        <v>28338703</v>
      </c>
      <c r="D4736" t="s">
        <v>160</v>
      </c>
      <c r="E4736">
        <v>5.9530000000000003</v>
      </c>
      <c r="F4736" t="s">
        <v>21</v>
      </c>
      <c r="G4736" t="s">
        <v>26</v>
      </c>
      <c r="H4736" t="s">
        <v>21</v>
      </c>
      <c r="I4736" t="s">
        <v>20</v>
      </c>
      <c r="J4736" t="s">
        <v>20</v>
      </c>
      <c r="K4736" t="s">
        <v>27</v>
      </c>
      <c r="L4736" t="s">
        <v>72</v>
      </c>
      <c r="M4736" t="s">
        <v>73</v>
      </c>
      <c r="N4736">
        <v>37.283143000000003</v>
      </c>
      <c r="O4736">
        <v>-113.30548899999999</v>
      </c>
      <c r="P4736">
        <v>3726.8554760000002</v>
      </c>
      <c r="Q4736">
        <v>1335</v>
      </c>
      <c r="R4736">
        <v>0</v>
      </c>
    </row>
    <row r="4737" spans="1:18" x14ac:dyDescent="0.25">
      <c r="A4737">
        <v>4736</v>
      </c>
      <c r="B4737">
        <v>94</v>
      </c>
      <c r="C4737">
        <v>31524731</v>
      </c>
      <c r="D4737" t="s">
        <v>231</v>
      </c>
      <c r="E4737">
        <v>5.9560000000000004</v>
      </c>
      <c r="F4737" t="s">
        <v>21</v>
      </c>
      <c r="G4737" t="s">
        <v>26</v>
      </c>
      <c r="H4737" t="s">
        <v>21</v>
      </c>
      <c r="I4737" t="s">
        <v>20</v>
      </c>
      <c r="J4737" t="s">
        <v>20</v>
      </c>
      <c r="K4737" t="s">
        <v>41</v>
      </c>
      <c r="L4737" t="s">
        <v>57</v>
      </c>
      <c r="M4737" t="s">
        <v>93</v>
      </c>
      <c r="N4737">
        <v>41.121136999999997</v>
      </c>
      <c r="O4737">
        <v>-112.02605</v>
      </c>
      <c r="P4737">
        <v>4493.1794120000004</v>
      </c>
      <c r="Q4737">
        <v>1409</v>
      </c>
      <c r="R4737">
        <v>0</v>
      </c>
    </row>
    <row r="4738" spans="1:18" x14ac:dyDescent="0.25">
      <c r="A4738">
        <v>4737</v>
      </c>
      <c r="B4738">
        <v>94</v>
      </c>
      <c r="C4738">
        <v>27537712</v>
      </c>
      <c r="D4738" t="s">
        <v>636</v>
      </c>
      <c r="E4738">
        <v>1.304</v>
      </c>
      <c r="F4738" t="s">
        <v>21</v>
      </c>
      <c r="G4738" t="s">
        <v>26</v>
      </c>
      <c r="H4738" t="s">
        <v>21</v>
      </c>
      <c r="I4738" t="s">
        <v>20</v>
      </c>
      <c r="J4738" t="s">
        <v>20</v>
      </c>
      <c r="K4738" t="s">
        <v>31</v>
      </c>
      <c r="L4738" t="s">
        <v>48</v>
      </c>
      <c r="M4738" t="s">
        <v>335</v>
      </c>
      <c r="N4738">
        <v>40.609447000000003</v>
      </c>
      <c r="O4738">
        <v>-111.952198</v>
      </c>
      <c r="P4738">
        <v>4367.973</v>
      </c>
      <c r="Q4738">
        <v>312</v>
      </c>
      <c r="R4738">
        <v>0</v>
      </c>
    </row>
    <row r="4739" spans="1:18" x14ac:dyDescent="0.25">
      <c r="A4739">
        <v>4738</v>
      </c>
      <c r="B4739">
        <v>94</v>
      </c>
      <c r="C4739">
        <v>27538436</v>
      </c>
      <c r="D4739" t="s">
        <v>636</v>
      </c>
      <c r="E4739">
        <v>1.3660000000000001</v>
      </c>
      <c r="F4739" t="s">
        <v>21</v>
      </c>
      <c r="G4739" t="s">
        <v>26</v>
      </c>
      <c r="H4739" t="s">
        <v>21</v>
      </c>
      <c r="I4739" t="s">
        <v>20</v>
      </c>
      <c r="J4739" t="s">
        <v>20</v>
      </c>
      <c r="K4739" t="s">
        <v>31</v>
      </c>
      <c r="L4739" t="s">
        <v>48</v>
      </c>
      <c r="M4739" t="s">
        <v>335</v>
      </c>
      <c r="N4739">
        <v>40.609447000000003</v>
      </c>
      <c r="O4739">
        <v>-111.95102</v>
      </c>
      <c r="P4739">
        <v>4362.933</v>
      </c>
      <c r="Q4739">
        <v>312</v>
      </c>
      <c r="R4739">
        <v>0</v>
      </c>
    </row>
    <row r="4740" spans="1:18" x14ac:dyDescent="0.25">
      <c r="A4740">
        <v>4739</v>
      </c>
      <c r="B4740">
        <v>94</v>
      </c>
      <c r="C4740">
        <v>27539252</v>
      </c>
      <c r="D4740" t="s">
        <v>636</v>
      </c>
      <c r="E4740">
        <v>1.516</v>
      </c>
      <c r="F4740" t="s">
        <v>19</v>
      </c>
      <c r="G4740" t="s">
        <v>20</v>
      </c>
      <c r="H4740" t="s">
        <v>21</v>
      </c>
      <c r="I4740" t="s">
        <v>20</v>
      </c>
      <c r="J4740" t="s">
        <v>20</v>
      </c>
      <c r="K4740" t="s">
        <v>31</v>
      </c>
      <c r="L4740" t="s">
        <v>48</v>
      </c>
      <c r="M4740" t="s">
        <v>335</v>
      </c>
      <c r="N4740">
        <v>40.609451999999997</v>
      </c>
      <c r="O4740">
        <v>-111.94815</v>
      </c>
      <c r="P4740">
        <v>4352.5609999999997</v>
      </c>
      <c r="Q4740">
        <v>312</v>
      </c>
      <c r="R4740">
        <v>0</v>
      </c>
    </row>
    <row r="4741" spans="1:18" x14ac:dyDescent="0.25">
      <c r="A4741">
        <v>4740</v>
      </c>
      <c r="B4741">
        <v>94</v>
      </c>
      <c r="C4741">
        <v>27539770</v>
      </c>
      <c r="D4741" t="s">
        <v>636</v>
      </c>
      <c r="E4741">
        <v>1.72</v>
      </c>
      <c r="F4741" t="s">
        <v>21</v>
      </c>
      <c r="G4741" t="s">
        <v>26</v>
      </c>
      <c r="H4741" t="s">
        <v>21</v>
      </c>
      <c r="I4741" t="s">
        <v>20</v>
      </c>
      <c r="J4741" t="s">
        <v>20</v>
      </c>
      <c r="K4741" t="s">
        <v>31</v>
      </c>
      <c r="L4741" t="s">
        <v>48</v>
      </c>
      <c r="M4741" t="s">
        <v>335</v>
      </c>
      <c r="N4741">
        <v>40.609493000000001</v>
      </c>
      <c r="O4741">
        <v>-111.94422900000001</v>
      </c>
      <c r="P4741">
        <v>4336.0940000000001</v>
      </c>
      <c r="Q4741">
        <v>312</v>
      </c>
      <c r="R4741">
        <v>0</v>
      </c>
    </row>
    <row r="4742" spans="1:18" x14ac:dyDescent="0.25">
      <c r="A4742">
        <v>4741</v>
      </c>
      <c r="B4742">
        <v>94</v>
      </c>
      <c r="C4742">
        <v>31193837</v>
      </c>
      <c r="D4742" t="s">
        <v>126</v>
      </c>
      <c r="E4742">
        <v>6.4889999999999999</v>
      </c>
      <c r="F4742" t="s">
        <v>21</v>
      </c>
      <c r="G4742" t="s">
        <v>26</v>
      </c>
      <c r="H4742" t="s">
        <v>21</v>
      </c>
      <c r="I4742" t="s">
        <v>20</v>
      </c>
      <c r="J4742" t="s">
        <v>20</v>
      </c>
      <c r="K4742" t="s">
        <v>41</v>
      </c>
      <c r="L4742" t="s">
        <v>57</v>
      </c>
      <c r="M4742" t="s">
        <v>93</v>
      </c>
      <c r="N4742">
        <v>41.285184000000001</v>
      </c>
      <c r="O4742">
        <v>-112.093299</v>
      </c>
      <c r="P4742">
        <v>4179.6012460000002</v>
      </c>
      <c r="Q4742">
        <v>1412</v>
      </c>
      <c r="R4742">
        <v>0</v>
      </c>
    </row>
    <row r="4743" spans="1:18" x14ac:dyDescent="0.25">
      <c r="A4743">
        <v>4742</v>
      </c>
      <c r="B4743">
        <v>94</v>
      </c>
      <c r="C4743">
        <v>31755696</v>
      </c>
      <c r="D4743" t="s">
        <v>44</v>
      </c>
      <c r="E4743">
        <v>6.4889999999999999</v>
      </c>
      <c r="F4743" t="s">
        <v>21</v>
      </c>
      <c r="G4743" t="s">
        <v>26</v>
      </c>
      <c r="H4743" t="s">
        <v>21</v>
      </c>
      <c r="I4743" t="s">
        <v>20</v>
      </c>
      <c r="J4743" t="s">
        <v>20</v>
      </c>
      <c r="K4743" t="s">
        <v>41</v>
      </c>
      <c r="L4743" t="s">
        <v>87</v>
      </c>
      <c r="M4743" t="s">
        <v>46</v>
      </c>
      <c r="N4743">
        <v>40.971012000000002</v>
      </c>
      <c r="O4743">
        <v>-111.88334500000001</v>
      </c>
      <c r="P4743">
        <v>4283.9210300000004</v>
      </c>
      <c r="Q4743">
        <v>1395</v>
      </c>
      <c r="R4743">
        <v>0</v>
      </c>
    </row>
    <row r="4744" spans="1:18" x14ac:dyDescent="0.25">
      <c r="A4744">
        <v>4743</v>
      </c>
      <c r="B4744">
        <v>94</v>
      </c>
      <c r="C4744">
        <v>826361</v>
      </c>
      <c r="D4744" t="s">
        <v>68</v>
      </c>
      <c r="E4744">
        <v>6.4989999999999997</v>
      </c>
      <c r="F4744" t="s">
        <v>21</v>
      </c>
      <c r="G4744" t="s">
        <v>26</v>
      </c>
      <c r="H4744" t="s">
        <v>21</v>
      </c>
      <c r="I4744" t="s">
        <v>20</v>
      </c>
      <c r="J4744" t="s">
        <v>20</v>
      </c>
      <c r="K4744" t="s">
        <v>31</v>
      </c>
      <c r="L4744" t="s">
        <v>32</v>
      </c>
      <c r="M4744" t="s">
        <v>70</v>
      </c>
      <c r="N4744">
        <v>40.674250999999998</v>
      </c>
      <c r="O4744">
        <v>-111.832007</v>
      </c>
      <c r="P4744">
        <v>4402.5723120000002</v>
      </c>
      <c r="Q4744">
        <v>431</v>
      </c>
      <c r="R4744">
        <v>0</v>
      </c>
    </row>
    <row r="4745" spans="1:18" x14ac:dyDescent="0.25">
      <c r="A4745">
        <v>4744</v>
      </c>
      <c r="B4745">
        <v>94</v>
      </c>
      <c r="C4745">
        <v>28228763</v>
      </c>
      <c r="D4745" t="s">
        <v>240</v>
      </c>
      <c r="E4745">
        <v>6.4989999999999997</v>
      </c>
      <c r="F4745" t="s">
        <v>21</v>
      </c>
      <c r="G4745" t="s">
        <v>26</v>
      </c>
      <c r="H4745" t="s">
        <v>21</v>
      </c>
      <c r="I4745" t="s">
        <v>20</v>
      </c>
      <c r="J4745" t="s">
        <v>20</v>
      </c>
      <c r="K4745" t="s">
        <v>27</v>
      </c>
      <c r="L4745" t="s">
        <v>146</v>
      </c>
      <c r="M4745" t="s">
        <v>147</v>
      </c>
      <c r="N4745">
        <v>38.309536999999999</v>
      </c>
      <c r="O4745">
        <v>-109.294161</v>
      </c>
      <c r="P4745">
        <v>6600.261211</v>
      </c>
      <c r="Q4745">
        <v>1355</v>
      </c>
      <c r="R4745">
        <v>0</v>
      </c>
    </row>
    <row r="4746" spans="1:18" x14ac:dyDescent="0.25">
      <c r="A4746">
        <v>4745</v>
      </c>
      <c r="B4746">
        <v>94</v>
      </c>
      <c r="C4746" t="s">
        <v>684</v>
      </c>
      <c r="D4746" t="s">
        <v>303</v>
      </c>
      <c r="E4746">
        <v>54.481000000000002</v>
      </c>
      <c r="F4746" t="s">
        <v>21</v>
      </c>
      <c r="G4746" t="s">
        <v>20</v>
      </c>
      <c r="H4746" t="s">
        <v>21</v>
      </c>
      <c r="I4746" t="s">
        <v>20</v>
      </c>
      <c r="J4746" t="s">
        <v>20</v>
      </c>
      <c r="K4746" t="s">
        <v>27</v>
      </c>
      <c r="L4746" t="s">
        <v>279</v>
      </c>
      <c r="M4746" t="s">
        <v>29</v>
      </c>
      <c r="N4746">
        <v>37.224271999999999</v>
      </c>
      <c r="O4746">
        <v>-112.71965299999999</v>
      </c>
      <c r="P4746">
        <v>5568.5998330000002</v>
      </c>
      <c r="Q4746">
        <v>1326</v>
      </c>
      <c r="R4746">
        <v>0</v>
      </c>
    </row>
    <row r="4747" spans="1:18" x14ac:dyDescent="0.25">
      <c r="A4747">
        <v>4746</v>
      </c>
      <c r="B4747">
        <v>94</v>
      </c>
      <c r="C4747">
        <v>1502597</v>
      </c>
      <c r="D4747" t="s">
        <v>88</v>
      </c>
      <c r="E4747">
        <v>8.8420000000000005</v>
      </c>
      <c r="F4747" t="s">
        <v>19</v>
      </c>
      <c r="G4747" t="s">
        <v>20</v>
      </c>
      <c r="H4747" t="s">
        <v>21</v>
      </c>
      <c r="I4747" t="s">
        <v>20</v>
      </c>
      <c r="J4747" t="s">
        <v>20</v>
      </c>
      <c r="K4747" t="s">
        <v>31</v>
      </c>
      <c r="L4747" t="s">
        <v>89</v>
      </c>
      <c r="M4747" t="s">
        <v>90</v>
      </c>
      <c r="N4747">
        <v>40.567912999999997</v>
      </c>
      <c r="O4747">
        <v>-111.87213199999999</v>
      </c>
      <c r="P4747">
        <v>4474.7547160000004</v>
      </c>
      <c r="Q4747">
        <v>318</v>
      </c>
      <c r="R4747">
        <v>0</v>
      </c>
    </row>
    <row r="4748" spans="1:18" x14ac:dyDescent="0.25">
      <c r="A4748">
        <v>4747</v>
      </c>
      <c r="B4748">
        <v>94</v>
      </c>
      <c r="C4748">
        <v>1390222</v>
      </c>
      <c r="D4748" t="s">
        <v>363</v>
      </c>
      <c r="E4748">
        <v>8.2089999999999996</v>
      </c>
      <c r="F4748" t="s">
        <v>19</v>
      </c>
      <c r="G4748" t="s">
        <v>20</v>
      </c>
      <c r="H4748" t="s">
        <v>19</v>
      </c>
      <c r="I4748">
        <v>91</v>
      </c>
      <c r="J4748" t="s">
        <v>20</v>
      </c>
      <c r="K4748" t="s">
        <v>41</v>
      </c>
      <c r="L4748" t="s">
        <v>95</v>
      </c>
      <c r="M4748" t="s">
        <v>73</v>
      </c>
      <c r="N4748">
        <v>41.838593000000003</v>
      </c>
      <c r="O4748">
        <v>-111.832612</v>
      </c>
      <c r="P4748">
        <v>4553.8058529999998</v>
      </c>
      <c r="Q4748">
        <v>356</v>
      </c>
      <c r="R4748">
        <v>0</v>
      </c>
    </row>
    <row r="4749" spans="1:18" x14ac:dyDescent="0.25">
      <c r="A4749">
        <v>4748</v>
      </c>
      <c r="B4749">
        <v>94</v>
      </c>
      <c r="C4749">
        <v>1499985</v>
      </c>
      <c r="D4749" t="s">
        <v>88</v>
      </c>
      <c r="E4749">
        <v>8.2110000000000003</v>
      </c>
      <c r="F4749" t="s">
        <v>19</v>
      </c>
      <c r="G4749" t="s">
        <v>20</v>
      </c>
      <c r="H4749" t="s">
        <v>21</v>
      </c>
      <c r="I4749" t="s">
        <v>20</v>
      </c>
      <c r="J4749" t="s">
        <v>20</v>
      </c>
      <c r="K4749" t="s">
        <v>31</v>
      </c>
      <c r="L4749" t="s">
        <v>89</v>
      </c>
      <c r="M4749" t="s">
        <v>90</v>
      </c>
      <c r="N4749">
        <v>40.558770000000003</v>
      </c>
      <c r="O4749">
        <v>-111.872187</v>
      </c>
      <c r="P4749">
        <v>4482.4871329999996</v>
      </c>
      <c r="Q4749">
        <v>318</v>
      </c>
      <c r="R4749">
        <v>0</v>
      </c>
    </row>
    <row r="4750" spans="1:18" x14ac:dyDescent="0.25">
      <c r="A4750">
        <v>4749</v>
      </c>
      <c r="B4750">
        <v>94</v>
      </c>
      <c r="C4750">
        <v>31195097</v>
      </c>
      <c r="D4750" t="s">
        <v>126</v>
      </c>
      <c r="E4750">
        <v>8.2159999999999993</v>
      </c>
      <c r="F4750" t="s">
        <v>21</v>
      </c>
      <c r="G4750" t="s">
        <v>26</v>
      </c>
      <c r="H4750" t="s">
        <v>21</v>
      </c>
      <c r="I4750" t="s">
        <v>20</v>
      </c>
      <c r="J4750" t="s">
        <v>20</v>
      </c>
      <c r="K4750" t="s">
        <v>41</v>
      </c>
      <c r="L4750" t="s">
        <v>57</v>
      </c>
      <c r="M4750" t="s">
        <v>93</v>
      </c>
      <c r="N4750">
        <v>41.304730999999997</v>
      </c>
      <c r="O4750">
        <v>-112.084425</v>
      </c>
      <c r="P4750">
        <v>4182.8671290000002</v>
      </c>
      <c r="Q4750">
        <v>1412</v>
      </c>
      <c r="R4750">
        <v>0</v>
      </c>
    </row>
    <row r="4751" spans="1:18" x14ac:dyDescent="0.25">
      <c r="A4751">
        <v>4750</v>
      </c>
      <c r="B4751">
        <v>94</v>
      </c>
      <c r="C4751">
        <v>2189673</v>
      </c>
      <c r="D4751" t="s">
        <v>332</v>
      </c>
      <c r="E4751">
        <v>8.2210000000000001</v>
      </c>
      <c r="F4751" t="s">
        <v>19</v>
      </c>
      <c r="G4751" t="s">
        <v>20</v>
      </c>
      <c r="H4751" t="s">
        <v>19</v>
      </c>
      <c r="I4751">
        <v>36</v>
      </c>
      <c r="J4751" t="s">
        <v>20</v>
      </c>
      <c r="K4751" t="s">
        <v>31</v>
      </c>
      <c r="L4751" t="s">
        <v>282</v>
      </c>
      <c r="M4751" t="s">
        <v>206</v>
      </c>
      <c r="N4751">
        <v>40.551034999999999</v>
      </c>
      <c r="O4751">
        <v>-112.298115</v>
      </c>
      <c r="P4751">
        <v>4798.5464679999995</v>
      </c>
      <c r="Q4751">
        <v>1399</v>
      </c>
      <c r="R4751">
        <v>0</v>
      </c>
    </row>
    <row r="4752" spans="1:18" x14ac:dyDescent="0.25">
      <c r="A4752">
        <v>4751</v>
      </c>
      <c r="B4752">
        <v>94</v>
      </c>
      <c r="C4752">
        <v>31459812</v>
      </c>
      <c r="D4752" t="s">
        <v>254</v>
      </c>
      <c r="E4752">
        <v>8.234</v>
      </c>
      <c r="F4752" t="s">
        <v>21</v>
      </c>
      <c r="G4752" t="s">
        <v>20</v>
      </c>
      <c r="H4752" t="s">
        <v>21</v>
      </c>
      <c r="I4752" t="s">
        <v>20</v>
      </c>
      <c r="J4752" t="s">
        <v>20</v>
      </c>
      <c r="K4752" t="s">
        <v>41</v>
      </c>
      <c r="L4752" t="s">
        <v>255</v>
      </c>
      <c r="M4752" t="s">
        <v>204</v>
      </c>
      <c r="N4752">
        <v>41.349929000000003</v>
      </c>
      <c r="O4752">
        <v>-111.811537</v>
      </c>
      <c r="P4752">
        <v>5962.0969830000004</v>
      </c>
      <c r="Q4752">
        <v>1429</v>
      </c>
      <c r="R4752">
        <v>0</v>
      </c>
    </row>
    <row r="4753" spans="1:18" x14ac:dyDescent="0.25">
      <c r="A4753">
        <v>4752</v>
      </c>
      <c r="B4753">
        <v>94</v>
      </c>
      <c r="C4753">
        <v>31389685</v>
      </c>
      <c r="D4753" t="s">
        <v>364</v>
      </c>
      <c r="E4753">
        <v>8.2379999999999995</v>
      </c>
      <c r="F4753" t="s">
        <v>21</v>
      </c>
      <c r="G4753" t="s">
        <v>26</v>
      </c>
      <c r="H4753" t="s">
        <v>19</v>
      </c>
      <c r="I4753">
        <v>156</v>
      </c>
      <c r="J4753" t="s">
        <v>20</v>
      </c>
      <c r="K4753" t="s">
        <v>22</v>
      </c>
      <c r="L4753" t="s">
        <v>140</v>
      </c>
      <c r="M4753" t="s">
        <v>85</v>
      </c>
      <c r="N4753">
        <v>40.108460999999998</v>
      </c>
      <c r="O4753">
        <v>-111.65485</v>
      </c>
      <c r="P4753">
        <v>4529.8294299999998</v>
      </c>
      <c r="Q4753">
        <v>1401</v>
      </c>
      <c r="R4753">
        <v>0</v>
      </c>
    </row>
    <row r="4754" spans="1:18" x14ac:dyDescent="0.25">
      <c r="A4754">
        <v>4753</v>
      </c>
      <c r="B4754">
        <v>94</v>
      </c>
      <c r="C4754">
        <v>31524742</v>
      </c>
      <c r="D4754" t="s">
        <v>231</v>
      </c>
      <c r="E4754">
        <v>8.24</v>
      </c>
      <c r="F4754" t="s">
        <v>19</v>
      </c>
      <c r="G4754" t="s">
        <v>20</v>
      </c>
      <c r="H4754" t="s">
        <v>21</v>
      </c>
      <c r="I4754" t="s">
        <v>20</v>
      </c>
      <c r="J4754" t="s">
        <v>20</v>
      </c>
      <c r="K4754" t="s">
        <v>41</v>
      </c>
      <c r="L4754" t="s">
        <v>57</v>
      </c>
      <c r="M4754" t="s">
        <v>93</v>
      </c>
      <c r="N4754">
        <v>41.154432999999997</v>
      </c>
      <c r="O4754">
        <v>-112.02606900000001</v>
      </c>
      <c r="P4754">
        <v>4489.1055710000001</v>
      </c>
      <c r="Q4754">
        <v>1409</v>
      </c>
      <c r="R4754">
        <v>0</v>
      </c>
    </row>
    <row r="4755" spans="1:18" x14ac:dyDescent="0.25">
      <c r="A4755">
        <v>4754</v>
      </c>
      <c r="B4755">
        <v>94</v>
      </c>
      <c r="C4755">
        <v>27378416</v>
      </c>
      <c r="D4755" t="s">
        <v>185</v>
      </c>
      <c r="E4755">
        <v>8.2409999999999997</v>
      </c>
      <c r="F4755" t="s">
        <v>21</v>
      </c>
      <c r="G4755" t="s">
        <v>26</v>
      </c>
      <c r="H4755" t="s">
        <v>21</v>
      </c>
      <c r="I4755" t="s">
        <v>20</v>
      </c>
      <c r="J4755" t="s">
        <v>20</v>
      </c>
      <c r="K4755" t="s">
        <v>41</v>
      </c>
      <c r="L4755" t="s">
        <v>57</v>
      </c>
      <c r="M4755" t="s">
        <v>58</v>
      </c>
      <c r="N4755">
        <v>41.186391</v>
      </c>
      <c r="O4755">
        <v>-112.12261700000001</v>
      </c>
      <c r="P4755">
        <v>4173.4233199999999</v>
      </c>
      <c r="Q4755">
        <v>309</v>
      </c>
      <c r="R4755">
        <v>0</v>
      </c>
    </row>
    <row r="4756" spans="1:18" x14ac:dyDescent="0.25">
      <c r="A4756">
        <v>4755</v>
      </c>
      <c r="B4756">
        <v>94</v>
      </c>
      <c r="C4756">
        <v>31343906</v>
      </c>
      <c r="D4756" t="s">
        <v>220</v>
      </c>
      <c r="E4756">
        <v>6.2480000000000002</v>
      </c>
      <c r="F4756" t="s">
        <v>21</v>
      </c>
      <c r="G4756" t="s">
        <v>20</v>
      </c>
      <c r="H4756" t="s">
        <v>21</v>
      </c>
      <c r="I4756" t="s">
        <v>20</v>
      </c>
      <c r="J4756" t="s">
        <v>20</v>
      </c>
      <c r="K4756" t="s">
        <v>27</v>
      </c>
      <c r="L4756" t="s">
        <v>247</v>
      </c>
      <c r="M4756" t="s">
        <v>29</v>
      </c>
      <c r="N4756">
        <v>37.729683000000001</v>
      </c>
      <c r="O4756">
        <v>-112.274221</v>
      </c>
      <c r="P4756">
        <v>7516.8624820000005</v>
      </c>
      <c r="Q4756">
        <v>1328</v>
      </c>
      <c r="R4756">
        <v>0</v>
      </c>
    </row>
    <row r="4757" spans="1:18" x14ac:dyDescent="0.25">
      <c r="A4757">
        <v>4756</v>
      </c>
      <c r="B4757">
        <v>94</v>
      </c>
      <c r="C4757">
        <v>1010351</v>
      </c>
      <c r="D4757" t="s">
        <v>65</v>
      </c>
      <c r="E4757">
        <v>6.25</v>
      </c>
      <c r="F4757" t="s">
        <v>21</v>
      </c>
      <c r="G4757" t="s">
        <v>26</v>
      </c>
      <c r="H4757" t="s">
        <v>21</v>
      </c>
      <c r="I4757" t="s">
        <v>20</v>
      </c>
      <c r="J4757" t="s">
        <v>20</v>
      </c>
      <c r="K4757" t="s">
        <v>31</v>
      </c>
      <c r="L4757" t="s">
        <v>188</v>
      </c>
      <c r="M4757" t="s">
        <v>67</v>
      </c>
      <c r="N4757">
        <v>40.747760999999997</v>
      </c>
      <c r="O4757">
        <v>-111.830703</v>
      </c>
      <c r="P4757">
        <v>4660.4668229999997</v>
      </c>
      <c r="Q4757">
        <v>402</v>
      </c>
      <c r="R4757">
        <v>0</v>
      </c>
    </row>
    <row r="4758" spans="1:18" x14ac:dyDescent="0.25">
      <c r="A4758">
        <v>4757</v>
      </c>
      <c r="B4758">
        <v>94</v>
      </c>
      <c r="C4758">
        <v>31607282</v>
      </c>
      <c r="D4758" t="s">
        <v>232</v>
      </c>
      <c r="E4758">
        <v>6.2530000000000001</v>
      </c>
      <c r="F4758" t="s">
        <v>21</v>
      </c>
      <c r="G4758" t="s">
        <v>26</v>
      </c>
      <c r="H4758" t="s">
        <v>21</v>
      </c>
      <c r="I4758" t="s">
        <v>20</v>
      </c>
      <c r="J4758" t="s">
        <v>20</v>
      </c>
      <c r="K4758" t="s">
        <v>31</v>
      </c>
      <c r="L4758" t="s">
        <v>130</v>
      </c>
      <c r="M4758" t="s">
        <v>131</v>
      </c>
      <c r="N4758">
        <v>40.661693999999997</v>
      </c>
      <c r="O4758">
        <v>-111.41622</v>
      </c>
      <c r="P4758">
        <v>6272.7387870000002</v>
      </c>
      <c r="Q4758">
        <v>1279</v>
      </c>
      <c r="R4758">
        <v>0</v>
      </c>
    </row>
    <row r="4759" spans="1:18" x14ac:dyDescent="0.25">
      <c r="A4759">
        <v>4758</v>
      </c>
      <c r="B4759">
        <v>94</v>
      </c>
      <c r="C4759">
        <v>27940740</v>
      </c>
      <c r="D4759" t="s">
        <v>346</v>
      </c>
      <c r="E4759">
        <v>6.2530000000000001</v>
      </c>
      <c r="F4759" t="s">
        <v>21</v>
      </c>
      <c r="G4759" t="s">
        <v>26</v>
      </c>
      <c r="H4759" t="s">
        <v>21</v>
      </c>
      <c r="I4759" t="s">
        <v>20</v>
      </c>
      <c r="J4759" t="s">
        <v>20</v>
      </c>
      <c r="K4759" t="s">
        <v>27</v>
      </c>
      <c r="L4759" t="s">
        <v>307</v>
      </c>
      <c r="M4759" t="s">
        <v>159</v>
      </c>
      <c r="N4759">
        <v>39.728718999999998</v>
      </c>
      <c r="O4759">
        <v>-111.158396</v>
      </c>
      <c r="P4759">
        <v>7631.7014440000003</v>
      </c>
      <c r="Q4759">
        <v>1389</v>
      </c>
      <c r="R4759">
        <v>0</v>
      </c>
    </row>
    <row r="4760" spans="1:18" x14ac:dyDescent="0.25">
      <c r="A4760">
        <v>4759</v>
      </c>
      <c r="B4760">
        <v>94</v>
      </c>
      <c r="C4760" t="e">
        <f>-Iov-ZKnIMyx9hY-TM2BKF</f>
        <v>#NAME?</v>
      </c>
      <c r="D4760" t="s">
        <v>176</v>
      </c>
      <c r="E4760">
        <v>6.2539999999999996</v>
      </c>
      <c r="F4760" t="s">
        <v>21</v>
      </c>
      <c r="G4760" t="s">
        <v>26</v>
      </c>
      <c r="H4760" t="s">
        <v>21</v>
      </c>
      <c r="I4760" t="s">
        <v>20</v>
      </c>
      <c r="J4760" t="s">
        <v>20</v>
      </c>
      <c r="K4760" t="s">
        <v>41</v>
      </c>
      <c r="L4760" t="s">
        <v>177</v>
      </c>
      <c r="M4760" t="s">
        <v>178</v>
      </c>
      <c r="N4760">
        <v>41.538209000000002</v>
      </c>
      <c r="O4760">
        <v>-112.078683</v>
      </c>
      <c r="P4760">
        <v>4175.3927240000003</v>
      </c>
      <c r="Q4760">
        <v>1329</v>
      </c>
      <c r="R4760">
        <v>0</v>
      </c>
    </row>
    <row r="4761" spans="1:18" x14ac:dyDescent="0.25">
      <c r="A4761">
        <v>4760</v>
      </c>
      <c r="B4761">
        <v>94</v>
      </c>
      <c r="C4761">
        <v>31407258</v>
      </c>
      <c r="D4761" t="s">
        <v>224</v>
      </c>
      <c r="E4761">
        <v>6.2549999999999999</v>
      </c>
      <c r="F4761" t="s">
        <v>19</v>
      </c>
      <c r="G4761" t="s">
        <v>20</v>
      </c>
      <c r="H4761" t="s">
        <v>21</v>
      </c>
      <c r="I4761" t="s">
        <v>20</v>
      </c>
      <c r="J4761" t="s">
        <v>20</v>
      </c>
      <c r="K4761" t="s">
        <v>22</v>
      </c>
      <c r="L4761" t="s">
        <v>198</v>
      </c>
      <c r="M4761" t="s">
        <v>194</v>
      </c>
      <c r="N4761">
        <v>40.044550000000001</v>
      </c>
      <c r="O4761">
        <v>-111.716013</v>
      </c>
      <c r="P4761">
        <v>4543.666913</v>
      </c>
      <c r="Q4761">
        <v>408</v>
      </c>
      <c r="R4761">
        <v>0</v>
      </c>
    </row>
    <row r="4762" spans="1:18" x14ac:dyDescent="0.25">
      <c r="A4762">
        <v>4761</v>
      </c>
      <c r="B4762">
        <v>94</v>
      </c>
      <c r="C4762">
        <v>31388736</v>
      </c>
      <c r="D4762" t="s">
        <v>184</v>
      </c>
      <c r="E4762">
        <v>6.2560000000000002</v>
      </c>
      <c r="F4762" t="s">
        <v>19</v>
      </c>
      <c r="G4762" t="s">
        <v>20</v>
      </c>
      <c r="H4762" t="s">
        <v>21</v>
      </c>
      <c r="I4762" t="s">
        <v>20</v>
      </c>
      <c r="J4762" t="s">
        <v>20</v>
      </c>
      <c r="K4762" t="s">
        <v>27</v>
      </c>
      <c r="L4762" t="s">
        <v>54</v>
      </c>
      <c r="M4762" t="s">
        <v>55</v>
      </c>
      <c r="N4762">
        <v>37.729044999999999</v>
      </c>
      <c r="O4762">
        <v>-113.05400400000001</v>
      </c>
      <c r="P4762">
        <v>5658.7408459999997</v>
      </c>
      <c r="Q4762">
        <v>1410</v>
      </c>
      <c r="R4762">
        <v>0</v>
      </c>
    </row>
    <row r="4763" spans="1:18" x14ac:dyDescent="0.25">
      <c r="A4763">
        <v>4762</v>
      </c>
      <c r="B4763">
        <v>94</v>
      </c>
      <c r="C4763">
        <v>31808601</v>
      </c>
      <c r="D4763" t="s">
        <v>61</v>
      </c>
      <c r="E4763">
        <v>6.2610000000000001</v>
      </c>
      <c r="F4763" t="s">
        <v>21</v>
      </c>
      <c r="G4763" t="s">
        <v>26</v>
      </c>
      <c r="H4763" t="s">
        <v>21</v>
      </c>
      <c r="I4763" t="s">
        <v>20</v>
      </c>
      <c r="J4763" t="s">
        <v>20</v>
      </c>
      <c r="K4763" t="s">
        <v>22</v>
      </c>
      <c r="L4763" t="s">
        <v>60</v>
      </c>
      <c r="M4763" t="s">
        <v>62</v>
      </c>
      <c r="N4763">
        <v>40.296374999999998</v>
      </c>
      <c r="O4763">
        <v>-111.657252</v>
      </c>
      <c r="P4763">
        <v>4697.8304619999999</v>
      </c>
      <c r="Q4763">
        <v>403</v>
      </c>
      <c r="R4763">
        <v>0</v>
      </c>
    </row>
    <row r="4764" spans="1:18" x14ac:dyDescent="0.25">
      <c r="A4764">
        <v>4763</v>
      </c>
      <c r="B4764">
        <v>94</v>
      </c>
      <c r="C4764">
        <v>31370052</v>
      </c>
      <c r="D4764" t="s">
        <v>345</v>
      </c>
      <c r="E4764">
        <v>6.2619999999999996</v>
      </c>
      <c r="F4764" t="s">
        <v>21</v>
      </c>
      <c r="G4764" t="s">
        <v>26</v>
      </c>
      <c r="H4764" t="s">
        <v>21</v>
      </c>
      <c r="I4764" t="s">
        <v>20</v>
      </c>
      <c r="J4764" t="s">
        <v>20</v>
      </c>
      <c r="K4764" t="s">
        <v>27</v>
      </c>
      <c r="L4764" t="s">
        <v>75</v>
      </c>
      <c r="M4764" t="s">
        <v>76</v>
      </c>
      <c r="N4764">
        <v>38.633702999999997</v>
      </c>
      <c r="O4764">
        <v>-112.121416</v>
      </c>
      <c r="P4764">
        <v>5308.4888609999998</v>
      </c>
      <c r="Q4764">
        <v>1403</v>
      </c>
      <c r="R4764">
        <v>0</v>
      </c>
    </row>
    <row r="4765" spans="1:18" x14ac:dyDescent="0.25">
      <c r="A4765">
        <v>4764</v>
      </c>
      <c r="B4765">
        <v>94</v>
      </c>
      <c r="C4765">
        <v>1742647</v>
      </c>
      <c r="D4765" t="s">
        <v>197</v>
      </c>
      <c r="E4765">
        <v>5.4870000000000001</v>
      </c>
      <c r="F4765" t="s">
        <v>21</v>
      </c>
      <c r="G4765" t="s">
        <v>26</v>
      </c>
      <c r="H4765" t="s">
        <v>21</v>
      </c>
      <c r="I4765" t="s">
        <v>20</v>
      </c>
      <c r="J4765" t="s">
        <v>20</v>
      </c>
      <c r="K4765" t="s">
        <v>22</v>
      </c>
      <c r="L4765" t="s">
        <v>198</v>
      </c>
      <c r="M4765" t="s">
        <v>125</v>
      </c>
      <c r="N4765">
        <v>40.024529000000001</v>
      </c>
      <c r="O4765">
        <v>-111.78707</v>
      </c>
      <c r="P4765">
        <v>4601.6652350000004</v>
      </c>
      <c r="Q4765">
        <v>1416</v>
      </c>
      <c r="R4765">
        <v>0</v>
      </c>
    </row>
    <row r="4766" spans="1:18" x14ac:dyDescent="0.25">
      <c r="A4766">
        <v>4765</v>
      </c>
      <c r="B4766">
        <v>94</v>
      </c>
      <c r="C4766" t="e">
        <f>-JO0CBnYFF1he5q1wzIFrk</f>
        <v>#NAME?</v>
      </c>
      <c r="D4766" t="s">
        <v>110</v>
      </c>
      <c r="E4766">
        <v>5.4880000000000004</v>
      </c>
      <c r="F4766" t="s">
        <v>21</v>
      </c>
      <c r="G4766" t="s">
        <v>26</v>
      </c>
      <c r="H4766" t="s">
        <v>21</v>
      </c>
      <c r="I4766" t="s">
        <v>20</v>
      </c>
      <c r="J4766" t="s">
        <v>20</v>
      </c>
      <c r="K4766" t="s">
        <v>27</v>
      </c>
      <c r="L4766" t="s">
        <v>111</v>
      </c>
      <c r="M4766" t="s">
        <v>112</v>
      </c>
      <c r="N4766">
        <v>39.239069999999998</v>
      </c>
      <c r="O4766">
        <v>-111.088275</v>
      </c>
      <c r="P4766">
        <v>5925.0967479999999</v>
      </c>
      <c r="Q4766">
        <v>1361</v>
      </c>
      <c r="R4766">
        <v>0</v>
      </c>
    </row>
    <row r="4767" spans="1:18" x14ac:dyDescent="0.25">
      <c r="A4767">
        <v>4766</v>
      </c>
      <c r="B4767">
        <v>94</v>
      </c>
      <c r="C4767" t="s">
        <v>685</v>
      </c>
      <c r="D4767" t="s">
        <v>176</v>
      </c>
      <c r="E4767">
        <v>5.5</v>
      </c>
      <c r="F4767" t="s">
        <v>21</v>
      </c>
      <c r="G4767" t="s">
        <v>26</v>
      </c>
      <c r="H4767" t="s">
        <v>21</v>
      </c>
      <c r="I4767" t="s">
        <v>20</v>
      </c>
      <c r="J4767" t="s">
        <v>20</v>
      </c>
      <c r="K4767" t="s">
        <v>41</v>
      </c>
      <c r="L4767" t="s">
        <v>177</v>
      </c>
      <c r="M4767" t="s">
        <v>178</v>
      </c>
      <c r="N4767">
        <v>41.535204999999998</v>
      </c>
      <c r="O4767">
        <v>-112.064663</v>
      </c>
      <c r="P4767">
        <v>4174.6761409999999</v>
      </c>
      <c r="Q4767">
        <v>1329</v>
      </c>
      <c r="R4767">
        <v>0</v>
      </c>
    </row>
    <row r="4768" spans="1:18" x14ac:dyDescent="0.25">
      <c r="A4768">
        <v>4767</v>
      </c>
      <c r="B4768">
        <v>94</v>
      </c>
      <c r="C4768">
        <v>1453297</v>
      </c>
      <c r="D4768" t="s">
        <v>109</v>
      </c>
      <c r="E4768">
        <v>5.5039999999999996</v>
      </c>
      <c r="F4768" t="s">
        <v>21</v>
      </c>
      <c r="G4768" t="s">
        <v>26</v>
      </c>
      <c r="H4768" t="s">
        <v>21</v>
      </c>
      <c r="I4768" t="s">
        <v>20</v>
      </c>
      <c r="J4768" t="s">
        <v>20</v>
      </c>
      <c r="K4768" t="s">
        <v>41</v>
      </c>
      <c r="L4768" t="s">
        <v>42</v>
      </c>
      <c r="M4768" t="s">
        <v>73</v>
      </c>
      <c r="N4768">
        <v>41.642028000000003</v>
      </c>
      <c r="O4768">
        <v>-111.832718</v>
      </c>
      <c r="P4768">
        <v>4712.354182</v>
      </c>
      <c r="Q4768">
        <v>345</v>
      </c>
      <c r="R4768">
        <v>0</v>
      </c>
    </row>
    <row r="4769" spans="1:18" x14ac:dyDescent="0.25">
      <c r="A4769">
        <v>4768</v>
      </c>
      <c r="B4769">
        <v>94</v>
      </c>
      <c r="C4769">
        <v>31523361</v>
      </c>
      <c r="D4769" t="s">
        <v>390</v>
      </c>
      <c r="E4769">
        <v>5.5060000000000002</v>
      </c>
      <c r="F4769" t="s">
        <v>21</v>
      </c>
      <c r="G4769" t="s">
        <v>26</v>
      </c>
      <c r="H4769" t="s">
        <v>21</v>
      </c>
      <c r="I4769" t="s">
        <v>20</v>
      </c>
      <c r="J4769" t="s">
        <v>20</v>
      </c>
      <c r="K4769" t="s">
        <v>22</v>
      </c>
      <c r="L4769" t="s">
        <v>84</v>
      </c>
      <c r="M4769" t="s">
        <v>335</v>
      </c>
      <c r="N4769">
        <v>40.431907000000002</v>
      </c>
      <c r="O4769">
        <v>-111.79134999999999</v>
      </c>
      <c r="P4769">
        <v>4836.5877300000002</v>
      </c>
      <c r="Q4769">
        <v>1386</v>
      </c>
      <c r="R4769">
        <v>0</v>
      </c>
    </row>
    <row r="4770" spans="1:18" x14ac:dyDescent="0.25">
      <c r="A4770">
        <v>4769</v>
      </c>
      <c r="B4770">
        <v>94</v>
      </c>
      <c r="C4770">
        <v>1018972</v>
      </c>
      <c r="D4770" t="s">
        <v>171</v>
      </c>
      <c r="E4770">
        <v>5.5069999999999997</v>
      </c>
      <c r="F4770" t="s">
        <v>19</v>
      </c>
      <c r="G4770" t="s">
        <v>20</v>
      </c>
      <c r="H4770" t="s">
        <v>21</v>
      </c>
      <c r="I4770" t="s">
        <v>20</v>
      </c>
      <c r="J4770" t="s">
        <v>20</v>
      </c>
      <c r="K4770" t="s">
        <v>31</v>
      </c>
      <c r="L4770" t="s">
        <v>78</v>
      </c>
      <c r="M4770" t="s">
        <v>79</v>
      </c>
      <c r="N4770">
        <v>40.696615000000001</v>
      </c>
      <c r="O4770">
        <v>-111.98665699999999</v>
      </c>
      <c r="P4770">
        <v>4213.3905869999999</v>
      </c>
      <c r="Q4770">
        <v>346</v>
      </c>
      <c r="R4770">
        <v>0</v>
      </c>
    </row>
    <row r="4771" spans="1:18" x14ac:dyDescent="0.25">
      <c r="A4771">
        <v>4770</v>
      </c>
      <c r="B4771">
        <v>94</v>
      </c>
      <c r="C4771" t="s">
        <v>686</v>
      </c>
      <c r="D4771" t="s">
        <v>312</v>
      </c>
      <c r="E4771">
        <v>5.508</v>
      </c>
      <c r="F4771" t="s">
        <v>21</v>
      </c>
      <c r="G4771" t="s">
        <v>20</v>
      </c>
      <c r="H4771" t="s">
        <v>21</v>
      </c>
      <c r="I4771" t="s">
        <v>20</v>
      </c>
      <c r="J4771" t="s">
        <v>20</v>
      </c>
      <c r="K4771" t="s">
        <v>27</v>
      </c>
      <c r="L4771" t="s">
        <v>143</v>
      </c>
      <c r="M4771" t="s">
        <v>313</v>
      </c>
      <c r="N4771">
        <v>38.473860999999999</v>
      </c>
      <c r="O4771">
        <v>-112.99278099999999</v>
      </c>
      <c r="P4771">
        <v>4889.6571459999996</v>
      </c>
      <c r="Q4771">
        <v>255</v>
      </c>
      <c r="R4771">
        <v>0</v>
      </c>
    </row>
    <row r="4772" spans="1:18" x14ac:dyDescent="0.25">
      <c r="A4772">
        <v>4771</v>
      </c>
      <c r="B4772">
        <v>94</v>
      </c>
      <c r="C4772">
        <v>563734</v>
      </c>
      <c r="D4772" t="s">
        <v>115</v>
      </c>
      <c r="E4772">
        <v>5.5119999999999996</v>
      </c>
      <c r="F4772" t="s">
        <v>21</v>
      </c>
      <c r="G4772" t="s">
        <v>26</v>
      </c>
      <c r="H4772" t="s">
        <v>21</v>
      </c>
      <c r="I4772" t="s">
        <v>20</v>
      </c>
      <c r="J4772" t="s">
        <v>20</v>
      </c>
      <c r="K4772" t="s">
        <v>31</v>
      </c>
      <c r="L4772" t="s">
        <v>48</v>
      </c>
      <c r="M4772" t="s">
        <v>70</v>
      </c>
      <c r="N4772">
        <v>40.653078000000001</v>
      </c>
      <c r="O4772">
        <v>-111.972251</v>
      </c>
      <c r="P4772">
        <v>4438.0237109999998</v>
      </c>
      <c r="Q4772">
        <v>1437</v>
      </c>
      <c r="R4772">
        <v>0</v>
      </c>
    </row>
    <row r="4773" spans="1:18" x14ac:dyDescent="0.25">
      <c r="A4773">
        <v>4772</v>
      </c>
      <c r="B4773">
        <v>94</v>
      </c>
      <c r="C4773">
        <v>31582306</v>
      </c>
      <c r="D4773" t="s">
        <v>172</v>
      </c>
      <c r="E4773">
        <v>54.637999999999998</v>
      </c>
      <c r="F4773" t="s">
        <v>21</v>
      </c>
      <c r="G4773" t="s">
        <v>26</v>
      </c>
      <c r="H4773" t="s">
        <v>21</v>
      </c>
      <c r="I4773" t="s">
        <v>20</v>
      </c>
      <c r="J4773" t="s">
        <v>20</v>
      </c>
      <c r="K4773" t="s">
        <v>27</v>
      </c>
      <c r="L4773" t="s">
        <v>230</v>
      </c>
      <c r="M4773" t="s">
        <v>174</v>
      </c>
      <c r="N4773">
        <v>39.531682000000004</v>
      </c>
      <c r="O4773">
        <v>-111.59092</v>
      </c>
      <c r="P4773">
        <v>5496.3563169999998</v>
      </c>
      <c r="Q4773">
        <v>1411</v>
      </c>
      <c r="R4773">
        <v>0</v>
      </c>
    </row>
    <row r="4774" spans="1:18" x14ac:dyDescent="0.25">
      <c r="A4774">
        <v>4773</v>
      </c>
      <c r="B4774">
        <v>94</v>
      </c>
      <c r="C4774">
        <v>31443227</v>
      </c>
      <c r="D4774" t="s">
        <v>220</v>
      </c>
      <c r="E4774">
        <v>54.643999999999998</v>
      </c>
      <c r="F4774" t="s">
        <v>21</v>
      </c>
      <c r="G4774" t="s">
        <v>26</v>
      </c>
      <c r="H4774" t="s">
        <v>21</v>
      </c>
      <c r="I4774" t="s">
        <v>20</v>
      </c>
      <c r="J4774" t="s">
        <v>20</v>
      </c>
      <c r="K4774" t="s">
        <v>27</v>
      </c>
      <c r="L4774" t="s">
        <v>28</v>
      </c>
      <c r="M4774" t="s">
        <v>366</v>
      </c>
      <c r="N4774">
        <v>37.764825000000002</v>
      </c>
      <c r="O4774">
        <v>-111.683145</v>
      </c>
      <c r="P4774">
        <v>6038.8796679999996</v>
      </c>
      <c r="Q4774">
        <v>1328</v>
      </c>
      <c r="R4774">
        <v>0</v>
      </c>
    </row>
    <row r="4775" spans="1:18" x14ac:dyDescent="0.25">
      <c r="A4775">
        <v>4774</v>
      </c>
      <c r="B4775">
        <v>94</v>
      </c>
      <c r="C4775">
        <v>31474430</v>
      </c>
      <c r="D4775" t="s">
        <v>320</v>
      </c>
      <c r="E4775">
        <v>89.739000000000004</v>
      </c>
      <c r="F4775" t="s">
        <v>21</v>
      </c>
      <c r="G4775" t="s">
        <v>26</v>
      </c>
      <c r="H4775" t="s">
        <v>21</v>
      </c>
      <c r="I4775" t="s">
        <v>20</v>
      </c>
      <c r="J4775" t="s">
        <v>20</v>
      </c>
      <c r="K4775" t="s">
        <v>27</v>
      </c>
      <c r="L4775" t="s">
        <v>173</v>
      </c>
      <c r="M4775" t="s">
        <v>166</v>
      </c>
      <c r="N4775">
        <v>39.352508999999998</v>
      </c>
      <c r="O4775">
        <v>-112.557356</v>
      </c>
      <c r="P4775">
        <v>4566.9675139999999</v>
      </c>
      <c r="Q4775">
        <v>1356</v>
      </c>
      <c r="R4775">
        <v>0</v>
      </c>
    </row>
    <row r="4776" spans="1:18" x14ac:dyDescent="0.25">
      <c r="A4776">
        <v>4775</v>
      </c>
      <c r="B4776">
        <v>94</v>
      </c>
      <c r="C4776">
        <v>31555463</v>
      </c>
      <c r="D4776" t="s">
        <v>213</v>
      </c>
      <c r="E4776">
        <v>89.795000000000002</v>
      </c>
      <c r="F4776" t="s">
        <v>21</v>
      </c>
      <c r="G4776" t="s">
        <v>26</v>
      </c>
      <c r="H4776" t="s">
        <v>21</v>
      </c>
      <c r="I4776" t="s">
        <v>20</v>
      </c>
      <c r="J4776" t="s">
        <v>20</v>
      </c>
      <c r="K4776" t="s">
        <v>27</v>
      </c>
      <c r="L4776" t="s">
        <v>173</v>
      </c>
      <c r="M4776" t="s">
        <v>214</v>
      </c>
      <c r="N4776">
        <v>39.356867000000001</v>
      </c>
      <c r="O4776">
        <v>-112.55967</v>
      </c>
      <c r="P4776">
        <v>4570.0973350000004</v>
      </c>
      <c r="Q4776">
        <v>1332</v>
      </c>
      <c r="R4776">
        <v>0</v>
      </c>
    </row>
    <row r="4777" spans="1:18" x14ac:dyDescent="0.25">
      <c r="A4777">
        <v>4776</v>
      </c>
      <c r="B4777">
        <v>94</v>
      </c>
      <c r="C4777">
        <v>31726934</v>
      </c>
      <c r="D4777" t="s">
        <v>244</v>
      </c>
      <c r="E4777">
        <v>98.492000000000004</v>
      </c>
      <c r="F4777" t="s">
        <v>21</v>
      </c>
      <c r="G4777" t="s">
        <v>20</v>
      </c>
      <c r="H4777" t="s">
        <v>21</v>
      </c>
      <c r="I4777" t="s">
        <v>20</v>
      </c>
      <c r="J4777" t="s">
        <v>20</v>
      </c>
      <c r="K4777" t="s">
        <v>27</v>
      </c>
      <c r="L4777" t="s">
        <v>122</v>
      </c>
      <c r="M4777" t="s">
        <v>270</v>
      </c>
      <c r="N4777">
        <v>38.335414999999998</v>
      </c>
      <c r="O4777">
        <v>-111.011849</v>
      </c>
      <c r="P4777">
        <v>4537.7441779999999</v>
      </c>
      <c r="Q4777">
        <v>1340</v>
      </c>
      <c r="R4777">
        <v>0</v>
      </c>
    </row>
    <row r="4778" spans="1:18" x14ac:dyDescent="0.25">
      <c r="A4778">
        <v>4777</v>
      </c>
      <c r="B4778">
        <v>94</v>
      </c>
      <c r="C4778">
        <v>31495243</v>
      </c>
      <c r="D4778" t="s">
        <v>124</v>
      </c>
      <c r="E4778">
        <v>52.131999999999998</v>
      </c>
      <c r="F4778" t="s">
        <v>21</v>
      </c>
      <c r="G4778" t="s">
        <v>26</v>
      </c>
      <c r="H4778" t="s">
        <v>21</v>
      </c>
      <c r="I4778" t="s">
        <v>20</v>
      </c>
      <c r="J4778" t="s">
        <v>20</v>
      </c>
      <c r="K4778" t="s">
        <v>31</v>
      </c>
      <c r="L4778" t="s">
        <v>69</v>
      </c>
      <c r="M4778" t="s">
        <v>125</v>
      </c>
      <c r="N4778">
        <v>40.665022999999998</v>
      </c>
      <c r="O4778">
        <v>-111.938851</v>
      </c>
      <c r="P4778">
        <v>4243.5163590000002</v>
      </c>
      <c r="Q4778">
        <v>1368</v>
      </c>
      <c r="R4778">
        <v>0</v>
      </c>
    </row>
    <row r="4779" spans="1:18" x14ac:dyDescent="0.25">
      <c r="A4779">
        <v>4778</v>
      </c>
      <c r="B4779">
        <v>94</v>
      </c>
      <c r="C4779">
        <v>31630133</v>
      </c>
      <c r="D4779" t="s">
        <v>244</v>
      </c>
      <c r="E4779">
        <v>52.177</v>
      </c>
      <c r="F4779" t="s">
        <v>21</v>
      </c>
      <c r="G4779" t="s">
        <v>26</v>
      </c>
      <c r="H4779" t="s">
        <v>21</v>
      </c>
      <c r="I4779" t="s">
        <v>20</v>
      </c>
      <c r="J4779" t="s">
        <v>20</v>
      </c>
      <c r="K4779" t="s">
        <v>27</v>
      </c>
      <c r="L4779" t="s">
        <v>266</v>
      </c>
      <c r="M4779" t="s">
        <v>386</v>
      </c>
      <c r="N4779">
        <v>38.402175</v>
      </c>
      <c r="O4779">
        <v>-111.64280599999999</v>
      </c>
      <c r="P4779">
        <v>6999.3495050000001</v>
      </c>
      <c r="Q4779">
        <v>1340</v>
      </c>
      <c r="R4779">
        <v>0</v>
      </c>
    </row>
    <row r="4780" spans="1:18" x14ac:dyDescent="0.25">
      <c r="A4780">
        <v>4779</v>
      </c>
      <c r="B4780">
        <v>94</v>
      </c>
      <c r="C4780">
        <v>31344823</v>
      </c>
      <c r="D4780" t="s">
        <v>288</v>
      </c>
      <c r="E4780">
        <v>52.264000000000003</v>
      </c>
      <c r="F4780" t="s">
        <v>21</v>
      </c>
      <c r="G4780" t="s">
        <v>20</v>
      </c>
      <c r="H4780" t="s">
        <v>21</v>
      </c>
      <c r="I4780" t="s">
        <v>20</v>
      </c>
      <c r="J4780" t="s">
        <v>20</v>
      </c>
      <c r="K4780" t="s">
        <v>27</v>
      </c>
      <c r="L4780" t="s">
        <v>327</v>
      </c>
      <c r="M4780" t="s">
        <v>147</v>
      </c>
      <c r="N4780">
        <v>37.635863999999998</v>
      </c>
      <c r="O4780">
        <v>-109.46630999999999</v>
      </c>
      <c r="P4780">
        <v>6049.0922730000002</v>
      </c>
      <c r="Q4780">
        <v>350</v>
      </c>
      <c r="R4780">
        <v>0</v>
      </c>
    </row>
    <row r="4781" spans="1:18" x14ac:dyDescent="0.25">
      <c r="A4781">
        <v>4780</v>
      </c>
      <c r="B4781">
        <v>94</v>
      </c>
      <c r="C4781">
        <v>31581673</v>
      </c>
      <c r="D4781" t="s">
        <v>172</v>
      </c>
      <c r="E4781">
        <v>52.271999999999998</v>
      </c>
      <c r="F4781" t="s">
        <v>21</v>
      </c>
      <c r="G4781" t="s">
        <v>26</v>
      </c>
      <c r="H4781" t="s">
        <v>21</v>
      </c>
      <c r="I4781" t="s">
        <v>20</v>
      </c>
      <c r="J4781" t="s">
        <v>20</v>
      </c>
      <c r="K4781" t="s">
        <v>27</v>
      </c>
      <c r="L4781" t="s">
        <v>230</v>
      </c>
      <c r="M4781" t="s">
        <v>174</v>
      </c>
      <c r="N4781">
        <v>39.564331000000003</v>
      </c>
      <c r="O4781">
        <v>-111.604018</v>
      </c>
      <c r="P4781">
        <v>5518.8526410000004</v>
      </c>
      <c r="Q4781">
        <v>1411</v>
      </c>
      <c r="R4781">
        <v>0</v>
      </c>
    </row>
    <row r="4782" spans="1:18" x14ac:dyDescent="0.25">
      <c r="A4782">
        <v>4781</v>
      </c>
      <c r="B4782">
        <v>94</v>
      </c>
      <c r="C4782">
        <v>31443216</v>
      </c>
      <c r="D4782" t="s">
        <v>220</v>
      </c>
      <c r="E4782">
        <v>52.283000000000001</v>
      </c>
      <c r="F4782" t="s">
        <v>21</v>
      </c>
      <c r="G4782" t="s">
        <v>26</v>
      </c>
      <c r="H4782" t="s">
        <v>21</v>
      </c>
      <c r="I4782" t="s">
        <v>20</v>
      </c>
      <c r="J4782" t="s">
        <v>20</v>
      </c>
      <c r="K4782" t="s">
        <v>27</v>
      </c>
      <c r="L4782" t="s">
        <v>28</v>
      </c>
      <c r="M4782" t="s">
        <v>366</v>
      </c>
      <c r="N4782">
        <v>37.740960999999999</v>
      </c>
      <c r="O4782">
        <v>-111.710205</v>
      </c>
      <c r="P4782">
        <v>6243.6862440000004</v>
      </c>
      <c r="Q4782">
        <v>1328</v>
      </c>
      <c r="R4782">
        <v>0</v>
      </c>
    </row>
    <row r="4783" spans="1:18" x14ac:dyDescent="0.25">
      <c r="A4783">
        <v>4782</v>
      </c>
      <c r="B4783">
        <v>94</v>
      </c>
      <c r="C4783">
        <v>31630144</v>
      </c>
      <c r="D4783" t="s">
        <v>244</v>
      </c>
      <c r="E4783">
        <v>52.295000000000002</v>
      </c>
      <c r="F4783" t="s">
        <v>21</v>
      </c>
      <c r="G4783" t="s">
        <v>26</v>
      </c>
      <c r="H4783" t="s">
        <v>21</v>
      </c>
      <c r="I4783" t="s">
        <v>20</v>
      </c>
      <c r="J4783" t="s">
        <v>20</v>
      </c>
      <c r="K4783" t="s">
        <v>27</v>
      </c>
      <c r="L4783" t="s">
        <v>266</v>
      </c>
      <c r="M4783" t="s">
        <v>386</v>
      </c>
      <c r="N4783">
        <v>38.400460000000002</v>
      </c>
      <c r="O4783">
        <v>-111.642802</v>
      </c>
      <c r="P4783">
        <v>6990.7869970000002</v>
      </c>
      <c r="Q4783">
        <v>1340</v>
      </c>
      <c r="R4783">
        <v>0</v>
      </c>
    </row>
    <row r="4784" spans="1:18" x14ac:dyDescent="0.25">
      <c r="A4784">
        <v>4783</v>
      </c>
      <c r="B4784">
        <v>94</v>
      </c>
      <c r="C4784">
        <v>28006782</v>
      </c>
      <c r="D4784" t="s">
        <v>281</v>
      </c>
      <c r="E4784">
        <v>52.305999999999997</v>
      </c>
      <c r="F4784" t="s">
        <v>21</v>
      </c>
      <c r="G4784" t="s">
        <v>26</v>
      </c>
      <c r="H4784" t="s">
        <v>21</v>
      </c>
      <c r="I4784" t="s">
        <v>20</v>
      </c>
      <c r="J4784" t="s">
        <v>20</v>
      </c>
      <c r="K4784" t="s">
        <v>31</v>
      </c>
      <c r="L4784" t="s">
        <v>282</v>
      </c>
      <c r="M4784" t="s">
        <v>174</v>
      </c>
      <c r="N4784">
        <v>40.507485000000003</v>
      </c>
      <c r="O4784">
        <v>-112.31755</v>
      </c>
      <c r="P4784">
        <v>5097.2479979999998</v>
      </c>
      <c r="Q4784">
        <v>1347</v>
      </c>
      <c r="R4784">
        <v>0</v>
      </c>
    </row>
    <row r="4785" spans="1:18" x14ac:dyDescent="0.25">
      <c r="A4785">
        <v>4784</v>
      </c>
      <c r="B4785">
        <v>94</v>
      </c>
      <c r="C4785" t="e">
        <f>-JN_WPBYI59GmMKI0PvsGk</f>
        <v>#NAME?</v>
      </c>
      <c r="D4785" t="s">
        <v>124</v>
      </c>
      <c r="E4785">
        <v>52.313000000000002</v>
      </c>
      <c r="F4785" t="s">
        <v>19</v>
      </c>
      <c r="G4785" t="s">
        <v>20</v>
      </c>
      <c r="H4785" t="s">
        <v>19</v>
      </c>
      <c r="I4785">
        <v>266</v>
      </c>
      <c r="J4785" t="s">
        <v>20</v>
      </c>
      <c r="K4785" t="s">
        <v>31</v>
      </c>
      <c r="L4785" t="s">
        <v>69</v>
      </c>
      <c r="M4785" t="s">
        <v>125</v>
      </c>
      <c r="N4785">
        <v>40.667656000000001</v>
      </c>
      <c r="O4785">
        <v>-111.938816</v>
      </c>
      <c r="P4785">
        <v>4241.3619580000004</v>
      </c>
      <c r="Q4785">
        <v>1368</v>
      </c>
      <c r="R4785">
        <v>0</v>
      </c>
    </row>
    <row r="4786" spans="1:18" x14ac:dyDescent="0.25">
      <c r="A4786">
        <v>4785</v>
      </c>
      <c r="B4786">
        <v>94</v>
      </c>
      <c r="C4786">
        <v>31630255</v>
      </c>
      <c r="D4786" t="s">
        <v>244</v>
      </c>
      <c r="E4786">
        <v>52.411000000000001</v>
      </c>
      <c r="F4786" t="s">
        <v>21</v>
      </c>
      <c r="G4786" t="s">
        <v>26</v>
      </c>
      <c r="H4786" t="s">
        <v>21</v>
      </c>
      <c r="I4786" t="s">
        <v>20</v>
      </c>
      <c r="J4786" t="s">
        <v>20</v>
      </c>
      <c r="K4786" t="s">
        <v>27</v>
      </c>
      <c r="L4786" t="s">
        <v>266</v>
      </c>
      <c r="M4786" t="s">
        <v>386</v>
      </c>
      <c r="N4786">
        <v>38.398778999999998</v>
      </c>
      <c r="O4786">
        <v>-111.642805</v>
      </c>
      <c r="P4786">
        <v>6983.1169239999999</v>
      </c>
      <c r="Q4786">
        <v>1340</v>
      </c>
      <c r="R4786">
        <v>0</v>
      </c>
    </row>
    <row r="4787" spans="1:18" x14ac:dyDescent="0.25">
      <c r="A4787">
        <v>4786</v>
      </c>
      <c r="B4787">
        <v>94</v>
      </c>
      <c r="C4787">
        <v>31495751</v>
      </c>
      <c r="D4787" t="s">
        <v>124</v>
      </c>
      <c r="E4787">
        <v>52.421999999999997</v>
      </c>
      <c r="F4787" t="s">
        <v>21</v>
      </c>
      <c r="G4787" t="s">
        <v>26</v>
      </c>
      <c r="H4787" t="s">
        <v>21</v>
      </c>
      <c r="I4787" t="s">
        <v>20</v>
      </c>
      <c r="J4787" t="s">
        <v>20</v>
      </c>
      <c r="K4787" t="s">
        <v>31</v>
      </c>
      <c r="L4787" t="s">
        <v>69</v>
      </c>
      <c r="M4787" t="s">
        <v>125</v>
      </c>
      <c r="N4787">
        <v>40.669231000000003</v>
      </c>
      <c r="O4787">
        <v>-111.938845</v>
      </c>
      <c r="P4787">
        <v>4239.1571009999998</v>
      </c>
      <c r="Q4787">
        <v>1368</v>
      </c>
      <c r="R4787">
        <v>0</v>
      </c>
    </row>
    <row r="4788" spans="1:18" x14ac:dyDescent="0.25">
      <c r="A4788">
        <v>4787</v>
      </c>
      <c r="B4788">
        <v>94</v>
      </c>
      <c r="C4788">
        <v>31500415</v>
      </c>
      <c r="D4788" t="s">
        <v>124</v>
      </c>
      <c r="E4788">
        <v>55.585000000000001</v>
      </c>
      <c r="F4788" t="s">
        <v>21</v>
      </c>
      <c r="G4788" t="s">
        <v>26</v>
      </c>
      <c r="H4788" t="s">
        <v>21</v>
      </c>
      <c r="I4788" t="s">
        <v>20</v>
      </c>
      <c r="J4788" t="s">
        <v>20</v>
      </c>
      <c r="K4788" t="s">
        <v>31</v>
      </c>
      <c r="L4788" t="s">
        <v>362</v>
      </c>
      <c r="M4788" t="s">
        <v>125</v>
      </c>
      <c r="N4788">
        <v>40.715181000000001</v>
      </c>
      <c r="O4788">
        <v>-111.93896100000001</v>
      </c>
      <c r="P4788">
        <v>4184.0421640000004</v>
      </c>
      <c r="Q4788">
        <v>1368</v>
      </c>
      <c r="R4788">
        <v>0</v>
      </c>
    </row>
    <row r="4789" spans="1:18" x14ac:dyDescent="0.25">
      <c r="A4789">
        <v>4788</v>
      </c>
      <c r="B4789">
        <v>94</v>
      </c>
      <c r="C4789">
        <v>31348877</v>
      </c>
      <c r="D4789" t="s">
        <v>288</v>
      </c>
      <c r="E4789">
        <v>55.597999999999999</v>
      </c>
      <c r="F4789" t="s">
        <v>21</v>
      </c>
      <c r="G4789" t="s">
        <v>26</v>
      </c>
      <c r="H4789" t="s">
        <v>21</v>
      </c>
      <c r="I4789" t="s">
        <v>20</v>
      </c>
      <c r="J4789" t="s">
        <v>20</v>
      </c>
      <c r="K4789" t="s">
        <v>27</v>
      </c>
      <c r="L4789" t="s">
        <v>146</v>
      </c>
      <c r="M4789" t="s">
        <v>147</v>
      </c>
      <c r="N4789">
        <v>37.669848000000002</v>
      </c>
      <c r="O4789">
        <v>-109.43082</v>
      </c>
      <c r="P4789">
        <v>6075.8314270000001</v>
      </c>
      <c r="Q4789">
        <v>350</v>
      </c>
      <c r="R4789">
        <v>0</v>
      </c>
    </row>
    <row r="4790" spans="1:18" x14ac:dyDescent="0.25">
      <c r="A4790">
        <v>4789</v>
      </c>
      <c r="B4790">
        <v>94</v>
      </c>
      <c r="C4790">
        <v>31825466</v>
      </c>
      <c r="D4790" t="s">
        <v>272</v>
      </c>
      <c r="E4790">
        <v>55.639000000000003</v>
      </c>
      <c r="F4790" t="s">
        <v>21</v>
      </c>
      <c r="G4790" t="s">
        <v>26</v>
      </c>
      <c r="H4790" t="s">
        <v>21</v>
      </c>
      <c r="I4790" t="s">
        <v>20</v>
      </c>
      <c r="J4790" t="s">
        <v>20</v>
      </c>
      <c r="K4790" t="s">
        <v>27</v>
      </c>
      <c r="L4790" t="s">
        <v>259</v>
      </c>
      <c r="M4790" t="s">
        <v>214</v>
      </c>
      <c r="N4790">
        <v>37.034360999999997</v>
      </c>
      <c r="O4790">
        <v>-112.385017</v>
      </c>
      <c r="P4790">
        <v>5072.1847809999999</v>
      </c>
      <c r="Q4790">
        <v>1384</v>
      </c>
      <c r="R4790">
        <v>0</v>
      </c>
    </row>
    <row r="4791" spans="1:18" x14ac:dyDescent="0.25">
      <c r="A4791">
        <v>4790</v>
      </c>
      <c r="B4791">
        <v>94</v>
      </c>
      <c r="C4791">
        <v>31583145</v>
      </c>
      <c r="D4791" t="s">
        <v>172</v>
      </c>
      <c r="E4791">
        <v>55.639000000000003</v>
      </c>
      <c r="F4791" t="s">
        <v>21</v>
      </c>
      <c r="G4791" t="s">
        <v>26</v>
      </c>
      <c r="H4791" t="s">
        <v>21</v>
      </c>
      <c r="I4791" t="s">
        <v>20</v>
      </c>
      <c r="J4791" t="s">
        <v>20</v>
      </c>
      <c r="K4791" t="s">
        <v>27</v>
      </c>
      <c r="L4791" t="s">
        <v>230</v>
      </c>
      <c r="M4791" t="s">
        <v>174</v>
      </c>
      <c r="N4791">
        <v>39.524918999999997</v>
      </c>
      <c r="O4791">
        <v>-111.58008100000001</v>
      </c>
      <c r="P4791">
        <v>5503.2584029999998</v>
      </c>
      <c r="Q4791">
        <v>1411</v>
      </c>
      <c r="R4791">
        <v>0</v>
      </c>
    </row>
    <row r="4792" spans="1:18" x14ac:dyDescent="0.25">
      <c r="A4792">
        <v>4791</v>
      </c>
      <c r="B4792">
        <v>94</v>
      </c>
      <c r="C4792">
        <v>31500426</v>
      </c>
      <c r="D4792" t="s">
        <v>124</v>
      </c>
      <c r="E4792">
        <v>55.648000000000003</v>
      </c>
      <c r="F4792" t="s">
        <v>21</v>
      </c>
      <c r="G4792" t="s">
        <v>26</v>
      </c>
      <c r="H4792" t="s">
        <v>21</v>
      </c>
      <c r="I4792" t="s">
        <v>20</v>
      </c>
      <c r="J4792" t="s">
        <v>20</v>
      </c>
      <c r="K4792" t="s">
        <v>31</v>
      </c>
      <c r="L4792" t="s">
        <v>362</v>
      </c>
      <c r="M4792" t="s">
        <v>125</v>
      </c>
      <c r="N4792">
        <v>40.716087999999999</v>
      </c>
      <c r="O4792">
        <v>-111.93896100000001</v>
      </c>
      <c r="P4792">
        <v>4183.7708650000004</v>
      </c>
      <c r="Q4792">
        <v>1368</v>
      </c>
      <c r="R4792">
        <v>0</v>
      </c>
    </row>
    <row r="4793" spans="1:18" x14ac:dyDescent="0.25">
      <c r="A4793">
        <v>4792</v>
      </c>
      <c r="B4793">
        <v>94</v>
      </c>
      <c r="C4793">
        <v>31662756</v>
      </c>
      <c r="D4793" t="s">
        <v>244</v>
      </c>
      <c r="E4793">
        <v>55.658000000000001</v>
      </c>
      <c r="F4793" t="s">
        <v>21</v>
      </c>
      <c r="G4793" t="s">
        <v>26</v>
      </c>
      <c r="H4793" t="s">
        <v>21</v>
      </c>
      <c r="I4793" t="s">
        <v>20</v>
      </c>
      <c r="J4793" t="s">
        <v>20</v>
      </c>
      <c r="K4793" t="s">
        <v>27</v>
      </c>
      <c r="L4793" t="s">
        <v>266</v>
      </c>
      <c r="M4793" t="s">
        <v>386</v>
      </c>
      <c r="N4793">
        <v>38.392412999999998</v>
      </c>
      <c r="O4793">
        <v>-111.589494</v>
      </c>
      <c r="P4793">
        <v>7097.1476489999995</v>
      </c>
      <c r="Q4793">
        <v>1340</v>
      </c>
      <c r="R4793">
        <v>0</v>
      </c>
    </row>
    <row r="4794" spans="1:18" x14ac:dyDescent="0.25">
      <c r="A4794">
        <v>4793</v>
      </c>
      <c r="B4794">
        <v>94</v>
      </c>
      <c r="C4794">
        <v>829027</v>
      </c>
      <c r="D4794" t="s">
        <v>68</v>
      </c>
      <c r="E4794">
        <v>6.6219999999999999</v>
      </c>
      <c r="F4794" t="s">
        <v>19</v>
      </c>
      <c r="G4794" t="s">
        <v>20</v>
      </c>
      <c r="H4794" t="s">
        <v>21</v>
      </c>
      <c r="I4794" t="s">
        <v>20</v>
      </c>
      <c r="J4794" t="s">
        <v>20</v>
      </c>
      <c r="K4794" t="s">
        <v>31</v>
      </c>
      <c r="L4794" t="s">
        <v>32</v>
      </c>
      <c r="M4794" t="s">
        <v>70</v>
      </c>
      <c r="N4794">
        <v>40.674222</v>
      </c>
      <c r="O4794">
        <v>-111.829685</v>
      </c>
      <c r="P4794">
        <v>4414.6213669999997</v>
      </c>
      <c r="Q4794">
        <v>431</v>
      </c>
      <c r="R4794">
        <v>0</v>
      </c>
    </row>
    <row r="4795" spans="1:18" x14ac:dyDescent="0.25">
      <c r="A4795">
        <v>4794</v>
      </c>
      <c r="B4795">
        <v>94</v>
      </c>
      <c r="C4795">
        <v>1746519</v>
      </c>
      <c r="D4795" t="s">
        <v>197</v>
      </c>
      <c r="E4795">
        <v>6.6219999999999999</v>
      </c>
      <c r="F4795" t="s">
        <v>21</v>
      </c>
      <c r="G4795" t="s">
        <v>26</v>
      </c>
      <c r="H4795" t="s">
        <v>21</v>
      </c>
      <c r="I4795" t="s">
        <v>20</v>
      </c>
      <c r="J4795" t="s">
        <v>20</v>
      </c>
      <c r="K4795" t="s">
        <v>22</v>
      </c>
      <c r="L4795" t="s">
        <v>198</v>
      </c>
      <c r="M4795" t="s">
        <v>125</v>
      </c>
      <c r="N4795">
        <v>40.040976000000001</v>
      </c>
      <c r="O4795">
        <v>-111.78725</v>
      </c>
      <c r="P4795">
        <v>4543.6961110000002</v>
      </c>
      <c r="Q4795">
        <v>1416</v>
      </c>
      <c r="R4795">
        <v>0</v>
      </c>
    </row>
    <row r="4796" spans="1:18" x14ac:dyDescent="0.25">
      <c r="A4796">
        <v>4795</v>
      </c>
      <c r="B4796">
        <v>94</v>
      </c>
      <c r="C4796" t="e">
        <f>-JMJ7pDcH5yhdvaXpI8Ubk</f>
        <v>#NAME?</v>
      </c>
      <c r="D4796" t="s">
        <v>417</v>
      </c>
      <c r="E4796">
        <v>6.6219999999999999</v>
      </c>
      <c r="F4796" t="s">
        <v>19</v>
      </c>
      <c r="G4796" t="s">
        <v>20</v>
      </c>
      <c r="H4796" t="s">
        <v>21</v>
      </c>
      <c r="I4796" t="s">
        <v>20</v>
      </c>
      <c r="J4796" t="s">
        <v>20</v>
      </c>
      <c r="K4796" t="s">
        <v>31</v>
      </c>
      <c r="L4796" t="s">
        <v>84</v>
      </c>
      <c r="M4796" t="s">
        <v>24</v>
      </c>
      <c r="N4796">
        <v>40.488582999999998</v>
      </c>
      <c r="O4796">
        <v>-112.00039</v>
      </c>
      <c r="P4796">
        <v>4877.4210240000002</v>
      </c>
      <c r="Q4796">
        <v>6765</v>
      </c>
      <c r="R4796">
        <v>0</v>
      </c>
    </row>
    <row r="4797" spans="1:18" x14ac:dyDescent="0.25">
      <c r="A4797">
        <v>4796</v>
      </c>
      <c r="B4797">
        <v>94</v>
      </c>
      <c r="C4797">
        <v>31300252</v>
      </c>
      <c r="D4797" t="s">
        <v>203</v>
      </c>
      <c r="E4797">
        <v>6.6230000000000002</v>
      </c>
      <c r="F4797" t="s">
        <v>21</v>
      </c>
      <c r="G4797" t="s">
        <v>26</v>
      </c>
      <c r="H4797" t="s">
        <v>21</v>
      </c>
      <c r="I4797" t="s">
        <v>20</v>
      </c>
      <c r="J4797" t="s">
        <v>20</v>
      </c>
      <c r="K4797" t="s">
        <v>41</v>
      </c>
      <c r="L4797" t="s">
        <v>81</v>
      </c>
      <c r="M4797" t="s">
        <v>204</v>
      </c>
      <c r="N4797">
        <v>41.244239999999998</v>
      </c>
      <c r="O4797">
        <v>-111.96557799999999</v>
      </c>
      <c r="P4797">
        <v>4252.7463859999998</v>
      </c>
      <c r="Q4797">
        <v>1349</v>
      </c>
      <c r="R4797">
        <v>0</v>
      </c>
    </row>
    <row r="4798" spans="1:18" x14ac:dyDescent="0.25">
      <c r="A4798">
        <v>4797</v>
      </c>
      <c r="B4798">
        <v>94</v>
      </c>
      <c r="C4798">
        <v>31389823</v>
      </c>
      <c r="D4798" t="s">
        <v>184</v>
      </c>
      <c r="E4798">
        <v>6.6230000000000002</v>
      </c>
      <c r="F4798" t="s">
        <v>21</v>
      </c>
      <c r="G4798" t="s">
        <v>26</v>
      </c>
      <c r="H4798" t="s">
        <v>21</v>
      </c>
      <c r="I4798" t="s">
        <v>20</v>
      </c>
      <c r="J4798" t="s">
        <v>20</v>
      </c>
      <c r="K4798" t="s">
        <v>27</v>
      </c>
      <c r="L4798" t="s">
        <v>54</v>
      </c>
      <c r="M4798" t="s">
        <v>55</v>
      </c>
      <c r="N4798">
        <v>37.734079999999999</v>
      </c>
      <c r="O4798">
        <v>-113.05524</v>
      </c>
      <c r="P4798">
        <v>5577.0247570000001</v>
      </c>
      <c r="Q4798">
        <v>1410</v>
      </c>
      <c r="R4798">
        <v>0</v>
      </c>
    </row>
    <row r="4799" spans="1:18" x14ac:dyDescent="0.25">
      <c r="A4799">
        <v>4798</v>
      </c>
      <c r="B4799">
        <v>94</v>
      </c>
      <c r="C4799">
        <v>1500597</v>
      </c>
      <c r="D4799" t="s">
        <v>88</v>
      </c>
      <c r="E4799">
        <v>8.3520000000000003</v>
      </c>
      <c r="F4799" t="s">
        <v>21</v>
      </c>
      <c r="G4799" t="s">
        <v>26</v>
      </c>
      <c r="H4799" t="s">
        <v>21</v>
      </c>
      <c r="I4799" t="s">
        <v>20</v>
      </c>
      <c r="J4799" t="s">
        <v>20</v>
      </c>
      <c r="K4799" t="s">
        <v>31</v>
      </c>
      <c r="L4799" t="s">
        <v>89</v>
      </c>
      <c r="M4799" t="s">
        <v>90</v>
      </c>
      <c r="N4799">
        <v>40.560816000000003</v>
      </c>
      <c r="O4799">
        <v>-111.872169</v>
      </c>
      <c r="P4799">
        <v>4475.8068629999998</v>
      </c>
      <c r="Q4799">
        <v>318</v>
      </c>
      <c r="R4799">
        <v>0</v>
      </c>
    </row>
    <row r="4800" spans="1:18" x14ac:dyDescent="0.25">
      <c r="A4800">
        <v>4799</v>
      </c>
      <c r="B4800">
        <v>94</v>
      </c>
      <c r="C4800">
        <v>31505711</v>
      </c>
      <c r="D4800" t="s">
        <v>292</v>
      </c>
      <c r="E4800">
        <v>8.3520000000000003</v>
      </c>
      <c r="F4800" t="s">
        <v>21</v>
      </c>
      <c r="G4800" t="s">
        <v>20</v>
      </c>
      <c r="H4800" t="s">
        <v>21</v>
      </c>
      <c r="I4800" t="s">
        <v>20</v>
      </c>
      <c r="J4800" t="s">
        <v>20</v>
      </c>
      <c r="K4800" t="s">
        <v>22</v>
      </c>
      <c r="L4800" t="s">
        <v>253</v>
      </c>
      <c r="M4800" t="s">
        <v>134</v>
      </c>
      <c r="N4800">
        <v>40.281951999999997</v>
      </c>
      <c r="O4800">
        <v>-110.378045</v>
      </c>
      <c r="P4800">
        <v>6126.6893920000002</v>
      </c>
      <c r="Q4800">
        <v>323</v>
      </c>
      <c r="R4800">
        <v>0</v>
      </c>
    </row>
    <row r="4801" spans="1:18" x14ac:dyDescent="0.25">
      <c r="A4801">
        <v>4800</v>
      </c>
      <c r="B4801">
        <v>94</v>
      </c>
      <c r="C4801">
        <v>31505825</v>
      </c>
      <c r="D4801" t="s">
        <v>124</v>
      </c>
      <c r="E4801">
        <v>57.701000000000001</v>
      </c>
      <c r="F4801" t="s">
        <v>21</v>
      </c>
      <c r="G4801" t="s">
        <v>26</v>
      </c>
      <c r="H4801" t="s">
        <v>21</v>
      </c>
      <c r="I4801" t="s">
        <v>20</v>
      </c>
      <c r="J4801" t="s">
        <v>20</v>
      </c>
      <c r="K4801" t="s">
        <v>31</v>
      </c>
      <c r="L4801" t="s">
        <v>362</v>
      </c>
      <c r="M4801" t="s">
        <v>365</v>
      </c>
      <c r="N4801">
        <v>40.745922999999998</v>
      </c>
      <c r="O4801">
        <v>-111.93902799999999</v>
      </c>
      <c r="P4801">
        <v>4173.5382929999996</v>
      </c>
      <c r="Q4801">
        <v>1368</v>
      </c>
      <c r="R4801">
        <v>0</v>
      </c>
    </row>
    <row r="4802" spans="1:18" x14ac:dyDescent="0.25">
      <c r="A4802">
        <v>4801</v>
      </c>
      <c r="B4802">
        <v>94</v>
      </c>
      <c r="C4802">
        <v>31468919</v>
      </c>
      <c r="D4802" t="s">
        <v>319</v>
      </c>
      <c r="E4802">
        <v>57.746000000000002</v>
      </c>
      <c r="F4802" t="s">
        <v>21</v>
      </c>
      <c r="G4802" t="s">
        <v>26</v>
      </c>
      <c r="H4802" t="s">
        <v>21</v>
      </c>
      <c r="I4802" t="s">
        <v>20</v>
      </c>
      <c r="J4802" t="s">
        <v>20</v>
      </c>
      <c r="K4802" t="s">
        <v>27</v>
      </c>
      <c r="L4802" t="s">
        <v>54</v>
      </c>
      <c r="M4802" t="s">
        <v>55</v>
      </c>
      <c r="N4802">
        <v>37.685009999999998</v>
      </c>
      <c r="O4802">
        <v>-113.129394</v>
      </c>
      <c r="P4802">
        <v>5465.1121519999997</v>
      </c>
      <c r="Q4802">
        <v>314</v>
      </c>
      <c r="R4802">
        <v>0</v>
      </c>
    </row>
    <row r="4803" spans="1:18" x14ac:dyDescent="0.25">
      <c r="A4803">
        <v>4802</v>
      </c>
      <c r="B4803">
        <v>94</v>
      </c>
      <c r="C4803">
        <v>28213939</v>
      </c>
      <c r="D4803" t="s">
        <v>220</v>
      </c>
      <c r="E4803">
        <v>57.792999999999999</v>
      </c>
      <c r="F4803" t="s">
        <v>21</v>
      </c>
      <c r="G4803" t="s">
        <v>26</v>
      </c>
      <c r="H4803" t="s">
        <v>21</v>
      </c>
      <c r="I4803" t="s">
        <v>20</v>
      </c>
      <c r="J4803" t="s">
        <v>20</v>
      </c>
      <c r="K4803" t="s">
        <v>27</v>
      </c>
      <c r="L4803" t="s">
        <v>28</v>
      </c>
      <c r="M4803" t="s">
        <v>366</v>
      </c>
      <c r="N4803">
        <v>37.777327</v>
      </c>
      <c r="O4803">
        <v>-111.628586</v>
      </c>
      <c r="P4803">
        <v>5818.572373</v>
      </c>
      <c r="Q4803">
        <v>1328</v>
      </c>
      <c r="R4803">
        <v>0</v>
      </c>
    </row>
    <row r="4804" spans="1:18" x14ac:dyDescent="0.25">
      <c r="A4804">
        <v>4803</v>
      </c>
      <c r="B4804">
        <v>94</v>
      </c>
      <c r="C4804">
        <v>31747625</v>
      </c>
      <c r="D4804" t="s">
        <v>290</v>
      </c>
      <c r="E4804">
        <v>57.863</v>
      </c>
      <c r="F4804" t="s">
        <v>21</v>
      </c>
      <c r="G4804" t="s">
        <v>20</v>
      </c>
      <c r="H4804" t="s">
        <v>21</v>
      </c>
      <c r="I4804" t="s">
        <v>20</v>
      </c>
      <c r="J4804" t="s">
        <v>20</v>
      </c>
      <c r="K4804" t="s">
        <v>41</v>
      </c>
      <c r="L4804" t="s">
        <v>291</v>
      </c>
      <c r="M4804" t="s">
        <v>238</v>
      </c>
      <c r="N4804">
        <v>41.817259999999997</v>
      </c>
      <c r="O4804">
        <v>-113.27257899999999</v>
      </c>
      <c r="P4804">
        <v>5394.9995099999996</v>
      </c>
      <c r="Q4804">
        <v>1343</v>
      </c>
      <c r="R4804">
        <v>0</v>
      </c>
    </row>
    <row r="4805" spans="1:18" x14ac:dyDescent="0.25">
      <c r="A4805">
        <v>4804</v>
      </c>
      <c r="B4805">
        <v>94</v>
      </c>
      <c r="C4805">
        <v>2363530</v>
      </c>
      <c r="D4805" t="s">
        <v>113</v>
      </c>
      <c r="E4805">
        <v>5.7560000000000002</v>
      </c>
      <c r="F4805" t="s">
        <v>21</v>
      </c>
      <c r="G4805" t="s">
        <v>26</v>
      </c>
      <c r="H4805" t="s">
        <v>21</v>
      </c>
      <c r="I4805" t="s">
        <v>20</v>
      </c>
      <c r="J4805" t="s">
        <v>20</v>
      </c>
      <c r="K4805" t="s">
        <v>41</v>
      </c>
      <c r="L4805" t="s">
        <v>87</v>
      </c>
      <c r="M4805" t="s">
        <v>58</v>
      </c>
      <c r="N4805">
        <v>41.1325</v>
      </c>
      <c r="O4805">
        <v>-111.93403499999999</v>
      </c>
      <c r="P4805">
        <v>4453.7550510000001</v>
      </c>
      <c r="Q4805">
        <v>1363</v>
      </c>
      <c r="R4805">
        <v>0</v>
      </c>
    </row>
    <row r="4806" spans="1:18" x14ac:dyDescent="0.25">
      <c r="A4806">
        <v>4805</v>
      </c>
      <c r="B4806">
        <v>94</v>
      </c>
      <c r="C4806" t="s">
        <v>687</v>
      </c>
      <c r="D4806" t="s">
        <v>322</v>
      </c>
      <c r="E4806">
        <v>5.76</v>
      </c>
      <c r="F4806" t="s">
        <v>21</v>
      </c>
      <c r="G4806" t="s">
        <v>26</v>
      </c>
      <c r="H4806" t="s">
        <v>21</v>
      </c>
      <c r="I4806" t="s">
        <v>20</v>
      </c>
      <c r="J4806" t="s">
        <v>20</v>
      </c>
      <c r="K4806" t="s">
        <v>31</v>
      </c>
      <c r="L4806" t="s">
        <v>84</v>
      </c>
      <c r="M4806" t="s">
        <v>24</v>
      </c>
      <c r="N4806">
        <v>40.481938</v>
      </c>
      <c r="O4806">
        <v>-111.987443</v>
      </c>
      <c r="P4806">
        <v>4788.0287859999999</v>
      </c>
      <c r="Q4806">
        <v>6660</v>
      </c>
      <c r="R4806">
        <v>0</v>
      </c>
    </row>
    <row r="4807" spans="1:18" x14ac:dyDescent="0.25">
      <c r="A4807">
        <v>4806</v>
      </c>
      <c r="B4807">
        <v>94</v>
      </c>
      <c r="C4807">
        <v>31327303</v>
      </c>
      <c r="D4807" t="s">
        <v>333</v>
      </c>
      <c r="E4807">
        <v>5.7619999999999996</v>
      </c>
      <c r="F4807" t="s">
        <v>19</v>
      </c>
      <c r="G4807" t="s">
        <v>20</v>
      </c>
      <c r="H4807" t="s">
        <v>21</v>
      </c>
      <c r="I4807" t="s">
        <v>20</v>
      </c>
      <c r="J4807" t="s">
        <v>20</v>
      </c>
      <c r="K4807" t="s">
        <v>31</v>
      </c>
      <c r="L4807" t="s">
        <v>89</v>
      </c>
      <c r="M4807" t="s">
        <v>49</v>
      </c>
      <c r="N4807">
        <v>40.507798999999999</v>
      </c>
      <c r="O4807">
        <v>-111.98275700000001</v>
      </c>
      <c r="P4807">
        <v>4579.1532049999996</v>
      </c>
      <c r="Q4807">
        <v>1426</v>
      </c>
      <c r="R4807">
        <v>0</v>
      </c>
    </row>
    <row r="4808" spans="1:18" x14ac:dyDescent="0.25">
      <c r="A4808">
        <v>4807</v>
      </c>
      <c r="B4808">
        <v>94</v>
      </c>
      <c r="C4808">
        <v>31311715</v>
      </c>
      <c r="D4808" t="s">
        <v>40</v>
      </c>
      <c r="E4808">
        <v>5.7640000000000002</v>
      </c>
      <c r="F4808" t="s">
        <v>21</v>
      </c>
      <c r="G4808" t="s">
        <v>26</v>
      </c>
      <c r="H4808" t="s">
        <v>21</v>
      </c>
      <c r="I4808" t="s">
        <v>20</v>
      </c>
      <c r="J4808" t="s">
        <v>20</v>
      </c>
      <c r="K4808" t="s">
        <v>41</v>
      </c>
      <c r="L4808" t="s">
        <v>42</v>
      </c>
      <c r="M4808" t="s">
        <v>43</v>
      </c>
      <c r="N4808">
        <v>41.633634999999998</v>
      </c>
      <c r="O4808">
        <v>-111.835701</v>
      </c>
      <c r="P4808">
        <v>4737.0145549999997</v>
      </c>
      <c r="Q4808">
        <v>1391</v>
      </c>
      <c r="R4808">
        <v>0</v>
      </c>
    </row>
    <row r="4809" spans="1:18" x14ac:dyDescent="0.25">
      <c r="A4809">
        <v>4808</v>
      </c>
      <c r="B4809">
        <v>94</v>
      </c>
      <c r="C4809">
        <v>564125</v>
      </c>
      <c r="D4809" t="s">
        <v>115</v>
      </c>
      <c r="E4809">
        <v>5.7649999999999997</v>
      </c>
      <c r="F4809" t="s">
        <v>19</v>
      </c>
      <c r="G4809" t="s">
        <v>20</v>
      </c>
      <c r="H4809" t="s">
        <v>21</v>
      </c>
      <c r="I4809" t="s">
        <v>20</v>
      </c>
      <c r="J4809" t="s">
        <v>20</v>
      </c>
      <c r="K4809" t="s">
        <v>31</v>
      </c>
      <c r="L4809" t="s">
        <v>48</v>
      </c>
      <c r="M4809" t="s">
        <v>70</v>
      </c>
      <c r="N4809">
        <v>40.653084999999997</v>
      </c>
      <c r="O4809">
        <v>-111.967415</v>
      </c>
      <c r="P4809">
        <v>4411.4731149999998</v>
      </c>
      <c r="Q4809">
        <v>1437</v>
      </c>
      <c r="R4809">
        <v>0</v>
      </c>
    </row>
    <row r="4810" spans="1:18" x14ac:dyDescent="0.25">
      <c r="A4810">
        <v>4809</v>
      </c>
      <c r="B4810">
        <v>94</v>
      </c>
      <c r="C4810">
        <v>1373767</v>
      </c>
      <c r="D4810" t="s">
        <v>363</v>
      </c>
      <c r="E4810">
        <v>5.7839999999999998</v>
      </c>
      <c r="F4810" t="s">
        <v>21</v>
      </c>
      <c r="G4810" t="s">
        <v>26</v>
      </c>
      <c r="H4810" t="s">
        <v>21</v>
      </c>
      <c r="I4810" t="s">
        <v>20</v>
      </c>
      <c r="J4810" t="s">
        <v>20</v>
      </c>
      <c r="K4810" t="s">
        <v>41</v>
      </c>
      <c r="L4810" t="s">
        <v>95</v>
      </c>
      <c r="M4810" t="s">
        <v>73</v>
      </c>
      <c r="N4810">
        <v>41.840285999999999</v>
      </c>
      <c r="O4810">
        <v>-111.87948</v>
      </c>
      <c r="P4810">
        <v>4368.5745420000003</v>
      </c>
      <c r="Q4810">
        <v>356</v>
      </c>
      <c r="R4810">
        <v>0</v>
      </c>
    </row>
    <row r="4811" spans="1:18" x14ac:dyDescent="0.25">
      <c r="A4811">
        <v>4810</v>
      </c>
      <c r="B4811">
        <v>94</v>
      </c>
      <c r="C4811">
        <v>31369790</v>
      </c>
      <c r="D4811" t="s">
        <v>345</v>
      </c>
      <c r="E4811">
        <v>5.7850000000000001</v>
      </c>
      <c r="F4811" t="s">
        <v>21</v>
      </c>
      <c r="G4811" t="s">
        <v>26</v>
      </c>
      <c r="H4811" t="s">
        <v>21</v>
      </c>
      <c r="I4811" t="s">
        <v>20</v>
      </c>
      <c r="J4811" t="s">
        <v>20</v>
      </c>
      <c r="K4811" t="s">
        <v>27</v>
      </c>
      <c r="L4811" t="s">
        <v>75</v>
      </c>
      <c r="M4811" t="s">
        <v>76</v>
      </c>
      <c r="N4811">
        <v>38.630217999999999</v>
      </c>
      <c r="O4811">
        <v>-112.12580199999999</v>
      </c>
      <c r="P4811">
        <v>5314.6895400000003</v>
      </c>
      <c r="Q4811">
        <v>1403</v>
      </c>
      <c r="R4811">
        <v>0</v>
      </c>
    </row>
    <row r="4812" spans="1:18" x14ac:dyDescent="0.25">
      <c r="A4812">
        <v>4811</v>
      </c>
      <c r="B4812">
        <v>94</v>
      </c>
      <c r="C4812">
        <v>1374520</v>
      </c>
      <c r="D4812" t="s">
        <v>100</v>
      </c>
      <c r="E4812">
        <v>5.7880000000000003</v>
      </c>
      <c r="F4812" t="s">
        <v>21</v>
      </c>
      <c r="G4812" t="s">
        <v>26</v>
      </c>
      <c r="H4812" t="s">
        <v>21</v>
      </c>
      <c r="I4812" t="s">
        <v>20</v>
      </c>
      <c r="J4812" t="s">
        <v>20</v>
      </c>
      <c r="K4812" t="s">
        <v>41</v>
      </c>
      <c r="L4812" t="s">
        <v>57</v>
      </c>
      <c r="M4812" t="s">
        <v>46</v>
      </c>
      <c r="N4812">
        <v>41.114989999999999</v>
      </c>
      <c r="O4812">
        <v>-112.06451800000001</v>
      </c>
      <c r="P4812">
        <v>4290.4202290000003</v>
      </c>
      <c r="Q4812">
        <v>1396</v>
      </c>
      <c r="R4812">
        <v>0</v>
      </c>
    </row>
    <row r="4813" spans="1:18" x14ac:dyDescent="0.25">
      <c r="A4813">
        <v>4812</v>
      </c>
      <c r="B4813">
        <v>94</v>
      </c>
      <c r="C4813">
        <v>31193826</v>
      </c>
      <c r="D4813" t="s">
        <v>126</v>
      </c>
      <c r="E4813">
        <v>5.7960000000000003</v>
      </c>
      <c r="F4813" t="s">
        <v>21</v>
      </c>
      <c r="G4813" t="s">
        <v>26</v>
      </c>
      <c r="H4813" t="s">
        <v>21</v>
      </c>
      <c r="I4813" t="s">
        <v>20</v>
      </c>
      <c r="J4813" t="s">
        <v>20</v>
      </c>
      <c r="K4813" t="s">
        <v>41</v>
      </c>
      <c r="L4813" t="s">
        <v>57</v>
      </c>
      <c r="M4813" t="s">
        <v>93</v>
      </c>
      <c r="N4813">
        <v>41.275174999999997</v>
      </c>
      <c r="O4813">
        <v>-112.092293</v>
      </c>
      <c r="P4813">
        <v>4174.5893740000001</v>
      </c>
      <c r="Q4813">
        <v>1412</v>
      </c>
      <c r="R4813">
        <v>0</v>
      </c>
    </row>
    <row r="4814" spans="1:18" x14ac:dyDescent="0.25">
      <c r="A4814">
        <v>4813</v>
      </c>
      <c r="B4814">
        <v>94</v>
      </c>
      <c r="C4814">
        <v>31400405</v>
      </c>
      <c r="D4814" t="s">
        <v>250</v>
      </c>
      <c r="E4814">
        <v>5.7969999999999997</v>
      </c>
      <c r="F4814" t="s">
        <v>21</v>
      </c>
      <c r="G4814" t="s">
        <v>26</v>
      </c>
      <c r="H4814" t="s">
        <v>21</v>
      </c>
      <c r="I4814" t="s">
        <v>20</v>
      </c>
      <c r="J4814" t="s">
        <v>20</v>
      </c>
      <c r="K4814" t="s">
        <v>27</v>
      </c>
      <c r="L4814" t="s">
        <v>75</v>
      </c>
      <c r="M4814" t="s">
        <v>76</v>
      </c>
      <c r="N4814">
        <v>38.769047</v>
      </c>
      <c r="O4814">
        <v>-111.96560599999999</v>
      </c>
      <c r="P4814">
        <v>5582.8518620000004</v>
      </c>
      <c r="Q4814">
        <v>1404</v>
      </c>
      <c r="R4814">
        <v>0</v>
      </c>
    </row>
    <row r="4815" spans="1:18" x14ac:dyDescent="0.25">
      <c r="A4815">
        <v>4814</v>
      </c>
      <c r="B4815">
        <v>94</v>
      </c>
      <c r="C4815">
        <v>31391341</v>
      </c>
      <c r="D4815" t="s">
        <v>203</v>
      </c>
      <c r="E4815">
        <v>5.8040000000000003</v>
      </c>
      <c r="F4815" t="s">
        <v>21</v>
      </c>
      <c r="G4815" t="s">
        <v>26</v>
      </c>
      <c r="H4815" t="s">
        <v>21</v>
      </c>
      <c r="I4815" t="s">
        <v>20</v>
      </c>
      <c r="J4815" t="s">
        <v>20</v>
      </c>
      <c r="K4815" t="s">
        <v>41</v>
      </c>
      <c r="L4815" t="s">
        <v>81</v>
      </c>
      <c r="M4815" t="s">
        <v>204</v>
      </c>
      <c r="N4815">
        <v>41.244281000000001</v>
      </c>
      <c r="O4815">
        <v>-111.98133300000001</v>
      </c>
      <c r="P4815">
        <v>4224.1490379999996</v>
      </c>
      <c r="Q4815">
        <v>1349</v>
      </c>
      <c r="R4815">
        <v>0</v>
      </c>
    </row>
    <row r="4816" spans="1:18" x14ac:dyDescent="0.25">
      <c r="A4816">
        <v>4815</v>
      </c>
      <c r="B4816">
        <v>94</v>
      </c>
      <c r="C4816">
        <v>31607271</v>
      </c>
      <c r="D4816" t="s">
        <v>232</v>
      </c>
      <c r="E4816">
        <v>5.81</v>
      </c>
      <c r="F4816" t="s">
        <v>21</v>
      </c>
      <c r="G4816" t="s">
        <v>26</v>
      </c>
      <c r="H4816" t="s">
        <v>21</v>
      </c>
      <c r="I4816" t="s">
        <v>20</v>
      </c>
      <c r="J4816" t="s">
        <v>20</v>
      </c>
      <c r="K4816" t="s">
        <v>31</v>
      </c>
      <c r="L4816" t="s">
        <v>130</v>
      </c>
      <c r="M4816" t="s">
        <v>131</v>
      </c>
      <c r="N4816">
        <v>40.667306000000004</v>
      </c>
      <c r="O4816">
        <v>-111.420299</v>
      </c>
      <c r="P4816">
        <v>6385.3350220000002</v>
      </c>
      <c r="Q4816">
        <v>1279</v>
      </c>
      <c r="R4816">
        <v>0</v>
      </c>
    </row>
    <row r="4817" spans="1:18" x14ac:dyDescent="0.25">
      <c r="A4817">
        <v>4816</v>
      </c>
      <c r="B4817">
        <v>94</v>
      </c>
      <c r="C4817" t="e">
        <f>-JMJGyZaHAq8juKxhi-DBk</f>
        <v>#NAME?</v>
      </c>
      <c r="D4817" t="s">
        <v>417</v>
      </c>
      <c r="E4817">
        <v>5.81</v>
      </c>
      <c r="F4817" t="s">
        <v>21</v>
      </c>
      <c r="G4817" t="s">
        <v>20</v>
      </c>
      <c r="H4817" t="s">
        <v>21</v>
      </c>
      <c r="I4817" t="s">
        <v>20</v>
      </c>
      <c r="J4817" t="s">
        <v>20</v>
      </c>
      <c r="K4817" t="s">
        <v>31</v>
      </c>
      <c r="L4817" t="s">
        <v>84</v>
      </c>
      <c r="M4817" t="s">
        <v>24</v>
      </c>
      <c r="N4817">
        <v>40.481133999999997</v>
      </c>
      <c r="O4817">
        <v>-111.9883</v>
      </c>
      <c r="P4817">
        <v>4803.3232820000003</v>
      </c>
      <c r="Q4817">
        <v>6765</v>
      </c>
      <c r="R4817">
        <v>0</v>
      </c>
    </row>
    <row r="4818" spans="1:18" x14ac:dyDescent="0.25">
      <c r="A4818">
        <v>4817</v>
      </c>
      <c r="B4818">
        <v>94</v>
      </c>
      <c r="C4818">
        <v>31516212</v>
      </c>
      <c r="D4818" t="s">
        <v>124</v>
      </c>
      <c r="E4818">
        <v>69.465000000000003</v>
      </c>
      <c r="F4818" t="s">
        <v>21</v>
      </c>
      <c r="G4818" t="s">
        <v>26</v>
      </c>
      <c r="H4818" t="s">
        <v>21</v>
      </c>
      <c r="I4818" t="s">
        <v>20</v>
      </c>
      <c r="J4818" t="s">
        <v>20</v>
      </c>
      <c r="K4818" t="s">
        <v>41</v>
      </c>
      <c r="L4818" t="s">
        <v>45</v>
      </c>
      <c r="M4818" t="s">
        <v>365</v>
      </c>
      <c r="N4818">
        <v>40.884258000000003</v>
      </c>
      <c r="O4818">
        <v>-111.887349</v>
      </c>
      <c r="P4818">
        <v>4309.3886750000001</v>
      </c>
      <c r="Q4818">
        <v>1368</v>
      </c>
      <c r="R4818">
        <v>0</v>
      </c>
    </row>
    <row r="4819" spans="1:18" x14ac:dyDescent="0.25">
      <c r="A4819">
        <v>4818</v>
      </c>
      <c r="B4819">
        <v>94</v>
      </c>
      <c r="C4819">
        <v>31717242</v>
      </c>
      <c r="D4819" t="s">
        <v>244</v>
      </c>
      <c r="E4819">
        <v>69.528999999999996</v>
      </c>
      <c r="F4819" t="s">
        <v>21</v>
      </c>
      <c r="G4819" t="s">
        <v>26</v>
      </c>
      <c r="H4819" t="s">
        <v>19</v>
      </c>
      <c r="I4819">
        <v>12</v>
      </c>
      <c r="J4819" t="s">
        <v>20</v>
      </c>
      <c r="K4819" t="s">
        <v>27</v>
      </c>
      <c r="L4819" t="s">
        <v>266</v>
      </c>
      <c r="M4819" t="s">
        <v>270</v>
      </c>
      <c r="N4819">
        <v>38.298898000000001</v>
      </c>
      <c r="O4819">
        <v>-111.402027</v>
      </c>
      <c r="P4819">
        <v>6751.3028370000002</v>
      </c>
      <c r="Q4819">
        <v>1340</v>
      </c>
      <c r="R4819">
        <v>0</v>
      </c>
    </row>
    <row r="4820" spans="1:18" x14ac:dyDescent="0.25">
      <c r="A4820">
        <v>4819</v>
      </c>
      <c r="B4820">
        <v>94</v>
      </c>
      <c r="C4820">
        <v>31516223</v>
      </c>
      <c r="D4820" t="s">
        <v>124</v>
      </c>
      <c r="E4820">
        <v>69.546000000000006</v>
      </c>
      <c r="F4820" t="s">
        <v>19</v>
      </c>
      <c r="G4820" t="s">
        <v>20</v>
      </c>
      <c r="H4820" t="s">
        <v>21</v>
      </c>
      <c r="I4820" t="s">
        <v>20</v>
      </c>
      <c r="J4820" t="s">
        <v>20</v>
      </c>
      <c r="K4820" t="s">
        <v>41</v>
      </c>
      <c r="L4820" t="s">
        <v>45</v>
      </c>
      <c r="M4820" t="s">
        <v>365</v>
      </c>
      <c r="N4820">
        <v>40.884258000000003</v>
      </c>
      <c r="O4820">
        <v>-111.885644</v>
      </c>
      <c r="P4820">
        <v>4317.6813300000003</v>
      </c>
      <c r="Q4820">
        <v>1368</v>
      </c>
      <c r="R4820">
        <v>0</v>
      </c>
    </row>
    <row r="4821" spans="1:18" x14ac:dyDescent="0.25">
      <c r="A4821">
        <v>4820</v>
      </c>
      <c r="B4821">
        <v>94</v>
      </c>
      <c r="C4821">
        <v>31388553</v>
      </c>
      <c r="D4821" t="s">
        <v>184</v>
      </c>
      <c r="E4821">
        <v>5.5970000000000004</v>
      </c>
      <c r="F4821" t="s">
        <v>21</v>
      </c>
      <c r="G4821" t="s">
        <v>26</v>
      </c>
      <c r="H4821" t="s">
        <v>21</v>
      </c>
      <c r="I4821" t="s">
        <v>20</v>
      </c>
      <c r="J4821" t="s">
        <v>20</v>
      </c>
      <c r="K4821" t="s">
        <v>27</v>
      </c>
      <c r="L4821" t="s">
        <v>54</v>
      </c>
      <c r="M4821" t="s">
        <v>55</v>
      </c>
      <c r="N4821">
        <v>37.721910999999999</v>
      </c>
      <c r="O4821">
        <v>-113.052339</v>
      </c>
      <c r="P4821">
        <v>5707.6312150000003</v>
      </c>
      <c r="Q4821">
        <v>1410</v>
      </c>
      <c r="R4821">
        <v>0</v>
      </c>
    </row>
    <row r="4822" spans="1:18" x14ac:dyDescent="0.25">
      <c r="A4822">
        <v>4821</v>
      </c>
      <c r="B4822">
        <v>94</v>
      </c>
      <c r="C4822" t="e">
        <f>-JN5OTEMIDPuHDkya90wxF</f>
        <v>#NAME?</v>
      </c>
      <c r="D4822" t="s">
        <v>333</v>
      </c>
      <c r="E4822">
        <v>5.6059999999999999</v>
      </c>
      <c r="F4822" t="s">
        <v>19</v>
      </c>
      <c r="G4822" t="s">
        <v>20</v>
      </c>
      <c r="H4822" t="s">
        <v>21</v>
      </c>
      <c r="I4822" t="s">
        <v>20</v>
      </c>
      <c r="J4822" t="s">
        <v>20</v>
      </c>
      <c r="K4822" t="s">
        <v>31</v>
      </c>
      <c r="L4822" t="s">
        <v>89</v>
      </c>
      <c r="M4822" t="s">
        <v>49</v>
      </c>
      <c r="N4822">
        <v>40.505904000000001</v>
      </c>
      <c r="O4822">
        <v>-111.981126</v>
      </c>
      <c r="P4822">
        <v>4574.2879759999996</v>
      </c>
      <c r="Q4822">
        <v>1426</v>
      </c>
      <c r="R4822">
        <v>0</v>
      </c>
    </row>
    <row r="4823" spans="1:18" x14ac:dyDescent="0.25">
      <c r="A4823">
        <v>4822</v>
      </c>
      <c r="B4823">
        <v>94</v>
      </c>
      <c r="C4823">
        <v>31382827</v>
      </c>
      <c r="D4823" t="s">
        <v>284</v>
      </c>
      <c r="E4823">
        <v>5.6120000000000001</v>
      </c>
      <c r="F4823" t="s">
        <v>21</v>
      </c>
      <c r="G4823" t="s">
        <v>26</v>
      </c>
      <c r="H4823" t="s">
        <v>21</v>
      </c>
      <c r="I4823" t="s">
        <v>20</v>
      </c>
      <c r="J4823" t="s">
        <v>20</v>
      </c>
      <c r="K4823" t="s">
        <v>31</v>
      </c>
      <c r="L4823" t="s">
        <v>285</v>
      </c>
      <c r="M4823" t="s">
        <v>206</v>
      </c>
      <c r="N4823">
        <v>40.306471999999999</v>
      </c>
      <c r="O4823">
        <v>-112.743103</v>
      </c>
      <c r="P4823">
        <v>4636.1964989999997</v>
      </c>
      <c r="Q4823">
        <v>407</v>
      </c>
      <c r="R4823">
        <v>0</v>
      </c>
    </row>
    <row r="4824" spans="1:18" x14ac:dyDescent="0.25">
      <c r="A4824">
        <v>4823</v>
      </c>
      <c r="B4824">
        <v>94</v>
      </c>
      <c r="C4824">
        <v>31296246</v>
      </c>
      <c r="D4824" t="s">
        <v>338</v>
      </c>
      <c r="E4824">
        <v>5.6150000000000002</v>
      </c>
      <c r="F4824" t="s">
        <v>21</v>
      </c>
      <c r="G4824" t="s">
        <v>20</v>
      </c>
      <c r="H4824" t="s">
        <v>21</v>
      </c>
      <c r="I4824" t="s">
        <v>20</v>
      </c>
      <c r="J4824" t="s">
        <v>20</v>
      </c>
      <c r="K4824" t="s">
        <v>27</v>
      </c>
      <c r="L4824" t="s">
        <v>72</v>
      </c>
      <c r="M4824" t="s">
        <v>73</v>
      </c>
      <c r="N4824">
        <v>37.044407999999997</v>
      </c>
      <c r="O4824">
        <v>-113.083929</v>
      </c>
      <c r="P4824">
        <v>4778.5934219999999</v>
      </c>
      <c r="Q4824">
        <v>315</v>
      </c>
      <c r="R4824">
        <v>0</v>
      </c>
    </row>
    <row r="4825" spans="1:18" x14ac:dyDescent="0.25">
      <c r="A4825">
        <v>4824</v>
      </c>
      <c r="B4825">
        <v>94</v>
      </c>
      <c r="C4825">
        <v>534722</v>
      </c>
      <c r="D4825" t="s">
        <v>44</v>
      </c>
      <c r="E4825">
        <v>5.6159999999999997</v>
      </c>
      <c r="F4825" t="s">
        <v>21</v>
      </c>
      <c r="G4825" t="s">
        <v>26</v>
      </c>
      <c r="H4825" t="s">
        <v>21</v>
      </c>
      <c r="I4825" t="s">
        <v>20</v>
      </c>
      <c r="J4825" t="s">
        <v>20</v>
      </c>
      <c r="K4825" t="s">
        <v>41</v>
      </c>
      <c r="L4825" t="s">
        <v>45</v>
      </c>
      <c r="M4825" t="s">
        <v>46</v>
      </c>
      <c r="N4825">
        <v>40.958362999999999</v>
      </c>
      <c r="O4825">
        <v>-111.883341</v>
      </c>
      <c r="P4825">
        <v>4235.5795820000003</v>
      </c>
      <c r="Q4825">
        <v>1395</v>
      </c>
      <c r="R4825">
        <v>0</v>
      </c>
    </row>
    <row r="4826" spans="1:18" x14ac:dyDescent="0.25">
      <c r="A4826">
        <v>4825</v>
      </c>
      <c r="B4826">
        <v>94</v>
      </c>
      <c r="C4826" t="e">
        <f>-IpYmubGGkmFwGjOXH7knF</f>
        <v>#NAME?</v>
      </c>
      <c r="D4826" t="s">
        <v>272</v>
      </c>
      <c r="E4826">
        <v>459.23899999999998</v>
      </c>
      <c r="F4826" t="s">
        <v>19</v>
      </c>
      <c r="G4826" t="s">
        <v>20</v>
      </c>
      <c r="H4826" t="s">
        <v>21</v>
      </c>
      <c r="I4826" t="s">
        <v>20</v>
      </c>
      <c r="J4826" t="s">
        <v>20</v>
      </c>
      <c r="K4826" t="s">
        <v>41</v>
      </c>
      <c r="L4826" t="s">
        <v>95</v>
      </c>
      <c r="M4826" t="s">
        <v>152</v>
      </c>
      <c r="N4826">
        <v>41.738982999999998</v>
      </c>
      <c r="O4826">
        <v>-111.829571</v>
      </c>
      <c r="P4826">
        <v>4500.9050900000002</v>
      </c>
      <c r="Q4826">
        <v>1384</v>
      </c>
      <c r="R4826">
        <v>0</v>
      </c>
    </row>
    <row r="4827" spans="1:18" x14ac:dyDescent="0.25">
      <c r="A4827">
        <v>4826</v>
      </c>
      <c r="B4827">
        <v>94</v>
      </c>
      <c r="C4827" t="e">
        <f>-IpYo8feFnLTrOvTsYt1zV</f>
        <v>#NAME?</v>
      </c>
      <c r="D4827" t="s">
        <v>272</v>
      </c>
      <c r="E4827">
        <v>459.37099999999998</v>
      </c>
      <c r="F4827" t="s">
        <v>21</v>
      </c>
      <c r="G4827" t="s">
        <v>26</v>
      </c>
      <c r="H4827" t="s">
        <v>21</v>
      </c>
      <c r="I4827" t="s">
        <v>20</v>
      </c>
      <c r="J4827" t="s">
        <v>20</v>
      </c>
      <c r="K4827" t="s">
        <v>41</v>
      </c>
      <c r="L4827" t="s">
        <v>95</v>
      </c>
      <c r="M4827" t="s">
        <v>152</v>
      </c>
      <c r="N4827">
        <v>41.738914000000001</v>
      </c>
      <c r="O4827">
        <v>-111.82701400000001</v>
      </c>
      <c r="P4827">
        <v>4518.2797090000004</v>
      </c>
      <c r="Q4827">
        <v>1384</v>
      </c>
      <c r="R4827">
        <v>0</v>
      </c>
    </row>
    <row r="4828" spans="1:18" x14ac:dyDescent="0.25">
      <c r="A4828">
        <v>4827</v>
      </c>
      <c r="B4828">
        <v>94</v>
      </c>
      <c r="C4828" t="e">
        <f>-IpYoJ5vHoTRUD9BHP1TpF</f>
        <v>#NAME?</v>
      </c>
      <c r="D4828" t="s">
        <v>272</v>
      </c>
      <c r="E4828">
        <v>459.50200000000001</v>
      </c>
      <c r="F4828" t="s">
        <v>21</v>
      </c>
      <c r="G4828" t="s">
        <v>26</v>
      </c>
      <c r="H4828" t="s">
        <v>21</v>
      </c>
      <c r="I4828" t="s">
        <v>20</v>
      </c>
      <c r="J4828" t="s">
        <v>20</v>
      </c>
      <c r="K4828" t="s">
        <v>41</v>
      </c>
      <c r="L4828" t="s">
        <v>95</v>
      </c>
      <c r="M4828" t="s">
        <v>152</v>
      </c>
      <c r="N4828">
        <v>41.738880999999999</v>
      </c>
      <c r="O4828">
        <v>-111.824488</v>
      </c>
      <c r="P4828">
        <v>4545.9351850000003</v>
      </c>
      <c r="Q4828">
        <v>1384</v>
      </c>
      <c r="R4828">
        <v>0</v>
      </c>
    </row>
    <row r="4829" spans="1:18" x14ac:dyDescent="0.25">
      <c r="A4829">
        <v>4828</v>
      </c>
      <c r="B4829">
        <v>94</v>
      </c>
      <c r="C4829" t="e">
        <f>-IpYooq2HOqNMlde-I9rpF</f>
        <v>#NAME?</v>
      </c>
      <c r="D4829" t="s">
        <v>272</v>
      </c>
      <c r="E4829">
        <v>459.63600000000002</v>
      </c>
      <c r="F4829" t="s">
        <v>21</v>
      </c>
      <c r="G4829" t="s">
        <v>26</v>
      </c>
      <c r="H4829" t="s">
        <v>21</v>
      </c>
      <c r="I4829" t="s">
        <v>20</v>
      </c>
      <c r="J4829" t="s">
        <v>20</v>
      </c>
      <c r="K4829" t="s">
        <v>41</v>
      </c>
      <c r="L4829" t="s">
        <v>95</v>
      </c>
      <c r="M4829" t="s">
        <v>152</v>
      </c>
      <c r="N4829">
        <v>41.738855000000001</v>
      </c>
      <c r="O4829">
        <v>-111.82190799999999</v>
      </c>
      <c r="P4829">
        <v>4572.751475</v>
      </c>
      <c r="Q4829">
        <v>1384</v>
      </c>
      <c r="R4829">
        <v>0</v>
      </c>
    </row>
    <row r="4830" spans="1:18" x14ac:dyDescent="0.25">
      <c r="A4830">
        <v>4829</v>
      </c>
      <c r="B4830">
        <v>94</v>
      </c>
      <c r="C4830">
        <v>31387842</v>
      </c>
      <c r="D4830" t="s">
        <v>184</v>
      </c>
      <c r="E4830">
        <v>5.3</v>
      </c>
      <c r="F4830" t="s">
        <v>21</v>
      </c>
      <c r="G4830" t="s">
        <v>26</v>
      </c>
      <c r="H4830" t="s">
        <v>21</v>
      </c>
      <c r="I4830" t="s">
        <v>20</v>
      </c>
      <c r="J4830" t="s">
        <v>20</v>
      </c>
      <c r="K4830" t="s">
        <v>27</v>
      </c>
      <c r="L4830" t="s">
        <v>54</v>
      </c>
      <c r="M4830" t="s">
        <v>55</v>
      </c>
      <c r="N4830">
        <v>37.719639000000001</v>
      </c>
      <c r="O4830">
        <v>-113.05674999999999</v>
      </c>
      <c r="P4830">
        <v>5657.8332879999998</v>
      </c>
      <c r="Q4830">
        <v>1410</v>
      </c>
      <c r="R4830">
        <v>0</v>
      </c>
    </row>
    <row r="4831" spans="1:18" x14ac:dyDescent="0.25">
      <c r="A4831">
        <v>4830</v>
      </c>
      <c r="B4831">
        <v>94</v>
      </c>
      <c r="C4831">
        <v>31477198</v>
      </c>
      <c r="D4831" t="s">
        <v>244</v>
      </c>
      <c r="E4831">
        <v>5.31</v>
      </c>
      <c r="F4831" t="s">
        <v>21</v>
      </c>
      <c r="G4831" t="s">
        <v>26</v>
      </c>
      <c r="H4831" t="s">
        <v>19</v>
      </c>
      <c r="I4831">
        <v>260</v>
      </c>
      <c r="J4831" t="s">
        <v>20</v>
      </c>
      <c r="K4831" t="s">
        <v>27</v>
      </c>
      <c r="L4831" t="s">
        <v>183</v>
      </c>
      <c r="M4831" t="s">
        <v>58</v>
      </c>
      <c r="N4831">
        <v>38.901975999999998</v>
      </c>
      <c r="O4831">
        <v>-111.94103800000001</v>
      </c>
      <c r="P4831">
        <v>5127.9584940000004</v>
      </c>
      <c r="Q4831">
        <v>1340</v>
      </c>
      <c r="R4831">
        <v>0</v>
      </c>
    </row>
    <row r="4832" spans="1:18" x14ac:dyDescent="0.25">
      <c r="A4832">
        <v>4831</v>
      </c>
      <c r="B4832">
        <v>94</v>
      </c>
      <c r="C4832">
        <v>1047790</v>
      </c>
      <c r="D4832" t="s">
        <v>127</v>
      </c>
      <c r="E4832">
        <v>5.31</v>
      </c>
      <c r="F4832" t="s">
        <v>21</v>
      </c>
      <c r="G4832" t="s">
        <v>26</v>
      </c>
      <c r="H4832" t="s">
        <v>21</v>
      </c>
      <c r="I4832" t="s">
        <v>20</v>
      </c>
      <c r="J4832" t="s">
        <v>20</v>
      </c>
      <c r="K4832" t="s">
        <v>41</v>
      </c>
      <c r="L4832" t="s">
        <v>95</v>
      </c>
      <c r="M4832" t="s">
        <v>73</v>
      </c>
      <c r="N4832">
        <v>41.975943999999998</v>
      </c>
      <c r="O4832">
        <v>-111.85126700000001</v>
      </c>
      <c r="P4832">
        <v>4457.3629179999998</v>
      </c>
      <c r="Q4832">
        <v>1364</v>
      </c>
      <c r="R4832">
        <v>0</v>
      </c>
    </row>
    <row r="4833" spans="1:18" x14ac:dyDescent="0.25">
      <c r="A4833">
        <v>4832</v>
      </c>
      <c r="B4833">
        <v>94</v>
      </c>
      <c r="C4833">
        <v>31402529</v>
      </c>
      <c r="D4833" t="s">
        <v>224</v>
      </c>
      <c r="E4833">
        <v>5.3120000000000003</v>
      </c>
      <c r="F4833" t="s">
        <v>21</v>
      </c>
      <c r="G4833" t="s">
        <v>26</v>
      </c>
      <c r="H4833" t="s">
        <v>21</v>
      </c>
      <c r="I4833" t="s">
        <v>20</v>
      </c>
      <c r="J4833" t="s">
        <v>20</v>
      </c>
      <c r="K4833" t="s">
        <v>22</v>
      </c>
      <c r="L4833" t="s">
        <v>198</v>
      </c>
      <c r="M4833" t="s">
        <v>194</v>
      </c>
      <c r="N4833">
        <v>40.044516000000002</v>
      </c>
      <c r="O4833">
        <v>-111.73381999999999</v>
      </c>
      <c r="P4833">
        <v>4592.7962610000004</v>
      </c>
      <c r="Q4833">
        <v>408</v>
      </c>
      <c r="R4833">
        <v>0</v>
      </c>
    </row>
    <row r="4834" spans="1:18" x14ac:dyDescent="0.25">
      <c r="A4834">
        <v>4833</v>
      </c>
      <c r="B4834">
        <v>94</v>
      </c>
      <c r="C4834">
        <v>31196359</v>
      </c>
      <c r="D4834" t="s">
        <v>305</v>
      </c>
      <c r="E4834">
        <v>5.3710000000000004</v>
      </c>
      <c r="F4834" t="s">
        <v>21</v>
      </c>
      <c r="G4834" t="s">
        <v>26</v>
      </c>
      <c r="H4834" t="s">
        <v>21</v>
      </c>
      <c r="I4834" t="s">
        <v>20</v>
      </c>
      <c r="J4834" t="s">
        <v>20</v>
      </c>
      <c r="K4834" t="s">
        <v>22</v>
      </c>
      <c r="L4834" t="s">
        <v>133</v>
      </c>
      <c r="M4834" t="s">
        <v>235</v>
      </c>
      <c r="N4834">
        <v>40.159042999999997</v>
      </c>
      <c r="O4834">
        <v>-109.66427299999999</v>
      </c>
      <c r="P4834">
        <v>4733.7469350000001</v>
      </c>
      <c r="Q4834">
        <v>1383</v>
      </c>
      <c r="R4834">
        <v>0</v>
      </c>
    </row>
    <row r="4835" spans="1:18" x14ac:dyDescent="0.25">
      <c r="A4835">
        <v>4834</v>
      </c>
      <c r="B4835">
        <v>94</v>
      </c>
      <c r="C4835">
        <v>31370074</v>
      </c>
      <c r="D4835" t="s">
        <v>345</v>
      </c>
      <c r="E4835">
        <v>6.5019999999999998</v>
      </c>
      <c r="F4835" t="s">
        <v>21</v>
      </c>
      <c r="G4835" t="s">
        <v>26</v>
      </c>
      <c r="H4835" t="s">
        <v>21</v>
      </c>
      <c r="I4835" t="s">
        <v>20</v>
      </c>
      <c r="J4835" t="s">
        <v>20</v>
      </c>
      <c r="K4835" t="s">
        <v>27</v>
      </c>
      <c r="L4835" t="s">
        <v>75</v>
      </c>
      <c r="M4835" t="s">
        <v>76</v>
      </c>
      <c r="N4835">
        <v>38.637180999999998</v>
      </c>
      <c r="O4835">
        <v>-112.121431</v>
      </c>
      <c r="P4835">
        <v>5296.3263390000002</v>
      </c>
      <c r="Q4835">
        <v>1403</v>
      </c>
      <c r="R4835">
        <v>0</v>
      </c>
    </row>
    <row r="4836" spans="1:18" x14ac:dyDescent="0.25">
      <c r="A4836">
        <v>4835</v>
      </c>
      <c r="B4836">
        <v>94</v>
      </c>
      <c r="C4836" t="e">
        <f>-JPu2Ol7HS5bqBbMqh0h4V</f>
        <v>#NAME?</v>
      </c>
      <c r="D4836" t="s">
        <v>167</v>
      </c>
      <c r="E4836">
        <v>6.5019999999999998</v>
      </c>
      <c r="F4836" t="s">
        <v>21</v>
      </c>
      <c r="G4836" t="s">
        <v>20</v>
      </c>
      <c r="H4836" t="s">
        <v>21</v>
      </c>
      <c r="I4836" t="s">
        <v>20</v>
      </c>
      <c r="J4836" t="s">
        <v>20</v>
      </c>
      <c r="K4836" t="s">
        <v>22</v>
      </c>
      <c r="L4836" t="s">
        <v>168</v>
      </c>
      <c r="M4836" t="s">
        <v>169</v>
      </c>
      <c r="N4836">
        <v>40.294671000000001</v>
      </c>
      <c r="O4836">
        <v>-110.695176</v>
      </c>
      <c r="P4836">
        <v>6754.5592980000001</v>
      </c>
      <c r="Q4836">
        <v>354</v>
      </c>
      <c r="R4836">
        <v>0</v>
      </c>
    </row>
    <row r="4837" spans="1:18" x14ac:dyDescent="0.25">
      <c r="A4837">
        <v>4836</v>
      </c>
      <c r="B4837">
        <v>94</v>
      </c>
      <c r="C4837">
        <v>567078</v>
      </c>
      <c r="D4837" t="s">
        <v>115</v>
      </c>
      <c r="E4837">
        <v>6.5049999999999999</v>
      </c>
      <c r="F4837" t="s">
        <v>21</v>
      </c>
      <c r="G4837" t="s">
        <v>26</v>
      </c>
      <c r="H4837" t="s">
        <v>21</v>
      </c>
      <c r="I4837" t="s">
        <v>20</v>
      </c>
      <c r="J4837" t="s">
        <v>20</v>
      </c>
      <c r="K4837" t="s">
        <v>31</v>
      </c>
      <c r="L4837" t="s">
        <v>48</v>
      </c>
      <c r="M4837" t="s">
        <v>70</v>
      </c>
      <c r="N4837">
        <v>40.653041000000002</v>
      </c>
      <c r="O4837">
        <v>-111.953354</v>
      </c>
      <c r="P4837">
        <v>4322.2192489999998</v>
      </c>
      <c r="Q4837">
        <v>1437</v>
      </c>
      <c r="R4837">
        <v>0</v>
      </c>
    </row>
    <row r="4838" spans="1:18" x14ac:dyDescent="0.25">
      <c r="A4838">
        <v>4837</v>
      </c>
      <c r="B4838">
        <v>94</v>
      </c>
      <c r="C4838">
        <v>1374762</v>
      </c>
      <c r="D4838" t="s">
        <v>100</v>
      </c>
      <c r="E4838">
        <v>6.5049999999999999</v>
      </c>
      <c r="F4838" t="s">
        <v>19</v>
      </c>
      <c r="G4838" t="s">
        <v>20</v>
      </c>
      <c r="H4838" t="s">
        <v>21</v>
      </c>
      <c r="I4838" t="s">
        <v>20</v>
      </c>
      <c r="J4838" t="s">
        <v>20</v>
      </c>
      <c r="K4838" t="s">
        <v>41</v>
      </c>
      <c r="L4838" t="s">
        <v>57</v>
      </c>
      <c r="M4838" t="s">
        <v>46</v>
      </c>
      <c r="N4838">
        <v>41.125366999999997</v>
      </c>
      <c r="O4838">
        <v>-112.064526</v>
      </c>
      <c r="P4838">
        <v>4327.0983749999996</v>
      </c>
      <c r="Q4838">
        <v>1396</v>
      </c>
      <c r="R4838">
        <v>0</v>
      </c>
    </row>
    <row r="4839" spans="1:18" x14ac:dyDescent="0.25">
      <c r="A4839">
        <v>4838</v>
      </c>
      <c r="B4839">
        <v>94</v>
      </c>
      <c r="C4839">
        <v>1029163</v>
      </c>
      <c r="D4839" t="s">
        <v>171</v>
      </c>
      <c r="E4839">
        <v>6.5110000000000001</v>
      </c>
      <c r="F4839" t="s">
        <v>19</v>
      </c>
      <c r="G4839" t="s">
        <v>20</v>
      </c>
      <c r="H4839" t="s">
        <v>21</v>
      </c>
      <c r="I4839" t="s">
        <v>20</v>
      </c>
      <c r="J4839" t="s">
        <v>20</v>
      </c>
      <c r="K4839" t="s">
        <v>31</v>
      </c>
      <c r="L4839" t="s">
        <v>362</v>
      </c>
      <c r="M4839" t="s">
        <v>79</v>
      </c>
      <c r="N4839">
        <v>40.696629000000001</v>
      </c>
      <c r="O4839">
        <v>-111.967562</v>
      </c>
      <c r="P4839">
        <v>4208.5136110000003</v>
      </c>
      <c r="Q4839">
        <v>346</v>
      </c>
      <c r="R4839">
        <v>0</v>
      </c>
    </row>
    <row r="4840" spans="1:18" x14ac:dyDescent="0.25">
      <c r="A4840">
        <v>4839</v>
      </c>
      <c r="B4840">
        <v>94</v>
      </c>
      <c r="C4840">
        <v>1439720</v>
      </c>
      <c r="D4840" t="s">
        <v>304</v>
      </c>
      <c r="E4840">
        <v>6.516</v>
      </c>
      <c r="F4840" t="s">
        <v>21</v>
      </c>
      <c r="G4840" t="s">
        <v>26</v>
      </c>
      <c r="H4840" t="s">
        <v>21</v>
      </c>
      <c r="I4840" t="s">
        <v>20</v>
      </c>
      <c r="J4840" t="s">
        <v>20</v>
      </c>
      <c r="K4840" t="s">
        <v>41</v>
      </c>
      <c r="L4840" t="s">
        <v>177</v>
      </c>
      <c r="M4840" t="s">
        <v>43</v>
      </c>
      <c r="N4840">
        <v>41.612082999999998</v>
      </c>
      <c r="O4840">
        <v>-112.063474</v>
      </c>
      <c r="P4840">
        <v>4224.6338699999997</v>
      </c>
      <c r="Q4840">
        <v>1348</v>
      </c>
      <c r="R4840">
        <v>0</v>
      </c>
    </row>
    <row r="4841" spans="1:18" x14ac:dyDescent="0.25">
      <c r="A4841">
        <v>4840</v>
      </c>
      <c r="B4841">
        <v>94</v>
      </c>
      <c r="C4841">
        <v>31646527</v>
      </c>
      <c r="D4841" t="s">
        <v>88</v>
      </c>
      <c r="E4841">
        <v>6.5220000000000002</v>
      </c>
      <c r="F4841" t="s">
        <v>21</v>
      </c>
      <c r="G4841" t="s">
        <v>26</v>
      </c>
      <c r="H4841" t="s">
        <v>21</v>
      </c>
      <c r="I4841" t="s">
        <v>20</v>
      </c>
      <c r="J4841" t="s">
        <v>20</v>
      </c>
      <c r="K4841" t="s">
        <v>31</v>
      </c>
      <c r="L4841" t="s">
        <v>89</v>
      </c>
      <c r="M4841" t="s">
        <v>90</v>
      </c>
      <c r="N4841">
        <v>40.534340999999998</v>
      </c>
      <c r="O4841">
        <v>-111.87115</v>
      </c>
      <c r="P4841">
        <v>4426.7381480000004</v>
      </c>
      <c r="Q4841">
        <v>318</v>
      </c>
      <c r="R4841">
        <v>0</v>
      </c>
    </row>
    <row r="4842" spans="1:18" x14ac:dyDescent="0.25">
      <c r="A4842">
        <v>4841</v>
      </c>
      <c r="B4842">
        <v>94</v>
      </c>
      <c r="C4842">
        <v>31409935</v>
      </c>
      <c r="D4842" t="s">
        <v>224</v>
      </c>
      <c r="E4842">
        <v>8.8529999999999998</v>
      </c>
      <c r="F4842" t="s">
        <v>21</v>
      </c>
      <c r="G4842" t="s">
        <v>26</v>
      </c>
      <c r="H4842" t="s">
        <v>21</v>
      </c>
      <c r="I4842" t="s">
        <v>20</v>
      </c>
      <c r="J4842" t="s">
        <v>20</v>
      </c>
      <c r="K4842" t="s">
        <v>22</v>
      </c>
      <c r="L4842" t="s">
        <v>198</v>
      </c>
      <c r="M4842" t="s">
        <v>194</v>
      </c>
      <c r="N4842">
        <v>40.057892000000002</v>
      </c>
      <c r="O4842">
        <v>-111.671344</v>
      </c>
      <c r="P4842">
        <v>4536.4959230000004</v>
      </c>
      <c r="Q4842">
        <v>408</v>
      </c>
      <c r="R4842">
        <v>0</v>
      </c>
    </row>
    <row r="4843" spans="1:18" x14ac:dyDescent="0.25">
      <c r="A4843">
        <v>4842</v>
      </c>
      <c r="B4843">
        <v>94</v>
      </c>
      <c r="C4843">
        <v>31370479</v>
      </c>
      <c r="D4843" t="s">
        <v>345</v>
      </c>
      <c r="E4843">
        <v>8.8699999999999992</v>
      </c>
      <c r="F4843" t="s">
        <v>21</v>
      </c>
      <c r="G4843" t="s">
        <v>26</v>
      </c>
      <c r="H4843" t="s">
        <v>21</v>
      </c>
      <c r="I4843" t="s">
        <v>20</v>
      </c>
      <c r="J4843" t="s">
        <v>20</v>
      </c>
      <c r="K4843" t="s">
        <v>27</v>
      </c>
      <c r="L4843" t="s">
        <v>75</v>
      </c>
      <c r="M4843" t="s">
        <v>76</v>
      </c>
      <c r="N4843">
        <v>38.671498999999997</v>
      </c>
      <c r="O4843">
        <v>-112.120936</v>
      </c>
      <c r="P4843">
        <v>5246.3916239999999</v>
      </c>
      <c r="Q4843">
        <v>1403</v>
      </c>
      <c r="R4843">
        <v>0</v>
      </c>
    </row>
    <row r="4844" spans="1:18" x14ac:dyDescent="0.25">
      <c r="A4844">
        <v>4843</v>
      </c>
      <c r="B4844">
        <v>94</v>
      </c>
      <c r="C4844">
        <v>28708467</v>
      </c>
      <c r="D4844" t="s">
        <v>192</v>
      </c>
      <c r="E4844">
        <v>8.8810000000000002</v>
      </c>
      <c r="F4844" t="s">
        <v>21</v>
      </c>
      <c r="G4844" t="s">
        <v>26</v>
      </c>
      <c r="H4844" t="s">
        <v>21</v>
      </c>
      <c r="I4844" t="s">
        <v>20</v>
      </c>
      <c r="J4844" t="s">
        <v>20</v>
      </c>
      <c r="K4844" t="s">
        <v>22</v>
      </c>
      <c r="L4844" t="s">
        <v>140</v>
      </c>
      <c r="M4844" t="s">
        <v>125</v>
      </c>
      <c r="N4844">
        <v>40.161116</v>
      </c>
      <c r="O4844">
        <v>-111.614329</v>
      </c>
      <c r="P4844">
        <v>4518.6186470000002</v>
      </c>
      <c r="Q4844">
        <v>1375</v>
      </c>
      <c r="R4844">
        <v>0</v>
      </c>
    </row>
    <row r="4845" spans="1:18" x14ac:dyDescent="0.25">
      <c r="A4845">
        <v>4844</v>
      </c>
      <c r="B4845">
        <v>94</v>
      </c>
      <c r="C4845">
        <v>31397874</v>
      </c>
      <c r="D4845" t="s">
        <v>124</v>
      </c>
      <c r="E4845">
        <v>39.531999999999996</v>
      </c>
      <c r="F4845" t="s">
        <v>21</v>
      </c>
      <c r="G4845" t="s">
        <v>26</v>
      </c>
      <c r="H4845" t="s">
        <v>21</v>
      </c>
      <c r="I4845" t="s">
        <v>20</v>
      </c>
      <c r="J4845" t="s">
        <v>20</v>
      </c>
      <c r="K4845" t="s">
        <v>31</v>
      </c>
      <c r="L4845" t="s">
        <v>89</v>
      </c>
      <c r="M4845" t="s">
        <v>125</v>
      </c>
      <c r="N4845">
        <v>40.482391999999997</v>
      </c>
      <c r="O4845">
        <v>-111.943292</v>
      </c>
      <c r="P4845">
        <v>4453.0652149999996</v>
      </c>
      <c r="Q4845">
        <v>1368</v>
      </c>
      <c r="R4845">
        <v>0</v>
      </c>
    </row>
    <row r="4846" spans="1:18" x14ac:dyDescent="0.25">
      <c r="A4846">
        <v>4845</v>
      </c>
      <c r="B4846">
        <v>94</v>
      </c>
      <c r="C4846">
        <v>31523040</v>
      </c>
      <c r="D4846" t="s">
        <v>132</v>
      </c>
      <c r="E4846">
        <v>39.564999999999998</v>
      </c>
      <c r="F4846" t="s">
        <v>21</v>
      </c>
      <c r="G4846" t="s">
        <v>26</v>
      </c>
      <c r="H4846" t="s">
        <v>21</v>
      </c>
      <c r="I4846" t="s">
        <v>20</v>
      </c>
      <c r="J4846" t="s">
        <v>20</v>
      </c>
      <c r="K4846" t="s">
        <v>22</v>
      </c>
      <c r="L4846" t="s">
        <v>234</v>
      </c>
      <c r="M4846" t="s">
        <v>277</v>
      </c>
      <c r="N4846">
        <v>40.462845000000002</v>
      </c>
      <c r="O4846">
        <v>-109.543009</v>
      </c>
      <c r="P4846">
        <v>5326.30843</v>
      </c>
      <c r="Q4846">
        <v>1405</v>
      </c>
      <c r="R4846">
        <v>0</v>
      </c>
    </row>
    <row r="4847" spans="1:18" x14ac:dyDescent="0.25">
      <c r="A4847">
        <v>4846</v>
      </c>
      <c r="B4847">
        <v>94</v>
      </c>
      <c r="C4847" t="s">
        <v>688</v>
      </c>
      <c r="D4847" t="s">
        <v>217</v>
      </c>
      <c r="E4847">
        <v>39.57</v>
      </c>
      <c r="F4847" t="s">
        <v>21</v>
      </c>
      <c r="G4847" t="s">
        <v>20</v>
      </c>
      <c r="H4847" t="s">
        <v>21</v>
      </c>
      <c r="I4847" t="s">
        <v>20</v>
      </c>
      <c r="J4847" t="s">
        <v>20</v>
      </c>
      <c r="K4847" t="s">
        <v>27</v>
      </c>
      <c r="L4847" t="s">
        <v>162</v>
      </c>
      <c r="M4847" t="s">
        <v>163</v>
      </c>
      <c r="N4847">
        <v>37.566364</v>
      </c>
      <c r="O4847">
        <v>-113.694484</v>
      </c>
      <c r="P4847">
        <v>5368.8165680000002</v>
      </c>
      <c r="Q4847">
        <v>304</v>
      </c>
      <c r="R4847">
        <v>0</v>
      </c>
    </row>
    <row r="4848" spans="1:18" x14ac:dyDescent="0.25">
      <c r="A4848">
        <v>4847</v>
      </c>
      <c r="B4848">
        <v>94</v>
      </c>
      <c r="C4848">
        <v>31384356</v>
      </c>
      <c r="D4848" t="s">
        <v>116</v>
      </c>
      <c r="E4848">
        <v>39.570999999999998</v>
      </c>
      <c r="F4848" t="s">
        <v>21</v>
      </c>
      <c r="G4848" t="s">
        <v>26</v>
      </c>
      <c r="H4848" t="s">
        <v>21</v>
      </c>
      <c r="I4848" t="s">
        <v>20</v>
      </c>
      <c r="J4848" t="s">
        <v>20</v>
      </c>
      <c r="K4848" t="s">
        <v>41</v>
      </c>
      <c r="L4848" t="s">
        <v>95</v>
      </c>
      <c r="M4848" t="s">
        <v>117</v>
      </c>
      <c r="N4848">
        <v>41.916415999999998</v>
      </c>
      <c r="O4848">
        <v>-111.814485</v>
      </c>
      <c r="P4848">
        <v>4536.6044689999999</v>
      </c>
      <c r="Q4848">
        <v>324</v>
      </c>
      <c r="R4848">
        <v>0</v>
      </c>
    </row>
    <row r="4849" spans="1:18" x14ac:dyDescent="0.25">
      <c r="A4849">
        <v>4848</v>
      </c>
      <c r="B4849">
        <v>94</v>
      </c>
      <c r="C4849">
        <v>31311277</v>
      </c>
      <c r="D4849" t="s">
        <v>40</v>
      </c>
      <c r="E4849">
        <v>4.7519999999999998</v>
      </c>
      <c r="F4849" t="s">
        <v>21</v>
      </c>
      <c r="G4849" t="s">
        <v>20</v>
      </c>
      <c r="H4849" t="s">
        <v>21</v>
      </c>
      <c r="I4849" t="s">
        <v>20</v>
      </c>
      <c r="J4849" t="s">
        <v>20</v>
      </c>
      <c r="K4849" t="s">
        <v>41</v>
      </c>
      <c r="L4849" t="s">
        <v>42</v>
      </c>
      <c r="M4849" t="s">
        <v>43</v>
      </c>
      <c r="N4849">
        <v>41.634053000000002</v>
      </c>
      <c r="O4849">
        <v>-111.855234</v>
      </c>
      <c r="P4849">
        <v>4646.789522</v>
      </c>
      <c r="Q4849">
        <v>1391</v>
      </c>
      <c r="R4849">
        <v>0</v>
      </c>
    </row>
    <row r="4850" spans="1:18" x14ac:dyDescent="0.25">
      <c r="A4850">
        <v>4849</v>
      </c>
      <c r="B4850">
        <v>94</v>
      </c>
      <c r="C4850">
        <v>533176</v>
      </c>
      <c r="D4850" t="s">
        <v>44</v>
      </c>
      <c r="E4850">
        <v>4.7519999999999998</v>
      </c>
      <c r="F4850" t="s">
        <v>21</v>
      </c>
      <c r="G4850" t="s">
        <v>26</v>
      </c>
      <c r="H4850" t="s">
        <v>21</v>
      </c>
      <c r="I4850" t="s">
        <v>20</v>
      </c>
      <c r="J4850" t="s">
        <v>20</v>
      </c>
      <c r="K4850" t="s">
        <v>41</v>
      </c>
      <c r="L4850" t="s">
        <v>45</v>
      </c>
      <c r="M4850" t="s">
        <v>46</v>
      </c>
      <c r="N4850">
        <v>40.946044000000001</v>
      </c>
      <c r="O4850">
        <v>-111.88134599999999</v>
      </c>
      <c r="P4850">
        <v>4256.6743450000004</v>
      </c>
      <c r="Q4850">
        <v>1395</v>
      </c>
      <c r="R4850">
        <v>0</v>
      </c>
    </row>
    <row r="4851" spans="1:18" x14ac:dyDescent="0.25">
      <c r="A4851">
        <v>4850</v>
      </c>
      <c r="B4851">
        <v>94</v>
      </c>
      <c r="C4851">
        <v>27951033</v>
      </c>
      <c r="D4851" t="s">
        <v>265</v>
      </c>
      <c r="E4851">
        <v>4.7629999999999999</v>
      </c>
      <c r="F4851" t="s">
        <v>21</v>
      </c>
      <c r="G4851" t="s">
        <v>26</v>
      </c>
      <c r="H4851" t="s">
        <v>21</v>
      </c>
      <c r="I4851" t="s">
        <v>20</v>
      </c>
      <c r="J4851" t="s">
        <v>20</v>
      </c>
      <c r="K4851" t="s">
        <v>27</v>
      </c>
      <c r="L4851" t="s">
        <v>266</v>
      </c>
      <c r="M4851" t="s">
        <v>267</v>
      </c>
      <c r="N4851">
        <v>38.460296</v>
      </c>
      <c r="O4851">
        <v>-111.612489</v>
      </c>
      <c r="P4851">
        <v>7177.3020269999997</v>
      </c>
      <c r="Q4851">
        <v>1371</v>
      </c>
      <c r="R4851">
        <v>0</v>
      </c>
    </row>
    <row r="4852" spans="1:18" x14ac:dyDescent="0.25">
      <c r="A4852">
        <v>4851</v>
      </c>
      <c r="B4852">
        <v>94</v>
      </c>
      <c r="C4852">
        <v>31523412</v>
      </c>
      <c r="D4852" t="s">
        <v>132</v>
      </c>
      <c r="E4852">
        <v>39.856000000000002</v>
      </c>
      <c r="F4852" t="s">
        <v>21</v>
      </c>
      <c r="G4852" t="s">
        <v>26</v>
      </c>
      <c r="H4852" t="s">
        <v>21</v>
      </c>
      <c r="I4852" t="s">
        <v>20</v>
      </c>
      <c r="J4852" t="s">
        <v>20</v>
      </c>
      <c r="K4852" t="s">
        <v>22</v>
      </c>
      <c r="L4852" t="s">
        <v>234</v>
      </c>
      <c r="M4852" t="s">
        <v>277</v>
      </c>
      <c r="N4852">
        <v>40.461908999999999</v>
      </c>
      <c r="O4852">
        <v>-109.538218</v>
      </c>
      <c r="P4852">
        <v>5306.1167109999997</v>
      </c>
      <c r="Q4852">
        <v>1405</v>
      </c>
      <c r="R4852">
        <v>0</v>
      </c>
    </row>
    <row r="4853" spans="1:18" x14ac:dyDescent="0.25">
      <c r="A4853">
        <v>4852</v>
      </c>
      <c r="B4853">
        <v>94</v>
      </c>
      <c r="C4853">
        <v>31646265</v>
      </c>
      <c r="D4853" t="s">
        <v>233</v>
      </c>
      <c r="E4853">
        <v>39.856999999999999</v>
      </c>
      <c r="F4853" t="s">
        <v>21</v>
      </c>
      <c r="G4853" t="s">
        <v>20</v>
      </c>
      <c r="H4853" t="s">
        <v>21</v>
      </c>
      <c r="I4853" t="s">
        <v>20</v>
      </c>
      <c r="J4853" t="s">
        <v>20</v>
      </c>
      <c r="K4853" t="s">
        <v>22</v>
      </c>
      <c r="L4853" t="s">
        <v>234</v>
      </c>
      <c r="M4853" t="s">
        <v>235</v>
      </c>
      <c r="N4853">
        <v>40.412134000000002</v>
      </c>
      <c r="O4853">
        <v>-109.499109</v>
      </c>
      <c r="P4853">
        <v>5207.5773660000004</v>
      </c>
      <c r="Q4853">
        <v>1354</v>
      </c>
      <c r="R4853">
        <v>0</v>
      </c>
    </row>
    <row r="4854" spans="1:18" x14ac:dyDescent="0.25">
      <c r="A4854">
        <v>4853</v>
      </c>
      <c r="B4854">
        <v>94</v>
      </c>
      <c r="C4854">
        <v>31384378</v>
      </c>
      <c r="D4854" t="s">
        <v>116</v>
      </c>
      <c r="E4854">
        <v>39.862000000000002</v>
      </c>
      <c r="F4854" t="s">
        <v>21</v>
      </c>
      <c r="G4854" t="s">
        <v>26</v>
      </c>
      <c r="H4854" t="s">
        <v>21</v>
      </c>
      <c r="I4854" t="s">
        <v>20</v>
      </c>
      <c r="J4854" t="s">
        <v>20</v>
      </c>
      <c r="K4854" t="s">
        <v>41</v>
      </c>
      <c r="L4854" t="s">
        <v>95</v>
      </c>
      <c r="M4854" t="s">
        <v>117</v>
      </c>
      <c r="N4854">
        <v>41.920620999999997</v>
      </c>
      <c r="O4854">
        <v>-111.814404</v>
      </c>
      <c r="P4854">
        <v>4547.2662030000001</v>
      </c>
      <c r="Q4854">
        <v>324</v>
      </c>
      <c r="R4854">
        <v>0</v>
      </c>
    </row>
    <row r="4855" spans="1:18" x14ac:dyDescent="0.25">
      <c r="A4855">
        <v>4854</v>
      </c>
      <c r="B4855">
        <v>94</v>
      </c>
      <c r="C4855" t="e">
        <f>-JSUNo0oHoTbazVPenjh6k</f>
        <v>#NAME?</v>
      </c>
      <c r="D4855" t="s">
        <v>272</v>
      </c>
      <c r="E4855">
        <v>39.909999999999997</v>
      </c>
      <c r="F4855" t="s">
        <v>21</v>
      </c>
      <c r="G4855" t="s">
        <v>20</v>
      </c>
      <c r="H4855" t="s">
        <v>21</v>
      </c>
      <c r="I4855" t="s">
        <v>20</v>
      </c>
      <c r="J4855" t="s">
        <v>20</v>
      </c>
      <c r="K4855" t="s">
        <v>27</v>
      </c>
      <c r="L4855" t="s">
        <v>259</v>
      </c>
      <c r="M4855" t="s">
        <v>214</v>
      </c>
      <c r="N4855">
        <v>37.103337000000003</v>
      </c>
      <c r="O4855">
        <v>-112.128319</v>
      </c>
      <c r="P4855">
        <v>5397.7760049999997</v>
      </c>
      <c r="Q4855">
        <v>1384</v>
      </c>
      <c r="R4855">
        <v>0</v>
      </c>
    </row>
    <row r="4856" spans="1:18" x14ac:dyDescent="0.25">
      <c r="A4856">
        <v>4855</v>
      </c>
      <c r="B4856">
        <v>94</v>
      </c>
      <c r="C4856" t="e">
        <f>-IpPLqkHFyThNTR5Czh2rV</f>
        <v>#NAME?</v>
      </c>
      <c r="D4856" t="s">
        <v>50</v>
      </c>
      <c r="E4856">
        <v>39.935000000000002</v>
      </c>
      <c r="F4856" t="s">
        <v>21</v>
      </c>
      <c r="G4856" t="s">
        <v>20</v>
      </c>
      <c r="H4856" t="s">
        <v>21</v>
      </c>
      <c r="I4856" t="s">
        <v>20</v>
      </c>
      <c r="J4856" t="s">
        <v>20</v>
      </c>
      <c r="K4856" t="s">
        <v>27</v>
      </c>
      <c r="L4856" t="s">
        <v>247</v>
      </c>
      <c r="M4856" t="s">
        <v>52</v>
      </c>
      <c r="N4856">
        <v>37.752400999999999</v>
      </c>
      <c r="O4856">
        <v>-112.566255</v>
      </c>
      <c r="P4856">
        <v>7771.1447520000002</v>
      </c>
      <c r="Q4856">
        <v>1418</v>
      </c>
      <c r="R4856">
        <v>0</v>
      </c>
    </row>
    <row r="4857" spans="1:18" x14ac:dyDescent="0.25">
      <c r="A4857">
        <v>4856</v>
      </c>
      <c r="B4857">
        <v>94</v>
      </c>
      <c r="C4857">
        <v>31397896</v>
      </c>
      <c r="D4857" t="s">
        <v>124</v>
      </c>
      <c r="E4857">
        <v>39.94</v>
      </c>
      <c r="F4857" t="s">
        <v>21</v>
      </c>
      <c r="G4857" t="s">
        <v>26</v>
      </c>
      <c r="H4857" t="s">
        <v>21</v>
      </c>
      <c r="I4857" t="s">
        <v>20</v>
      </c>
      <c r="J4857" t="s">
        <v>20</v>
      </c>
      <c r="K4857" t="s">
        <v>31</v>
      </c>
      <c r="L4857" t="s">
        <v>89</v>
      </c>
      <c r="M4857" t="s">
        <v>125</v>
      </c>
      <c r="N4857">
        <v>40.487996000000003</v>
      </c>
      <c r="O4857">
        <v>-111.940747</v>
      </c>
      <c r="P4857">
        <v>4401.4075949999997</v>
      </c>
      <c r="Q4857">
        <v>1368</v>
      </c>
      <c r="R4857">
        <v>0</v>
      </c>
    </row>
    <row r="4858" spans="1:18" x14ac:dyDescent="0.25">
      <c r="A4858">
        <v>4857</v>
      </c>
      <c r="B4858">
        <v>94</v>
      </c>
      <c r="C4858" t="e">
        <f>-JYr418KGzaGUNFOFhA92V</f>
        <v>#NAME?</v>
      </c>
      <c r="D4858" t="s">
        <v>199</v>
      </c>
      <c r="E4858">
        <v>39.945999999999998</v>
      </c>
      <c r="F4858" t="s">
        <v>21</v>
      </c>
      <c r="G4858" t="s">
        <v>20</v>
      </c>
      <c r="H4858" t="s">
        <v>21</v>
      </c>
      <c r="I4858" t="s">
        <v>20</v>
      </c>
      <c r="J4858" t="s">
        <v>20</v>
      </c>
      <c r="K4858" t="s">
        <v>27</v>
      </c>
      <c r="L4858" t="s">
        <v>64</v>
      </c>
      <c r="M4858" t="s">
        <v>200</v>
      </c>
      <c r="N4858">
        <v>38.240338999999999</v>
      </c>
      <c r="O4858">
        <v>-112.229196</v>
      </c>
      <c r="P4858">
        <v>5985.8963569999996</v>
      </c>
      <c r="Q4858">
        <v>341</v>
      </c>
      <c r="R4858">
        <v>0</v>
      </c>
    </row>
    <row r="4859" spans="1:18" x14ac:dyDescent="0.25">
      <c r="A4859">
        <v>4858</v>
      </c>
      <c r="B4859">
        <v>94</v>
      </c>
      <c r="C4859">
        <v>31432897</v>
      </c>
      <c r="D4859" t="s">
        <v>221</v>
      </c>
      <c r="E4859">
        <v>39.956000000000003</v>
      </c>
      <c r="F4859" t="s">
        <v>21</v>
      </c>
      <c r="G4859" t="s">
        <v>26</v>
      </c>
      <c r="H4859" t="s">
        <v>21</v>
      </c>
      <c r="I4859" t="s">
        <v>20</v>
      </c>
      <c r="J4859" t="s">
        <v>20</v>
      </c>
      <c r="K4859" t="s">
        <v>22</v>
      </c>
      <c r="L4859" t="s">
        <v>155</v>
      </c>
      <c r="M4859" t="s">
        <v>174</v>
      </c>
      <c r="N4859">
        <v>39.698275000000002</v>
      </c>
      <c r="O4859">
        <v>-111.836118</v>
      </c>
      <c r="P4859">
        <v>5059.1667969999999</v>
      </c>
      <c r="Q4859">
        <v>1342</v>
      </c>
      <c r="R4859">
        <v>0</v>
      </c>
    </row>
    <row r="4860" spans="1:18" x14ac:dyDescent="0.25">
      <c r="A4860">
        <v>4859</v>
      </c>
      <c r="B4860">
        <v>94</v>
      </c>
      <c r="C4860">
        <v>31433608</v>
      </c>
      <c r="D4860" t="s">
        <v>221</v>
      </c>
      <c r="E4860">
        <v>39.966000000000001</v>
      </c>
      <c r="F4860" t="s">
        <v>21</v>
      </c>
      <c r="G4860" t="s">
        <v>26</v>
      </c>
      <c r="H4860" t="s">
        <v>21</v>
      </c>
      <c r="I4860" t="s">
        <v>20</v>
      </c>
      <c r="J4860" t="s">
        <v>20</v>
      </c>
      <c r="K4860" t="s">
        <v>22</v>
      </c>
      <c r="L4860" t="s">
        <v>155</v>
      </c>
      <c r="M4860" t="s">
        <v>174</v>
      </c>
      <c r="N4860">
        <v>39.698427000000002</v>
      </c>
      <c r="O4860">
        <v>-111.836125</v>
      </c>
      <c r="P4860">
        <v>5059.4887719999997</v>
      </c>
      <c r="Q4860">
        <v>1342</v>
      </c>
      <c r="R4860">
        <v>0</v>
      </c>
    </row>
    <row r="4861" spans="1:18" x14ac:dyDescent="0.25">
      <c r="A4861">
        <v>4860</v>
      </c>
      <c r="B4861">
        <v>94</v>
      </c>
      <c r="C4861">
        <v>31326705</v>
      </c>
      <c r="D4861" t="s">
        <v>288</v>
      </c>
      <c r="E4861">
        <v>39.988</v>
      </c>
      <c r="F4861" t="s">
        <v>21</v>
      </c>
      <c r="G4861" t="s">
        <v>26</v>
      </c>
      <c r="H4861" t="s">
        <v>21</v>
      </c>
      <c r="I4861" t="s">
        <v>20</v>
      </c>
      <c r="J4861" t="s">
        <v>20</v>
      </c>
      <c r="K4861" t="s">
        <v>27</v>
      </c>
      <c r="L4861" t="s">
        <v>327</v>
      </c>
      <c r="M4861" t="s">
        <v>212</v>
      </c>
      <c r="N4861">
        <v>37.473838000000001</v>
      </c>
      <c r="O4861">
        <v>-109.46703100000001</v>
      </c>
      <c r="P4861">
        <v>5244.5291719999996</v>
      </c>
      <c r="Q4861">
        <v>350</v>
      </c>
      <c r="R4861">
        <v>0</v>
      </c>
    </row>
    <row r="4862" spans="1:18" x14ac:dyDescent="0.25">
      <c r="A4862">
        <v>4861</v>
      </c>
      <c r="B4862">
        <v>94</v>
      </c>
      <c r="C4862">
        <v>28195095</v>
      </c>
      <c r="D4862" t="s">
        <v>233</v>
      </c>
      <c r="E4862">
        <v>39.999000000000002</v>
      </c>
      <c r="F4862" t="s">
        <v>21</v>
      </c>
      <c r="G4862" t="s">
        <v>26</v>
      </c>
      <c r="H4862" t="s">
        <v>21</v>
      </c>
      <c r="I4862" t="s">
        <v>20</v>
      </c>
      <c r="J4862" t="s">
        <v>20</v>
      </c>
      <c r="K4862" t="s">
        <v>22</v>
      </c>
      <c r="L4862" t="s">
        <v>234</v>
      </c>
      <c r="M4862" t="s">
        <v>235</v>
      </c>
      <c r="N4862">
        <v>40.414191000000002</v>
      </c>
      <c r="O4862">
        <v>-109.49903999999999</v>
      </c>
      <c r="P4862">
        <v>5208.9055470000003</v>
      </c>
      <c r="Q4862">
        <v>1354</v>
      </c>
      <c r="R4862">
        <v>0</v>
      </c>
    </row>
    <row r="4863" spans="1:18" x14ac:dyDescent="0.25">
      <c r="A4863">
        <v>4862</v>
      </c>
      <c r="B4863">
        <v>94</v>
      </c>
      <c r="C4863">
        <v>31591765</v>
      </c>
      <c r="D4863" t="s">
        <v>288</v>
      </c>
      <c r="E4863">
        <v>391.82400000000001</v>
      </c>
      <c r="F4863" t="s">
        <v>21</v>
      </c>
      <c r="G4863" t="s">
        <v>26</v>
      </c>
      <c r="H4863" t="s">
        <v>21</v>
      </c>
      <c r="I4863" t="s">
        <v>20</v>
      </c>
      <c r="J4863" t="s">
        <v>20</v>
      </c>
      <c r="K4863" t="s">
        <v>22</v>
      </c>
      <c r="L4863" t="s">
        <v>97</v>
      </c>
      <c r="M4863" t="s">
        <v>98</v>
      </c>
      <c r="N4863">
        <v>40.902572999999997</v>
      </c>
      <c r="O4863">
        <v>-109.441648</v>
      </c>
      <c r="P4863">
        <v>6231.3248400000002</v>
      </c>
      <c r="Q4863">
        <v>350</v>
      </c>
      <c r="R4863">
        <v>0</v>
      </c>
    </row>
    <row r="4864" spans="1:18" x14ac:dyDescent="0.25">
      <c r="A4864">
        <v>4863</v>
      </c>
      <c r="B4864">
        <v>94</v>
      </c>
      <c r="C4864">
        <v>31406563</v>
      </c>
      <c r="D4864" t="s">
        <v>30</v>
      </c>
      <c r="E4864">
        <v>4.83</v>
      </c>
      <c r="F4864" t="s">
        <v>21</v>
      </c>
      <c r="G4864" t="s">
        <v>26</v>
      </c>
      <c r="H4864" t="s">
        <v>21</v>
      </c>
      <c r="I4864" t="s">
        <v>20</v>
      </c>
      <c r="J4864" t="s">
        <v>20</v>
      </c>
      <c r="K4864" t="s">
        <v>31</v>
      </c>
      <c r="L4864" t="s">
        <v>32</v>
      </c>
      <c r="M4864" t="s">
        <v>33</v>
      </c>
      <c r="N4864">
        <v>40.571916000000002</v>
      </c>
      <c r="O4864">
        <v>-111.758571</v>
      </c>
      <c r="P4864">
        <v>5682.652223</v>
      </c>
      <c r="Q4864">
        <v>415</v>
      </c>
      <c r="R4864">
        <v>0</v>
      </c>
    </row>
    <row r="4865" spans="1:18" x14ac:dyDescent="0.25">
      <c r="A4865">
        <v>4864</v>
      </c>
      <c r="B4865">
        <v>94</v>
      </c>
      <c r="C4865">
        <v>31348855</v>
      </c>
      <c r="D4865" t="s">
        <v>288</v>
      </c>
      <c r="E4865">
        <v>54.646000000000001</v>
      </c>
      <c r="F4865" t="s">
        <v>21</v>
      </c>
      <c r="G4865" t="s">
        <v>26</v>
      </c>
      <c r="H4865" t="s">
        <v>21</v>
      </c>
      <c r="I4865" t="s">
        <v>20</v>
      </c>
      <c r="J4865" t="s">
        <v>20</v>
      </c>
      <c r="K4865" t="s">
        <v>27</v>
      </c>
      <c r="L4865" t="s">
        <v>146</v>
      </c>
      <c r="M4865" t="s">
        <v>147</v>
      </c>
      <c r="N4865">
        <v>37.658678000000002</v>
      </c>
      <c r="O4865">
        <v>-109.44035599999999</v>
      </c>
      <c r="P4865">
        <v>6051.9241089999996</v>
      </c>
      <c r="Q4865">
        <v>350</v>
      </c>
      <c r="R4865">
        <v>0</v>
      </c>
    </row>
    <row r="4866" spans="1:18" x14ac:dyDescent="0.25">
      <c r="A4866">
        <v>4865</v>
      </c>
      <c r="B4866">
        <v>94</v>
      </c>
      <c r="C4866">
        <v>31582317</v>
      </c>
      <c r="D4866" t="s">
        <v>172</v>
      </c>
      <c r="E4866">
        <v>54.777000000000001</v>
      </c>
      <c r="F4866" t="s">
        <v>21</v>
      </c>
      <c r="G4866" t="s">
        <v>26</v>
      </c>
      <c r="H4866" t="s">
        <v>21</v>
      </c>
      <c r="I4866" t="s">
        <v>20</v>
      </c>
      <c r="J4866" t="s">
        <v>20</v>
      </c>
      <c r="K4866" t="s">
        <v>27</v>
      </c>
      <c r="L4866" t="s">
        <v>230</v>
      </c>
      <c r="M4866" t="s">
        <v>174</v>
      </c>
      <c r="N4866">
        <v>39.529710999999999</v>
      </c>
      <c r="O4866">
        <v>-111.590609</v>
      </c>
      <c r="P4866">
        <v>5485.387616</v>
      </c>
      <c r="Q4866">
        <v>1411</v>
      </c>
      <c r="R4866">
        <v>0</v>
      </c>
    </row>
    <row r="4867" spans="1:18" x14ac:dyDescent="0.25">
      <c r="A4867">
        <v>4866</v>
      </c>
      <c r="B4867">
        <v>94</v>
      </c>
      <c r="C4867" t="e">
        <f>-IpQHhKeG3LV1QdEAAxN9V</f>
        <v>#NAME?</v>
      </c>
      <c r="D4867" t="s">
        <v>171</v>
      </c>
      <c r="E4867">
        <v>5.1879999999999997</v>
      </c>
      <c r="F4867" t="s">
        <v>21</v>
      </c>
      <c r="G4867" t="s">
        <v>26</v>
      </c>
      <c r="H4867" t="s">
        <v>21</v>
      </c>
      <c r="I4867" t="s">
        <v>20</v>
      </c>
      <c r="J4867" t="s">
        <v>20</v>
      </c>
      <c r="K4867" t="s">
        <v>31</v>
      </c>
      <c r="L4867" t="s">
        <v>78</v>
      </c>
      <c r="M4867" t="s">
        <v>79</v>
      </c>
      <c r="N4867">
        <v>40.696606000000003</v>
      </c>
      <c r="O4867">
        <v>-111.992728</v>
      </c>
      <c r="P4867">
        <v>4214.0918659999998</v>
      </c>
      <c r="Q4867">
        <v>346</v>
      </c>
      <c r="R4867">
        <v>0</v>
      </c>
    </row>
    <row r="4868" spans="1:18" x14ac:dyDescent="0.25">
      <c r="A4868">
        <v>4867</v>
      </c>
      <c r="B4868">
        <v>94</v>
      </c>
      <c r="C4868">
        <v>776994</v>
      </c>
      <c r="D4868" t="s">
        <v>68</v>
      </c>
      <c r="E4868">
        <v>4.0129999999999999</v>
      </c>
      <c r="F4868" t="s">
        <v>21</v>
      </c>
      <c r="G4868" t="s">
        <v>26</v>
      </c>
      <c r="H4868" t="s">
        <v>21</v>
      </c>
      <c r="I4868" t="s">
        <v>20</v>
      </c>
      <c r="J4868" t="s">
        <v>20</v>
      </c>
      <c r="K4868" t="s">
        <v>31</v>
      </c>
      <c r="L4868" t="s">
        <v>69</v>
      </c>
      <c r="M4868" t="s">
        <v>70</v>
      </c>
      <c r="N4868">
        <v>40.674356000000003</v>
      </c>
      <c r="O4868">
        <v>-111.879203</v>
      </c>
      <c r="P4868">
        <v>4231.5705859999998</v>
      </c>
      <c r="Q4868">
        <v>431</v>
      </c>
      <c r="R4868">
        <v>0</v>
      </c>
    </row>
    <row r="4869" spans="1:18" x14ac:dyDescent="0.25">
      <c r="A4869">
        <v>4868</v>
      </c>
      <c r="B4869">
        <v>94</v>
      </c>
      <c r="C4869">
        <v>533906</v>
      </c>
      <c r="D4869" t="s">
        <v>44</v>
      </c>
      <c r="E4869">
        <v>4.8860000000000001</v>
      </c>
      <c r="F4869" t="s">
        <v>21</v>
      </c>
      <c r="G4869" t="s">
        <v>26</v>
      </c>
      <c r="H4869" t="s">
        <v>21</v>
      </c>
      <c r="I4869" t="s">
        <v>20</v>
      </c>
      <c r="J4869" t="s">
        <v>20</v>
      </c>
      <c r="K4869" t="s">
        <v>41</v>
      </c>
      <c r="L4869" t="s">
        <v>45</v>
      </c>
      <c r="M4869" t="s">
        <v>46</v>
      </c>
      <c r="N4869">
        <v>40.947913999999997</v>
      </c>
      <c r="O4869">
        <v>-111.882042</v>
      </c>
      <c r="P4869">
        <v>4264.018403</v>
      </c>
      <c r="Q4869">
        <v>1395</v>
      </c>
      <c r="R4869">
        <v>0</v>
      </c>
    </row>
    <row r="4870" spans="1:18" x14ac:dyDescent="0.25">
      <c r="A4870">
        <v>4869</v>
      </c>
      <c r="B4870">
        <v>94</v>
      </c>
      <c r="C4870">
        <v>31760411</v>
      </c>
      <c r="D4870" t="s">
        <v>77</v>
      </c>
      <c r="E4870">
        <v>4.8879999999999999</v>
      </c>
      <c r="F4870" t="s">
        <v>21</v>
      </c>
      <c r="G4870" t="s">
        <v>20</v>
      </c>
      <c r="H4870" t="s">
        <v>21</v>
      </c>
      <c r="I4870" t="s">
        <v>20</v>
      </c>
      <c r="J4870" t="s">
        <v>20</v>
      </c>
      <c r="K4870" t="s">
        <v>31</v>
      </c>
      <c r="L4870" t="s">
        <v>78</v>
      </c>
      <c r="M4870" t="s">
        <v>79</v>
      </c>
      <c r="N4870">
        <v>40.709508</v>
      </c>
      <c r="O4870">
        <v>-112.024897</v>
      </c>
      <c r="P4870">
        <v>4196.6298210000004</v>
      </c>
      <c r="Q4870">
        <v>1436</v>
      </c>
      <c r="R4870">
        <v>0</v>
      </c>
    </row>
    <row r="4871" spans="1:18" x14ac:dyDescent="0.25">
      <c r="A4871">
        <v>4870</v>
      </c>
      <c r="B4871">
        <v>94</v>
      </c>
      <c r="C4871">
        <v>31401874</v>
      </c>
      <c r="D4871" t="s">
        <v>224</v>
      </c>
      <c r="E4871">
        <v>4.8929999999999998</v>
      </c>
      <c r="F4871" t="s">
        <v>21</v>
      </c>
      <c r="G4871" t="s">
        <v>26</v>
      </c>
      <c r="H4871" t="s">
        <v>21</v>
      </c>
      <c r="I4871" t="s">
        <v>20</v>
      </c>
      <c r="J4871" t="s">
        <v>20</v>
      </c>
      <c r="K4871" t="s">
        <v>22</v>
      </c>
      <c r="L4871" t="s">
        <v>198</v>
      </c>
      <c r="M4871" t="s">
        <v>194</v>
      </c>
      <c r="N4871">
        <v>40.038263999999998</v>
      </c>
      <c r="O4871">
        <v>-111.733867</v>
      </c>
      <c r="P4871">
        <v>4640.0589579999996</v>
      </c>
      <c r="Q4871">
        <v>408</v>
      </c>
      <c r="R4871">
        <v>0</v>
      </c>
    </row>
    <row r="4872" spans="1:18" x14ac:dyDescent="0.25">
      <c r="A4872">
        <v>4871</v>
      </c>
      <c r="B4872">
        <v>94</v>
      </c>
      <c r="C4872">
        <v>31311288</v>
      </c>
      <c r="D4872" t="s">
        <v>40</v>
      </c>
      <c r="E4872">
        <v>4.8940000000000001</v>
      </c>
      <c r="F4872" t="s">
        <v>21</v>
      </c>
      <c r="G4872" t="s">
        <v>26</v>
      </c>
      <c r="H4872" t="s">
        <v>21</v>
      </c>
      <c r="I4872" t="s">
        <v>20</v>
      </c>
      <c r="J4872" t="s">
        <v>20</v>
      </c>
      <c r="K4872" t="s">
        <v>41</v>
      </c>
      <c r="L4872" t="s">
        <v>42</v>
      </c>
      <c r="M4872" t="s">
        <v>43</v>
      </c>
      <c r="N4872">
        <v>41.633986999999998</v>
      </c>
      <c r="O4872">
        <v>-111.852485</v>
      </c>
      <c r="P4872">
        <v>4648.4056339999997</v>
      </c>
      <c r="Q4872">
        <v>1391</v>
      </c>
      <c r="R4872">
        <v>0</v>
      </c>
    </row>
    <row r="4873" spans="1:18" x14ac:dyDescent="0.25">
      <c r="A4873">
        <v>4872</v>
      </c>
      <c r="B4873">
        <v>94</v>
      </c>
      <c r="C4873" t="e">
        <f>-IovdLU8HtemOIlwj8hzoF</f>
        <v>#NAME?</v>
      </c>
      <c r="D4873" t="s">
        <v>245</v>
      </c>
      <c r="E4873">
        <v>4.8940000000000001</v>
      </c>
      <c r="F4873" t="s">
        <v>21</v>
      </c>
      <c r="G4873" t="s">
        <v>20</v>
      </c>
      <c r="H4873" t="s">
        <v>21</v>
      </c>
      <c r="I4873" t="s">
        <v>20</v>
      </c>
      <c r="J4873" t="s">
        <v>20</v>
      </c>
      <c r="K4873" t="s">
        <v>22</v>
      </c>
      <c r="L4873" t="s">
        <v>97</v>
      </c>
      <c r="M4873" t="s">
        <v>98</v>
      </c>
      <c r="N4873">
        <v>40.853845</v>
      </c>
      <c r="O4873">
        <v>-109.566971</v>
      </c>
      <c r="P4873">
        <v>7664.7031690000003</v>
      </c>
      <c r="Q4873">
        <v>1353</v>
      </c>
      <c r="R4873">
        <v>0</v>
      </c>
    </row>
    <row r="4874" spans="1:18" x14ac:dyDescent="0.25">
      <c r="A4874">
        <v>4873</v>
      </c>
      <c r="B4874">
        <v>94</v>
      </c>
      <c r="C4874">
        <v>493709</v>
      </c>
      <c r="D4874" t="s">
        <v>83</v>
      </c>
      <c r="E4874">
        <v>4.899</v>
      </c>
      <c r="F4874" t="s">
        <v>21</v>
      </c>
      <c r="G4874" t="s">
        <v>26</v>
      </c>
      <c r="H4874" t="s">
        <v>21</v>
      </c>
      <c r="I4874" t="s">
        <v>20</v>
      </c>
      <c r="J4874" t="s">
        <v>20</v>
      </c>
      <c r="K4874" t="s">
        <v>22</v>
      </c>
      <c r="L4874" t="s">
        <v>84</v>
      </c>
      <c r="M4874" t="s">
        <v>85</v>
      </c>
      <c r="N4874">
        <v>40.445915999999997</v>
      </c>
      <c r="O4874">
        <v>-111.781863</v>
      </c>
      <c r="P4874">
        <v>4870.4486470000002</v>
      </c>
      <c r="Q4874">
        <v>319</v>
      </c>
      <c r="R4874">
        <v>0</v>
      </c>
    </row>
    <row r="4875" spans="1:18" x14ac:dyDescent="0.25">
      <c r="A4875">
        <v>4874</v>
      </c>
      <c r="B4875">
        <v>94</v>
      </c>
      <c r="C4875">
        <v>31377550</v>
      </c>
      <c r="D4875" t="s">
        <v>199</v>
      </c>
      <c r="E4875">
        <v>40.360999999999997</v>
      </c>
      <c r="F4875" t="s">
        <v>21</v>
      </c>
      <c r="G4875" t="s">
        <v>26</v>
      </c>
      <c r="H4875" t="s">
        <v>21</v>
      </c>
      <c r="I4875" t="s">
        <v>20</v>
      </c>
      <c r="J4875" t="s">
        <v>20</v>
      </c>
      <c r="K4875" t="s">
        <v>27</v>
      </c>
      <c r="L4875" t="s">
        <v>64</v>
      </c>
      <c r="M4875" t="s">
        <v>200</v>
      </c>
      <c r="N4875">
        <v>38.236877</v>
      </c>
      <c r="O4875">
        <v>-112.223724</v>
      </c>
      <c r="P4875">
        <v>5948.517973</v>
      </c>
      <c r="Q4875">
        <v>341</v>
      </c>
      <c r="R4875">
        <v>0</v>
      </c>
    </row>
    <row r="4876" spans="1:18" x14ac:dyDescent="0.25">
      <c r="A4876">
        <v>4875</v>
      </c>
      <c r="B4876">
        <v>94</v>
      </c>
      <c r="C4876">
        <v>31398265</v>
      </c>
      <c r="D4876" t="s">
        <v>124</v>
      </c>
      <c r="E4876">
        <v>40.360999999999997</v>
      </c>
      <c r="F4876" t="s">
        <v>21</v>
      </c>
      <c r="G4876" t="s">
        <v>26</v>
      </c>
      <c r="H4876" t="s">
        <v>21</v>
      </c>
      <c r="I4876" t="s">
        <v>20</v>
      </c>
      <c r="J4876" t="s">
        <v>20</v>
      </c>
      <c r="K4876" t="s">
        <v>31</v>
      </c>
      <c r="L4876" t="s">
        <v>89</v>
      </c>
      <c r="M4876" t="s">
        <v>125</v>
      </c>
      <c r="N4876">
        <v>40.493890999999998</v>
      </c>
      <c r="O4876">
        <v>-111.93876899999999</v>
      </c>
      <c r="P4876">
        <v>4396.3942260000003</v>
      </c>
      <c r="Q4876">
        <v>1368</v>
      </c>
      <c r="R4876">
        <v>0</v>
      </c>
    </row>
    <row r="4877" spans="1:18" x14ac:dyDescent="0.25">
      <c r="A4877">
        <v>4876</v>
      </c>
      <c r="B4877">
        <v>94</v>
      </c>
      <c r="C4877">
        <v>31434596</v>
      </c>
      <c r="D4877" t="s">
        <v>221</v>
      </c>
      <c r="E4877">
        <v>40.365000000000002</v>
      </c>
      <c r="F4877" t="s">
        <v>21</v>
      </c>
      <c r="G4877" t="s">
        <v>26</v>
      </c>
      <c r="H4877" t="s">
        <v>21</v>
      </c>
      <c r="I4877" t="s">
        <v>20</v>
      </c>
      <c r="J4877" t="s">
        <v>20</v>
      </c>
      <c r="K4877" t="s">
        <v>22</v>
      </c>
      <c r="L4877" t="s">
        <v>155</v>
      </c>
      <c r="M4877" t="s">
        <v>174</v>
      </c>
      <c r="N4877">
        <v>39.704210000000003</v>
      </c>
      <c r="O4877">
        <v>-111.836136</v>
      </c>
      <c r="P4877">
        <v>5069.8363730000001</v>
      </c>
      <c r="Q4877">
        <v>1342</v>
      </c>
      <c r="R4877">
        <v>0</v>
      </c>
    </row>
    <row r="4878" spans="1:18" x14ac:dyDescent="0.25">
      <c r="A4878">
        <v>4877</v>
      </c>
      <c r="B4878">
        <v>94</v>
      </c>
      <c r="C4878">
        <v>31326727</v>
      </c>
      <c r="D4878" t="s">
        <v>288</v>
      </c>
      <c r="E4878">
        <v>40.380000000000003</v>
      </c>
      <c r="F4878" t="s">
        <v>21</v>
      </c>
      <c r="G4878" t="s">
        <v>20</v>
      </c>
      <c r="H4878" t="s">
        <v>21</v>
      </c>
      <c r="I4878" t="s">
        <v>20</v>
      </c>
      <c r="J4878" t="s">
        <v>20</v>
      </c>
      <c r="K4878" t="s">
        <v>27</v>
      </c>
      <c r="L4878" t="s">
        <v>327</v>
      </c>
      <c r="M4878" t="s">
        <v>212</v>
      </c>
      <c r="N4878">
        <v>37.479320999999999</v>
      </c>
      <c r="O4878">
        <v>-109.468777</v>
      </c>
      <c r="P4878">
        <v>5270.9981820000003</v>
      </c>
      <c r="Q4878">
        <v>350</v>
      </c>
      <c r="R4878">
        <v>0</v>
      </c>
    </row>
    <row r="4879" spans="1:18" x14ac:dyDescent="0.25">
      <c r="A4879">
        <v>4878</v>
      </c>
      <c r="B4879">
        <v>94</v>
      </c>
      <c r="C4879">
        <v>31693084</v>
      </c>
      <c r="D4879" t="s">
        <v>217</v>
      </c>
      <c r="E4879">
        <v>40.384999999999998</v>
      </c>
      <c r="F4879" t="s">
        <v>21</v>
      </c>
      <c r="G4879" t="s">
        <v>20</v>
      </c>
      <c r="H4879" t="s">
        <v>21</v>
      </c>
      <c r="I4879" t="s">
        <v>20</v>
      </c>
      <c r="J4879" t="s">
        <v>20</v>
      </c>
      <c r="K4879" t="s">
        <v>27</v>
      </c>
      <c r="L4879" t="s">
        <v>162</v>
      </c>
      <c r="M4879" t="s">
        <v>163</v>
      </c>
      <c r="N4879">
        <v>37.573836</v>
      </c>
      <c r="O4879">
        <v>-113.703678</v>
      </c>
      <c r="P4879">
        <v>5284.4581840000001</v>
      </c>
      <c r="Q4879">
        <v>304</v>
      </c>
      <c r="R4879">
        <v>0</v>
      </c>
    </row>
    <row r="4880" spans="1:18" x14ac:dyDescent="0.25">
      <c r="A4880">
        <v>4879</v>
      </c>
      <c r="B4880">
        <v>94</v>
      </c>
      <c r="C4880">
        <v>31434857</v>
      </c>
      <c r="D4880" t="s">
        <v>221</v>
      </c>
      <c r="E4880">
        <v>40.463999999999999</v>
      </c>
      <c r="F4880" t="s">
        <v>21</v>
      </c>
      <c r="G4880" t="s">
        <v>26</v>
      </c>
      <c r="H4880" t="s">
        <v>21</v>
      </c>
      <c r="I4880" t="s">
        <v>20</v>
      </c>
      <c r="J4880" t="s">
        <v>20</v>
      </c>
      <c r="K4880" t="s">
        <v>22</v>
      </c>
      <c r="L4880" t="s">
        <v>155</v>
      </c>
      <c r="M4880" t="s">
        <v>174</v>
      </c>
      <c r="N4880">
        <v>39.705644999999997</v>
      </c>
      <c r="O4880">
        <v>-111.836136</v>
      </c>
      <c r="P4880">
        <v>5073.6651609999999</v>
      </c>
      <c r="Q4880">
        <v>1342</v>
      </c>
      <c r="R4880">
        <v>0</v>
      </c>
    </row>
    <row r="4881" spans="1:18" x14ac:dyDescent="0.25">
      <c r="A4881">
        <v>4880</v>
      </c>
      <c r="B4881">
        <v>94</v>
      </c>
      <c r="C4881">
        <v>31377961</v>
      </c>
      <c r="D4881" t="s">
        <v>199</v>
      </c>
      <c r="E4881">
        <v>40.463999999999999</v>
      </c>
      <c r="F4881" t="s">
        <v>21</v>
      </c>
      <c r="G4881" t="s">
        <v>26</v>
      </c>
      <c r="H4881" t="s">
        <v>21</v>
      </c>
      <c r="I4881" t="s">
        <v>20</v>
      </c>
      <c r="J4881" t="s">
        <v>20</v>
      </c>
      <c r="K4881" t="s">
        <v>27</v>
      </c>
      <c r="L4881" t="s">
        <v>64</v>
      </c>
      <c r="M4881" t="s">
        <v>200</v>
      </c>
      <c r="N4881">
        <v>38.236894999999997</v>
      </c>
      <c r="O4881">
        <v>-112.221827</v>
      </c>
      <c r="P4881">
        <v>5944.4220619999996</v>
      </c>
      <c r="Q4881">
        <v>341</v>
      </c>
      <c r="R4881">
        <v>0</v>
      </c>
    </row>
    <row r="4882" spans="1:18" x14ac:dyDescent="0.25">
      <c r="A4882">
        <v>4881</v>
      </c>
      <c r="B4882">
        <v>94</v>
      </c>
      <c r="C4882">
        <v>31807367</v>
      </c>
      <c r="D4882" t="s">
        <v>272</v>
      </c>
      <c r="E4882">
        <v>40.481999999999999</v>
      </c>
      <c r="F4882" t="s">
        <v>21</v>
      </c>
      <c r="G4882" t="s">
        <v>20</v>
      </c>
      <c r="H4882" t="s">
        <v>21</v>
      </c>
      <c r="I4882" t="s">
        <v>20</v>
      </c>
      <c r="J4882" t="s">
        <v>20</v>
      </c>
      <c r="K4882" t="s">
        <v>27</v>
      </c>
      <c r="L4882" t="s">
        <v>259</v>
      </c>
      <c r="M4882" t="s">
        <v>214</v>
      </c>
      <c r="N4882">
        <v>37.097875000000002</v>
      </c>
      <c r="O4882">
        <v>-112.136166</v>
      </c>
      <c r="P4882">
        <v>5422.2475350000004</v>
      </c>
      <c r="Q4882">
        <v>1384</v>
      </c>
      <c r="R4882">
        <v>0</v>
      </c>
    </row>
    <row r="4883" spans="1:18" x14ac:dyDescent="0.25">
      <c r="A4883">
        <v>4882</v>
      </c>
      <c r="B4883">
        <v>94</v>
      </c>
      <c r="C4883">
        <v>31326738</v>
      </c>
      <c r="D4883" t="s">
        <v>288</v>
      </c>
      <c r="E4883">
        <v>40.491999999999997</v>
      </c>
      <c r="F4883" t="s">
        <v>21</v>
      </c>
      <c r="G4883" t="s">
        <v>20</v>
      </c>
      <c r="H4883" t="s">
        <v>21</v>
      </c>
      <c r="I4883" t="s">
        <v>20</v>
      </c>
      <c r="J4883" t="s">
        <v>20</v>
      </c>
      <c r="K4883" t="s">
        <v>27</v>
      </c>
      <c r="L4883" t="s">
        <v>327</v>
      </c>
      <c r="M4883" t="s">
        <v>212</v>
      </c>
      <c r="N4883">
        <v>37.480688999999998</v>
      </c>
      <c r="O4883">
        <v>-109.469883</v>
      </c>
      <c r="P4883">
        <v>5280.4399430000003</v>
      </c>
      <c r="Q4883">
        <v>350</v>
      </c>
      <c r="R4883">
        <v>0</v>
      </c>
    </row>
    <row r="4884" spans="1:18" x14ac:dyDescent="0.25">
      <c r="A4884">
        <v>4883</v>
      </c>
      <c r="B4884">
        <v>94</v>
      </c>
      <c r="C4884">
        <v>31502893</v>
      </c>
      <c r="D4884" t="s">
        <v>317</v>
      </c>
      <c r="E4884">
        <v>40.509</v>
      </c>
      <c r="F4884" t="s">
        <v>21</v>
      </c>
      <c r="G4884" t="s">
        <v>20</v>
      </c>
      <c r="H4884" t="s">
        <v>21</v>
      </c>
      <c r="I4884" t="s">
        <v>20</v>
      </c>
      <c r="J4884" t="s">
        <v>20</v>
      </c>
      <c r="K4884" t="s">
        <v>27</v>
      </c>
      <c r="L4884" t="s">
        <v>211</v>
      </c>
      <c r="M4884" t="s">
        <v>212</v>
      </c>
      <c r="N4884">
        <v>37.264178000000001</v>
      </c>
      <c r="O4884">
        <v>-109.641836</v>
      </c>
      <c r="P4884">
        <v>4503.0977990000001</v>
      </c>
      <c r="Q4884">
        <v>1432</v>
      </c>
      <c r="R4884">
        <v>0</v>
      </c>
    </row>
    <row r="4885" spans="1:18" x14ac:dyDescent="0.25">
      <c r="A4885">
        <v>4884</v>
      </c>
      <c r="B4885">
        <v>94</v>
      </c>
      <c r="C4885">
        <v>31398276</v>
      </c>
      <c r="D4885" t="s">
        <v>124</v>
      </c>
      <c r="E4885">
        <v>40.536000000000001</v>
      </c>
      <c r="F4885" t="s">
        <v>21</v>
      </c>
      <c r="G4885" t="s">
        <v>26</v>
      </c>
      <c r="H4885" t="s">
        <v>21</v>
      </c>
      <c r="I4885" t="s">
        <v>20</v>
      </c>
      <c r="J4885" t="s">
        <v>20</v>
      </c>
      <c r="K4885" t="s">
        <v>31</v>
      </c>
      <c r="L4885" t="s">
        <v>89</v>
      </c>
      <c r="M4885" t="s">
        <v>125</v>
      </c>
      <c r="N4885">
        <v>40.496459999999999</v>
      </c>
      <c r="O4885">
        <v>-111.938638</v>
      </c>
      <c r="P4885">
        <v>4391.790172</v>
      </c>
      <c r="Q4885">
        <v>1368</v>
      </c>
      <c r="R4885">
        <v>0</v>
      </c>
    </row>
    <row r="4886" spans="1:18" x14ac:dyDescent="0.25">
      <c r="A4886">
        <v>4885</v>
      </c>
      <c r="B4886">
        <v>94</v>
      </c>
      <c r="C4886">
        <v>31434868</v>
      </c>
      <c r="D4886" t="s">
        <v>221</v>
      </c>
      <c r="E4886">
        <v>40.564999999999998</v>
      </c>
      <c r="F4886" t="s">
        <v>21</v>
      </c>
      <c r="G4886" t="s">
        <v>26</v>
      </c>
      <c r="H4886" t="s">
        <v>21</v>
      </c>
      <c r="I4886" t="s">
        <v>20</v>
      </c>
      <c r="J4886" t="s">
        <v>20</v>
      </c>
      <c r="K4886" t="s">
        <v>22</v>
      </c>
      <c r="L4886" t="s">
        <v>155</v>
      </c>
      <c r="M4886" t="s">
        <v>174</v>
      </c>
      <c r="N4886">
        <v>39.707113</v>
      </c>
      <c r="O4886">
        <v>-111.83614</v>
      </c>
      <c r="P4886">
        <v>5074.9023070000003</v>
      </c>
      <c r="Q4886">
        <v>1342</v>
      </c>
      <c r="R4886">
        <v>0</v>
      </c>
    </row>
    <row r="4887" spans="1:18" x14ac:dyDescent="0.25">
      <c r="A4887">
        <v>4886</v>
      </c>
      <c r="B4887">
        <v>94</v>
      </c>
      <c r="C4887">
        <v>31398287</v>
      </c>
      <c r="D4887" t="s">
        <v>124</v>
      </c>
      <c r="E4887">
        <v>40.597000000000001</v>
      </c>
      <c r="F4887" t="s">
        <v>21</v>
      </c>
      <c r="G4887" t="s">
        <v>26</v>
      </c>
      <c r="H4887" t="s">
        <v>21</v>
      </c>
      <c r="I4887" t="s">
        <v>20</v>
      </c>
      <c r="J4887" t="s">
        <v>20</v>
      </c>
      <c r="K4887" t="s">
        <v>31</v>
      </c>
      <c r="L4887" t="s">
        <v>89</v>
      </c>
      <c r="M4887" t="s">
        <v>125</v>
      </c>
      <c r="N4887">
        <v>40.497346999999998</v>
      </c>
      <c r="O4887">
        <v>-111.938631</v>
      </c>
      <c r="P4887">
        <v>4397.0965290000004</v>
      </c>
      <c r="Q4887">
        <v>1368</v>
      </c>
      <c r="R4887">
        <v>0</v>
      </c>
    </row>
    <row r="4888" spans="1:18" x14ac:dyDescent="0.25">
      <c r="A4888">
        <v>4887</v>
      </c>
      <c r="B4888">
        <v>94</v>
      </c>
      <c r="C4888" t="e">
        <f>-JN0i_mcH_PFJkcBL-tDHF</f>
        <v>#NAME?</v>
      </c>
      <c r="D4888" t="s">
        <v>184</v>
      </c>
      <c r="E4888">
        <v>40.621000000000002</v>
      </c>
      <c r="F4888" t="s">
        <v>21</v>
      </c>
      <c r="G4888" t="s">
        <v>20</v>
      </c>
      <c r="H4888" t="s">
        <v>21</v>
      </c>
      <c r="I4888" t="s">
        <v>20</v>
      </c>
      <c r="J4888" t="s">
        <v>20</v>
      </c>
      <c r="K4888" t="s">
        <v>27</v>
      </c>
      <c r="L4888" t="s">
        <v>143</v>
      </c>
      <c r="M4888" t="s">
        <v>55</v>
      </c>
      <c r="N4888">
        <v>38.188113999999999</v>
      </c>
      <c r="O4888">
        <v>-112.938883</v>
      </c>
      <c r="P4888">
        <v>5391.8414789999997</v>
      </c>
      <c r="Q4888">
        <v>1410</v>
      </c>
      <c r="R4888">
        <v>0</v>
      </c>
    </row>
    <row r="4889" spans="1:18" x14ac:dyDescent="0.25">
      <c r="A4889">
        <v>4888</v>
      </c>
      <c r="B4889">
        <v>94</v>
      </c>
      <c r="C4889">
        <v>27726599</v>
      </c>
      <c r="D4889" t="s">
        <v>217</v>
      </c>
      <c r="E4889">
        <v>40.634999999999998</v>
      </c>
      <c r="F4889" t="s">
        <v>21</v>
      </c>
      <c r="G4889" t="s">
        <v>26</v>
      </c>
      <c r="H4889" t="s">
        <v>21</v>
      </c>
      <c r="I4889" t="s">
        <v>20</v>
      </c>
      <c r="J4889" t="s">
        <v>20</v>
      </c>
      <c r="K4889" t="s">
        <v>27</v>
      </c>
      <c r="L4889" t="s">
        <v>162</v>
      </c>
      <c r="M4889" t="s">
        <v>163</v>
      </c>
      <c r="N4889">
        <v>37.575310999999999</v>
      </c>
      <c r="O4889">
        <v>-113.699568</v>
      </c>
      <c r="P4889">
        <v>5292.3081140000004</v>
      </c>
      <c r="Q4889">
        <v>304</v>
      </c>
      <c r="R4889">
        <v>0</v>
      </c>
    </row>
    <row r="4890" spans="1:18" x14ac:dyDescent="0.25">
      <c r="A4890">
        <v>4889</v>
      </c>
      <c r="B4890">
        <v>94</v>
      </c>
      <c r="C4890">
        <v>1228878</v>
      </c>
      <c r="D4890" t="s">
        <v>108</v>
      </c>
      <c r="E4890">
        <v>3.3679999999999999</v>
      </c>
      <c r="F4890" t="s">
        <v>21</v>
      </c>
      <c r="G4890" t="s">
        <v>26</v>
      </c>
      <c r="H4890" t="s">
        <v>21</v>
      </c>
      <c r="I4890" t="s">
        <v>20</v>
      </c>
      <c r="J4890" t="s">
        <v>20</v>
      </c>
      <c r="K4890" t="s">
        <v>41</v>
      </c>
      <c r="L4890" t="s">
        <v>81</v>
      </c>
      <c r="M4890" t="s">
        <v>93</v>
      </c>
      <c r="N4890">
        <v>41.196173999999999</v>
      </c>
      <c r="O4890">
        <v>-111.975436</v>
      </c>
      <c r="P4890">
        <v>4321.3116129999999</v>
      </c>
      <c r="Q4890">
        <v>1341</v>
      </c>
      <c r="R4890">
        <v>0</v>
      </c>
    </row>
    <row r="4891" spans="1:18" x14ac:dyDescent="0.25">
      <c r="A4891">
        <v>4890</v>
      </c>
      <c r="B4891">
        <v>94</v>
      </c>
      <c r="C4891">
        <v>1140696</v>
      </c>
      <c r="D4891" t="s">
        <v>56</v>
      </c>
      <c r="E4891">
        <v>3.3740000000000001</v>
      </c>
      <c r="F4891" t="s">
        <v>21</v>
      </c>
      <c r="G4891" t="s">
        <v>26</v>
      </c>
      <c r="H4891" t="s">
        <v>21</v>
      </c>
      <c r="I4891" t="s">
        <v>20</v>
      </c>
      <c r="J4891" t="s">
        <v>20</v>
      </c>
      <c r="K4891" t="s">
        <v>41</v>
      </c>
      <c r="L4891" t="s">
        <v>57</v>
      </c>
      <c r="M4891" t="s">
        <v>58</v>
      </c>
      <c r="N4891">
        <v>41.161667999999999</v>
      </c>
      <c r="O4891">
        <v>-112.058885</v>
      </c>
      <c r="P4891">
        <v>4273.5932069999999</v>
      </c>
      <c r="Q4891">
        <v>1459</v>
      </c>
      <c r="R4891">
        <v>0</v>
      </c>
    </row>
    <row r="4892" spans="1:18" x14ac:dyDescent="0.25">
      <c r="A4892">
        <v>4891</v>
      </c>
      <c r="B4892">
        <v>94</v>
      </c>
      <c r="C4892">
        <v>526567</v>
      </c>
      <c r="D4892" t="s">
        <v>44</v>
      </c>
      <c r="E4892">
        <v>3.375</v>
      </c>
      <c r="F4892" t="s">
        <v>21</v>
      </c>
      <c r="G4892" t="s">
        <v>26</v>
      </c>
      <c r="H4892" t="s">
        <v>21</v>
      </c>
      <c r="I4892" t="s">
        <v>20</v>
      </c>
      <c r="J4892" t="s">
        <v>20</v>
      </c>
      <c r="K4892" t="s">
        <v>41</v>
      </c>
      <c r="L4892" t="s">
        <v>45</v>
      </c>
      <c r="M4892" t="s">
        <v>46</v>
      </c>
      <c r="N4892">
        <v>40.926276000000001</v>
      </c>
      <c r="O4892">
        <v>-111.878945</v>
      </c>
      <c r="P4892">
        <v>4227.0276889999996</v>
      </c>
      <c r="Q4892">
        <v>1395</v>
      </c>
      <c r="R4892">
        <v>0</v>
      </c>
    </row>
    <row r="4893" spans="1:18" x14ac:dyDescent="0.25">
      <c r="A4893">
        <v>4892</v>
      </c>
      <c r="B4893">
        <v>94</v>
      </c>
      <c r="C4893">
        <v>31394760</v>
      </c>
      <c r="D4893" t="s">
        <v>124</v>
      </c>
      <c r="E4893">
        <v>31.902999999999999</v>
      </c>
      <c r="F4893" t="s">
        <v>21</v>
      </c>
      <c r="G4893" t="s">
        <v>26</v>
      </c>
      <c r="H4893" t="s">
        <v>21</v>
      </c>
      <c r="I4893" t="s">
        <v>20</v>
      </c>
      <c r="J4893" t="s">
        <v>20</v>
      </c>
      <c r="K4893" t="s">
        <v>22</v>
      </c>
      <c r="L4893" t="s">
        <v>84</v>
      </c>
      <c r="M4893" t="s">
        <v>125</v>
      </c>
      <c r="N4893">
        <v>40.375509000000001</v>
      </c>
      <c r="O4893">
        <v>-111.916383</v>
      </c>
      <c r="P4893">
        <v>4455.1819340000002</v>
      </c>
      <c r="Q4893">
        <v>1368</v>
      </c>
      <c r="R4893">
        <v>0</v>
      </c>
    </row>
    <row r="4894" spans="1:18" x14ac:dyDescent="0.25">
      <c r="A4894">
        <v>4893</v>
      </c>
      <c r="B4894">
        <v>94</v>
      </c>
      <c r="C4894">
        <v>31617549</v>
      </c>
      <c r="D4894" t="s">
        <v>50</v>
      </c>
      <c r="E4894">
        <v>31.914000000000001</v>
      </c>
      <c r="F4894" t="s">
        <v>21</v>
      </c>
      <c r="G4894" t="s">
        <v>26</v>
      </c>
      <c r="H4894" t="s">
        <v>21</v>
      </c>
      <c r="I4894" t="s">
        <v>20</v>
      </c>
      <c r="J4894" t="s">
        <v>20</v>
      </c>
      <c r="K4894" t="s">
        <v>27</v>
      </c>
      <c r="L4894" t="s">
        <v>247</v>
      </c>
      <c r="M4894" t="s">
        <v>52</v>
      </c>
      <c r="N4894">
        <v>37.695763999999997</v>
      </c>
      <c r="O4894">
        <v>-112.663783</v>
      </c>
      <c r="P4894">
        <v>8360.8516940000009</v>
      </c>
      <c r="Q4894">
        <v>1418</v>
      </c>
      <c r="R4894">
        <v>0</v>
      </c>
    </row>
    <row r="4895" spans="1:18" x14ac:dyDescent="0.25">
      <c r="A4895">
        <v>4894</v>
      </c>
      <c r="B4895">
        <v>94</v>
      </c>
      <c r="C4895" t="s">
        <v>689</v>
      </c>
      <c r="D4895" t="s">
        <v>176</v>
      </c>
      <c r="E4895">
        <v>6.851</v>
      </c>
      <c r="F4895" t="s">
        <v>21</v>
      </c>
      <c r="G4895" t="s">
        <v>26</v>
      </c>
      <c r="H4895" t="s">
        <v>21</v>
      </c>
      <c r="I4895" t="s">
        <v>20</v>
      </c>
      <c r="J4895" t="s">
        <v>20</v>
      </c>
      <c r="K4895" t="s">
        <v>41</v>
      </c>
      <c r="L4895" t="s">
        <v>177</v>
      </c>
      <c r="M4895" t="s">
        <v>178</v>
      </c>
      <c r="N4895">
        <v>41.542437999999997</v>
      </c>
      <c r="O4895">
        <v>-112.088739</v>
      </c>
      <c r="P4895">
        <v>4176.1081249999997</v>
      </c>
      <c r="Q4895">
        <v>1329</v>
      </c>
      <c r="R4895">
        <v>0</v>
      </c>
    </row>
    <row r="4896" spans="1:18" x14ac:dyDescent="0.25">
      <c r="A4896">
        <v>4895</v>
      </c>
      <c r="B4896">
        <v>94</v>
      </c>
      <c r="C4896">
        <v>31448758</v>
      </c>
      <c r="D4896" t="s">
        <v>254</v>
      </c>
      <c r="E4896">
        <v>6.8520000000000003</v>
      </c>
      <c r="F4896" t="s">
        <v>21</v>
      </c>
      <c r="G4896" t="s">
        <v>26</v>
      </c>
      <c r="H4896" t="s">
        <v>21</v>
      </c>
      <c r="I4896" t="s">
        <v>20</v>
      </c>
      <c r="J4896" t="s">
        <v>20</v>
      </c>
      <c r="K4896" t="s">
        <v>41</v>
      </c>
      <c r="L4896" t="s">
        <v>255</v>
      </c>
      <c r="M4896" t="s">
        <v>204</v>
      </c>
      <c r="N4896">
        <v>41.336962999999997</v>
      </c>
      <c r="O4896">
        <v>-111.82682200000001</v>
      </c>
      <c r="P4896">
        <v>5357.6333960000002</v>
      </c>
      <c r="Q4896">
        <v>1429</v>
      </c>
      <c r="R4896">
        <v>0</v>
      </c>
    </row>
    <row r="4897" spans="1:18" x14ac:dyDescent="0.25">
      <c r="A4897">
        <v>4896</v>
      </c>
      <c r="B4897">
        <v>94</v>
      </c>
      <c r="C4897">
        <v>31364721</v>
      </c>
      <c r="D4897" t="s">
        <v>343</v>
      </c>
      <c r="E4897">
        <v>6.8529999999999998</v>
      </c>
      <c r="F4897" t="s">
        <v>21</v>
      </c>
      <c r="G4897" t="s">
        <v>26</v>
      </c>
      <c r="H4897" t="s">
        <v>21</v>
      </c>
      <c r="I4897" t="s">
        <v>20</v>
      </c>
      <c r="J4897" t="s">
        <v>20</v>
      </c>
      <c r="K4897" t="s">
        <v>27</v>
      </c>
      <c r="L4897" t="s">
        <v>230</v>
      </c>
      <c r="M4897" t="s">
        <v>82</v>
      </c>
      <c r="N4897">
        <v>39.546754999999997</v>
      </c>
      <c r="O4897">
        <v>-111.459181</v>
      </c>
      <c r="P4897">
        <v>5835.1972750000004</v>
      </c>
      <c r="Q4897">
        <v>1402</v>
      </c>
      <c r="R4897">
        <v>0</v>
      </c>
    </row>
    <row r="4898" spans="1:18" x14ac:dyDescent="0.25">
      <c r="A4898">
        <v>4897</v>
      </c>
      <c r="B4898">
        <v>94</v>
      </c>
      <c r="C4898">
        <v>31480959</v>
      </c>
      <c r="D4898" t="s">
        <v>244</v>
      </c>
      <c r="E4898">
        <v>6.86</v>
      </c>
      <c r="F4898" t="s">
        <v>21</v>
      </c>
      <c r="G4898" t="s">
        <v>26</v>
      </c>
      <c r="H4898" t="s">
        <v>21</v>
      </c>
      <c r="I4898" t="s">
        <v>20</v>
      </c>
      <c r="J4898" t="s">
        <v>20</v>
      </c>
      <c r="K4898" t="s">
        <v>27</v>
      </c>
      <c r="L4898" t="s">
        <v>183</v>
      </c>
      <c r="M4898" t="s">
        <v>58</v>
      </c>
      <c r="N4898">
        <v>38.882033</v>
      </c>
      <c r="O4898">
        <v>-111.95452</v>
      </c>
      <c r="P4898">
        <v>5152.9907720000001</v>
      </c>
      <c r="Q4898">
        <v>1340</v>
      </c>
      <c r="R4898">
        <v>0</v>
      </c>
    </row>
    <row r="4899" spans="1:18" x14ac:dyDescent="0.25">
      <c r="A4899">
        <v>4898</v>
      </c>
      <c r="B4899">
        <v>94</v>
      </c>
      <c r="C4899">
        <v>31312321</v>
      </c>
      <c r="D4899" t="s">
        <v>40</v>
      </c>
      <c r="E4899">
        <v>6.8620000000000001</v>
      </c>
      <c r="F4899" t="s">
        <v>21</v>
      </c>
      <c r="G4899" t="s">
        <v>26</v>
      </c>
      <c r="H4899" t="s">
        <v>21</v>
      </c>
      <c r="I4899" t="s">
        <v>20</v>
      </c>
      <c r="J4899" t="s">
        <v>20</v>
      </c>
      <c r="K4899" t="s">
        <v>41</v>
      </c>
      <c r="L4899" t="s">
        <v>42</v>
      </c>
      <c r="M4899" t="s">
        <v>43</v>
      </c>
      <c r="N4899">
        <v>41.634065999999997</v>
      </c>
      <c r="O4899">
        <v>-111.814685</v>
      </c>
      <c r="P4899">
        <v>4774.1998270000004</v>
      </c>
      <c r="Q4899">
        <v>1391</v>
      </c>
      <c r="R4899">
        <v>0</v>
      </c>
    </row>
    <row r="4900" spans="1:18" x14ac:dyDescent="0.25">
      <c r="A4900">
        <v>4899</v>
      </c>
      <c r="B4900">
        <v>94</v>
      </c>
      <c r="C4900">
        <v>31354977</v>
      </c>
      <c r="D4900" t="s">
        <v>34</v>
      </c>
      <c r="E4900">
        <v>6.8639999999999999</v>
      </c>
      <c r="F4900" t="s">
        <v>21</v>
      </c>
      <c r="G4900" t="s">
        <v>26</v>
      </c>
      <c r="H4900" t="s">
        <v>21</v>
      </c>
      <c r="I4900" t="s">
        <v>20</v>
      </c>
      <c r="J4900" t="s">
        <v>20</v>
      </c>
      <c r="K4900" t="s">
        <v>22</v>
      </c>
      <c r="L4900" t="s">
        <v>35</v>
      </c>
      <c r="M4900" t="s">
        <v>36</v>
      </c>
      <c r="N4900">
        <v>40.506400999999997</v>
      </c>
      <c r="O4900">
        <v>-111.41872100000001</v>
      </c>
      <c r="P4900">
        <v>5531.3756279999998</v>
      </c>
      <c r="Q4900">
        <v>1400</v>
      </c>
      <c r="R4900">
        <v>0</v>
      </c>
    </row>
    <row r="4901" spans="1:18" x14ac:dyDescent="0.25">
      <c r="A4901">
        <v>4900</v>
      </c>
      <c r="B4901">
        <v>94</v>
      </c>
      <c r="C4901">
        <v>568021</v>
      </c>
      <c r="D4901" t="s">
        <v>115</v>
      </c>
      <c r="E4901">
        <v>6.8680000000000003</v>
      </c>
      <c r="F4901" t="s">
        <v>21</v>
      </c>
      <c r="G4901" t="s">
        <v>26</v>
      </c>
      <c r="H4901" t="s">
        <v>21</v>
      </c>
      <c r="I4901" t="s">
        <v>20</v>
      </c>
      <c r="J4901" t="s">
        <v>20</v>
      </c>
      <c r="K4901" t="s">
        <v>31</v>
      </c>
      <c r="L4901" t="s">
        <v>48</v>
      </c>
      <c r="M4901" t="s">
        <v>70</v>
      </c>
      <c r="N4901">
        <v>40.653104999999996</v>
      </c>
      <c r="O4901">
        <v>-111.946455</v>
      </c>
      <c r="P4901">
        <v>4291.3729219999996</v>
      </c>
      <c r="Q4901">
        <v>1437</v>
      </c>
      <c r="R4901">
        <v>0</v>
      </c>
    </row>
    <row r="4902" spans="1:18" x14ac:dyDescent="0.25">
      <c r="A4902">
        <v>4901</v>
      </c>
      <c r="B4902">
        <v>94</v>
      </c>
      <c r="C4902" t="e">
        <f>-IowZ0B9F_TZgl5-Z4sRkk</f>
        <v>#NAME?</v>
      </c>
      <c r="D4902" t="s">
        <v>323</v>
      </c>
      <c r="E4902">
        <v>6.8760000000000003</v>
      </c>
      <c r="F4902" t="s">
        <v>21</v>
      </c>
      <c r="G4902" t="s">
        <v>20</v>
      </c>
      <c r="H4902" t="s">
        <v>21</v>
      </c>
      <c r="I4902" t="s">
        <v>20</v>
      </c>
      <c r="J4902" t="s">
        <v>20</v>
      </c>
      <c r="K4902" t="s">
        <v>22</v>
      </c>
      <c r="L4902" t="s">
        <v>35</v>
      </c>
      <c r="M4902" t="s">
        <v>131</v>
      </c>
      <c r="N4902">
        <v>40.598005999999998</v>
      </c>
      <c r="O4902">
        <v>-111.34311</v>
      </c>
      <c r="P4902">
        <v>6298.6231980000002</v>
      </c>
      <c r="Q4902">
        <v>1345</v>
      </c>
      <c r="R4902">
        <v>0</v>
      </c>
    </row>
    <row r="4903" spans="1:18" x14ac:dyDescent="0.25">
      <c r="A4903">
        <v>4902</v>
      </c>
      <c r="B4903">
        <v>94</v>
      </c>
      <c r="C4903">
        <v>31301212</v>
      </c>
      <c r="D4903" t="s">
        <v>203</v>
      </c>
      <c r="E4903">
        <v>6.8769999999999998</v>
      </c>
      <c r="F4903" t="s">
        <v>21</v>
      </c>
      <c r="G4903" t="s">
        <v>26</v>
      </c>
      <c r="H4903" t="s">
        <v>21</v>
      </c>
      <c r="I4903" t="s">
        <v>20</v>
      </c>
      <c r="J4903" t="s">
        <v>20</v>
      </c>
      <c r="K4903" t="s">
        <v>41</v>
      </c>
      <c r="L4903" t="s">
        <v>81</v>
      </c>
      <c r="M4903" t="s">
        <v>204</v>
      </c>
      <c r="N4903">
        <v>41.244183999999997</v>
      </c>
      <c r="O4903">
        <v>-111.960688</v>
      </c>
      <c r="P4903">
        <v>4263.0153829999999</v>
      </c>
      <c r="Q4903">
        <v>1349</v>
      </c>
      <c r="R4903">
        <v>0</v>
      </c>
    </row>
    <row r="4904" spans="1:18" x14ac:dyDescent="0.25">
      <c r="A4904">
        <v>4903</v>
      </c>
      <c r="B4904">
        <v>94</v>
      </c>
      <c r="C4904">
        <v>31408459</v>
      </c>
      <c r="D4904" t="s">
        <v>224</v>
      </c>
      <c r="E4904">
        <v>6.89</v>
      </c>
      <c r="F4904" t="s">
        <v>21</v>
      </c>
      <c r="G4904" t="s">
        <v>26</v>
      </c>
      <c r="H4904" t="s">
        <v>21</v>
      </c>
      <c r="I4904" t="s">
        <v>20</v>
      </c>
      <c r="J4904" t="s">
        <v>20</v>
      </c>
      <c r="K4904" t="s">
        <v>22</v>
      </c>
      <c r="L4904" t="s">
        <v>198</v>
      </c>
      <c r="M4904" t="s">
        <v>194</v>
      </c>
      <c r="N4904">
        <v>40.046506999999998</v>
      </c>
      <c r="O4904">
        <v>-111.704313</v>
      </c>
      <c r="P4904">
        <v>4527.6367909999999</v>
      </c>
      <c r="Q4904">
        <v>408</v>
      </c>
      <c r="R4904">
        <v>0</v>
      </c>
    </row>
    <row r="4905" spans="1:18" x14ac:dyDescent="0.25">
      <c r="A4905">
        <v>4904</v>
      </c>
      <c r="B4905">
        <v>94</v>
      </c>
      <c r="C4905">
        <v>837055</v>
      </c>
      <c r="D4905" t="s">
        <v>68</v>
      </c>
      <c r="E4905">
        <v>6.8940000000000001</v>
      </c>
      <c r="F4905" t="s">
        <v>19</v>
      </c>
      <c r="G4905" t="s">
        <v>20</v>
      </c>
      <c r="H4905" t="s">
        <v>21</v>
      </c>
      <c r="I4905" t="s">
        <v>20</v>
      </c>
      <c r="J4905" t="s">
        <v>20</v>
      </c>
      <c r="K4905" t="s">
        <v>31</v>
      </c>
      <c r="L4905" t="s">
        <v>32</v>
      </c>
      <c r="M4905" t="s">
        <v>70</v>
      </c>
      <c r="N4905">
        <v>40.674216000000001</v>
      </c>
      <c r="O4905">
        <v>-111.824532</v>
      </c>
      <c r="P4905">
        <v>4457.3145679999998</v>
      </c>
      <c r="Q4905">
        <v>431</v>
      </c>
      <c r="R4905">
        <v>0</v>
      </c>
    </row>
    <row r="4906" spans="1:18" x14ac:dyDescent="0.25">
      <c r="A4906">
        <v>4905</v>
      </c>
      <c r="B4906">
        <v>94</v>
      </c>
      <c r="C4906">
        <v>1031188</v>
      </c>
      <c r="D4906" t="s">
        <v>171</v>
      </c>
      <c r="E4906">
        <v>6.8979999999999997</v>
      </c>
      <c r="F4906" t="s">
        <v>19</v>
      </c>
      <c r="G4906" t="s">
        <v>20</v>
      </c>
      <c r="H4906" t="s">
        <v>21</v>
      </c>
      <c r="I4906" t="s">
        <v>20</v>
      </c>
      <c r="J4906" t="s">
        <v>20</v>
      </c>
      <c r="K4906" t="s">
        <v>31</v>
      </c>
      <c r="L4906" t="s">
        <v>362</v>
      </c>
      <c r="M4906" t="s">
        <v>79</v>
      </c>
      <c r="N4906">
        <v>40.69661</v>
      </c>
      <c r="O4906">
        <v>-111.960228</v>
      </c>
      <c r="P4906">
        <v>4199.4797529999996</v>
      </c>
      <c r="Q4906">
        <v>346</v>
      </c>
      <c r="R4906">
        <v>0</v>
      </c>
    </row>
    <row r="4907" spans="1:18" x14ac:dyDescent="0.25">
      <c r="A4907">
        <v>4906</v>
      </c>
      <c r="B4907">
        <v>94</v>
      </c>
      <c r="C4907">
        <v>28832757</v>
      </c>
      <c r="D4907" t="s">
        <v>316</v>
      </c>
      <c r="E4907">
        <v>6.9009999999999998</v>
      </c>
      <c r="F4907" t="s">
        <v>21</v>
      </c>
      <c r="G4907" t="s">
        <v>26</v>
      </c>
      <c r="H4907" t="s">
        <v>21</v>
      </c>
      <c r="I4907" t="s">
        <v>20</v>
      </c>
      <c r="J4907" t="s">
        <v>20</v>
      </c>
      <c r="K4907" t="s">
        <v>31</v>
      </c>
      <c r="L4907" t="s">
        <v>130</v>
      </c>
      <c r="M4907" t="s">
        <v>302</v>
      </c>
      <c r="N4907">
        <v>40.560718999999999</v>
      </c>
      <c r="O4907">
        <v>-111.18165500000001</v>
      </c>
      <c r="P4907">
        <v>6868.8458639999999</v>
      </c>
      <c r="Q4907">
        <v>1346</v>
      </c>
      <c r="R4907">
        <v>0</v>
      </c>
    </row>
    <row r="4908" spans="1:18" x14ac:dyDescent="0.25">
      <c r="A4908">
        <v>4907</v>
      </c>
      <c r="B4908">
        <v>94</v>
      </c>
      <c r="C4908">
        <v>31301223</v>
      </c>
      <c r="D4908" t="s">
        <v>203</v>
      </c>
      <c r="E4908">
        <v>6.9050000000000002</v>
      </c>
      <c r="F4908" t="s">
        <v>21</v>
      </c>
      <c r="G4908" t="s">
        <v>26</v>
      </c>
      <c r="H4908" t="s">
        <v>21</v>
      </c>
      <c r="I4908" t="s">
        <v>20</v>
      </c>
      <c r="J4908" t="s">
        <v>20</v>
      </c>
      <c r="K4908" t="s">
        <v>41</v>
      </c>
      <c r="L4908" t="s">
        <v>81</v>
      </c>
      <c r="M4908" t="s">
        <v>204</v>
      </c>
      <c r="N4908">
        <v>41.244185999999999</v>
      </c>
      <c r="O4908">
        <v>-111.960139</v>
      </c>
      <c r="P4908">
        <v>4264.4572440000002</v>
      </c>
      <c r="Q4908">
        <v>1349</v>
      </c>
      <c r="R4908">
        <v>0</v>
      </c>
    </row>
    <row r="4909" spans="1:18" x14ac:dyDescent="0.25">
      <c r="A4909">
        <v>4908</v>
      </c>
      <c r="B4909">
        <v>94</v>
      </c>
      <c r="C4909">
        <v>31291212</v>
      </c>
      <c r="D4909" t="s">
        <v>126</v>
      </c>
      <c r="E4909">
        <v>6.907</v>
      </c>
      <c r="F4909" t="s">
        <v>21</v>
      </c>
      <c r="G4909" t="s">
        <v>26</v>
      </c>
      <c r="H4909" t="s">
        <v>21</v>
      </c>
      <c r="I4909" t="s">
        <v>20</v>
      </c>
      <c r="J4909" t="s">
        <v>20</v>
      </c>
      <c r="K4909" t="s">
        <v>41</v>
      </c>
      <c r="L4909" t="s">
        <v>57</v>
      </c>
      <c r="M4909" t="s">
        <v>93</v>
      </c>
      <c r="N4909">
        <v>41.291285000000002</v>
      </c>
      <c r="O4909">
        <v>-112.093214</v>
      </c>
      <c r="P4909">
        <v>4186.3961470000004</v>
      </c>
      <c r="Q4909">
        <v>1412</v>
      </c>
      <c r="R4909">
        <v>0</v>
      </c>
    </row>
    <row r="4910" spans="1:18" x14ac:dyDescent="0.25">
      <c r="A4910">
        <v>4909</v>
      </c>
      <c r="B4910">
        <v>94</v>
      </c>
      <c r="C4910">
        <v>31278563</v>
      </c>
      <c r="D4910" t="s">
        <v>288</v>
      </c>
      <c r="E4910">
        <v>6.91</v>
      </c>
      <c r="F4910" t="s">
        <v>21</v>
      </c>
      <c r="G4910" t="s">
        <v>20</v>
      </c>
      <c r="H4910" t="s">
        <v>21</v>
      </c>
      <c r="I4910" t="s">
        <v>20</v>
      </c>
      <c r="J4910" t="s">
        <v>20</v>
      </c>
      <c r="K4910" t="s">
        <v>27</v>
      </c>
      <c r="L4910" t="s">
        <v>211</v>
      </c>
      <c r="M4910" t="s">
        <v>318</v>
      </c>
      <c r="N4910">
        <v>37.079895</v>
      </c>
      <c r="O4910">
        <v>-109.548046</v>
      </c>
      <c r="P4910">
        <v>4752.1603830000004</v>
      </c>
      <c r="Q4910">
        <v>350</v>
      </c>
      <c r="R4910">
        <v>0</v>
      </c>
    </row>
    <row r="4911" spans="1:18" x14ac:dyDescent="0.25">
      <c r="A4911">
        <v>4910</v>
      </c>
      <c r="B4911">
        <v>94</v>
      </c>
      <c r="C4911">
        <v>538746</v>
      </c>
      <c r="D4911" t="s">
        <v>44</v>
      </c>
      <c r="E4911">
        <v>6.9119999999999999</v>
      </c>
      <c r="F4911" t="s">
        <v>21</v>
      </c>
      <c r="G4911" t="s">
        <v>26</v>
      </c>
      <c r="H4911" t="s">
        <v>21</v>
      </c>
      <c r="I4911" t="s">
        <v>20</v>
      </c>
      <c r="J4911" t="s">
        <v>20</v>
      </c>
      <c r="K4911" t="s">
        <v>41</v>
      </c>
      <c r="L4911" t="s">
        <v>87</v>
      </c>
      <c r="M4911" t="s">
        <v>46</v>
      </c>
      <c r="N4911">
        <v>40.977142999999998</v>
      </c>
      <c r="O4911">
        <v>-111.883264</v>
      </c>
      <c r="P4911">
        <v>4306.9010349999999</v>
      </c>
      <c r="Q4911">
        <v>1395</v>
      </c>
      <c r="R4911">
        <v>0</v>
      </c>
    </row>
    <row r="4912" spans="1:18" x14ac:dyDescent="0.25">
      <c r="A4912">
        <v>4911</v>
      </c>
      <c r="B4912">
        <v>94</v>
      </c>
      <c r="C4912">
        <v>31195396</v>
      </c>
      <c r="D4912" t="s">
        <v>395</v>
      </c>
      <c r="E4912">
        <v>6.915</v>
      </c>
      <c r="F4912" t="s">
        <v>21</v>
      </c>
      <c r="G4912" t="s">
        <v>26</v>
      </c>
      <c r="H4912" t="s">
        <v>21</v>
      </c>
      <c r="I4912" t="s">
        <v>20</v>
      </c>
      <c r="J4912" t="s">
        <v>20</v>
      </c>
      <c r="K4912" t="s">
        <v>27</v>
      </c>
      <c r="L4912" t="s">
        <v>165</v>
      </c>
      <c r="M4912" t="s">
        <v>166</v>
      </c>
      <c r="N4912">
        <v>38.891021000000002</v>
      </c>
      <c r="O4912">
        <v>-112.410702</v>
      </c>
      <c r="P4912">
        <v>4772.9983359999997</v>
      </c>
      <c r="Q4912">
        <v>335</v>
      </c>
      <c r="R4912">
        <v>0</v>
      </c>
    </row>
    <row r="4913" spans="1:18" x14ac:dyDescent="0.25">
      <c r="A4913">
        <v>4912</v>
      </c>
      <c r="B4913">
        <v>94</v>
      </c>
      <c r="C4913">
        <v>31837508</v>
      </c>
      <c r="D4913" t="s">
        <v>290</v>
      </c>
      <c r="E4913">
        <v>58.923999999999999</v>
      </c>
      <c r="F4913" t="s">
        <v>21</v>
      </c>
      <c r="G4913" t="s">
        <v>20</v>
      </c>
      <c r="H4913" t="s">
        <v>21</v>
      </c>
      <c r="I4913" t="s">
        <v>20</v>
      </c>
      <c r="J4913" t="s">
        <v>20</v>
      </c>
      <c r="K4913" t="s">
        <v>41</v>
      </c>
      <c r="L4913" t="s">
        <v>291</v>
      </c>
      <c r="M4913" t="s">
        <v>238</v>
      </c>
      <c r="N4913">
        <v>41.817362000000003</v>
      </c>
      <c r="O4913">
        <v>-113.252025</v>
      </c>
      <c r="P4913">
        <v>5242.7917399999997</v>
      </c>
      <c r="Q4913">
        <v>1343</v>
      </c>
      <c r="R4913">
        <v>0</v>
      </c>
    </row>
    <row r="4914" spans="1:18" x14ac:dyDescent="0.25">
      <c r="A4914">
        <v>4913</v>
      </c>
      <c r="B4914">
        <v>94</v>
      </c>
      <c r="C4914" t="e">
        <f>-JWRt2_EG_ujnlJr780Ojk</f>
        <v>#NAME?</v>
      </c>
      <c r="D4914" t="s">
        <v>316</v>
      </c>
      <c r="E4914">
        <v>58.935000000000002</v>
      </c>
      <c r="F4914" t="s">
        <v>21</v>
      </c>
      <c r="G4914" t="s">
        <v>20</v>
      </c>
      <c r="H4914" t="s">
        <v>21</v>
      </c>
      <c r="I4914" t="s">
        <v>20</v>
      </c>
      <c r="J4914" t="s">
        <v>20</v>
      </c>
      <c r="K4914" t="s">
        <v>22</v>
      </c>
      <c r="L4914" t="s">
        <v>168</v>
      </c>
      <c r="M4914" t="s">
        <v>302</v>
      </c>
      <c r="N4914">
        <v>40.270868999999998</v>
      </c>
      <c r="O4914">
        <v>-110.43293799999999</v>
      </c>
      <c r="P4914">
        <v>5810.6176400000004</v>
      </c>
      <c r="Q4914">
        <v>1346</v>
      </c>
      <c r="R4914">
        <v>0</v>
      </c>
    </row>
    <row r="4915" spans="1:18" x14ac:dyDescent="0.25">
      <c r="A4915">
        <v>4914</v>
      </c>
      <c r="B4915">
        <v>94</v>
      </c>
      <c r="C4915">
        <v>28216904</v>
      </c>
      <c r="D4915" t="s">
        <v>220</v>
      </c>
      <c r="E4915">
        <v>58.966000000000001</v>
      </c>
      <c r="F4915" t="s">
        <v>21</v>
      </c>
      <c r="G4915" t="s">
        <v>26</v>
      </c>
      <c r="H4915" t="s">
        <v>21</v>
      </c>
      <c r="I4915" t="s">
        <v>20</v>
      </c>
      <c r="J4915" t="s">
        <v>20</v>
      </c>
      <c r="K4915" t="s">
        <v>27</v>
      </c>
      <c r="L4915" t="s">
        <v>28</v>
      </c>
      <c r="M4915" t="s">
        <v>366</v>
      </c>
      <c r="N4915">
        <v>37.770699999999998</v>
      </c>
      <c r="O4915">
        <v>-111.60990099999999</v>
      </c>
      <c r="P4915">
        <v>5821.3769990000001</v>
      </c>
      <c r="Q4915">
        <v>1328</v>
      </c>
      <c r="R4915">
        <v>0</v>
      </c>
    </row>
    <row r="4916" spans="1:18" x14ac:dyDescent="0.25">
      <c r="A4916">
        <v>4915</v>
      </c>
      <c r="B4916">
        <v>94</v>
      </c>
      <c r="C4916">
        <v>31470963</v>
      </c>
      <c r="D4916" t="s">
        <v>319</v>
      </c>
      <c r="E4916">
        <v>59.003</v>
      </c>
      <c r="F4916" t="s">
        <v>19</v>
      </c>
      <c r="G4916" t="s">
        <v>20</v>
      </c>
      <c r="H4916" t="s">
        <v>21</v>
      </c>
      <c r="I4916" t="s">
        <v>20</v>
      </c>
      <c r="J4916" t="s">
        <v>20</v>
      </c>
      <c r="K4916" t="s">
        <v>27</v>
      </c>
      <c r="L4916" t="s">
        <v>54</v>
      </c>
      <c r="M4916" t="s">
        <v>55</v>
      </c>
      <c r="N4916">
        <v>37.685040000000001</v>
      </c>
      <c r="O4916">
        <v>-113.106458</v>
      </c>
      <c r="P4916">
        <v>5510.9828200000002</v>
      </c>
      <c r="Q4916">
        <v>314</v>
      </c>
      <c r="R4916">
        <v>0</v>
      </c>
    </row>
    <row r="4917" spans="1:18" x14ac:dyDescent="0.25">
      <c r="A4917">
        <v>4916</v>
      </c>
      <c r="B4917">
        <v>94</v>
      </c>
      <c r="C4917">
        <v>31507429</v>
      </c>
      <c r="D4917" t="s">
        <v>124</v>
      </c>
      <c r="E4917">
        <v>59.045000000000002</v>
      </c>
      <c r="F4917" t="s">
        <v>19</v>
      </c>
      <c r="G4917" t="s">
        <v>20</v>
      </c>
      <c r="H4917" t="s">
        <v>21</v>
      </c>
      <c r="I4917" t="s">
        <v>20</v>
      </c>
      <c r="J4917" t="s">
        <v>20</v>
      </c>
      <c r="K4917" t="s">
        <v>31</v>
      </c>
      <c r="L4917" t="s">
        <v>362</v>
      </c>
      <c r="M4917" t="s">
        <v>365</v>
      </c>
      <c r="N4917">
        <v>40.765434999999997</v>
      </c>
      <c r="O4917">
        <v>-111.939144</v>
      </c>
      <c r="P4917">
        <v>4202.091649</v>
      </c>
      <c r="Q4917">
        <v>1368</v>
      </c>
      <c r="R4917">
        <v>0</v>
      </c>
    </row>
    <row r="4918" spans="1:18" x14ac:dyDescent="0.25">
      <c r="A4918">
        <v>4917</v>
      </c>
      <c r="B4918">
        <v>94</v>
      </c>
      <c r="C4918">
        <v>31368757</v>
      </c>
      <c r="D4918" t="s">
        <v>199</v>
      </c>
      <c r="E4918">
        <v>0.377</v>
      </c>
      <c r="F4918" t="s">
        <v>21</v>
      </c>
      <c r="G4918" t="s">
        <v>26</v>
      </c>
      <c r="H4918" t="s">
        <v>21</v>
      </c>
      <c r="I4918" t="s">
        <v>20</v>
      </c>
      <c r="J4918" t="s">
        <v>20</v>
      </c>
      <c r="K4918" t="s">
        <v>27</v>
      </c>
      <c r="L4918" t="s">
        <v>103</v>
      </c>
      <c r="M4918" t="s">
        <v>200</v>
      </c>
      <c r="N4918">
        <v>38.276952000000001</v>
      </c>
      <c r="O4918">
        <v>-112.634367</v>
      </c>
      <c r="P4918">
        <v>5858.8171160000002</v>
      </c>
      <c r="Q4918">
        <v>341</v>
      </c>
      <c r="R4918">
        <v>0</v>
      </c>
    </row>
    <row r="4919" spans="1:18" x14ac:dyDescent="0.25">
      <c r="A4919">
        <v>4918</v>
      </c>
      <c r="B4919">
        <v>94</v>
      </c>
      <c r="C4919">
        <v>1393461</v>
      </c>
      <c r="D4919" t="s">
        <v>88</v>
      </c>
      <c r="E4919">
        <v>0.378</v>
      </c>
      <c r="F4919" t="s">
        <v>19</v>
      </c>
      <c r="G4919" t="s">
        <v>20</v>
      </c>
      <c r="H4919" t="s">
        <v>21</v>
      </c>
      <c r="I4919" t="s">
        <v>20</v>
      </c>
      <c r="J4919" t="s">
        <v>20</v>
      </c>
      <c r="K4919" t="s">
        <v>31</v>
      </c>
      <c r="L4919" t="s">
        <v>89</v>
      </c>
      <c r="M4919" t="s">
        <v>90</v>
      </c>
      <c r="N4919">
        <v>40.522250999999997</v>
      </c>
      <c r="O4919">
        <v>-111.97673</v>
      </c>
      <c r="P4919">
        <v>4547.9658170000002</v>
      </c>
      <c r="Q4919">
        <v>318</v>
      </c>
      <c r="R4919">
        <v>0</v>
      </c>
    </row>
    <row r="4920" spans="1:18" x14ac:dyDescent="0.25">
      <c r="A4920">
        <v>4919</v>
      </c>
      <c r="B4920">
        <v>94</v>
      </c>
      <c r="C4920">
        <v>31663123</v>
      </c>
      <c r="D4920" t="s">
        <v>170</v>
      </c>
      <c r="E4920">
        <v>0.378</v>
      </c>
      <c r="F4920" t="s">
        <v>21</v>
      </c>
      <c r="G4920" t="s">
        <v>361</v>
      </c>
      <c r="H4920" t="s">
        <v>21</v>
      </c>
      <c r="I4920" t="s">
        <v>20</v>
      </c>
      <c r="J4920" t="s">
        <v>20</v>
      </c>
      <c r="K4920" t="s">
        <v>41</v>
      </c>
      <c r="L4920" t="s">
        <v>81</v>
      </c>
      <c r="M4920" t="s">
        <v>82</v>
      </c>
      <c r="N4920">
        <v>41.193528000000001</v>
      </c>
      <c r="O4920">
        <v>-111.947794</v>
      </c>
      <c r="P4920">
        <v>4555.3081330000005</v>
      </c>
      <c r="Q4920">
        <v>1284</v>
      </c>
      <c r="R4920">
        <v>0</v>
      </c>
    </row>
    <row r="4921" spans="1:18" x14ac:dyDescent="0.25">
      <c r="A4921">
        <v>4920</v>
      </c>
      <c r="B4921">
        <v>94</v>
      </c>
      <c r="C4921">
        <v>527379</v>
      </c>
      <c r="D4921" t="s">
        <v>47</v>
      </c>
      <c r="E4921">
        <v>0.379</v>
      </c>
      <c r="F4921" t="s">
        <v>19</v>
      </c>
      <c r="G4921" t="s">
        <v>20</v>
      </c>
      <c r="H4921" t="s">
        <v>21</v>
      </c>
      <c r="I4921" t="s">
        <v>20</v>
      </c>
      <c r="J4921" t="s">
        <v>20</v>
      </c>
      <c r="K4921" t="s">
        <v>31</v>
      </c>
      <c r="L4921" t="s">
        <v>48</v>
      </c>
      <c r="M4921" t="s">
        <v>49</v>
      </c>
      <c r="N4921">
        <v>40.544150999999999</v>
      </c>
      <c r="O4921">
        <v>-111.97678399999999</v>
      </c>
      <c r="P4921">
        <v>4576.9637110000003</v>
      </c>
      <c r="Q4921">
        <v>6715</v>
      </c>
      <c r="R4921">
        <v>0</v>
      </c>
    </row>
    <row r="4922" spans="1:18" x14ac:dyDescent="0.25">
      <c r="A4922">
        <v>4921</v>
      </c>
      <c r="B4922">
        <v>94</v>
      </c>
      <c r="C4922">
        <v>31390018</v>
      </c>
      <c r="D4922" t="s">
        <v>377</v>
      </c>
      <c r="E4922">
        <v>0.38</v>
      </c>
      <c r="F4922" t="s">
        <v>19</v>
      </c>
      <c r="G4922" t="s">
        <v>20</v>
      </c>
      <c r="H4922" t="s">
        <v>21</v>
      </c>
      <c r="I4922" t="s">
        <v>20</v>
      </c>
      <c r="J4922" t="s">
        <v>20</v>
      </c>
      <c r="K4922" t="s">
        <v>22</v>
      </c>
      <c r="L4922" t="s">
        <v>84</v>
      </c>
      <c r="M4922" t="s">
        <v>24</v>
      </c>
      <c r="N4922">
        <v>40.364337999999996</v>
      </c>
      <c r="O4922">
        <v>-111.785472</v>
      </c>
      <c r="P4922">
        <v>4503.3900199999998</v>
      </c>
      <c r="Q4922">
        <v>1439</v>
      </c>
      <c r="R4922">
        <v>0</v>
      </c>
    </row>
    <row r="4923" spans="1:18" x14ac:dyDescent="0.25">
      <c r="A4923">
        <v>4922</v>
      </c>
      <c r="B4923">
        <v>94</v>
      </c>
      <c r="C4923" t="s">
        <v>690</v>
      </c>
      <c r="D4923" t="s">
        <v>390</v>
      </c>
      <c r="E4923">
        <v>0.38100000000000001</v>
      </c>
      <c r="F4923" t="s">
        <v>21</v>
      </c>
      <c r="G4923" t="s">
        <v>26</v>
      </c>
      <c r="H4923" t="s">
        <v>21</v>
      </c>
      <c r="I4923" t="s">
        <v>20</v>
      </c>
      <c r="J4923" t="s">
        <v>20</v>
      </c>
      <c r="K4923" t="s">
        <v>22</v>
      </c>
      <c r="L4923" t="s">
        <v>84</v>
      </c>
      <c r="M4923" t="s">
        <v>335</v>
      </c>
      <c r="N4923">
        <v>40.431432999999998</v>
      </c>
      <c r="O4923">
        <v>-111.888437</v>
      </c>
      <c r="P4923">
        <v>4592.1316219999999</v>
      </c>
      <c r="Q4923">
        <v>1386</v>
      </c>
      <c r="R4923">
        <v>0</v>
      </c>
    </row>
    <row r="4924" spans="1:18" x14ac:dyDescent="0.25">
      <c r="A4924">
        <v>4923</v>
      </c>
      <c r="B4924">
        <v>94</v>
      </c>
      <c r="C4924">
        <v>1736314</v>
      </c>
      <c r="D4924" t="s">
        <v>260</v>
      </c>
      <c r="E4924">
        <v>0.38200000000000001</v>
      </c>
      <c r="F4924" t="s">
        <v>21</v>
      </c>
      <c r="G4924" t="s">
        <v>20</v>
      </c>
      <c r="H4924" t="s">
        <v>21</v>
      </c>
      <c r="I4924" t="s">
        <v>20</v>
      </c>
      <c r="J4924" t="s">
        <v>20</v>
      </c>
      <c r="K4924" t="s">
        <v>41</v>
      </c>
      <c r="L4924" t="s">
        <v>81</v>
      </c>
      <c r="M4924" t="s">
        <v>46</v>
      </c>
      <c r="N4924">
        <v>41.222999999999999</v>
      </c>
      <c r="O4924">
        <v>-112.000624</v>
      </c>
      <c r="P4924">
        <v>4270.2031639999996</v>
      </c>
      <c r="Q4924">
        <v>1358</v>
      </c>
      <c r="R4924">
        <v>0</v>
      </c>
    </row>
    <row r="4925" spans="1:18" x14ac:dyDescent="0.25">
      <c r="A4925">
        <v>4924</v>
      </c>
      <c r="B4925">
        <v>94</v>
      </c>
      <c r="C4925">
        <v>31759920</v>
      </c>
      <c r="D4925" t="s">
        <v>105</v>
      </c>
      <c r="E4925">
        <v>5.3719999999999999</v>
      </c>
      <c r="F4925" t="s">
        <v>21</v>
      </c>
      <c r="G4925" t="s">
        <v>26</v>
      </c>
      <c r="H4925" t="s">
        <v>21</v>
      </c>
      <c r="I4925" t="s">
        <v>20</v>
      </c>
      <c r="J4925" t="s">
        <v>20</v>
      </c>
      <c r="K4925" t="s">
        <v>27</v>
      </c>
      <c r="L4925" t="s">
        <v>51</v>
      </c>
      <c r="M4925" t="s">
        <v>106</v>
      </c>
      <c r="N4925">
        <v>37.907195000000002</v>
      </c>
      <c r="O4925">
        <v>-112.775142</v>
      </c>
      <c r="P4925">
        <v>5729.2273519999999</v>
      </c>
      <c r="Q4925">
        <v>432</v>
      </c>
      <c r="R4925">
        <v>0</v>
      </c>
    </row>
    <row r="4926" spans="1:18" x14ac:dyDescent="0.25">
      <c r="A4926">
        <v>4925</v>
      </c>
      <c r="B4926">
        <v>94</v>
      </c>
      <c r="C4926" t="s">
        <v>691</v>
      </c>
      <c r="D4926" t="s">
        <v>215</v>
      </c>
      <c r="E4926">
        <v>5.3760000000000003</v>
      </c>
      <c r="F4926" t="s">
        <v>21</v>
      </c>
      <c r="G4926" t="s">
        <v>26</v>
      </c>
      <c r="H4926" t="s">
        <v>21</v>
      </c>
      <c r="I4926" t="s">
        <v>20</v>
      </c>
      <c r="J4926" t="s">
        <v>20</v>
      </c>
      <c r="K4926" t="s">
        <v>22</v>
      </c>
      <c r="L4926" t="s">
        <v>23</v>
      </c>
      <c r="M4926" t="s">
        <v>85</v>
      </c>
      <c r="N4926">
        <v>40.280337000000003</v>
      </c>
      <c r="O4926">
        <v>-111.73094</v>
      </c>
      <c r="P4926">
        <v>4479.5782900000004</v>
      </c>
      <c r="Q4926">
        <v>330</v>
      </c>
      <c r="R4926">
        <v>0</v>
      </c>
    </row>
    <row r="4927" spans="1:18" x14ac:dyDescent="0.25">
      <c r="A4927">
        <v>4926</v>
      </c>
      <c r="B4927">
        <v>94</v>
      </c>
      <c r="C4927">
        <v>31806585</v>
      </c>
      <c r="D4927" t="s">
        <v>61</v>
      </c>
      <c r="E4927">
        <v>5.0999999999999996</v>
      </c>
      <c r="F4927" t="s">
        <v>21</v>
      </c>
      <c r="G4927" t="s">
        <v>20</v>
      </c>
      <c r="H4927" t="s">
        <v>21</v>
      </c>
      <c r="I4927" t="s">
        <v>20</v>
      </c>
      <c r="J4927" t="s">
        <v>20</v>
      </c>
      <c r="K4927" t="s">
        <v>22</v>
      </c>
      <c r="L4927" t="s">
        <v>60</v>
      </c>
      <c r="M4927" t="s">
        <v>62</v>
      </c>
      <c r="N4927">
        <v>40.279713999999998</v>
      </c>
      <c r="O4927">
        <v>-111.65801500000001</v>
      </c>
      <c r="P4927">
        <v>4631.5675540000002</v>
      </c>
      <c r="Q4927">
        <v>403</v>
      </c>
      <c r="R4927">
        <v>0</v>
      </c>
    </row>
    <row r="4928" spans="1:18" x14ac:dyDescent="0.25">
      <c r="A4928">
        <v>4927</v>
      </c>
      <c r="B4928">
        <v>94</v>
      </c>
      <c r="C4928">
        <v>31353412</v>
      </c>
      <c r="D4928" t="s">
        <v>142</v>
      </c>
      <c r="E4928">
        <v>5.101</v>
      </c>
      <c r="F4928" t="s">
        <v>21</v>
      </c>
      <c r="G4928" t="s">
        <v>20</v>
      </c>
      <c r="H4928" t="s">
        <v>21</v>
      </c>
      <c r="I4928" t="s">
        <v>20</v>
      </c>
      <c r="J4928" t="s">
        <v>20</v>
      </c>
      <c r="K4928" t="s">
        <v>27</v>
      </c>
      <c r="L4928" t="s">
        <v>143</v>
      </c>
      <c r="M4928" t="s">
        <v>106</v>
      </c>
      <c r="N4928">
        <v>38.886004999999997</v>
      </c>
      <c r="O4928">
        <v>-114.009261</v>
      </c>
      <c r="P4928">
        <v>5321.2110780000003</v>
      </c>
      <c r="Q4928">
        <v>305</v>
      </c>
      <c r="R4928">
        <v>0</v>
      </c>
    </row>
    <row r="4929" spans="1:18" x14ac:dyDescent="0.25">
      <c r="A4929">
        <v>4928</v>
      </c>
      <c r="B4929">
        <v>94</v>
      </c>
      <c r="C4929">
        <v>31296224</v>
      </c>
      <c r="D4929" t="s">
        <v>338</v>
      </c>
      <c r="E4929">
        <v>5.1059999999999999</v>
      </c>
      <c r="F4929" t="s">
        <v>21</v>
      </c>
      <c r="G4929" t="s">
        <v>26</v>
      </c>
      <c r="H4929" t="s">
        <v>21</v>
      </c>
      <c r="I4929" t="s">
        <v>20</v>
      </c>
      <c r="J4929" t="s">
        <v>20</v>
      </c>
      <c r="K4929" t="s">
        <v>27</v>
      </c>
      <c r="L4929" t="s">
        <v>72</v>
      </c>
      <c r="M4929" t="s">
        <v>73</v>
      </c>
      <c r="N4929">
        <v>37.040303999999999</v>
      </c>
      <c r="O4929">
        <v>-113.076277</v>
      </c>
      <c r="P4929">
        <v>4765.5348919999997</v>
      </c>
      <c r="Q4929">
        <v>315</v>
      </c>
      <c r="R4929">
        <v>0</v>
      </c>
    </row>
    <row r="4930" spans="1:18" x14ac:dyDescent="0.25">
      <c r="A4930">
        <v>4929</v>
      </c>
      <c r="B4930">
        <v>94</v>
      </c>
      <c r="C4930" t="e">
        <f>-Ip9Xsr_Ila6PxAxkzl7xV</f>
        <v>#NAME?</v>
      </c>
      <c r="D4930" t="s">
        <v>272</v>
      </c>
      <c r="E4930">
        <v>385.55599999999998</v>
      </c>
      <c r="F4930" t="s">
        <v>21</v>
      </c>
      <c r="G4930" t="s">
        <v>26</v>
      </c>
      <c r="H4930" t="s">
        <v>21</v>
      </c>
      <c r="I4930" t="s">
        <v>20</v>
      </c>
      <c r="J4930" t="s">
        <v>20</v>
      </c>
      <c r="K4930" t="s">
        <v>41</v>
      </c>
      <c r="L4930" t="s">
        <v>45</v>
      </c>
      <c r="M4930" t="s">
        <v>49</v>
      </c>
      <c r="N4930">
        <v>40.846178999999999</v>
      </c>
      <c r="O4930">
        <v>-111.907931</v>
      </c>
      <c r="P4930">
        <v>4282.4329900000002</v>
      </c>
      <c r="Q4930">
        <v>1384</v>
      </c>
      <c r="R4930">
        <v>0</v>
      </c>
    </row>
    <row r="4931" spans="1:18" x14ac:dyDescent="0.25">
      <c r="A4931">
        <v>4930</v>
      </c>
      <c r="B4931">
        <v>94</v>
      </c>
      <c r="C4931" t="s">
        <v>692</v>
      </c>
      <c r="D4931" t="s">
        <v>272</v>
      </c>
      <c r="E4931">
        <v>385.59</v>
      </c>
      <c r="F4931" t="s">
        <v>21</v>
      </c>
      <c r="G4931" t="s">
        <v>26</v>
      </c>
      <c r="H4931" t="s">
        <v>21</v>
      </c>
      <c r="I4931" t="s">
        <v>20</v>
      </c>
      <c r="J4931" t="s">
        <v>20</v>
      </c>
      <c r="K4931" t="s">
        <v>41</v>
      </c>
      <c r="L4931" t="s">
        <v>45</v>
      </c>
      <c r="M4931" t="s">
        <v>49</v>
      </c>
      <c r="N4931">
        <v>40.846642000000003</v>
      </c>
      <c r="O4931">
        <v>-111.90768799999999</v>
      </c>
      <c r="P4931">
        <v>4281.9633780000004</v>
      </c>
      <c r="Q4931">
        <v>1384</v>
      </c>
      <c r="R4931">
        <v>0</v>
      </c>
    </row>
    <row r="4932" spans="1:18" x14ac:dyDescent="0.25">
      <c r="A4932">
        <v>4931</v>
      </c>
      <c r="B4932">
        <v>94</v>
      </c>
      <c r="C4932" t="e">
        <f>-Ip9YRX3GGmvlrgl0ttJtk</f>
        <v>#NAME?</v>
      </c>
      <c r="D4932" t="s">
        <v>272</v>
      </c>
      <c r="E4932">
        <v>385.72399999999999</v>
      </c>
      <c r="F4932" t="s">
        <v>19</v>
      </c>
      <c r="G4932" t="s">
        <v>20</v>
      </c>
      <c r="H4932" t="s">
        <v>21</v>
      </c>
      <c r="I4932" t="s">
        <v>20</v>
      </c>
      <c r="J4932" t="s">
        <v>20</v>
      </c>
      <c r="K4932" t="s">
        <v>41</v>
      </c>
      <c r="L4932" t="s">
        <v>45</v>
      </c>
      <c r="M4932" t="s">
        <v>49</v>
      </c>
      <c r="N4932">
        <v>40.848401000000003</v>
      </c>
      <c r="O4932">
        <v>-111.906722</v>
      </c>
      <c r="P4932">
        <v>4282.1608399999996</v>
      </c>
      <c r="Q4932">
        <v>1384</v>
      </c>
      <c r="R4932">
        <v>0</v>
      </c>
    </row>
    <row r="4933" spans="1:18" x14ac:dyDescent="0.25">
      <c r="A4933">
        <v>4932</v>
      </c>
      <c r="B4933">
        <v>94</v>
      </c>
      <c r="C4933" t="e">
        <f>-Ip9_PP8IRP6UmV63MxeqF</f>
        <v>#NAME?</v>
      </c>
      <c r="D4933" t="s">
        <v>272</v>
      </c>
      <c r="E4933">
        <v>385.83600000000001</v>
      </c>
      <c r="F4933" t="s">
        <v>21</v>
      </c>
      <c r="G4933" t="s">
        <v>26</v>
      </c>
      <c r="H4933" t="s">
        <v>21</v>
      </c>
      <c r="I4933" t="s">
        <v>20</v>
      </c>
      <c r="J4933" t="s">
        <v>20</v>
      </c>
      <c r="K4933" t="s">
        <v>41</v>
      </c>
      <c r="L4933" t="s">
        <v>45</v>
      </c>
      <c r="M4933" t="s">
        <v>49</v>
      </c>
      <c r="N4933">
        <v>40.849809999999998</v>
      </c>
      <c r="O4933">
        <v>-111.905709</v>
      </c>
      <c r="P4933">
        <v>4281.39923</v>
      </c>
      <c r="Q4933">
        <v>1384</v>
      </c>
      <c r="R4933">
        <v>0</v>
      </c>
    </row>
    <row r="4934" spans="1:18" x14ac:dyDescent="0.25">
      <c r="A4934">
        <v>4933</v>
      </c>
      <c r="B4934">
        <v>94</v>
      </c>
      <c r="C4934" t="s">
        <v>693</v>
      </c>
      <c r="D4934" t="s">
        <v>272</v>
      </c>
      <c r="E4934">
        <v>386.01299999999998</v>
      </c>
      <c r="F4934" t="s">
        <v>21</v>
      </c>
      <c r="G4934" t="s">
        <v>26</v>
      </c>
      <c r="H4934" t="s">
        <v>21</v>
      </c>
      <c r="I4934" t="s">
        <v>20</v>
      </c>
      <c r="J4934" t="s">
        <v>20</v>
      </c>
      <c r="K4934" t="s">
        <v>41</v>
      </c>
      <c r="L4934" t="s">
        <v>45</v>
      </c>
      <c r="M4934" t="s">
        <v>49</v>
      </c>
      <c r="N4934">
        <v>40.851959000000001</v>
      </c>
      <c r="O4934">
        <v>-111.90397400000001</v>
      </c>
      <c r="P4934">
        <v>4282.8602860000001</v>
      </c>
      <c r="Q4934">
        <v>1384</v>
      </c>
      <c r="R4934">
        <v>0</v>
      </c>
    </row>
    <row r="4935" spans="1:18" x14ac:dyDescent="0.25">
      <c r="A4935">
        <v>4934</v>
      </c>
      <c r="B4935">
        <v>94</v>
      </c>
      <c r="C4935" t="e">
        <f>-Ip9bXyEGIPNUzspzX7WXk</f>
        <v>#NAME?</v>
      </c>
      <c r="D4935" t="s">
        <v>272</v>
      </c>
      <c r="E4935">
        <v>386.18900000000002</v>
      </c>
      <c r="F4935" t="s">
        <v>21</v>
      </c>
      <c r="G4935" t="s">
        <v>26</v>
      </c>
      <c r="H4935" t="s">
        <v>21</v>
      </c>
      <c r="I4935" t="s">
        <v>20</v>
      </c>
      <c r="J4935" t="s">
        <v>20</v>
      </c>
      <c r="K4935" t="s">
        <v>41</v>
      </c>
      <c r="L4935" t="s">
        <v>45</v>
      </c>
      <c r="M4935" t="s">
        <v>49</v>
      </c>
      <c r="N4935">
        <v>40.854117000000002</v>
      </c>
      <c r="O4935">
        <v>-111.902215</v>
      </c>
      <c r="P4935">
        <v>4281.9479259999998</v>
      </c>
      <c r="Q4935">
        <v>1384</v>
      </c>
      <c r="R4935">
        <v>0</v>
      </c>
    </row>
    <row r="4936" spans="1:18" x14ac:dyDescent="0.25">
      <c r="A4936">
        <v>4935</v>
      </c>
      <c r="B4936">
        <v>94</v>
      </c>
      <c r="C4936" t="s">
        <v>694</v>
      </c>
      <c r="D4936" t="s">
        <v>272</v>
      </c>
      <c r="E4936">
        <v>386.202</v>
      </c>
      <c r="F4936" t="s">
        <v>21</v>
      </c>
      <c r="G4936" t="s">
        <v>26</v>
      </c>
      <c r="H4936" t="s">
        <v>21</v>
      </c>
      <c r="I4936" t="s">
        <v>20</v>
      </c>
      <c r="J4936" t="s">
        <v>20</v>
      </c>
      <c r="K4936" t="s">
        <v>41</v>
      </c>
      <c r="L4936" t="s">
        <v>45</v>
      </c>
      <c r="M4936" t="s">
        <v>49</v>
      </c>
      <c r="N4936">
        <v>40.854267</v>
      </c>
      <c r="O4936">
        <v>-111.902091</v>
      </c>
      <c r="P4936">
        <v>4282.4691279999997</v>
      </c>
      <c r="Q4936">
        <v>1384</v>
      </c>
      <c r="R4936">
        <v>0</v>
      </c>
    </row>
    <row r="4937" spans="1:18" x14ac:dyDescent="0.25">
      <c r="A4937">
        <v>4936</v>
      </c>
      <c r="B4937">
        <v>94</v>
      </c>
      <c r="C4937" t="e">
        <f>-Ip9cuoxGtDYqqQ1KSf7TV</f>
        <v>#NAME?</v>
      </c>
      <c r="D4937" t="s">
        <v>272</v>
      </c>
      <c r="E4937">
        <v>386.23500000000001</v>
      </c>
      <c r="F4937" t="s">
        <v>21</v>
      </c>
      <c r="G4937" t="s">
        <v>26</v>
      </c>
      <c r="H4937" t="s">
        <v>21</v>
      </c>
      <c r="I4937" t="s">
        <v>20</v>
      </c>
      <c r="J4937" t="s">
        <v>20</v>
      </c>
      <c r="K4937" t="s">
        <v>41</v>
      </c>
      <c r="L4937" t="s">
        <v>45</v>
      </c>
      <c r="M4937" t="s">
        <v>49</v>
      </c>
      <c r="N4937">
        <v>40.854669000000001</v>
      </c>
      <c r="O4937">
        <v>-111.901796</v>
      </c>
      <c r="P4937">
        <v>4284.436471</v>
      </c>
      <c r="Q4937">
        <v>1384</v>
      </c>
      <c r="R4937">
        <v>0</v>
      </c>
    </row>
    <row r="4938" spans="1:18" x14ac:dyDescent="0.25">
      <c r="A4938">
        <v>4937</v>
      </c>
      <c r="B4938">
        <v>94</v>
      </c>
      <c r="C4938" t="s">
        <v>695</v>
      </c>
      <c r="D4938" t="s">
        <v>272</v>
      </c>
      <c r="E4938">
        <v>386.279</v>
      </c>
      <c r="F4938" t="s">
        <v>21</v>
      </c>
      <c r="G4938" t="s">
        <v>26</v>
      </c>
      <c r="H4938" t="s">
        <v>21</v>
      </c>
      <c r="I4938" t="s">
        <v>20</v>
      </c>
      <c r="J4938" t="s">
        <v>20</v>
      </c>
      <c r="K4938" t="s">
        <v>41</v>
      </c>
      <c r="L4938" t="s">
        <v>45</v>
      </c>
      <c r="M4938" t="s">
        <v>49</v>
      </c>
      <c r="N4938">
        <v>40.855210999999997</v>
      </c>
      <c r="O4938">
        <v>-111.901352</v>
      </c>
      <c r="P4938">
        <v>4288.2256939999997</v>
      </c>
      <c r="Q4938">
        <v>1384</v>
      </c>
      <c r="R4938">
        <v>0</v>
      </c>
    </row>
    <row r="4939" spans="1:18" x14ac:dyDescent="0.25">
      <c r="A4939">
        <v>4938</v>
      </c>
      <c r="B4939">
        <v>94</v>
      </c>
      <c r="C4939" t="e">
        <f>-Ip9dqPgIH52I7yimiPSBF</f>
        <v>#NAME?</v>
      </c>
      <c r="D4939" t="s">
        <v>272</v>
      </c>
      <c r="E4939">
        <v>386.34899999999999</v>
      </c>
      <c r="F4939" t="s">
        <v>21</v>
      </c>
      <c r="G4939" t="s">
        <v>26</v>
      </c>
      <c r="H4939" t="s">
        <v>21</v>
      </c>
      <c r="I4939" t="s">
        <v>20</v>
      </c>
      <c r="J4939" t="s">
        <v>20</v>
      </c>
      <c r="K4939" t="s">
        <v>41</v>
      </c>
      <c r="L4939" t="s">
        <v>45</v>
      </c>
      <c r="M4939" t="s">
        <v>49</v>
      </c>
      <c r="N4939">
        <v>40.856079000000001</v>
      </c>
      <c r="O4939">
        <v>-111.90069</v>
      </c>
      <c r="P4939">
        <v>4293.0542679999999</v>
      </c>
      <c r="Q4939">
        <v>1384</v>
      </c>
      <c r="R4939">
        <v>0</v>
      </c>
    </row>
    <row r="4940" spans="1:18" x14ac:dyDescent="0.25">
      <c r="A4940">
        <v>4939</v>
      </c>
      <c r="B4940">
        <v>94</v>
      </c>
      <c r="C4940" t="s">
        <v>696</v>
      </c>
      <c r="D4940" t="s">
        <v>272</v>
      </c>
      <c r="E4940">
        <v>386.40499999999997</v>
      </c>
      <c r="F4940" t="s">
        <v>21</v>
      </c>
      <c r="G4940" t="s">
        <v>20</v>
      </c>
      <c r="H4940" t="s">
        <v>21</v>
      </c>
      <c r="I4940" t="s">
        <v>20</v>
      </c>
      <c r="J4940" t="s">
        <v>20</v>
      </c>
      <c r="K4940" t="s">
        <v>41</v>
      </c>
      <c r="L4940" t="s">
        <v>45</v>
      </c>
      <c r="M4940" t="s">
        <v>49</v>
      </c>
      <c r="N4940">
        <v>40.856763000000001</v>
      </c>
      <c r="O4940">
        <v>-111.90017899999999</v>
      </c>
      <c r="P4940">
        <v>4295.0540940000001</v>
      </c>
      <c r="Q4940">
        <v>1384</v>
      </c>
      <c r="R4940">
        <v>0</v>
      </c>
    </row>
    <row r="4941" spans="1:18" x14ac:dyDescent="0.25">
      <c r="A4941">
        <v>4940</v>
      </c>
      <c r="B4941">
        <v>94</v>
      </c>
      <c r="C4941" t="s">
        <v>697</v>
      </c>
      <c r="D4941" t="s">
        <v>272</v>
      </c>
      <c r="E4941">
        <v>386.44799999999998</v>
      </c>
      <c r="F4941" t="s">
        <v>21</v>
      </c>
      <c r="G4941" t="s">
        <v>20</v>
      </c>
      <c r="H4941" t="s">
        <v>21</v>
      </c>
      <c r="I4941" t="s">
        <v>20</v>
      </c>
      <c r="J4941" t="s">
        <v>20</v>
      </c>
      <c r="K4941" t="s">
        <v>41</v>
      </c>
      <c r="L4941" t="s">
        <v>45</v>
      </c>
      <c r="M4941" t="s">
        <v>49</v>
      </c>
      <c r="N4941">
        <v>40.857297000000003</v>
      </c>
      <c r="O4941">
        <v>-111.899777</v>
      </c>
      <c r="P4941">
        <v>4296.66219</v>
      </c>
      <c r="Q4941">
        <v>1384</v>
      </c>
      <c r="R4941">
        <v>0</v>
      </c>
    </row>
    <row r="4942" spans="1:18" x14ac:dyDescent="0.25">
      <c r="A4942">
        <v>4941</v>
      </c>
      <c r="B4942">
        <v>94</v>
      </c>
      <c r="C4942" t="e">
        <f>-Ip9f2btHz5-xo_s_uG_Bk</f>
        <v>#NAME?</v>
      </c>
      <c r="D4942" t="s">
        <v>272</v>
      </c>
      <c r="E4942">
        <v>386.63200000000001</v>
      </c>
      <c r="F4942" t="s">
        <v>21</v>
      </c>
      <c r="G4942" t="s">
        <v>26</v>
      </c>
      <c r="H4942" t="s">
        <v>21</v>
      </c>
      <c r="I4942" t="s">
        <v>20</v>
      </c>
      <c r="J4942" t="s">
        <v>20</v>
      </c>
      <c r="K4942" t="s">
        <v>41</v>
      </c>
      <c r="L4942" t="s">
        <v>45</v>
      </c>
      <c r="M4942" t="s">
        <v>49</v>
      </c>
      <c r="N4942">
        <v>40.859541</v>
      </c>
      <c r="O4942">
        <v>-111.897977</v>
      </c>
      <c r="P4942">
        <v>4312.9862869999997</v>
      </c>
      <c r="Q4942">
        <v>1384</v>
      </c>
      <c r="R4942">
        <v>0</v>
      </c>
    </row>
    <row r="4943" spans="1:18" x14ac:dyDescent="0.25">
      <c r="A4943">
        <v>4942</v>
      </c>
      <c r="B4943">
        <v>94</v>
      </c>
      <c r="C4943" t="e">
        <f>-IpZV3MjFQDkRI-oYdXp7F</f>
        <v>#NAME?</v>
      </c>
      <c r="D4943" t="s">
        <v>208</v>
      </c>
      <c r="E4943">
        <v>4.359</v>
      </c>
      <c r="F4943" t="s">
        <v>21</v>
      </c>
      <c r="G4943" t="s">
        <v>26</v>
      </c>
      <c r="H4943" t="s">
        <v>21</v>
      </c>
      <c r="I4943" t="s">
        <v>20</v>
      </c>
      <c r="J4943" t="s">
        <v>20</v>
      </c>
      <c r="K4943" t="s">
        <v>31</v>
      </c>
      <c r="L4943" t="s">
        <v>209</v>
      </c>
      <c r="M4943" t="s">
        <v>131</v>
      </c>
      <c r="N4943">
        <v>40.641561000000003</v>
      </c>
      <c r="O4943">
        <v>-111.493211</v>
      </c>
      <c r="P4943">
        <v>7101.8309859999999</v>
      </c>
      <c r="Q4943">
        <v>357</v>
      </c>
      <c r="R4943">
        <v>0</v>
      </c>
    </row>
    <row r="4944" spans="1:18" x14ac:dyDescent="0.25">
      <c r="A4944">
        <v>4943</v>
      </c>
      <c r="B4944">
        <v>94</v>
      </c>
      <c r="C4944">
        <v>31764707</v>
      </c>
      <c r="D4944" t="s">
        <v>115</v>
      </c>
      <c r="E4944">
        <v>4.3620000000000001</v>
      </c>
      <c r="F4944" t="s">
        <v>21</v>
      </c>
      <c r="G4944" t="s">
        <v>26</v>
      </c>
      <c r="H4944" t="s">
        <v>21</v>
      </c>
      <c r="I4944" t="s">
        <v>20</v>
      </c>
      <c r="J4944" t="s">
        <v>20</v>
      </c>
      <c r="K4944" t="s">
        <v>31</v>
      </c>
      <c r="L4944" t="s">
        <v>48</v>
      </c>
      <c r="M4944" t="s">
        <v>70</v>
      </c>
      <c r="N4944">
        <v>40.652757000000001</v>
      </c>
      <c r="O4944">
        <v>-111.99407600000001</v>
      </c>
      <c r="P4944">
        <v>4521.2088569999996</v>
      </c>
      <c r="Q4944">
        <v>1437</v>
      </c>
      <c r="R4944">
        <v>0</v>
      </c>
    </row>
    <row r="4945" spans="1:18" x14ac:dyDescent="0.25">
      <c r="A4945">
        <v>4944</v>
      </c>
      <c r="B4945">
        <v>94</v>
      </c>
      <c r="C4945" t="e">
        <f>-JLpBAo7IxmUG452lB-vTF</f>
        <v>#NAME?</v>
      </c>
      <c r="D4945" t="s">
        <v>47</v>
      </c>
      <c r="E4945">
        <v>4.3620000000000001</v>
      </c>
      <c r="F4945" t="s">
        <v>21</v>
      </c>
      <c r="G4945" t="s">
        <v>26</v>
      </c>
      <c r="H4945" t="s">
        <v>21</v>
      </c>
      <c r="I4945" t="s">
        <v>20</v>
      </c>
      <c r="J4945" t="s">
        <v>20</v>
      </c>
      <c r="K4945" t="s">
        <v>31</v>
      </c>
      <c r="L4945" t="s">
        <v>89</v>
      </c>
      <c r="M4945" t="s">
        <v>49</v>
      </c>
      <c r="N4945">
        <v>40.544232000000001</v>
      </c>
      <c r="O4945">
        <v>-111.900834</v>
      </c>
      <c r="P4945">
        <v>4349.7783840000002</v>
      </c>
      <c r="Q4945">
        <v>6715</v>
      </c>
      <c r="R4945">
        <v>0</v>
      </c>
    </row>
    <row r="4946" spans="1:18" x14ac:dyDescent="0.25">
      <c r="A4946">
        <v>4945</v>
      </c>
      <c r="B4946">
        <v>94</v>
      </c>
      <c r="C4946">
        <v>31446109</v>
      </c>
      <c r="D4946" t="s">
        <v>254</v>
      </c>
      <c r="E4946">
        <v>4.3659999999999997</v>
      </c>
      <c r="F4946" t="s">
        <v>21</v>
      </c>
      <c r="G4946" t="s">
        <v>26</v>
      </c>
      <c r="H4946" t="s">
        <v>21</v>
      </c>
      <c r="I4946" t="s">
        <v>20</v>
      </c>
      <c r="J4946" t="s">
        <v>20</v>
      </c>
      <c r="K4946" t="s">
        <v>41</v>
      </c>
      <c r="L4946" t="s">
        <v>255</v>
      </c>
      <c r="M4946" t="s">
        <v>204</v>
      </c>
      <c r="N4946">
        <v>41.304811000000001</v>
      </c>
      <c r="O4946">
        <v>-111.82638900000001</v>
      </c>
      <c r="P4946">
        <v>4915.7488219999996</v>
      </c>
      <c r="Q4946">
        <v>1429</v>
      </c>
      <c r="R4946">
        <v>0</v>
      </c>
    </row>
    <row r="4947" spans="1:18" x14ac:dyDescent="0.25">
      <c r="A4947">
        <v>4946</v>
      </c>
      <c r="B4947">
        <v>94</v>
      </c>
      <c r="C4947">
        <v>31388514</v>
      </c>
      <c r="D4947" t="s">
        <v>364</v>
      </c>
      <c r="E4947">
        <v>4.367</v>
      </c>
      <c r="F4947" t="s">
        <v>21</v>
      </c>
      <c r="G4947" t="s">
        <v>26</v>
      </c>
      <c r="H4947" t="s">
        <v>21</v>
      </c>
      <c r="I4947" t="s">
        <v>20</v>
      </c>
      <c r="J4947" t="s">
        <v>20</v>
      </c>
      <c r="K4947" t="s">
        <v>22</v>
      </c>
      <c r="L4947" t="s">
        <v>140</v>
      </c>
      <c r="M4947" t="s">
        <v>85</v>
      </c>
      <c r="N4947">
        <v>40.098235000000003</v>
      </c>
      <c r="O4947">
        <v>-111.71817299999999</v>
      </c>
      <c r="P4947">
        <v>4479.703125</v>
      </c>
      <c r="Q4947">
        <v>1401</v>
      </c>
      <c r="R4947">
        <v>0</v>
      </c>
    </row>
    <row r="4948" spans="1:18" x14ac:dyDescent="0.25">
      <c r="A4948">
        <v>4947</v>
      </c>
      <c r="B4948">
        <v>94</v>
      </c>
      <c r="C4948">
        <v>31759614</v>
      </c>
      <c r="D4948" t="s">
        <v>68</v>
      </c>
      <c r="E4948">
        <v>4.37</v>
      </c>
      <c r="F4948" t="s">
        <v>21</v>
      </c>
      <c r="G4948" t="s">
        <v>26</v>
      </c>
      <c r="H4948" t="s">
        <v>21</v>
      </c>
      <c r="I4948" t="s">
        <v>20</v>
      </c>
      <c r="J4948" t="s">
        <v>20</v>
      </c>
      <c r="K4948" t="s">
        <v>31</v>
      </c>
      <c r="L4948" t="s">
        <v>69</v>
      </c>
      <c r="M4948" t="s">
        <v>70</v>
      </c>
      <c r="N4948">
        <v>40.674303000000002</v>
      </c>
      <c r="O4948">
        <v>-111.87241400000001</v>
      </c>
      <c r="P4948">
        <v>4246.1275180000002</v>
      </c>
      <c r="Q4948">
        <v>431</v>
      </c>
      <c r="R4948">
        <v>0</v>
      </c>
    </row>
    <row r="4949" spans="1:18" x14ac:dyDescent="0.25">
      <c r="A4949">
        <v>4948</v>
      </c>
      <c r="B4949">
        <v>94</v>
      </c>
      <c r="C4949">
        <v>31661964</v>
      </c>
      <c r="D4949" t="s">
        <v>306</v>
      </c>
      <c r="E4949">
        <v>4.3719999999999999</v>
      </c>
      <c r="F4949" t="s">
        <v>21</v>
      </c>
      <c r="G4949" t="s">
        <v>20</v>
      </c>
      <c r="H4949" t="s">
        <v>21</v>
      </c>
      <c r="I4949" t="s">
        <v>20</v>
      </c>
      <c r="J4949" t="s">
        <v>20</v>
      </c>
      <c r="K4949" t="s">
        <v>27</v>
      </c>
      <c r="L4949" t="s">
        <v>230</v>
      </c>
      <c r="M4949" t="s">
        <v>82</v>
      </c>
      <c r="N4949">
        <v>39.647666999999998</v>
      </c>
      <c r="O4949">
        <v>-111.259648</v>
      </c>
      <c r="P4949">
        <v>8825.4629769999992</v>
      </c>
      <c r="Q4949">
        <v>430</v>
      </c>
      <c r="R4949">
        <v>0</v>
      </c>
    </row>
    <row r="4950" spans="1:18" x14ac:dyDescent="0.25">
      <c r="A4950">
        <v>4949</v>
      </c>
      <c r="B4950">
        <v>94</v>
      </c>
      <c r="C4950">
        <v>31386683</v>
      </c>
      <c r="D4950" t="s">
        <v>184</v>
      </c>
      <c r="E4950">
        <v>4.375</v>
      </c>
      <c r="F4950" t="s">
        <v>21</v>
      </c>
      <c r="G4950" t="s">
        <v>26</v>
      </c>
      <c r="H4950" t="s">
        <v>21</v>
      </c>
      <c r="I4950" t="s">
        <v>20</v>
      </c>
      <c r="J4950" t="s">
        <v>20</v>
      </c>
      <c r="K4950" t="s">
        <v>27</v>
      </c>
      <c r="L4950" t="s">
        <v>54</v>
      </c>
      <c r="M4950" t="s">
        <v>55</v>
      </c>
      <c r="N4950">
        <v>37.707537000000002</v>
      </c>
      <c r="O4950">
        <v>-113.06241</v>
      </c>
      <c r="P4950">
        <v>5616.8013680000004</v>
      </c>
      <c r="Q4950">
        <v>1410</v>
      </c>
      <c r="R4950">
        <v>0</v>
      </c>
    </row>
    <row r="4951" spans="1:18" x14ac:dyDescent="0.25">
      <c r="A4951">
        <v>4950</v>
      </c>
      <c r="B4951">
        <v>94</v>
      </c>
      <c r="C4951">
        <v>1371421</v>
      </c>
      <c r="D4951" t="s">
        <v>100</v>
      </c>
      <c r="E4951">
        <v>4.38</v>
      </c>
      <c r="F4951" t="s">
        <v>21</v>
      </c>
      <c r="G4951" t="s">
        <v>26</v>
      </c>
      <c r="H4951" t="s">
        <v>21</v>
      </c>
      <c r="I4951" t="s">
        <v>20</v>
      </c>
      <c r="J4951" t="s">
        <v>20</v>
      </c>
      <c r="K4951" t="s">
        <v>41</v>
      </c>
      <c r="L4951" t="s">
        <v>57</v>
      </c>
      <c r="M4951" t="s">
        <v>46</v>
      </c>
      <c r="N4951">
        <v>41.094566999999998</v>
      </c>
      <c r="O4951">
        <v>-112.06463100000001</v>
      </c>
      <c r="P4951">
        <v>4238.8621130000001</v>
      </c>
      <c r="Q4951">
        <v>1396</v>
      </c>
      <c r="R4951">
        <v>0</v>
      </c>
    </row>
    <row r="4952" spans="1:18" x14ac:dyDescent="0.25">
      <c r="A4952">
        <v>4951</v>
      </c>
      <c r="B4952">
        <v>94</v>
      </c>
      <c r="C4952">
        <v>31401030</v>
      </c>
      <c r="D4952" t="s">
        <v>224</v>
      </c>
      <c r="E4952">
        <v>4.383</v>
      </c>
      <c r="F4952" t="s">
        <v>19</v>
      </c>
      <c r="G4952" t="s">
        <v>20</v>
      </c>
      <c r="H4952" t="s">
        <v>19</v>
      </c>
      <c r="I4952">
        <v>178</v>
      </c>
      <c r="J4952" t="s">
        <v>20</v>
      </c>
      <c r="K4952" t="s">
        <v>22</v>
      </c>
      <c r="L4952" t="s">
        <v>198</v>
      </c>
      <c r="M4952" t="s">
        <v>194</v>
      </c>
      <c r="N4952">
        <v>40.031291000000003</v>
      </c>
      <c r="O4952">
        <v>-111.73599299999999</v>
      </c>
      <c r="P4952">
        <v>4707.5729579999997</v>
      </c>
      <c r="Q4952">
        <v>408</v>
      </c>
      <c r="R4952">
        <v>0</v>
      </c>
    </row>
    <row r="4953" spans="1:18" x14ac:dyDescent="0.25">
      <c r="A4953">
        <v>4952</v>
      </c>
      <c r="B4953">
        <v>94</v>
      </c>
      <c r="C4953">
        <v>31371093</v>
      </c>
      <c r="D4953" t="s">
        <v>199</v>
      </c>
      <c r="E4953">
        <v>4.8310000000000004</v>
      </c>
      <c r="F4953" t="s">
        <v>21</v>
      </c>
      <c r="G4953" t="s">
        <v>20</v>
      </c>
      <c r="H4953" t="s">
        <v>21</v>
      </c>
      <c r="I4953" t="s">
        <v>20</v>
      </c>
      <c r="J4953" t="s">
        <v>20</v>
      </c>
      <c r="K4953" t="s">
        <v>27</v>
      </c>
      <c r="L4953" t="s">
        <v>103</v>
      </c>
      <c r="M4953" t="s">
        <v>200</v>
      </c>
      <c r="N4953">
        <v>38.277186999999998</v>
      </c>
      <c r="O4953">
        <v>-112.55864699999999</v>
      </c>
      <c r="P4953">
        <v>6206.4338440000001</v>
      </c>
      <c r="Q4953">
        <v>341</v>
      </c>
      <c r="R4953">
        <v>0</v>
      </c>
    </row>
    <row r="4954" spans="1:18" x14ac:dyDescent="0.25">
      <c r="A4954">
        <v>4953</v>
      </c>
      <c r="B4954">
        <v>94</v>
      </c>
      <c r="C4954" t="e">
        <f>-JOiG_ygIzmqSYWIiIgChk</f>
        <v>#NAME?</v>
      </c>
      <c r="D4954" t="s">
        <v>268</v>
      </c>
      <c r="E4954">
        <v>4.835</v>
      </c>
      <c r="F4954" t="s">
        <v>21</v>
      </c>
      <c r="G4954" t="s">
        <v>20</v>
      </c>
      <c r="H4954" t="s">
        <v>21</v>
      </c>
      <c r="I4954" t="s">
        <v>20</v>
      </c>
      <c r="J4954" t="s">
        <v>20</v>
      </c>
      <c r="K4954" t="s">
        <v>41</v>
      </c>
      <c r="L4954" t="s">
        <v>177</v>
      </c>
      <c r="M4954" t="s">
        <v>43</v>
      </c>
      <c r="N4954">
        <v>41.573718999999997</v>
      </c>
      <c r="O4954">
        <v>-112.21952899999999</v>
      </c>
      <c r="P4954">
        <v>4190.6441850000001</v>
      </c>
      <c r="Q4954">
        <v>1380</v>
      </c>
      <c r="R4954">
        <v>0</v>
      </c>
    </row>
    <row r="4955" spans="1:18" x14ac:dyDescent="0.25">
      <c r="A4955">
        <v>4954</v>
      </c>
      <c r="B4955">
        <v>94</v>
      </c>
      <c r="C4955">
        <v>31435638</v>
      </c>
      <c r="D4955" t="s">
        <v>216</v>
      </c>
      <c r="E4955">
        <v>4.8369999999999997</v>
      </c>
      <c r="F4955" t="s">
        <v>21</v>
      </c>
      <c r="G4955" t="s">
        <v>26</v>
      </c>
      <c r="H4955" t="s">
        <v>21</v>
      </c>
      <c r="I4955" t="s">
        <v>20</v>
      </c>
      <c r="J4955" t="s">
        <v>20</v>
      </c>
      <c r="K4955" t="s">
        <v>27</v>
      </c>
      <c r="L4955" t="s">
        <v>158</v>
      </c>
      <c r="M4955" t="s">
        <v>159</v>
      </c>
      <c r="N4955">
        <v>39.685893</v>
      </c>
      <c r="O4955">
        <v>-110.803695</v>
      </c>
      <c r="P4955">
        <v>6452.5943980000002</v>
      </c>
      <c r="Q4955">
        <v>1428</v>
      </c>
      <c r="R4955">
        <v>0</v>
      </c>
    </row>
    <row r="4956" spans="1:18" x14ac:dyDescent="0.25">
      <c r="A4956">
        <v>4955</v>
      </c>
      <c r="B4956">
        <v>94</v>
      </c>
      <c r="C4956">
        <v>31370895</v>
      </c>
      <c r="D4956" t="s">
        <v>698</v>
      </c>
      <c r="E4956">
        <v>4.8390000000000004</v>
      </c>
      <c r="F4956" t="s">
        <v>21</v>
      </c>
      <c r="G4956" t="s">
        <v>26</v>
      </c>
      <c r="H4956" t="s">
        <v>21</v>
      </c>
      <c r="I4956" t="s">
        <v>20</v>
      </c>
      <c r="J4956" t="s">
        <v>20</v>
      </c>
      <c r="K4956" t="s">
        <v>27</v>
      </c>
      <c r="L4956" t="s">
        <v>266</v>
      </c>
      <c r="M4956" t="s">
        <v>58</v>
      </c>
      <c r="N4956">
        <v>38.513292</v>
      </c>
      <c r="O4956">
        <v>-111.769809</v>
      </c>
      <c r="P4956">
        <v>8964.8501579999993</v>
      </c>
      <c r="Q4956">
        <v>306</v>
      </c>
      <c r="R4956">
        <v>0</v>
      </c>
    </row>
    <row r="4957" spans="1:18" x14ac:dyDescent="0.25">
      <c r="A4957">
        <v>4956</v>
      </c>
      <c r="B4957">
        <v>94</v>
      </c>
      <c r="C4957">
        <v>31194097</v>
      </c>
      <c r="D4957" t="s">
        <v>354</v>
      </c>
      <c r="E4957">
        <v>4.8410000000000002</v>
      </c>
      <c r="F4957" t="s">
        <v>21</v>
      </c>
      <c r="G4957" t="s">
        <v>20</v>
      </c>
      <c r="H4957" t="s">
        <v>21</v>
      </c>
      <c r="I4957" t="s">
        <v>20</v>
      </c>
      <c r="J4957" t="s">
        <v>20</v>
      </c>
      <c r="K4957" t="s">
        <v>27</v>
      </c>
      <c r="L4957" t="s">
        <v>64</v>
      </c>
      <c r="M4957" t="s">
        <v>58</v>
      </c>
      <c r="N4957">
        <v>38.150638999999998</v>
      </c>
      <c r="O4957">
        <v>-112.000878</v>
      </c>
      <c r="P4957">
        <v>6324.5530609999996</v>
      </c>
      <c r="Q4957">
        <v>1338</v>
      </c>
      <c r="R4957">
        <v>0</v>
      </c>
    </row>
    <row r="4958" spans="1:18" x14ac:dyDescent="0.25">
      <c r="A4958">
        <v>4957</v>
      </c>
      <c r="B4958">
        <v>94</v>
      </c>
      <c r="C4958" t="e">
        <f>-IoaYeecFYy-YnJF-zbxcV</f>
        <v>#NAME?</v>
      </c>
      <c r="D4958" t="s">
        <v>272</v>
      </c>
      <c r="E4958">
        <v>345.04500000000002</v>
      </c>
      <c r="F4958" t="s">
        <v>21</v>
      </c>
      <c r="G4958" t="s">
        <v>26</v>
      </c>
      <c r="H4958" t="s">
        <v>21</v>
      </c>
      <c r="I4958" t="s">
        <v>20</v>
      </c>
      <c r="J4958" t="s">
        <v>20</v>
      </c>
      <c r="K4958" t="s">
        <v>22</v>
      </c>
      <c r="L4958" t="s">
        <v>84</v>
      </c>
      <c r="M4958" t="s">
        <v>125</v>
      </c>
      <c r="N4958">
        <v>40.361077000000002</v>
      </c>
      <c r="O4958">
        <v>-111.746979</v>
      </c>
      <c r="P4958">
        <v>4485.3467030000002</v>
      </c>
      <c r="Q4958">
        <v>1384</v>
      </c>
      <c r="R4958">
        <v>0</v>
      </c>
    </row>
    <row r="4959" spans="1:18" x14ac:dyDescent="0.25">
      <c r="A4959">
        <v>4958</v>
      </c>
      <c r="B4959">
        <v>94</v>
      </c>
      <c r="C4959" t="e">
        <f>-IoaZIfjIj5jmnBAcg4X5F</f>
        <v>#NAME?</v>
      </c>
      <c r="D4959" t="s">
        <v>272</v>
      </c>
      <c r="E4959">
        <v>345.23399999999998</v>
      </c>
      <c r="F4959" t="s">
        <v>21</v>
      </c>
      <c r="G4959" t="s">
        <v>26</v>
      </c>
      <c r="H4959" t="s">
        <v>21</v>
      </c>
      <c r="I4959" t="s">
        <v>20</v>
      </c>
      <c r="J4959" t="s">
        <v>20</v>
      </c>
      <c r="K4959" t="s">
        <v>22</v>
      </c>
      <c r="L4959" t="s">
        <v>84</v>
      </c>
      <c r="M4959" t="s">
        <v>125</v>
      </c>
      <c r="N4959">
        <v>40.363283000000003</v>
      </c>
      <c r="O4959">
        <v>-111.748977</v>
      </c>
      <c r="P4959">
        <v>4485.0644700000003</v>
      </c>
      <c r="Q4959">
        <v>1384</v>
      </c>
      <c r="R4959">
        <v>0</v>
      </c>
    </row>
    <row r="4960" spans="1:18" x14ac:dyDescent="0.25">
      <c r="A4960">
        <v>4959</v>
      </c>
      <c r="B4960">
        <v>94</v>
      </c>
      <c r="C4960" t="e">
        <f>-IoaZTl9Iv5NcJNFRe12GF</f>
        <v>#NAME?</v>
      </c>
      <c r="D4960" t="s">
        <v>272</v>
      </c>
      <c r="E4960">
        <v>345.28899999999999</v>
      </c>
      <c r="F4960" t="s">
        <v>21</v>
      </c>
      <c r="G4960" t="s">
        <v>20</v>
      </c>
      <c r="H4960" t="s">
        <v>21</v>
      </c>
      <c r="I4960" t="s">
        <v>20</v>
      </c>
      <c r="J4960" t="s">
        <v>20</v>
      </c>
      <c r="K4960" t="s">
        <v>22</v>
      </c>
      <c r="L4960" t="s">
        <v>84</v>
      </c>
      <c r="M4960" t="s">
        <v>125</v>
      </c>
      <c r="N4960">
        <v>40.363990999999999</v>
      </c>
      <c r="O4960">
        <v>-111.74947</v>
      </c>
      <c r="P4960">
        <v>4486.7895330000001</v>
      </c>
      <c r="Q4960">
        <v>1384</v>
      </c>
      <c r="R4960">
        <v>0</v>
      </c>
    </row>
    <row r="4961" spans="1:18" x14ac:dyDescent="0.25">
      <c r="A4961">
        <v>4960</v>
      </c>
      <c r="B4961">
        <v>94</v>
      </c>
      <c r="C4961" t="e">
        <f>-IoaaF_yGCPpRrYDNlxyQF</f>
        <v>#NAME?</v>
      </c>
      <c r="D4961" t="s">
        <v>272</v>
      </c>
      <c r="E4961">
        <v>345.44299999999998</v>
      </c>
      <c r="F4961" t="s">
        <v>19</v>
      </c>
      <c r="G4961" t="s">
        <v>20</v>
      </c>
      <c r="H4961" t="s">
        <v>21</v>
      </c>
      <c r="I4961" t="s">
        <v>20</v>
      </c>
      <c r="J4961" t="s">
        <v>20</v>
      </c>
      <c r="K4961" t="s">
        <v>22</v>
      </c>
      <c r="L4961" t="s">
        <v>84</v>
      </c>
      <c r="M4961" t="s">
        <v>125</v>
      </c>
      <c r="N4961">
        <v>40.365741999999997</v>
      </c>
      <c r="O4961">
        <v>-111.751165</v>
      </c>
      <c r="P4961">
        <v>4489.1721399999997</v>
      </c>
      <c r="Q4961">
        <v>1384</v>
      </c>
      <c r="R4961">
        <v>0</v>
      </c>
    </row>
    <row r="4962" spans="1:18" x14ac:dyDescent="0.25">
      <c r="A4962">
        <v>4961</v>
      </c>
      <c r="B4962">
        <v>94</v>
      </c>
      <c r="C4962" t="e">
        <f>-IoRwSknGCuyyAzWASm54k</f>
        <v>#NAME?</v>
      </c>
      <c r="D4962" t="s">
        <v>272</v>
      </c>
      <c r="E4962">
        <v>333.73500000000001</v>
      </c>
      <c r="F4962" t="s">
        <v>21</v>
      </c>
      <c r="G4962" t="s">
        <v>26</v>
      </c>
      <c r="H4962" t="s">
        <v>21</v>
      </c>
      <c r="I4962" t="s">
        <v>20</v>
      </c>
      <c r="J4962" t="s">
        <v>20</v>
      </c>
      <c r="K4962" t="s">
        <v>22</v>
      </c>
      <c r="L4962" t="s">
        <v>23</v>
      </c>
      <c r="M4962" t="s">
        <v>125</v>
      </c>
      <c r="N4962">
        <v>40.229689999999998</v>
      </c>
      <c r="O4962">
        <v>-111.65172800000001</v>
      </c>
      <c r="P4962">
        <v>4486.3942040000002</v>
      </c>
      <c r="Q4962">
        <v>1384</v>
      </c>
      <c r="R4962">
        <v>0</v>
      </c>
    </row>
    <row r="4963" spans="1:18" x14ac:dyDescent="0.25">
      <c r="A4963">
        <v>4962</v>
      </c>
      <c r="B4963">
        <v>94</v>
      </c>
      <c r="C4963" t="e">
        <f>-IoRwehhHaX6PaZU0dfYkk</f>
        <v>#NAME?</v>
      </c>
      <c r="D4963" t="s">
        <v>272</v>
      </c>
      <c r="E4963">
        <v>333.82799999999997</v>
      </c>
      <c r="F4963" t="s">
        <v>21</v>
      </c>
      <c r="G4963" t="s">
        <v>26</v>
      </c>
      <c r="H4963" t="s">
        <v>21</v>
      </c>
      <c r="I4963" t="s">
        <v>20</v>
      </c>
      <c r="J4963" t="s">
        <v>20</v>
      </c>
      <c r="K4963" t="s">
        <v>22</v>
      </c>
      <c r="L4963" t="s">
        <v>23</v>
      </c>
      <c r="M4963" t="s">
        <v>125</v>
      </c>
      <c r="N4963">
        <v>40.229702000000003</v>
      </c>
      <c r="O4963">
        <v>-111.653447</v>
      </c>
      <c r="P4963">
        <v>4486.2099959999996</v>
      </c>
      <c r="Q4963">
        <v>1384</v>
      </c>
      <c r="R4963">
        <v>0</v>
      </c>
    </row>
    <row r="4964" spans="1:18" x14ac:dyDescent="0.25">
      <c r="A4964">
        <v>4963</v>
      </c>
      <c r="B4964">
        <v>94</v>
      </c>
      <c r="C4964" t="e">
        <f>-IoRwmmMFK18qxiNQeDmrV</f>
        <v>#NAME?</v>
      </c>
      <c r="D4964" t="s">
        <v>272</v>
      </c>
      <c r="E4964">
        <v>333.91899999999998</v>
      </c>
      <c r="F4964" t="s">
        <v>21</v>
      </c>
      <c r="G4964" t="s">
        <v>26</v>
      </c>
      <c r="H4964" t="s">
        <v>21</v>
      </c>
      <c r="I4964" t="s">
        <v>20</v>
      </c>
      <c r="J4964" t="s">
        <v>20</v>
      </c>
      <c r="K4964" t="s">
        <v>22</v>
      </c>
      <c r="L4964" t="s">
        <v>23</v>
      </c>
      <c r="M4964" t="s">
        <v>125</v>
      </c>
      <c r="N4964">
        <v>40.229703999999998</v>
      </c>
      <c r="O4964">
        <v>-111.65516599999999</v>
      </c>
      <c r="P4964">
        <v>4485.678586</v>
      </c>
      <c r="Q4964">
        <v>1384</v>
      </c>
      <c r="R4964">
        <v>0</v>
      </c>
    </row>
    <row r="4965" spans="1:18" x14ac:dyDescent="0.25">
      <c r="A4965">
        <v>4964</v>
      </c>
      <c r="B4965">
        <v>94</v>
      </c>
      <c r="C4965" t="e">
        <f>-IoRwu9EF3PnA3kRCipCcF</f>
        <v>#NAME?</v>
      </c>
      <c r="D4965" t="s">
        <v>272</v>
      </c>
      <c r="E4965">
        <v>334.01</v>
      </c>
      <c r="F4965" t="s">
        <v>21</v>
      </c>
      <c r="G4965" t="s">
        <v>26</v>
      </c>
      <c r="H4965" t="s">
        <v>21</v>
      </c>
      <c r="I4965" t="s">
        <v>20</v>
      </c>
      <c r="J4965" t="s">
        <v>20</v>
      </c>
      <c r="K4965" t="s">
        <v>22</v>
      </c>
      <c r="L4965" t="s">
        <v>23</v>
      </c>
      <c r="M4965" t="s">
        <v>125</v>
      </c>
      <c r="N4965">
        <v>40.229709999999997</v>
      </c>
      <c r="O4965">
        <v>-111.656856</v>
      </c>
      <c r="P4965">
        <v>4485.5112280000003</v>
      </c>
      <c r="Q4965">
        <v>1384</v>
      </c>
      <c r="R4965">
        <v>0</v>
      </c>
    </row>
    <row r="4966" spans="1:18" x14ac:dyDescent="0.25">
      <c r="A4966">
        <v>4965</v>
      </c>
      <c r="B4966">
        <v>94</v>
      </c>
      <c r="C4966" t="s">
        <v>699</v>
      </c>
      <c r="D4966" t="s">
        <v>272</v>
      </c>
      <c r="E4966">
        <v>334.10700000000003</v>
      </c>
      <c r="F4966" t="s">
        <v>19</v>
      </c>
      <c r="G4966" t="s">
        <v>20</v>
      </c>
      <c r="H4966" t="s">
        <v>19</v>
      </c>
      <c r="I4966">
        <v>189</v>
      </c>
      <c r="J4966" t="s">
        <v>20</v>
      </c>
      <c r="K4966" t="s">
        <v>22</v>
      </c>
      <c r="L4966" t="s">
        <v>23</v>
      </c>
      <c r="M4966" t="s">
        <v>125</v>
      </c>
      <c r="N4966">
        <v>40.229694000000002</v>
      </c>
      <c r="O4966">
        <v>-111.65867799999999</v>
      </c>
      <c r="P4966">
        <v>4482.5296989999997</v>
      </c>
      <c r="Q4966">
        <v>1384</v>
      </c>
      <c r="R4966">
        <v>0</v>
      </c>
    </row>
    <row r="4967" spans="1:18" x14ac:dyDescent="0.25">
      <c r="A4967">
        <v>4966</v>
      </c>
      <c r="B4967">
        <v>94</v>
      </c>
      <c r="C4967" t="e">
        <f>-IovGBYjItaM0d4mHspVBF</f>
        <v>#NAME?</v>
      </c>
      <c r="D4967" t="s">
        <v>272</v>
      </c>
      <c r="E4967">
        <v>366.99400000000003</v>
      </c>
      <c r="F4967" t="s">
        <v>21</v>
      </c>
      <c r="G4967" t="s">
        <v>26</v>
      </c>
      <c r="H4967" t="s">
        <v>21</v>
      </c>
      <c r="I4967" t="s">
        <v>20</v>
      </c>
      <c r="J4967" t="s">
        <v>20</v>
      </c>
      <c r="K4967" t="s">
        <v>31</v>
      </c>
      <c r="L4967" t="s">
        <v>69</v>
      </c>
      <c r="M4967" t="s">
        <v>49</v>
      </c>
      <c r="N4967">
        <v>40.590997000000002</v>
      </c>
      <c r="O4967">
        <v>-111.89086399999999</v>
      </c>
      <c r="P4967">
        <v>4353.6851820000002</v>
      </c>
      <c r="Q4967">
        <v>1384</v>
      </c>
      <c r="R4967">
        <v>0</v>
      </c>
    </row>
    <row r="4968" spans="1:18" x14ac:dyDescent="0.25">
      <c r="A4968">
        <v>4967</v>
      </c>
      <c r="B4968">
        <v>94</v>
      </c>
      <c r="C4968">
        <v>31381062</v>
      </c>
      <c r="D4968" t="s">
        <v>116</v>
      </c>
      <c r="E4968">
        <v>30.213999999999999</v>
      </c>
      <c r="F4968" t="s">
        <v>21</v>
      </c>
      <c r="G4968" t="s">
        <v>26</v>
      </c>
      <c r="H4968" t="s">
        <v>21</v>
      </c>
      <c r="I4968" t="s">
        <v>20</v>
      </c>
      <c r="J4968" t="s">
        <v>20</v>
      </c>
      <c r="K4968" t="s">
        <v>41</v>
      </c>
      <c r="L4968" t="s">
        <v>95</v>
      </c>
      <c r="M4968" t="s">
        <v>117</v>
      </c>
      <c r="N4968">
        <v>41.783465999999997</v>
      </c>
      <c r="O4968">
        <v>-111.833842</v>
      </c>
      <c r="P4968">
        <v>4427.7431379999998</v>
      </c>
      <c r="Q4968">
        <v>324</v>
      </c>
      <c r="R4968">
        <v>0</v>
      </c>
    </row>
    <row r="4969" spans="1:18" x14ac:dyDescent="0.25">
      <c r="A4969">
        <v>4968</v>
      </c>
      <c r="B4969">
        <v>94</v>
      </c>
      <c r="C4969">
        <v>31428449</v>
      </c>
      <c r="D4969" t="s">
        <v>221</v>
      </c>
      <c r="E4969">
        <v>30.225999999999999</v>
      </c>
      <c r="F4969" t="s">
        <v>21</v>
      </c>
      <c r="G4969" t="s">
        <v>26</v>
      </c>
      <c r="H4969" t="s">
        <v>21</v>
      </c>
      <c r="I4969" t="s">
        <v>20</v>
      </c>
      <c r="J4969" t="s">
        <v>20</v>
      </c>
      <c r="K4969" t="s">
        <v>22</v>
      </c>
      <c r="L4969" t="s">
        <v>155</v>
      </c>
      <c r="M4969" t="s">
        <v>174</v>
      </c>
      <c r="N4969">
        <v>39.561754000000001</v>
      </c>
      <c r="O4969">
        <v>-111.861895</v>
      </c>
      <c r="P4969">
        <v>5256.626064</v>
      </c>
      <c r="Q4969">
        <v>1342</v>
      </c>
      <c r="R4969">
        <v>0</v>
      </c>
    </row>
    <row r="4970" spans="1:18" x14ac:dyDescent="0.25">
      <c r="A4970">
        <v>4969</v>
      </c>
      <c r="B4970">
        <v>94</v>
      </c>
      <c r="C4970">
        <v>31332035</v>
      </c>
      <c r="D4970" t="s">
        <v>303</v>
      </c>
      <c r="E4970">
        <v>30.324000000000002</v>
      </c>
      <c r="F4970" t="s">
        <v>21</v>
      </c>
      <c r="G4970" t="s">
        <v>26</v>
      </c>
      <c r="H4970" t="s">
        <v>21</v>
      </c>
      <c r="I4970" t="s">
        <v>20</v>
      </c>
      <c r="J4970" t="s">
        <v>20</v>
      </c>
      <c r="K4970" t="s">
        <v>27</v>
      </c>
      <c r="L4970" t="s">
        <v>72</v>
      </c>
      <c r="M4970" t="s">
        <v>73</v>
      </c>
      <c r="N4970">
        <v>37.173893</v>
      </c>
      <c r="O4970">
        <v>-113.012023</v>
      </c>
      <c r="P4970">
        <v>3740.9645129999999</v>
      </c>
      <c r="Q4970">
        <v>1326</v>
      </c>
      <c r="R4970">
        <v>0</v>
      </c>
    </row>
    <row r="4971" spans="1:18" x14ac:dyDescent="0.25">
      <c r="A4971">
        <v>4970</v>
      </c>
      <c r="B4971">
        <v>94</v>
      </c>
      <c r="C4971">
        <v>31401925</v>
      </c>
      <c r="D4971" t="s">
        <v>210</v>
      </c>
      <c r="E4971">
        <v>30.329000000000001</v>
      </c>
      <c r="F4971" t="s">
        <v>21</v>
      </c>
      <c r="G4971" t="s">
        <v>20</v>
      </c>
      <c r="H4971" t="s">
        <v>21</v>
      </c>
      <c r="I4971" t="s">
        <v>20</v>
      </c>
      <c r="J4971" t="s">
        <v>20</v>
      </c>
      <c r="K4971" t="s">
        <v>27</v>
      </c>
      <c r="L4971" t="s">
        <v>211</v>
      </c>
      <c r="M4971" t="s">
        <v>212</v>
      </c>
      <c r="N4971">
        <v>37.161239000000002</v>
      </c>
      <c r="O4971">
        <v>-109.06836699999999</v>
      </c>
      <c r="P4971">
        <v>4724.1002870000002</v>
      </c>
      <c r="Q4971">
        <v>344</v>
      </c>
      <c r="R4971">
        <v>0</v>
      </c>
    </row>
    <row r="4972" spans="1:18" x14ac:dyDescent="0.25">
      <c r="A4972">
        <v>4971</v>
      </c>
      <c r="B4972">
        <v>94</v>
      </c>
      <c r="C4972">
        <v>2624658</v>
      </c>
      <c r="D4972" t="s">
        <v>176</v>
      </c>
      <c r="E4972">
        <v>30.341999999999999</v>
      </c>
      <c r="F4972" t="s">
        <v>21</v>
      </c>
      <c r="G4972" t="s">
        <v>26</v>
      </c>
      <c r="H4972" t="s">
        <v>21</v>
      </c>
      <c r="I4972" t="s">
        <v>20</v>
      </c>
      <c r="J4972" t="s">
        <v>20</v>
      </c>
      <c r="K4972" t="s">
        <v>41</v>
      </c>
      <c r="L4972" t="s">
        <v>223</v>
      </c>
      <c r="M4972" t="s">
        <v>178</v>
      </c>
      <c r="N4972">
        <v>41.85772</v>
      </c>
      <c r="O4972">
        <v>-112.146539</v>
      </c>
      <c r="P4972">
        <v>4362.8678760000003</v>
      </c>
      <c r="Q4972">
        <v>1329</v>
      </c>
      <c r="R4972">
        <v>0</v>
      </c>
    </row>
    <row r="4973" spans="1:18" x14ac:dyDescent="0.25">
      <c r="A4973">
        <v>4972</v>
      </c>
      <c r="B4973">
        <v>94</v>
      </c>
      <c r="C4973">
        <v>31332046</v>
      </c>
      <c r="D4973" t="s">
        <v>303</v>
      </c>
      <c r="E4973">
        <v>30.376000000000001</v>
      </c>
      <c r="F4973" t="s">
        <v>21</v>
      </c>
      <c r="G4973" t="s">
        <v>26</v>
      </c>
      <c r="H4973" t="s">
        <v>21</v>
      </c>
      <c r="I4973" t="s">
        <v>20</v>
      </c>
      <c r="J4973" t="s">
        <v>20</v>
      </c>
      <c r="K4973" t="s">
        <v>27</v>
      </c>
      <c r="L4973" t="s">
        <v>72</v>
      </c>
      <c r="M4973" t="s">
        <v>73</v>
      </c>
      <c r="N4973">
        <v>37.174509</v>
      </c>
      <c r="O4973">
        <v>-113.011484</v>
      </c>
      <c r="P4973">
        <v>3744.6900439999999</v>
      </c>
      <c r="Q4973">
        <v>1326</v>
      </c>
      <c r="R4973">
        <v>0</v>
      </c>
    </row>
    <row r="4974" spans="1:18" x14ac:dyDescent="0.25">
      <c r="A4974">
        <v>4973</v>
      </c>
      <c r="B4974">
        <v>94</v>
      </c>
      <c r="C4974">
        <v>31449523</v>
      </c>
      <c r="D4974" t="s">
        <v>278</v>
      </c>
      <c r="E4974">
        <v>30.385999999999999</v>
      </c>
      <c r="F4974" t="s">
        <v>21</v>
      </c>
      <c r="G4974" t="s">
        <v>20</v>
      </c>
      <c r="H4974" t="s">
        <v>21</v>
      </c>
      <c r="I4974" t="s">
        <v>20</v>
      </c>
      <c r="J4974" t="s">
        <v>20</v>
      </c>
      <c r="K4974" t="s">
        <v>27</v>
      </c>
      <c r="L4974" t="s">
        <v>279</v>
      </c>
      <c r="M4974" t="s">
        <v>280</v>
      </c>
      <c r="N4974">
        <v>37.524771999999999</v>
      </c>
      <c r="O4974">
        <v>-112.663296</v>
      </c>
      <c r="P4974">
        <v>8357.0286309999992</v>
      </c>
      <c r="Q4974">
        <v>1330</v>
      </c>
      <c r="R4974">
        <v>0</v>
      </c>
    </row>
    <row r="4975" spans="1:18" x14ac:dyDescent="0.25">
      <c r="A4975">
        <v>4974</v>
      </c>
      <c r="B4975">
        <v>94</v>
      </c>
      <c r="C4975">
        <v>31283136</v>
      </c>
      <c r="D4975" t="s">
        <v>241</v>
      </c>
      <c r="E4975">
        <v>30.401</v>
      </c>
      <c r="F4975" t="s">
        <v>21</v>
      </c>
      <c r="G4975" t="s">
        <v>26</v>
      </c>
      <c r="H4975" t="s">
        <v>21</v>
      </c>
      <c r="I4975" t="s">
        <v>20</v>
      </c>
      <c r="J4975" t="s">
        <v>20</v>
      </c>
      <c r="K4975" t="s">
        <v>27</v>
      </c>
      <c r="L4975" t="s">
        <v>111</v>
      </c>
      <c r="M4975" t="s">
        <v>243</v>
      </c>
      <c r="N4975">
        <v>39.132216</v>
      </c>
      <c r="O4975">
        <v>-111.100373</v>
      </c>
      <c r="P4975">
        <v>5909.4462009999997</v>
      </c>
      <c r="Q4975">
        <v>1327</v>
      </c>
      <c r="R4975">
        <v>0</v>
      </c>
    </row>
    <row r="4976" spans="1:18" x14ac:dyDescent="0.25">
      <c r="A4976">
        <v>4975</v>
      </c>
      <c r="B4976">
        <v>94</v>
      </c>
      <c r="C4976">
        <v>31332607</v>
      </c>
      <c r="D4976" t="s">
        <v>303</v>
      </c>
      <c r="E4976">
        <v>30.411000000000001</v>
      </c>
      <c r="F4976" t="s">
        <v>21</v>
      </c>
      <c r="G4976" t="s">
        <v>20</v>
      </c>
      <c r="H4976" t="s">
        <v>21</v>
      </c>
      <c r="I4976" t="s">
        <v>20</v>
      </c>
      <c r="J4976" t="s">
        <v>20</v>
      </c>
      <c r="K4976" t="s">
        <v>27</v>
      </c>
      <c r="L4976" t="s">
        <v>72</v>
      </c>
      <c r="M4976" t="s">
        <v>73</v>
      </c>
      <c r="N4976">
        <v>37.174912999999997</v>
      </c>
      <c r="O4976">
        <v>-113.011098</v>
      </c>
      <c r="P4976">
        <v>3746.777419</v>
      </c>
      <c r="Q4976">
        <v>1326</v>
      </c>
      <c r="R4976">
        <v>0</v>
      </c>
    </row>
    <row r="4977" spans="1:18" x14ac:dyDescent="0.25">
      <c r="A4977">
        <v>4976</v>
      </c>
      <c r="B4977">
        <v>94</v>
      </c>
      <c r="C4977">
        <v>31285291</v>
      </c>
      <c r="D4977" t="s">
        <v>288</v>
      </c>
      <c r="E4977">
        <v>30.466999999999999</v>
      </c>
      <c r="F4977" t="s">
        <v>21</v>
      </c>
      <c r="G4977" t="s">
        <v>20</v>
      </c>
      <c r="H4977" t="s">
        <v>21</v>
      </c>
      <c r="I4977" t="s">
        <v>20</v>
      </c>
      <c r="J4977" t="s">
        <v>20</v>
      </c>
      <c r="K4977" t="s">
        <v>27</v>
      </c>
      <c r="L4977" t="s">
        <v>211</v>
      </c>
      <c r="M4977" t="s">
        <v>318</v>
      </c>
      <c r="N4977">
        <v>37.346133999999999</v>
      </c>
      <c r="O4977">
        <v>-109.519229</v>
      </c>
      <c r="P4977">
        <v>4764.9765299999999</v>
      </c>
      <c r="Q4977">
        <v>350</v>
      </c>
      <c r="R4977">
        <v>0</v>
      </c>
    </row>
    <row r="4978" spans="1:18" x14ac:dyDescent="0.25">
      <c r="A4978">
        <v>4977</v>
      </c>
      <c r="B4978">
        <v>94</v>
      </c>
      <c r="C4978">
        <v>31393669</v>
      </c>
      <c r="D4978" t="s">
        <v>124</v>
      </c>
      <c r="E4978">
        <v>30.477</v>
      </c>
      <c r="F4978" t="s">
        <v>21</v>
      </c>
      <c r="G4978" t="s">
        <v>26</v>
      </c>
      <c r="H4978" t="s">
        <v>21</v>
      </c>
      <c r="I4978" t="s">
        <v>20</v>
      </c>
      <c r="J4978" t="s">
        <v>20</v>
      </c>
      <c r="K4978" t="s">
        <v>22</v>
      </c>
      <c r="L4978" t="s">
        <v>84</v>
      </c>
      <c r="M4978" t="s">
        <v>194</v>
      </c>
      <c r="N4978">
        <v>40.354801000000002</v>
      </c>
      <c r="O4978">
        <v>-111.91634000000001</v>
      </c>
      <c r="P4978">
        <v>4488.4121839999998</v>
      </c>
      <c r="Q4978">
        <v>1368</v>
      </c>
      <c r="R4978">
        <v>0</v>
      </c>
    </row>
    <row r="4979" spans="1:18" x14ac:dyDescent="0.25">
      <c r="A4979">
        <v>4978</v>
      </c>
      <c r="B4979">
        <v>94</v>
      </c>
      <c r="C4979">
        <v>31381073</v>
      </c>
      <c r="D4979" t="s">
        <v>116</v>
      </c>
      <c r="E4979">
        <v>30.501000000000001</v>
      </c>
      <c r="F4979" t="s">
        <v>21</v>
      </c>
      <c r="G4979" t="s">
        <v>26</v>
      </c>
      <c r="H4979" t="s">
        <v>21</v>
      </c>
      <c r="I4979" t="s">
        <v>20</v>
      </c>
      <c r="J4979" t="s">
        <v>20</v>
      </c>
      <c r="K4979" t="s">
        <v>41</v>
      </c>
      <c r="L4979" t="s">
        <v>95</v>
      </c>
      <c r="M4979" t="s">
        <v>117</v>
      </c>
      <c r="N4979">
        <v>41.787616</v>
      </c>
      <c r="O4979">
        <v>-111.833758</v>
      </c>
      <c r="P4979">
        <v>4418.6536059999999</v>
      </c>
      <c r="Q4979">
        <v>324</v>
      </c>
      <c r="R4979">
        <v>0</v>
      </c>
    </row>
    <row r="4980" spans="1:18" x14ac:dyDescent="0.25">
      <c r="A4980">
        <v>4979</v>
      </c>
      <c r="B4980">
        <v>94</v>
      </c>
      <c r="C4980" t="e">
        <f>-JODu6vQGHqor3ubpzQUmF</f>
        <v>#NAME?</v>
      </c>
      <c r="D4980" t="s">
        <v>210</v>
      </c>
      <c r="E4980">
        <v>30.527000000000001</v>
      </c>
      <c r="F4980" t="s">
        <v>21</v>
      </c>
      <c r="G4980" t="s">
        <v>20</v>
      </c>
      <c r="H4980" t="s">
        <v>21</v>
      </c>
      <c r="I4980" t="s">
        <v>20</v>
      </c>
      <c r="J4980" t="s">
        <v>20</v>
      </c>
      <c r="K4980" t="s">
        <v>27</v>
      </c>
      <c r="L4980" t="s">
        <v>211</v>
      </c>
      <c r="M4980" t="s">
        <v>212</v>
      </c>
      <c r="N4980">
        <v>37.159878999999997</v>
      </c>
      <c r="O4980">
        <v>-109.06520399999999</v>
      </c>
      <c r="P4980">
        <v>4726.318072</v>
      </c>
      <c r="Q4980">
        <v>344</v>
      </c>
      <c r="R4980">
        <v>0</v>
      </c>
    </row>
    <row r="4981" spans="1:18" x14ac:dyDescent="0.25">
      <c r="A4981">
        <v>4980</v>
      </c>
      <c r="B4981">
        <v>94</v>
      </c>
      <c r="C4981">
        <v>31312672</v>
      </c>
      <c r="D4981" t="s">
        <v>268</v>
      </c>
      <c r="E4981">
        <v>30.597000000000001</v>
      </c>
      <c r="F4981" t="s">
        <v>21</v>
      </c>
      <c r="G4981" t="s">
        <v>26</v>
      </c>
      <c r="H4981" t="s">
        <v>21</v>
      </c>
      <c r="I4981" t="s">
        <v>20</v>
      </c>
      <c r="J4981" t="s">
        <v>20</v>
      </c>
      <c r="K4981" t="s">
        <v>41</v>
      </c>
      <c r="L4981" t="s">
        <v>181</v>
      </c>
      <c r="M4981" t="s">
        <v>43</v>
      </c>
      <c r="N4981">
        <v>41.815961999999999</v>
      </c>
      <c r="O4981">
        <v>-112.413088</v>
      </c>
      <c r="P4981">
        <v>4757.2249780000002</v>
      </c>
      <c r="Q4981">
        <v>1380</v>
      </c>
      <c r="R4981">
        <v>0</v>
      </c>
    </row>
    <row r="4982" spans="1:18" x14ac:dyDescent="0.25">
      <c r="A4982">
        <v>4981</v>
      </c>
      <c r="B4982">
        <v>94</v>
      </c>
      <c r="C4982">
        <v>31410371</v>
      </c>
      <c r="D4982" t="s">
        <v>63</v>
      </c>
      <c r="E4982">
        <v>31.925000000000001</v>
      </c>
      <c r="F4982" t="s">
        <v>21</v>
      </c>
      <c r="G4982" t="s">
        <v>26</v>
      </c>
      <c r="H4982" t="s">
        <v>21</v>
      </c>
      <c r="I4982" t="s">
        <v>20</v>
      </c>
      <c r="J4982" t="s">
        <v>20</v>
      </c>
      <c r="K4982" t="s">
        <v>27</v>
      </c>
      <c r="L4982" t="s">
        <v>266</v>
      </c>
      <c r="M4982" t="s">
        <v>29</v>
      </c>
      <c r="N4982">
        <v>38.433574</v>
      </c>
      <c r="O4982">
        <v>-111.922366</v>
      </c>
      <c r="P4982">
        <v>6798.1792850000002</v>
      </c>
      <c r="Q4982">
        <v>1365</v>
      </c>
      <c r="R4982">
        <v>0</v>
      </c>
    </row>
    <row r="4983" spans="1:18" x14ac:dyDescent="0.25">
      <c r="A4983">
        <v>4982</v>
      </c>
      <c r="B4983">
        <v>94</v>
      </c>
      <c r="C4983" t="e">
        <f>-IovFCWzIwPJE7wSFzjpnV</f>
        <v>#NAME?</v>
      </c>
      <c r="D4983" t="s">
        <v>176</v>
      </c>
      <c r="E4983">
        <v>31.939</v>
      </c>
      <c r="F4983" t="s">
        <v>21</v>
      </c>
      <c r="G4983" t="s">
        <v>26</v>
      </c>
      <c r="H4983" t="s">
        <v>21</v>
      </c>
      <c r="I4983" t="s">
        <v>20</v>
      </c>
      <c r="J4983" t="s">
        <v>20</v>
      </c>
      <c r="K4983" t="s">
        <v>41</v>
      </c>
      <c r="L4983" t="s">
        <v>223</v>
      </c>
      <c r="M4983" t="s">
        <v>178</v>
      </c>
      <c r="N4983">
        <v>41.879458999999997</v>
      </c>
      <c r="O4983">
        <v>-112.154228</v>
      </c>
      <c r="P4983">
        <v>4455.1326019999997</v>
      </c>
      <c r="Q4983">
        <v>1329</v>
      </c>
      <c r="R4983">
        <v>0</v>
      </c>
    </row>
    <row r="4984" spans="1:18" x14ac:dyDescent="0.25">
      <c r="A4984">
        <v>4983</v>
      </c>
      <c r="B4984">
        <v>94</v>
      </c>
      <c r="C4984">
        <v>31764517</v>
      </c>
      <c r="D4984" t="s">
        <v>312</v>
      </c>
      <c r="E4984">
        <v>4.4210000000000003</v>
      </c>
      <c r="F4984" t="s">
        <v>21</v>
      </c>
      <c r="G4984" t="s">
        <v>26</v>
      </c>
      <c r="H4984" t="s">
        <v>21</v>
      </c>
      <c r="I4984" t="s">
        <v>20</v>
      </c>
      <c r="J4984" t="s">
        <v>20</v>
      </c>
      <c r="K4984" t="s">
        <v>27</v>
      </c>
      <c r="L4984" t="s">
        <v>143</v>
      </c>
      <c r="M4984" t="s">
        <v>313</v>
      </c>
      <c r="N4984">
        <v>38.460566</v>
      </c>
      <c r="O4984">
        <v>-113.003643</v>
      </c>
      <c r="P4984">
        <v>4895.0338199999997</v>
      </c>
      <c r="Q4984">
        <v>255</v>
      </c>
      <c r="R4984">
        <v>0</v>
      </c>
    </row>
    <row r="4985" spans="1:18" x14ac:dyDescent="0.25">
      <c r="A4985">
        <v>4984</v>
      </c>
      <c r="B4985">
        <v>94</v>
      </c>
      <c r="C4985" t="e">
        <f>-JP5Ct7RGy1Us1O7j90-Wk</f>
        <v>#NAME?</v>
      </c>
      <c r="D4985" t="s">
        <v>208</v>
      </c>
      <c r="E4985">
        <v>4.4210000000000003</v>
      </c>
      <c r="F4985" t="s">
        <v>21</v>
      </c>
      <c r="G4985" t="s">
        <v>26</v>
      </c>
      <c r="H4985" t="s">
        <v>21</v>
      </c>
      <c r="I4985" t="s">
        <v>20</v>
      </c>
      <c r="J4985" t="s">
        <v>20</v>
      </c>
      <c r="K4985" t="s">
        <v>31</v>
      </c>
      <c r="L4985" t="s">
        <v>209</v>
      </c>
      <c r="M4985" t="s">
        <v>131</v>
      </c>
      <c r="N4985">
        <v>40.642451999999999</v>
      </c>
      <c r="O4985">
        <v>-111.49347299999999</v>
      </c>
      <c r="P4985">
        <v>7081.720327</v>
      </c>
      <c r="Q4985">
        <v>357</v>
      </c>
      <c r="R4985">
        <v>0</v>
      </c>
    </row>
    <row r="4986" spans="1:18" x14ac:dyDescent="0.25">
      <c r="A4986">
        <v>4985</v>
      </c>
      <c r="B4986">
        <v>94</v>
      </c>
      <c r="C4986">
        <v>31388525</v>
      </c>
      <c r="D4986" t="s">
        <v>364</v>
      </c>
      <c r="E4986">
        <v>4.423</v>
      </c>
      <c r="F4986" t="s">
        <v>21</v>
      </c>
      <c r="G4986" t="s">
        <v>26</v>
      </c>
      <c r="H4986" t="s">
        <v>21</v>
      </c>
      <c r="I4986" t="s">
        <v>20</v>
      </c>
      <c r="J4986" t="s">
        <v>20</v>
      </c>
      <c r="K4986" t="s">
        <v>22</v>
      </c>
      <c r="L4986" t="s">
        <v>140</v>
      </c>
      <c r="M4986" t="s">
        <v>85</v>
      </c>
      <c r="N4986">
        <v>40.098241999999999</v>
      </c>
      <c r="O4986">
        <v>-111.717119</v>
      </c>
      <c r="P4986">
        <v>4480.6290630000003</v>
      </c>
      <c r="Q4986">
        <v>1401</v>
      </c>
      <c r="R4986">
        <v>0</v>
      </c>
    </row>
    <row r="4987" spans="1:18" x14ac:dyDescent="0.25">
      <c r="A4987">
        <v>4986</v>
      </c>
      <c r="B4987">
        <v>94</v>
      </c>
      <c r="C4987" t="s">
        <v>700</v>
      </c>
      <c r="D4987" t="s">
        <v>272</v>
      </c>
      <c r="E4987">
        <v>425.017</v>
      </c>
      <c r="F4987" t="s">
        <v>21</v>
      </c>
      <c r="G4987" t="s">
        <v>26</v>
      </c>
      <c r="H4987" t="s">
        <v>21</v>
      </c>
      <c r="I4987" t="s">
        <v>20</v>
      </c>
      <c r="J4987" t="s">
        <v>20</v>
      </c>
      <c r="K4987" t="s">
        <v>41</v>
      </c>
      <c r="L4987" t="s">
        <v>177</v>
      </c>
      <c r="M4987" t="s">
        <v>46</v>
      </c>
      <c r="N4987">
        <v>41.368713</v>
      </c>
      <c r="O4987">
        <v>-112.034952</v>
      </c>
      <c r="P4987">
        <v>4275.0791650000001</v>
      </c>
      <c r="Q4987">
        <v>1384</v>
      </c>
      <c r="R4987">
        <v>0</v>
      </c>
    </row>
    <row r="4988" spans="1:18" x14ac:dyDescent="0.25">
      <c r="A4988">
        <v>4987</v>
      </c>
      <c r="B4988">
        <v>94</v>
      </c>
      <c r="C4988" t="e">
        <f>-IpV7YXSF19EEworXYjGOF</f>
        <v>#NAME?</v>
      </c>
      <c r="D4988" t="s">
        <v>272</v>
      </c>
      <c r="E4988">
        <v>425.07299999999998</v>
      </c>
      <c r="F4988" t="s">
        <v>21</v>
      </c>
      <c r="G4988" t="s">
        <v>20</v>
      </c>
      <c r="H4988" t="s">
        <v>21</v>
      </c>
      <c r="I4988" t="s">
        <v>20</v>
      </c>
      <c r="J4988" t="s">
        <v>20</v>
      </c>
      <c r="K4988" t="s">
        <v>41</v>
      </c>
      <c r="L4988" t="s">
        <v>177</v>
      </c>
      <c r="M4988" t="s">
        <v>46</v>
      </c>
      <c r="N4988">
        <v>41.369481</v>
      </c>
      <c r="O4988">
        <v>-112.034622</v>
      </c>
      <c r="P4988">
        <v>4276.6295739999996</v>
      </c>
      <c r="Q4988">
        <v>1384</v>
      </c>
      <c r="R4988">
        <v>0</v>
      </c>
    </row>
    <row r="4989" spans="1:18" x14ac:dyDescent="0.25">
      <c r="A4989">
        <v>4988</v>
      </c>
      <c r="B4989">
        <v>94</v>
      </c>
      <c r="C4989" t="e">
        <f>-IpV7t0DIAumRexHWgaIek</f>
        <v>#NAME?</v>
      </c>
      <c r="D4989" t="s">
        <v>272</v>
      </c>
      <c r="E4989">
        <v>425.21199999999999</v>
      </c>
      <c r="F4989" t="s">
        <v>21</v>
      </c>
      <c r="G4989" t="s">
        <v>26</v>
      </c>
      <c r="H4989" t="s">
        <v>21</v>
      </c>
      <c r="I4989" t="s">
        <v>20</v>
      </c>
      <c r="J4989" t="s">
        <v>20</v>
      </c>
      <c r="K4989" t="s">
        <v>41</v>
      </c>
      <c r="L4989" t="s">
        <v>177</v>
      </c>
      <c r="M4989" t="s">
        <v>46</v>
      </c>
      <c r="N4989">
        <v>41.371402000000003</v>
      </c>
      <c r="O4989">
        <v>-112.03383599999999</v>
      </c>
      <c r="P4989">
        <v>4277.8030040000003</v>
      </c>
      <c r="Q4989">
        <v>1384</v>
      </c>
      <c r="R4989">
        <v>0</v>
      </c>
    </row>
    <row r="4990" spans="1:18" x14ac:dyDescent="0.25">
      <c r="A4990">
        <v>4989</v>
      </c>
      <c r="B4990">
        <v>94</v>
      </c>
      <c r="C4990" t="e">
        <f>-IpV89_hHUaAmM4lTIBQqF</f>
        <v>#NAME?</v>
      </c>
      <c r="D4990" t="s">
        <v>272</v>
      </c>
      <c r="E4990">
        <v>425.291</v>
      </c>
      <c r="F4990" t="s">
        <v>21</v>
      </c>
      <c r="G4990" t="s">
        <v>26</v>
      </c>
      <c r="H4990" t="s">
        <v>21</v>
      </c>
      <c r="I4990" t="s">
        <v>20</v>
      </c>
      <c r="J4990" t="s">
        <v>20</v>
      </c>
      <c r="K4990" t="s">
        <v>41</v>
      </c>
      <c r="L4990" t="s">
        <v>177</v>
      </c>
      <c r="M4990" t="s">
        <v>46</v>
      </c>
      <c r="N4990">
        <v>41.372539000000003</v>
      </c>
      <c r="O4990">
        <v>-112.03361099999999</v>
      </c>
      <c r="P4990">
        <v>4275.9581520000002</v>
      </c>
      <c r="Q4990">
        <v>1384</v>
      </c>
      <c r="R4990">
        <v>0</v>
      </c>
    </row>
    <row r="4991" spans="1:18" x14ac:dyDescent="0.25">
      <c r="A4991">
        <v>4990</v>
      </c>
      <c r="B4991">
        <v>94</v>
      </c>
      <c r="C4991">
        <v>28629976</v>
      </c>
      <c r="D4991" t="s">
        <v>142</v>
      </c>
      <c r="E4991">
        <v>31.585999999999999</v>
      </c>
      <c r="F4991" t="s">
        <v>21</v>
      </c>
      <c r="G4991" t="s">
        <v>26</v>
      </c>
      <c r="H4991" t="s">
        <v>21</v>
      </c>
      <c r="I4991" t="s">
        <v>20</v>
      </c>
      <c r="J4991" t="s">
        <v>20</v>
      </c>
      <c r="K4991" t="s">
        <v>27</v>
      </c>
      <c r="L4991" t="s">
        <v>143</v>
      </c>
      <c r="M4991" t="s">
        <v>106</v>
      </c>
      <c r="N4991">
        <v>38.564872000000001</v>
      </c>
      <c r="O4991">
        <v>-113.77001799999999</v>
      </c>
      <c r="P4991">
        <v>5321.7761140000002</v>
      </c>
      <c r="Q4991">
        <v>305</v>
      </c>
      <c r="R4991">
        <v>0</v>
      </c>
    </row>
    <row r="4992" spans="1:18" x14ac:dyDescent="0.25">
      <c r="A4992">
        <v>4991</v>
      </c>
      <c r="B4992">
        <v>94</v>
      </c>
      <c r="C4992">
        <v>31685416</v>
      </c>
      <c r="D4992" t="s">
        <v>217</v>
      </c>
      <c r="E4992">
        <v>31.63</v>
      </c>
      <c r="F4992" t="s">
        <v>21</v>
      </c>
      <c r="G4992" t="s">
        <v>26</v>
      </c>
      <c r="H4992" t="s">
        <v>21</v>
      </c>
      <c r="I4992" t="s">
        <v>20</v>
      </c>
      <c r="J4992" t="s">
        <v>20</v>
      </c>
      <c r="K4992" t="s">
        <v>27</v>
      </c>
      <c r="L4992" t="s">
        <v>162</v>
      </c>
      <c r="M4992" t="s">
        <v>163</v>
      </c>
      <c r="N4992">
        <v>37.479126999999998</v>
      </c>
      <c r="O4992">
        <v>-113.62823899999999</v>
      </c>
      <c r="P4992">
        <v>5802.6577850000003</v>
      </c>
      <c r="Q4992">
        <v>304</v>
      </c>
      <c r="R4992">
        <v>0</v>
      </c>
    </row>
    <row r="4993" spans="1:18" x14ac:dyDescent="0.25">
      <c r="A4993">
        <v>4992</v>
      </c>
      <c r="B4993">
        <v>94</v>
      </c>
      <c r="C4993" t="s">
        <v>701</v>
      </c>
      <c r="D4993" t="s">
        <v>176</v>
      </c>
      <c r="E4993">
        <v>31.669</v>
      </c>
      <c r="F4993" t="s">
        <v>21</v>
      </c>
      <c r="G4993" t="s">
        <v>26</v>
      </c>
      <c r="H4993" t="s">
        <v>21</v>
      </c>
      <c r="I4993" t="s">
        <v>20</v>
      </c>
      <c r="J4993" t="s">
        <v>20</v>
      </c>
      <c r="K4993" t="s">
        <v>41</v>
      </c>
      <c r="L4993" t="s">
        <v>223</v>
      </c>
      <c r="M4993" t="s">
        <v>178</v>
      </c>
      <c r="N4993">
        <v>41.876190000000001</v>
      </c>
      <c r="O4993">
        <v>-112.15134999999999</v>
      </c>
      <c r="P4993">
        <v>4427.1808700000001</v>
      </c>
      <c r="Q4993">
        <v>1329</v>
      </c>
      <c r="R4993">
        <v>0</v>
      </c>
    </row>
    <row r="4994" spans="1:18" x14ac:dyDescent="0.25">
      <c r="A4994">
        <v>4993</v>
      </c>
      <c r="B4994">
        <v>94</v>
      </c>
      <c r="C4994">
        <v>31533893</v>
      </c>
      <c r="D4994" t="s">
        <v>121</v>
      </c>
      <c r="E4994">
        <v>31.690999999999999</v>
      </c>
      <c r="F4994" t="s">
        <v>21</v>
      </c>
      <c r="G4994" t="s">
        <v>26</v>
      </c>
      <c r="H4994" t="s">
        <v>21</v>
      </c>
      <c r="I4994" t="s">
        <v>20</v>
      </c>
      <c r="J4994" t="s">
        <v>20</v>
      </c>
      <c r="K4994" t="s">
        <v>27</v>
      </c>
      <c r="L4994" t="s">
        <v>122</v>
      </c>
      <c r="M4994" t="s">
        <v>123</v>
      </c>
      <c r="N4994">
        <v>37.620525999999998</v>
      </c>
      <c r="O4994">
        <v>-110.720949</v>
      </c>
      <c r="P4994">
        <v>3849.8225080000002</v>
      </c>
      <c r="Q4994">
        <v>1283</v>
      </c>
      <c r="R4994">
        <v>0</v>
      </c>
    </row>
    <row r="4995" spans="1:18" x14ac:dyDescent="0.25">
      <c r="A4995">
        <v>4994</v>
      </c>
      <c r="B4995">
        <v>94</v>
      </c>
      <c r="C4995">
        <v>31394413</v>
      </c>
      <c r="D4995" t="s">
        <v>124</v>
      </c>
      <c r="E4995">
        <v>31.715</v>
      </c>
      <c r="F4995" t="s">
        <v>19</v>
      </c>
      <c r="G4995" t="s">
        <v>20</v>
      </c>
      <c r="H4995" t="s">
        <v>19</v>
      </c>
      <c r="I4995">
        <v>145</v>
      </c>
      <c r="J4995" t="s">
        <v>20</v>
      </c>
      <c r="K4995" t="s">
        <v>22</v>
      </c>
      <c r="L4995" t="s">
        <v>84</v>
      </c>
      <c r="M4995" t="s">
        <v>125</v>
      </c>
      <c r="N4995">
        <v>40.372776999999999</v>
      </c>
      <c r="O4995">
        <v>-111.916318</v>
      </c>
      <c r="P4995">
        <v>4466.3133710000002</v>
      </c>
      <c r="Q4995">
        <v>1368</v>
      </c>
      <c r="R4995">
        <v>0</v>
      </c>
    </row>
    <row r="4996" spans="1:18" x14ac:dyDescent="0.25">
      <c r="A4996">
        <v>4995</v>
      </c>
      <c r="B4996">
        <v>94</v>
      </c>
      <c r="C4996">
        <v>31571227</v>
      </c>
      <c r="D4996" t="s">
        <v>172</v>
      </c>
      <c r="E4996">
        <v>31.718</v>
      </c>
      <c r="F4996" t="s">
        <v>21</v>
      </c>
      <c r="G4996" t="s">
        <v>26</v>
      </c>
      <c r="H4996" t="s">
        <v>21</v>
      </c>
      <c r="I4996" t="s">
        <v>20</v>
      </c>
      <c r="J4996" t="s">
        <v>20</v>
      </c>
      <c r="K4996" t="s">
        <v>22</v>
      </c>
      <c r="L4996" t="s">
        <v>155</v>
      </c>
      <c r="M4996" t="s">
        <v>174</v>
      </c>
      <c r="N4996">
        <v>39.710025999999999</v>
      </c>
      <c r="O4996">
        <v>-111.86440899999999</v>
      </c>
      <c r="P4996">
        <v>4986.2345310000001</v>
      </c>
      <c r="Q4996">
        <v>1411</v>
      </c>
      <c r="R4996">
        <v>0</v>
      </c>
    </row>
    <row r="4997" spans="1:18" x14ac:dyDescent="0.25">
      <c r="A4997">
        <v>4996</v>
      </c>
      <c r="B4997">
        <v>94</v>
      </c>
      <c r="C4997">
        <v>31381407</v>
      </c>
      <c r="D4997" t="s">
        <v>116</v>
      </c>
      <c r="E4997">
        <v>31.721</v>
      </c>
      <c r="F4997" t="s">
        <v>21</v>
      </c>
      <c r="G4997" t="s">
        <v>26</v>
      </c>
      <c r="H4997" t="s">
        <v>21</v>
      </c>
      <c r="I4997" t="s">
        <v>20</v>
      </c>
      <c r="J4997" t="s">
        <v>20</v>
      </c>
      <c r="K4997" t="s">
        <v>41</v>
      </c>
      <c r="L4997" t="s">
        <v>95</v>
      </c>
      <c r="M4997" t="s">
        <v>117</v>
      </c>
      <c r="N4997">
        <v>41.805275999999999</v>
      </c>
      <c r="O4997">
        <v>-111.83337899999999</v>
      </c>
      <c r="P4997">
        <v>4425.3360849999999</v>
      </c>
      <c r="Q4997">
        <v>324</v>
      </c>
      <c r="R4997">
        <v>0</v>
      </c>
    </row>
    <row r="4998" spans="1:18" x14ac:dyDescent="0.25">
      <c r="A4998">
        <v>4997</v>
      </c>
      <c r="B4998">
        <v>94</v>
      </c>
      <c r="C4998" t="e">
        <f>-Ip-Fh9IGS9QFKyB0rOUJF</f>
        <v>#NAME?</v>
      </c>
      <c r="D4998" t="s">
        <v>63</v>
      </c>
      <c r="E4998">
        <v>31.722000000000001</v>
      </c>
      <c r="F4998" t="s">
        <v>21</v>
      </c>
      <c r="G4998" t="s">
        <v>20</v>
      </c>
      <c r="H4998" t="s">
        <v>21</v>
      </c>
      <c r="I4998" t="s">
        <v>20</v>
      </c>
      <c r="J4998" t="s">
        <v>20</v>
      </c>
      <c r="K4998" t="s">
        <v>27</v>
      </c>
      <c r="L4998" t="s">
        <v>266</v>
      </c>
      <c r="M4998" t="s">
        <v>29</v>
      </c>
      <c r="N4998">
        <v>38.430647999999998</v>
      </c>
      <c r="O4998">
        <v>-111.922659</v>
      </c>
      <c r="P4998">
        <v>6790.4396770000003</v>
      </c>
      <c r="Q4998">
        <v>1365</v>
      </c>
      <c r="R4998">
        <v>0</v>
      </c>
    </row>
    <row r="4999" spans="1:18" x14ac:dyDescent="0.25">
      <c r="A4999">
        <v>4998</v>
      </c>
      <c r="B4999">
        <v>94</v>
      </c>
      <c r="C4999">
        <v>31381418</v>
      </c>
      <c r="D4999" t="s">
        <v>116</v>
      </c>
      <c r="E4999">
        <v>31.741</v>
      </c>
      <c r="F4999" t="s">
        <v>21</v>
      </c>
      <c r="G4999" t="s">
        <v>26</v>
      </c>
      <c r="H4999" t="s">
        <v>21</v>
      </c>
      <c r="I4999" t="s">
        <v>20</v>
      </c>
      <c r="J4999" t="s">
        <v>20</v>
      </c>
      <c r="K4999" t="s">
        <v>41</v>
      </c>
      <c r="L4999" t="s">
        <v>95</v>
      </c>
      <c r="M4999" t="s">
        <v>117</v>
      </c>
      <c r="N4999">
        <v>41.805563999999997</v>
      </c>
      <c r="O4999">
        <v>-111.83336300000001</v>
      </c>
      <c r="P4999">
        <v>4425.6423869999999</v>
      </c>
      <c r="Q4999">
        <v>324</v>
      </c>
      <c r="R4999">
        <v>0</v>
      </c>
    </row>
    <row r="5000" spans="1:18" x14ac:dyDescent="0.25">
      <c r="A5000">
        <v>4999</v>
      </c>
      <c r="B5000">
        <v>94</v>
      </c>
      <c r="C5000">
        <v>2624691</v>
      </c>
      <c r="D5000" t="s">
        <v>176</v>
      </c>
      <c r="E5000">
        <v>31.751999999999999</v>
      </c>
      <c r="F5000" t="s">
        <v>21</v>
      </c>
      <c r="G5000" t="s">
        <v>26</v>
      </c>
      <c r="H5000" t="s">
        <v>21</v>
      </c>
      <c r="I5000" t="s">
        <v>20</v>
      </c>
      <c r="J5000" t="s">
        <v>20</v>
      </c>
      <c r="K5000" t="s">
        <v>41</v>
      </c>
      <c r="L5000" t="s">
        <v>223</v>
      </c>
      <c r="M5000" t="s">
        <v>178</v>
      </c>
      <c r="N5000">
        <v>41.877200000000002</v>
      </c>
      <c r="O5000">
        <v>-112.15223400000001</v>
      </c>
      <c r="P5000">
        <v>4437.8570229999996</v>
      </c>
      <c r="Q5000">
        <v>1329</v>
      </c>
      <c r="R5000">
        <v>0</v>
      </c>
    </row>
    <row r="5001" spans="1:18" x14ac:dyDescent="0.25">
      <c r="A5001">
        <v>5000</v>
      </c>
      <c r="B5001">
        <v>94</v>
      </c>
      <c r="C5001">
        <v>31517717</v>
      </c>
      <c r="D5001" t="s">
        <v>292</v>
      </c>
      <c r="E5001">
        <v>31.78</v>
      </c>
      <c r="F5001" t="s">
        <v>21</v>
      </c>
      <c r="G5001" t="s">
        <v>20</v>
      </c>
      <c r="H5001" t="s">
        <v>21</v>
      </c>
      <c r="I5001" t="s">
        <v>20</v>
      </c>
      <c r="J5001" t="s">
        <v>20</v>
      </c>
      <c r="K5001" t="s">
        <v>22</v>
      </c>
      <c r="L5001" t="s">
        <v>133</v>
      </c>
      <c r="M5001" t="s">
        <v>134</v>
      </c>
      <c r="N5001">
        <v>40.257975999999999</v>
      </c>
      <c r="O5001">
        <v>-110.180784</v>
      </c>
      <c r="P5001">
        <v>5532.7248310000004</v>
      </c>
      <c r="Q5001">
        <v>323</v>
      </c>
      <c r="R5001">
        <v>0</v>
      </c>
    </row>
    <row r="5002" spans="1:18" x14ac:dyDescent="0.25">
      <c r="A5002">
        <v>5001</v>
      </c>
      <c r="B5002">
        <v>94</v>
      </c>
      <c r="C5002">
        <v>31301162</v>
      </c>
      <c r="D5002" t="s">
        <v>316</v>
      </c>
      <c r="E5002">
        <v>31.815000000000001</v>
      </c>
      <c r="F5002" t="s">
        <v>21</v>
      </c>
      <c r="G5002" t="s">
        <v>20</v>
      </c>
      <c r="H5002" t="s">
        <v>21</v>
      </c>
      <c r="I5002" t="s">
        <v>20</v>
      </c>
      <c r="J5002" t="s">
        <v>20</v>
      </c>
      <c r="K5002" t="s">
        <v>22</v>
      </c>
      <c r="L5002" t="s">
        <v>168</v>
      </c>
      <c r="M5002" t="s">
        <v>302</v>
      </c>
      <c r="N5002">
        <v>40.462642000000002</v>
      </c>
      <c r="O5002">
        <v>-110.836349</v>
      </c>
      <c r="P5002">
        <v>6948.4726799999999</v>
      </c>
      <c r="Q5002">
        <v>1346</v>
      </c>
      <c r="R5002">
        <v>0</v>
      </c>
    </row>
    <row r="5003" spans="1:18" x14ac:dyDescent="0.25">
      <c r="A5003">
        <v>5002</v>
      </c>
      <c r="B5003">
        <v>94</v>
      </c>
      <c r="C5003">
        <v>31381429</v>
      </c>
      <c r="D5003" t="s">
        <v>116</v>
      </c>
      <c r="E5003">
        <v>31.829000000000001</v>
      </c>
      <c r="F5003" t="s">
        <v>21</v>
      </c>
      <c r="G5003" t="s">
        <v>26</v>
      </c>
      <c r="H5003" t="s">
        <v>21</v>
      </c>
      <c r="I5003" t="s">
        <v>20</v>
      </c>
      <c r="J5003" t="s">
        <v>20</v>
      </c>
      <c r="K5003" t="s">
        <v>41</v>
      </c>
      <c r="L5003" t="s">
        <v>95</v>
      </c>
      <c r="M5003" t="s">
        <v>117</v>
      </c>
      <c r="N5003">
        <v>41.806845000000003</v>
      </c>
      <c r="O5003">
        <v>-111.833336</v>
      </c>
      <c r="P5003">
        <v>4427.5628589999997</v>
      </c>
      <c r="Q5003">
        <v>324</v>
      </c>
      <c r="R5003">
        <v>0</v>
      </c>
    </row>
    <row r="5004" spans="1:18" x14ac:dyDescent="0.25">
      <c r="A5004">
        <v>5003</v>
      </c>
      <c r="B5004">
        <v>94</v>
      </c>
      <c r="C5004">
        <v>31606315</v>
      </c>
      <c r="D5004" t="s">
        <v>271</v>
      </c>
      <c r="E5004">
        <v>31.867000000000001</v>
      </c>
      <c r="F5004" t="s">
        <v>21</v>
      </c>
      <c r="G5004" t="s">
        <v>26</v>
      </c>
      <c r="H5004" t="s">
        <v>21</v>
      </c>
      <c r="I5004" t="s">
        <v>20</v>
      </c>
      <c r="J5004" t="s">
        <v>20</v>
      </c>
      <c r="K5004" t="s">
        <v>22</v>
      </c>
      <c r="L5004" t="s">
        <v>263</v>
      </c>
      <c r="M5004" t="s">
        <v>24</v>
      </c>
      <c r="N5004">
        <v>40.378081000000002</v>
      </c>
      <c r="O5004">
        <v>-112.001593</v>
      </c>
      <c r="P5004">
        <v>4939.8033359999999</v>
      </c>
      <c r="Q5004">
        <v>1372</v>
      </c>
      <c r="R5004">
        <v>0</v>
      </c>
    </row>
    <row r="5005" spans="1:18" x14ac:dyDescent="0.25">
      <c r="A5005">
        <v>5004</v>
      </c>
      <c r="B5005">
        <v>94</v>
      </c>
      <c r="C5005">
        <v>31685427</v>
      </c>
      <c r="D5005" t="s">
        <v>217</v>
      </c>
      <c r="E5005">
        <v>31.893999999999998</v>
      </c>
      <c r="F5005" t="s">
        <v>21</v>
      </c>
      <c r="G5005" t="s">
        <v>20</v>
      </c>
      <c r="H5005" t="s">
        <v>21</v>
      </c>
      <c r="I5005" t="s">
        <v>20</v>
      </c>
      <c r="J5005" t="s">
        <v>20</v>
      </c>
      <c r="K5005" t="s">
        <v>27</v>
      </c>
      <c r="L5005" t="s">
        <v>162</v>
      </c>
      <c r="M5005" t="s">
        <v>163</v>
      </c>
      <c r="N5005">
        <v>37.482931000000001</v>
      </c>
      <c r="O5005">
        <v>-113.62886899999999</v>
      </c>
      <c r="P5005">
        <v>5784.2318420000001</v>
      </c>
      <c r="Q5005">
        <v>304</v>
      </c>
      <c r="R5005">
        <v>0</v>
      </c>
    </row>
    <row r="5006" spans="1:18" x14ac:dyDescent="0.25">
      <c r="A5006">
        <v>5005</v>
      </c>
      <c r="B5006">
        <v>94</v>
      </c>
      <c r="C5006" t="s">
        <v>702</v>
      </c>
      <c r="D5006" t="s">
        <v>272</v>
      </c>
      <c r="E5006">
        <v>344.16</v>
      </c>
      <c r="F5006" t="s">
        <v>21</v>
      </c>
      <c r="G5006" t="s">
        <v>26</v>
      </c>
      <c r="H5006" t="s">
        <v>21</v>
      </c>
      <c r="I5006" t="s">
        <v>20</v>
      </c>
      <c r="J5006" t="s">
        <v>20</v>
      </c>
      <c r="K5006" t="s">
        <v>22</v>
      </c>
      <c r="L5006" t="s">
        <v>23</v>
      </c>
      <c r="M5006" t="s">
        <v>125</v>
      </c>
      <c r="N5006">
        <v>40.353717000000003</v>
      </c>
      <c r="O5006">
        <v>-111.733878</v>
      </c>
      <c r="P5006">
        <v>4538.3451150000001</v>
      </c>
      <c r="Q5006">
        <v>1384</v>
      </c>
      <c r="R5006">
        <v>0</v>
      </c>
    </row>
    <row r="5007" spans="1:18" x14ac:dyDescent="0.25">
      <c r="A5007">
        <v>5006</v>
      </c>
      <c r="B5007">
        <v>94</v>
      </c>
      <c r="C5007" t="e">
        <f>-IoaGtgrGRXfygI5JqmHjF</f>
        <v>#NAME?</v>
      </c>
      <c r="D5007" t="s">
        <v>272</v>
      </c>
      <c r="E5007">
        <v>344.214</v>
      </c>
      <c r="F5007" t="s">
        <v>21</v>
      </c>
      <c r="G5007" t="s">
        <v>26</v>
      </c>
      <c r="H5007" t="s">
        <v>21</v>
      </c>
      <c r="I5007" t="s">
        <v>20</v>
      </c>
      <c r="J5007" t="s">
        <v>20</v>
      </c>
      <c r="K5007" t="s">
        <v>22</v>
      </c>
      <c r="L5007" t="s">
        <v>23</v>
      </c>
      <c r="M5007" t="s">
        <v>125</v>
      </c>
      <c r="N5007">
        <v>40.354292999999998</v>
      </c>
      <c r="O5007">
        <v>-111.73456299999999</v>
      </c>
      <c r="P5007">
        <v>4539.2917909999996</v>
      </c>
      <c r="Q5007">
        <v>1384</v>
      </c>
      <c r="R5007">
        <v>0</v>
      </c>
    </row>
    <row r="5008" spans="1:18" x14ac:dyDescent="0.25">
      <c r="A5008">
        <v>5007</v>
      </c>
      <c r="B5008">
        <v>94</v>
      </c>
      <c r="C5008" t="e">
        <f>-IoaOk2qHp5Qzc73XbH2zk</f>
        <v>#NAME?</v>
      </c>
      <c r="D5008" t="s">
        <v>272</v>
      </c>
      <c r="E5008">
        <v>344.33300000000003</v>
      </c>
      <c r="F5008" t="s">
        <v>19</v>
      </c>
      <c r="G5008" t="s">
        <v>20</v>
      </c>
      <c r="H5008" t="s">
        <v>21</v>
      </c>
      <c r="I5008" t="s">
        <v>20</v>
      </c>
      <c r="J5008" t="s">
        <v>20</v>
      </c>
      <c r="K5008" t="s">
        <v>22</v>
      </c>
      <c r="L5008" t="s">
        <v>23</v>
      </c>
      <c r="M5008" t="s">
        <v>125</v>
      </c>
      <c r="N5008">
        <v>40.355542999999997</v>
      </c>
      <c r="O5008">
        <v>-111.736043</v>
      </c>
      <c r="P5008">
        <v>4537.336773</v>
      </c>
      <c r="Q5008">
        <v>1384</v>
      </c>
      <c r="R5008">
        <v>0</v>
      </c>
    </row>
    <row r="5009" spans="1:18" x14ac:dyDescent="0.25">
      <c r="A5009">
        <v>5008</v>
      </c>
      <c r="B5009">
        <v>94</v>
      </c>
      <c r="C5009">
        <v>31537394</v>
      </c>
      <c r="D5009" t="s">
        <v>244</v>
      </c>
      <c r="E5009">
        <v>32.305</v>
      </c>
      <c r="F5009" t="s">
        <v>21</v>
      </c>
      <c r="G5009" t="s">
        <v>26</v>
      </c>
      <c r="H5009" t="s">
        <v>19</v>
      </c>
      <c r="I5009">
        <v>62</v>
      </c>
      <c r="J5009" t="s">
        <v>20</v>
      </c>
      <c r="K5009" t="s">
        <v>27</v>
      </c>
      <c r="L5009" t="s">
        <v>266</v>
      </c>
      <c r="M5009" t="s">
        <v>58</v>
      </c>
      <c r="N5009">
        <v>38.568469999999998</v>
      </c>
      <c r="O5009">
        <v>-111.84027</v>
      </c>
      <c r="P5009">
        <v>6934.374836</v>
      </c>
      <c r="Q5009">
        <v>1340</v>
      </c>
      <c r="R5009">
        <v>0</v>
      </c>
    </row>
    <row r="5010" spans="1:18" x14ac:dyDescent="0.25">
      <c r="A5010">
        <v>5009</v>
      </c>
      <c r="B5010">
        <v>94</v>
      </c>
      <c r="C5010" t="s">
        <v>703</v>
      </c>
      <c r="D5010" t="s">
        <v>272</v>
      </c>
      <c r="E5010">
        <v>347.65300000000002</v>
      </c>
      <c r="F5010" t="s">
        <v>21</v>
      </c>
      <c r="G5010" t="s">
        <v>26</v>
      </c>
      <c r="H5010" t="s">
        <v>21</v>
      </c>
      <c r="I5010" t="s">
        <v>20</v>
      </c>
      <c r="J5010" t="s">
        <v>20</v>
      </c>
      <c r="K5010" t="s">
        <v>22</v>
      </c>
      <c r="L5010" t="s">
        <v>84</v>
      </c>
      <c r="M5010" t="s">
        <v>125</v>
      </c>
      <c r="N5010">
        <v>40.375140999999999</v>
      </c>
      <c r="O5010">
        <v>-111.79067499999999</v>
      </c>
      <c r="P5010">
        <v>4546.5234609999998</v>
      </c>
      <c r="Q5010">
        <v>1384</v>
      </c>
      <c r="R5010">
        <v>0</v>
      </c>
    </row>
    <row r="5011" spans="1:18" x14ac:dyDescent="0.25">
      <c r="A5011">
        <v>5010</v>
      </c>
      <c r="B5011">
        <v>94</v>
      </c>
      <c r="C5011">
        <v>28352911</v>
      </c>
      <c r="D5011" t="s">
        <v>323</v>
      </c>
      <c r="E5011">
        <v>0.38400000000000001</v>
      </c>
      <c r="F5011" t="s">
        <v>21</v>
      </c>
      <c r="G5011" t="s">
        <v>26</v>
      </c>
      <c r="H5011" t="s">
        <v>21</v>
      </c>
      <c r="I5011" t="s">
        <v>20</v>
      </c>
      <c r="J5011" t="s">
        <v>20</v>
      </c>
      <c r="K5011" t="s">
        <v>22</v>
      </c>
      <c r="L5011" t="s">
        <v>35</v>
      </c>
      <c r="M5011" t="s">
        <v>131</v>
      </c>
      <c r="N5011">
        <v>40.562851000000002</v>
      </c>
      <c r="O5011">
        <v>-111.423861</v>
      </c>
      <c r="P5011">
        <v>5740.3663619999998</v>
      </c>
      <c r="Q5011">
        <v>1345</v>
      </c>
      <c r="R5011">
        <v>0</v>
      </c>
    </row>
    <row r="5012" spans="1:18" x14ac:dyDescent="0.25">
      <c r="A5012">
        <v>5011</v>
      </c>
      <c r="B5012">
        <v>94</v>
      </c>
      <c r="C5012">
        <v>1035811</v>
      </c>
      <c r="D5012" t="s">
        <v>127</v>
      </c>
      <c r="E5012">
        <v>0.38500000000000001</v>
      </c>
      <c r="F5012" t="s">
        <v>21</v>
      </c>
      <c r="G5012" t="s">
        <v>26</v>
      </c>
      <c r="H5012" t="s">
        <v>21</v>
      </c>
      <c r="I5012" t="s">
        <v>20</v>
      </c>
      <c r="J5012" t="s">
        <v>20</v>
      </c>
      <c r="K5012" t="s">
        <v>41</v>
      </c>
      <c r="L5012" t="s">
        <v>95</v>
      </c>
      <c r="M5012" t="s">
        <v>73</v>
      </c>
      <c r="N5012">
        <v>41.975397999999998</v>
      </c>
      <c r="O5012">
        <v>-111.946586</v>
      </c>
      <c r="P5012">
        <v>4431.3788629999999</v>
      </c>
      <c r="Q5012">
        <v>1364</v>
      </c>
      <c r="R5012">
        <v>0</v>
      </c>
    </row>
    <row r="5013" spans="1:18" x14ac:dyDescent="0.25">
      <c r="A5013">
        <v>5012</v>
      </c>
      <c r="B5013">
        <v>94</v>
      </c>
      <c r="C5013">
        <v>27679353</v>
      </c>
      <c r="D5013" t="s">
        <v>217</v>
      </c>
      <c r="E5013">
        <v>0.38700000000000001</v>
      </c>
      <c r="F5013" t="s">
        <v>19</v>
      </c>
      <c r="G5013" t="s">
        <v>20</v>
      </c>
      <c r="H5013" t="s">
        <v>21</v>
      </c>
      <c r="I5013" t="s">
        <v>20</v>
      </c>
      <c r="J5013" t="s">
        <v>20</v>
      </c>
      <c r="K5013" t="s">
        <v>27</v>
      </c>
      <c r="L5013" t="s">
        <v>72</v>
      </c>
      <c r="M5013" t="s">
        <v>163</v>
      </c>
      <c r="N5013">
        <v>37.086762</v>
      </c>
      <c r="O5013">
        <v>-113.58466</v>
      </c>
      <c r="P5013">
        <v>2501.4506080000001</v>
      </c>
      <c r="Q5013">
        <v>304</v>
      </c>
      <c r="R5013">
        <v>0</v>
      </c>
    </row>
    <row r="5014" spans="1:18" x14ac:dyDescent="0.25">
      <c r="A5014">
        <v>5013</v>
      </c>
      <c r="B5014">
        <v>94</v>
      </c>
      <c r="C5014" t="e">
        <f>-JRRc9INIg5tPtKhBWUWVk</f>
        <v>#NAME?</v>
      </c>
      <c r="D5014" t="s">
        <v>346</v>
      </c>
      <c r="E5014">
        <v>0.38800000000000001</v>
      </c>
      <c r="F5014" t="s">
        <v>21</v>
      </c>
      <c r="G5014" t="s">
        <v>20</v>
      </c>
      <c r="H5014" t="s">
        <v>21</v>
      </c>
      <c r="I5014" t="s">
        <v>20</v>
      </c>
      <c r="J5014" t="s">
        <v>20</v>
      </c>
      <c r="K5014" t="s">
        <v>27</v>
      </c>
      <c r="L5014" t="s">
        <v>307</v>
      </c>
      <c r="M5014" t="s">
        <v>159</v>
      </c>
      <c r="N5014">
        <v>39.650495999999997</v>
      </c>
      <c r="O5014">
        <v>-111.153453</v>
      </c>
      <c r="P5014">
        <v>8169.5897459999996</v>
      </c>
      <c r="Q5014">
        <v>1389</v>
      </c>
      <c r="R5014">
        <v>0</v>
      </c>
    </row>
    <row r="5015" spans="1:18" x14ac:dyDescent="0.25">
      <c r="A5015">
        <v>5014</v>
      </c>
      <c r="B5015">
        <v>94</v>
      </c>
      <c r="C5015">
        <v>31436972</v>
      </c>
      <c r="D5015" t="s">
        <v>216</v>
      </c>
      <c r="E5015">
        <v>0.38800000000000001</v>
      </c>
      <c r="F5015" t="s">
        <v>21</v>
      </c>
      <c r="G5015" t="s">
        <v>26</v>
      </c>
      <c r="H5015" t="s">
        <v>21</v>
      </c>
      <c r="I5015" t="s">
        <v>20</v>
      </c>
      <c r="J5015" t="s">
        <v>20</v>
      </c>
      <c r="K5015" t="s">
        <v>27</v>
      </c>
      <c r="L5015" t="s">
        <v>158</v>
      </c>
      <c r="M5015" t="s">
        <v>159</v>
      </c>
      <c r="N5015">
        <v>39.679789</v>
      </c>
      <c r="O5015">
        <v>-110.85564100000001</v>
      </c>
      <c r="P5015">
        <v>5754.544508</v>
      </c>
      <c r="Q5015">
        <v>1428</v>
      </c>
      <c r="R5015">
        <v>0</v>
      </c>
    </row>
    <row r="5016" spans="1:18" x14ac:dyDescent="0.25">
      <c r="A5016">
        <v>5015</v>
      </c>
      <c r="B5016">
        <v>94</v>
      </c>
      <c r="C5016">
        <v>31500708</v>
      </c>
      <c r="D5016" t="s">
        <v>292</v>
      </c>
      <c r="E5016">
        <v>0.38900000000000001</v>
      </c>
      <c r="F5016" t="s">
        <v>21</v>
      </c>
      <c r="G5016" t="s">
        <v>26</v>
      </c>
      <c r="H5016" t="s">
        <v>21</v>
      </c>
      <c r="I5016" t="s">
        <v>20</v>
      </c>
      <c r="J5016" t="s">
        <v>20</v>
      </c>
      <c r="K5016" t="s">
        <v>22</v>
      </c>
      <c r="L5016" t="s">
        <v>253</v>
      </c>
      <c r="M5016" t="s">
        <v>134</v>
      </c>
      <c r="N5016">
        <v>40.169159999999998</v>
      </c>
      <c r="O5016">
        <v>-110.401323</v>
      </c>
      <c r="P5016">
        <v>5469.2583720000002</v>
      </c>
      <c r="Q5016">
        <v>323</v>
      </c>
      <c r="R5016">
        <v>0</v>
      </c>
    </row>
    <row r="5017" spans="1:18" x14ac:dyDescent="0.25">
      <c r="A5017">
        <v>5016</v>
      </c>
      <c r="B5017">
        <v>94</v>
      </c>
      <c r="C5017">
        <v>31580779</v>
      </c>
      <c r="D5017" t="s">
        <v>601</v>
      </c>
      <c r="E5017">
        <v>0.39</v>
      </c>
      <c r="F5017" t="s">
        <v>21</v>
      </c>
      <c r="G5017" t="s">
        <v>26</v>
      </c>
      <c r="H5017" t="s">
        <v>21</v>
      </c>
      <c r="I5017" t="s">
        <v>20</v>
      </c>
      <c r="J5017" t="s">
        <v>20</v>
      </c>
      <c r="K5017" t="s">
        <v>31</v>
      </c>
      <c r="L5017" t="s">
        <v>149</v>
      </c>
      <c r="M5017" t="s">
        <v>82</v>
      </c>
      <c r="N5017">
        <v>40.914155000000001</v>
      </c>
      <c r="O5017">
        <v>-111.39723499999999</v>
      </c>
      <c r="P5017">
        <v>5526.5807000000004</v>
      </c>
      <c r="Q5017">
        <v>259</v>
      </c>
      <c r="R5017">
        <v>0</v>
      </c>
    </row>
    <row r="5018" spans="1:18" x14ac:dyDescent="0.25">
      <c r="A5018">
        <v>5017</v>
      </c>
      <c r="B5018">
        <v>94</v>
      </c>
      <c r="C5018">
        <v>31672196</v>
      </c>
      <c r="D5018" t="s">
        <v>258</v>
      </c>
      <c r="E5018">
        <v>0.39200000000000002</v>
      </c>
      <c r="F5018" t="s">
        <v>21</v>
      </c>
      <c r="G5018" t="s">
        <v>26</v>
      </c>
      <c r="H5018" t="s">
        <v>21</v>
      </c>
      <c r="I5018" t="s">
        <v>20</v>
      </c>
      <c r="J5018" t="s">
        <v>20</v>
      </c>
      <c r="K5018" t="s">
        <v>27</v>
      </c>
      <c r="L5018" t="s">
        <v>259</v>
      </c>
      <c r="M5018" t="s">
        <v>29</v>
      </c>
      <c r="N5018">
        <v>37.006346000000001</v>
      </c>
      <c r="O5018">
        <v>-112.528471</v>
      </c>
      <c r="P5018">
        <v>4775.3082169999998</v>
      </c>
      <c r="Q5018">
        <v>301</v>
      </c>
      <c r="R5018">
        <v>0</v>
      </c>
    </row>
    <row r="5019" spans="1:18" x14ac:dyDescent="0.25">
      <c r="A5019">
        <v>5018</v>
      </c>
      <c r="B5019">
        <v>94</v>
      </c>
      <c r="C5019" t="e">
        <f>-Ip5FnlpIrqDr8RJ6ENZbk</f>
        <v>#NAME?</v>
      </c>
      <c r="D5019" t="s">
        <v>208</v>
      </c>
      <c r="E5019">
        <v>0.39300000000000002</v>
      </c>
      <c r="F5019" t="s">
        <v>21</v>
      </c>
      <c r="G5019" t="s">
        <v>20</v>
      </c>
      <c r="H5019" t="s">
        <v>21</v>
      </c>
      <c r="I5019" t="s">
        <v>20</v>
      </c>
      <c r="J5019" t="s">
        <v>20</v>
      </c>
      <c r="K5019" t="s">
        <v>31</v>
      </c>
      <c r="L5019" t="s">
        <v>209</v>
      </c>
      <c r="M5019" t="s">
        <v>131</v>
      </c>
      <c r="N5019">
        <v>40.608618</v>
      </c>
      <c r="O5019">
        <v>-111.507094</v>
      </c>
      <c r="P5019">
        <v>8730.9103290000003</v>
      </c>
      <c r="Q5019">
        <v>357</v>
      </c>
      <c r="R5019">
        <v>0</v>
      </c>
    </row>
    <row r="5020" spans="1:18" x14ac:dyDescent="0.25">
      <c r="A5020">
        <v>5019</v>
      </c>
      <c r="B5020">
        <v>94</v>
      </c>
      <c r="C5020">
        <v>31366225</v>
      </c>
      <c r="D5020" t="s">
        <v>229</v>
      </c>
      <c r="E5020">
        <v>0.39400000000000002</v>
      </c>
      <c r="F5020" t="s">
        <v>21</v>
      </c>
      <c r="G5020" t="s">
        <v>26</v>
      </c>
      <c r="H5020" t="s">
        <v>21</v>
      </c>
      <c r="I5020" t="s">
        <v>20</v>
      </c>
      <c r="J5020" t="s">
        <v>20</v>
      </c>
      <c r="K5020" t="s">
        <v>27</v>
      </c>
      <c r="L5020" t="s">
        <v>230</v>
      </c>
      <c r="M5020" t="s">
        <v>82</v>
      </c>
      <c r="N5020">
        <v>39.485492999999998</v>
      </c>
      <c r="O5020">
        <v>-111.63510599999999</v>
      </c>
      <c r="P5020">
        <v>5572.5697950000003</v>
      </c>
      <c r="Q5020">
        <v>331</v>
      </c>
      <c r="R5020">
        <v>0</v>
      </c>
    </row>
    <row r="5021" spans="1:18" x14ac:dyDescent="0.25">
      <c r="A5021">
        <v>5020</v>
      </c>
      <c r="B5021">
        <v>94</v>
      </c>
      <c r="C5021">
        <v>1620552</v>
      </c>
      <c r="D5021" t="s">
        <v>180</v>
      </c>
      <c r="E5021">
        <v>0.39600000000000002</v>
      </c>
      <c r="F5021" t="s">
        <v>21</v>
      </c>
      <c r="G5021" t="s">
        <v>26</v>
      </c>
      <c r="H5021" t="s">
        <v>21</v>
      </c>
      <c r="I5021" t="s">
        <v>20</v>
      </c>
      <c r="J5021" t="s">
        <v>20</v>
      </c>
      <c r="K5021" t="s">
        <v>41</v>
      </c>
      <c r="L5021" t="s">
        <v>181</v>
      </c>
      <c r="M5021" t="s">
        <v>117</v>
      </c>
      <c r="N5021">
        <v>41.717669000000001</v>
      </c>
      <c r="O5021">
        <v>-112.161936</v>
      </c>
      <c r="P5021">
        <v>4271.2677199999998</v>
      </c>
      <c r="Q5021">
        <v>1379</v>
      </c>
      <c r="R5021">
        <v>0</v>
      </c>
    </row>
    <row r="5022" spans="1:18" x14ac:dyDescent="0.25">
      <c r="A5022">
        <v>5021</v>
      </c>
      <c r="B5022">
        <v>94</v>
      </c>
      <c r="C5022">
        <v>28324479</v>
      </c>
      <c r="D5022" t="s">
        <v>160</v>
      </c>
      <c r="E5022">
        <v>0.39600000000000002</v>
      </c>
      <c r="F5022" t="s">
        <v>21</v>
      </c>
      <c r="G5022" t="s">
        <v>26</v>
      </c>
      <c r="H5022" t="s">
        <v>21</v>
      </c>
      <c r="I5022" t="s">
        <v>20</v>
      </c>
      <c r="J5022" t="s">
        <v>20</v>
      </c>
      <c r="K5022" t="s">
        <v>27</v>
      </c>
      <c r="L5022" t="s">
        <v>72</v>
      </c>
      <c r="M5022" t="s">
        <v>73</v>
      </c>
      <c r="N5022">
        <v>37.216531000000003</v>
      </c>
      <c r="O5022">
        <v>-113.272992</v>
      </c>
      <c r="P5022">
        <v>3098.9079320000001</v>
      </c>
      <c r="Q5022">
        <v>1335</v>
      </c>
      <c r="R5022">
        <v>0</v>
      </c>
    </row>
    <row r="5023" spans="1:18" x14ac:dyDescent="0.25">
      <c r="A5023">
        <v>5022</v>
      </c>
      <c r="B5023">
        <v>94</v>
      </c>
      <c r="C5023">
        <v>31464701</v>
      </c>
      <c r="D5023" t="s">
        <v>264</v>
      </c>
      <c r="E5023">
        <v>0.78700000000000003</v>
      </c>
      <c r="F5023" t="s">
        <v>21</v>
      </c>
      <c r="G5023" t="s">
        <v>20</v>
      </c>
      <c r="H5023" t="s">
        <v>21</v>
      </c>
      <c r="I5023" t="s">
        <v>20</v>
      </c>
      <c r="J5023" t="s">
        <v>20</v>
      </c>
      <c r="K5023" t="s">
        <v>22</v>
      </c>
      <c r="L5023" t="s">
        <v>35</v>
      </c>
      <c r="M5023" t="s">
        <v>36</v>
      </c>
      <c r="N5023">
        <v>40.515383999999997</v>
      </c>
      <c r="O5023">
        <v>-111.482848</v>
      </c>
      <c r="P5023">
        <v>5543.9141060000002</v>
      </c>
      <c r="Q5023">
        <v>420</v>
      </c>
      <c r="R5023">
        <v>0</v>
      </c>
    </row>
    <row r="5024" spans="1:18" x14ac:dyDescent="0.25">
      <c r="A5024">
        <v>5023</v>
      </c>
      <c r="B5024">
        <v>94</v>
      </c>
      <c r="C5024" t="e">
        <f>-IoI8DPaFPyST0h77ExbeV</f>
        <v>#NAME?</v>
      </c>
      <c r="D5024" t="s">
        <v>408</v>
      </c>
      <c r="E5024">
        <v>0.78900000000000003</v>
      </c>
      <c r="F5024" t="s">
        <v>21</v>
      </c>
      <c r="G5024" t="s">
        <v>26</v>
      </c>
      <c r="H5024" t="s">
        <v>21</v>
      </c>
      <c r="I5024" t="s">
        <v>20</v>
      </c>
      <c r="J5024" t="s">
        <v>20</v>
      </c>
      <c r="K5024" t="s">
        <v>27</v>
      </c>
      <c r="L5024" t="s">
        <v>75</v>
      </c>
      <c r="M5024" t="s">
        <v>366</v>
      </c>
      <c r="N5024">
        <v>38.683067999999999</v>
      </c>
      <c r="O5024">
        <v>-112.142685</v>
      </c>
      <c r="P5024">
        <v>5283.7987869999997</v>
      </c>
      <c r="Q5024">
        <v>428</v>
      </c>
      <c r="R5024">
        <v>0</v>
      </c>
    </row>
    <row r="5025" spans="1:18" x14ac:dyDescent="0.25">
      <c r="A5025">
        <v>5024</v>
      </c>
      <c r="B5025">
        <v>94</v>
      </c>
      <c r="C5025">
        <v>31597002</v>
      </c>
      <c r="D5025" t="s">
        <v>50</v>
      </c>
      <c r="E5025">
        <v>0.78900000000000003</v>
      </c>
      <c r="F5025" t="s">
        <v>21</v>
      </c>
      <c r="G5025" t="s">
        <v>26</v>
      </c>
      <c r="H5025" t="s">
        <v>21</v>
      </c>
      <c r="I5025" t="s">
        <v>20</v>
      </c>
      <c r="J5025" t="s">
        <v>20</v>
      </c>
      <c r="K5025" t="s">
        <v>27</v>
      </c>
      <c r="L5025" t="s">
        <v>51</v>
      </c>
      <c r="M5025" t="s">
        <v>52</v>
      </c>
      <c r="N5025">
        <v>37.838543999999999</v>
      </c>
      <c r="O5025">
        <v>-112.857032</v>
      </c>
      <c r="P5025">
        <v>5802.820103</v>
      </c>
      <c r="Q5025">
        <v>1418</v>
      </c>
      <c r="R5025">
        <v>0</v>
      </c>
    </row>
    <row r="5026" spans="1:18" x14ac:dyDescent="0.25">
      <c r="A5026">
        <v>5025</v>
      </c>
      <c r="B5026">
        <v>94</v>
      </c>
      <c r="C5026">
        <v>31387566</v>
      </c>
      <c r="D5026" t="s">
        <v>369</v>
      </c>
      <c r="E5026">
        <v>0.79</v>
      </c>
      <c r="F5026" t="s">
        <v>21</v>
      </c>
      <c r="G5026" t="s">
        <v>26</v>
      </c>
      <c r="H5026" t="s">
        <v>21</v>
      </c>
      <c r="I5026" t="s">
        <v>20</v>
      </c>
      <c r="J5026" t="s">
        <v>20</v>
      </c>
      <c r="K5026" t="s">
        <v>22</v>
      </c>
      <c r="L5026" t="s">
        <v>198</v>
      </c>
      <c r="M5026" t="s">
        <v>76</v>
      </c>
      <c r="N5026">
        <v>40.031340999999998</v>
      </c>
      <c r="O5026">
        <v>-111.74368800000001</v>
      </c>
      <c r="P5026">
        <v>4597.5637960000004</v>
      </c>
      <c r="Q5026">
        <v>347</v>
      </c>
      <c r="R5026">
        <v>0</v>
      </c>
    </row>
    <row r="5027" spans="1:18" x14ac:dyDescent="0.25">
      <c r="A5027">
        <v>5026</v>
      </c>
      <c r="B5027">
        <v>94</v>
      </c>
      <c r="C5027">
        <v>31406670</v>
      </c>
      <c r="D5027" t="s">
        <v>257</v>
      </c>
      <c r="E5027">
        <v>0.79100000000000004</v>
      </c>
      <c r="F5027" t="s">
        <v>21</v>
      </c>
      <c r="G5027" t="s">
        <v>26</v>
      </c>
      <c r="H5027" t="s">
        <v>21</v>
      </c>
      <c r="I5027" t="s">
        <v>20</v>
      </c>
      <c r="J5027" t="s">
        <v>20</v>
      </c>
      <c r="K5027" t="s">
        <v>22</v>
      </c>
      <c r="L5027" t="s">
        <v>140</v>
      </c>
      <c r="M5027" t="s">
        <v>76</v>
      </c>
      <c r="N5027">
        <v>40.085324999999997</v>
      </c>
      <c r="O5027">
        <v>-111.688427</v>
      </c>
      <c r="P5027">
        <v>4487.4572820000003</v>
      </c>
      <c r="Q5027">
        <v>1433</v>
      </c>
      <c r="R5027">
        <v>0</v>
      </c>
    </row>
    <row r="5028" spans="1:18" x14ac:dyDescent="0.25">
      <c r="A5028">
        <v>5027</v>
      </c>
      <c r="B5028">
        <v>94</v>
      </c>
      <c r="C5028">
        <v>27953636</v>
      </c>
      <c r="D5028" t="s">
        <v>59</v>
      </c>
      <c r="E5028">
        <v>0.79100000000000004</v>
      </c>
      <c r="F5028" t="s">
        <v>19</v>
      </c>
      <c r="G5028" t="s">
        <v>20</v>
      </c>
      <c r="H5028" t="s">
        <v>21</v>
      </c>
      <c r="I5028" t="s">
        <v>20</v>
      </c>
      <c r="J5028" t="s">
        <v>20</v>
      </c>
      <c r="K5028" t="s">
        <v>22</v>
      </c>
      <c r="L5028" t="s">
        <v>60</v>
      </c>
      <c r="M5028" t="s">
        <v>24</v>
      </c>
      <c r="N5028">
        <v>40.312007999999999</v>
      </c>
      <c r="O5028">
        <v>-111.719635</v>
      </c>
      <c r="P5028">
        <v>4665.7400280000002</v>
      </c>
      <c r="Q5028">
        <v>313</v>
      </c>
      <c r="R5028">
        <v>0</v>
      </c>
    </row>
    <row r="5029" spans="1:18" x14ac:dyDescent="0.25">
      <c r="A5029">
        <v>5028</v>
      </c>
      <c r="B5029">
        <v>94</v>
      </c>
      <c r="C5029">
        <v>512041</v>
      </c>
      <c r="D5029" t="s">
        <v>44</v>
      </c>
      <c r="E5029">
        <v>0.79400000000000004</v>
      </c>
      <c r="F5029" t="s">
        <v>19</v>
      </c>
      <c r="G5029" t="s">
        <v>20</v>
      </c>
      <c r="H5029" t="s">
        <v>21</v>
      </c>
      <c r="I5029" t="s">
        <v>20</v>
      </c>
      <c r="J5029" t="s">
        <v>20</v>
      </c>
      <c r="K5029" t="s">
        <v>41</v>
      </c>
      <c r="L5029" t="s">
        <v>45</v>
      </c>
      <c r="M5029" t="s">
        <v>46</v>
      </c>
      <c r="N5029">
        <v>40.893884999999997</v>
      </c>
      <c r="O5029">
        <v>-111.88563499999999</v>
      </c>
      <c r="P5029">
        <v>4274.0708889999996</v>
      </c>
      <c r="Q5029">
        <v>1395</v>
      </c>
      <c r="R5029">
        <v>0</v>
      </c>
    </row>
    <row r="5030" spans="1:18" x14ac:dyDescent="0.25">
      <c r="A5030">
        <v>5029</v>
      </c>
      <c r="B5030">
        <v>94</v>
      </c>
      <c r="C5030">
        <v>1734339</v>
      </c>
      <c r="D5030" t="s">
        <v>260</v>
      </c>
      <c r="E5030">
        <v>0.79500000000000004</v>
      </c>
      <c r="F5030" t="s">
        <v>21</v>
      </c>
      <c r="G5030" t="s">
        <v>26</v>
      </c>
      <c r="H5030" t="s">
        <v>21</v>
      </c>
      <c r="I5030" t="s">
        <v>20</v>
      </c>
      <c r="J5030" t="s">
        <v>20</v>
      </c>
      <c r="K5030" t="s">
        <v>41</v>
      </c>
      <c r="L5030" t="s">
        <v>81</v>
      </c>
      <c r="M5030" t="s">
        <v>46</v>
      </c>
      <c r="N5030">
        <v>41.223005999999998</v>
      </c>
      <c r="O5030">
        <v>-111.99270199999999</v>
      </c>
      <c r="P5030">
        <v>4270.0233829999997</v>
      </c>
      <c r="Q5030">
        <v>1358</v>
      </c>
      <c r="R5030">
        <v>0</v>
      </c>
    </row>
    <row r="5031" spans="1:18" x14ac:dyDescent="0.25">
      <c r="A5031">
        <v>5030</v>
      </c>
      <c r="B5031">
        <v>94</v>
      </c>
      <c r="C5031">
        <v>31320265</v>
      </c>
      <c r="D5031" t="s">
        <v>333</v>
      </c>
      <c r="E5031">
        <v>0.79700000000000004</v>
      </c>
      <c r="F5031" t="s">
        <v>19</v>
      </c>
      <c r="G5031" t="s">
        <v>20</v>
      </c>
      <c r="H5031" t="s">
        <v>21</v>
      </c>
      <c r="I5031" t="s">
        <v>20</v>
      </c>
      <c r="J5031" t="s">
        <v>20</v>
      </c>
      <c r="K5031" t="s">
        <v>31</v>
      </c>
      <c r="L5031" t="s">
        <v>89</v>
      </c>
      <c r="M5031" t="s">
        <v>49</v>
      </c>
      <c r="N5031">
        <v>40.504356999999999</v>
      </c>
      <c r="O5031">
        <v>-111.896967</v>
      </c>
      <c r="P5031">
        <v>4366.8805519999996</v>
      </c>
      <c r="Q5031">
        <v>1426</v>
      </c>
      <c r="R5031">
        <v>0</v>
      </c>
    </row>
    <row r="5032" spans="1:18" x14ac:dyDescent="0.25">
      <c r="A5032">
        <v>5031</v>
      </c>
      <c r="B5032">
        <v>94</v>
      </c>
      <c r="C5032">
        <v>31382881</v>
      </c>
      <c r="D5032" t="s">
        <v>184</v>
      </c>
      <c r="E5032">
        <v>0.80200000000000005</v>
      </c>
      <c r="F5032" t="s">
        <v>21</v>
      </c>
      <c r="G5032" t="s">
        <v>26</v>
      </c>
      <c r="H5032" t="s">
        <v>21</v>
      </c>
      <c r="I5032" t="s">
        <v>20</v>
      </c>
      <c r="J5032" t="s">
        <v>20</v>
      </c>
      <c r="K5032" t="s">
        <v>27</v>
      </c>
      <c r="L5032" t="s">
        <v>54</v>
      </c>
      <c r="M5032" t="s">
        <v>55</v>
      </c>
      <c r="N5032">
        <v>37.659844999999997</v>
      </c>
      <c r="O5032">
        <v>-113.072053</v>
      </c>
      <c r="P5032">
        <v>5888.2160979999999</v>
      </c>
      <c r="Q5032">
        <v>1410</v>
      </c>
      <c r="R5032">
        <v>0</v>
      </c>
    </row>
    <row r="5033" spans="1:18" x14ac:dyDescent="0.25">
      <c r="A5033">
        <v>5032</v>
      </c>
      <c r="B5033">
        <v>94</v>
      </c>
      <c r="C5033">
        <v>31400890</v>
      </c>
      <c r="D5033" t="s">
        <v>139</v>
      </c>
      <c r="E5033">
        <v>0.80500000000000005</v>
      </c>
      <c r="F5033" t="s">
        <v>21</v>
      </c>
      <c r="G5033" t="s">
        <v>26</v>
      </c>
      <c r="H5033" t="s">
        <v>21</v>
      </c>
      <c r="I5033" t="s">
        <v>20</v>
      </c>
      <c r="J5033" t="s">
        <v>20</v>
      </c>
      <c r="K5033" t="s">
        <v>22</v>
      </c>
      <c r="L5033" t="s">
        <v>140</v>
      </c>
      <c r="M5033" t="s">
        <v>141</v>
      </c>
      <c r="N5033">
        <v>40.117570000000001</v>
      </c>
      <c r="O5033">
        <v>-111.654742</v>
      </c>
      <c r="P5033">
        <v>4512.3940140000004</v>
      </c>
      <c r="Q5033">
        <v>342</v>
      </c>
      <c r="R5033">
        <v>0</v>
      </c>
    </row>
    <row r="5034" spans="1:18" x14ac:dyDescent="0.25">
      <c r="A5034">
        <v>5033</v>
      </c>
      <c r="B5034">
        <v>94</v>
      </c>
      <c r="C5034">
        <v>31824394</v>
      </c>
      <c r="D5034" t="s">
        <v>118</v>
      </c>
      <c r="E5034">
        <v>123.694</v>
      </c>
      <c r="F5034" t="s">
        <v>21</v>
      </c>
      <c r="G5034" t="s">
        <v>26</v>
      </c>
      <c r="H5034" t="s">
        <v>21</v>
      </c>
      <c r="I5034" t="s">
        <v>20</v>
      </c>
      <c r="J5034" t="s">
        <v>20</v>
      </c>
      <c r="K5034" t="s">
        <v>22</v>
      </c>
      <c r="L5034" t="s">
        <v>133</v>
      </c>
      <c r="M5034" t="s">
        <v>169</v>
      </c>
      <c r="N5034">
        <v>40.301912000000002</v>
      </c>
      <c r="O5034">
        <v>-109.815752</v>
      </c>
      <c r="P5034">
        <v>5010.5964119999999</v>
      </c>
      <c r="Q5034">
        <v>310</v>
      </c>
      <c r="R5034">
        <v>0</v>
      </c>
    </row>
    <row r="5035" spans="1:18" x14ac:dyDescent="0.25">
      <c r="A5035">
        <v>5034</v>
      </c>
      <c r="B5035">
        <v>94</v>
      </c>
      <c r="C5035" t="e">
        <f>-Iovz-T6IFLWewPZ-VYweV</f>
        <v>#NAME?</v>
      </c>
      <c r="D5035" t="s">
        <v>290</v>
      </c>
      <c r="E5035">
        <v>123.751</v>
      </c>
      <c r="F5035" t="s">
        <v>21</v>
      </c>
      <c r="G5035" t="s">
        <v>20</v>
      </c>
      <c r="H5035" t="s">
        <v>21</v>
      </c>
      <c r="I5035" t="s">
        <v>20</v>
      </c>
      <c r="J5035" t="s">
        <v>20</v>
      </c>
      <c r="K5035" t="s">
        <v>41</v>
      </c>
      <c r="L5035" t="s">
        <v>325</v>
      </c>
      <c r="M5035" t="s">
        <v>280</v>
      </c>
      <c r="N5035">
        <v>41.808515999999997</v>
      </c>
      <c r="O5035">
        <v>-111.25663</v>
      </c>
      <c r="P5035">
        <v>7018.9323619999996</v>
      </c>
      <c r="Q5035">
        <v>1343</v>
      </c>
      <c r="R5035">
        <v>0</v>
      </c>
    </row>
    <row r="5036" spans="1:18" x14ac:dyDescent="0.25">
      <c r="A5036">
        <v>5035</v>
      </c>
      <c r="B5036">
        <v>94</v>
      </c>
      <c r="C5036">
        <v>31306474</v>
      </c>
      <c r="D5036" t="s">
        <v>251</v>
      </c>
      <c r="E5036">
        <v>16.817</v>
      </c>
      <c r="F5036" t="s">
        <v>21</v>
      </c>
      <c r="G5036" t="s">
        <v>26</v>
      </c>
      <c r="H5036" t="s">
        <v>21</v>
      </c>
      <c r="I5036" t="s">
        <v>20</v>
      </c>
      <c r="J5036" t="s">
        <v>20</v>
      </c>
      <c r="K5036" t="s">
        <v>27</v>
      </c>
      <c r="L5036" t="s">
        <v>165</v>
      </c>
      <c r="M5036" t="s">
        <v>166</v>
      </c>
      <c r="N5036">
        <v>39.154958000000001</v>
      </c>
      <c r="O5036">
        <v>-112.409932</v>
      </c>
      <c r="P5036">
        <v>4617.5152360000002</v>
      </c>
      <c r="Q5036">
        <v>326</v>
      </c>
      <c r="R5036">
        <v>0</v>
      </c>
    </row>
    <row r="5037" spans="1:18" x14ac:dyDescent="0.25">
      <c r="A5037">
        <v>5036</v>
      </c>
      <c r="B5037">
        <v>94</v>
      </c>
      <c r="C5037">
        <v>31352757</v>
      </c>
      <c r="D5037" t="s">
        <v>333</v>
      </c>
      <c r="E5037">
        <v>16.818999999999999</v>
      </c>
      <c r="F5037" t="s">
        <v>19</v>
      </c>
      <c r="G5037" t="s">
        <v>20</v>
      </c>
      <c r="H5037" t="s">
        <v>21</v>
      </c>
      <c r="I5037" t="s">
        <v>20</v>
      </c>
      <c r="J5037" t="s">
        <v>20</v>
      </c>
      <c r="K5037" t="s">
        <v>31</v>
      </c>
      <c r="L5037" t="s">
        <v>78</v>
      </c>
      <c r="M5037" t="s">
        <v>49</v>
      </c>
      <c r="N5037">
        <v>40.665855000000001</v>
      </c>
      <c r="O5037">
        <v>-111.981566</v>
      </c>
      <c r="P5037">
        <v>4386.6959040000002</v>
      </c>
      <c r="Q5037">
        <v>1426</v>
      </c>
      <c r="R5037">
        <v>0</v>
      </c>
    </row>
    <row r="5038" spans="1:18" x14ac:dyDescent="0.25">
      <c r="A5038">
        <v>5037</v>
      </c>
      <c r="B5038">
        <v>94</v>
      </c>
      <c r="C5038" t="e">
        <f>-JP2xP0YGVuGOxP4FXzxNk</f>
        <v>#NAME?</v>
      </c>
      <c r="D5038" t="s">
        <v>345</v>
      </c>
      <c r="E5038">
        <v>16.82</v>
      </c>
      <c r="F5038" t="s">
        <v>21</v>
      </c>
      <c r="G5038" t="s">
        <v>26</v>
      </c>
      <c r="H5038" t="s">
        <v>21</v>
      </c>
      <c r="I5038" t="s">
        <v>20</v>
      </c>
      <c r="J5038" t="s">
        <v>20</v>
      </c>
      <c r="K5038" t="s">
        <v>27</v>
      </c>
      <c r="L5038" t="s">
        <v>75</v>
      </c>
      <c r="M5038" t="s">
        <v>76</v>
      </c>
      <c r="N5038">
        <v>38.786254999999997</v>
      </c>
      <c r="O5038">
        <v>-112.052773</v>
      </c>
      <c r="P5038">
        <v>5231.7177620000002</v>
      </c>
      <c r="Q5038">
        <v>1403</v>
      </c>
      <c r="R5038">
        <v>0</v>
      </c>
    </row>
    <row r="5039" spans="1:18" x14ac:dyDescent="0.25">
      <c r="A5039">
        <v>5038</v>
      </c>
      <c r="B5039">
        <v>94</v>
      </c>
      <c r="C5039">
        <v>31626561</v>
      </c>
      <c r="D5039" t="s">
        <v>213</v>
      </c>
      <c r="E5039">
        <v>188.983</v>
      </c>
      <c r="F5039" t="s">
        <v>21</v>
      </c>
      <c r="G5039" t="s">
        <v>20</v>
      </c>
      <c r="H5039" t="s">
        <v>21</v>
      </c>
      <c r="I5039" t="s">
        <v>20</v>
      </c>
      <c r="J5039" t="s">
        <v>20</v>
      </c>
      <c r="K5039" t="s">
        <v>22</v>
      </c>
      <c r="L5039" t="s">
        <v>140</v>
      </c>
      <c r="M5039" t="s">
        <v>159</v>
      </c>
      <c r="N5039">
        <v>39.995928999999997</v>
      </c>
      <c r="O5039">
        <v>-111.44065399999999</v>
      </c>
      <c r="P5039">
        <v>5210.0581320000001</v>
      </c>
      <c r="Q5039">
        <v>1332</v>
      </c>
      <c r="R5039">
        <v>0</v>
      </c>
    </row>
    <row r="5040" spans="1:18" x14ac:dyDescent="0.25">
      <c r="A5040">
        <v>5039</v>
      </c>
      <c r="B5040">
        <v>94</v>
      </c>
      <c r="C5040">
        <v>31497522</v>
      </c>
      <c r="D5040" t="s">
        <v>129</v>
      </c>
      <c r="E5040">
        <v>19.018999999999998</v>
      </c>
      <c r="F5040" t="s">
        <v>21</v>
      </c>
      <c r="G5040" t="s">
        <v>26</v>
      </c>
      <c r="H5040" t="s">
        <v>21</v>
      </c>
      <c r="I5040" t="s">
        <v>20</v>
      </c>
      <c r="J5040" t="s">
        <v>20</v>
      </c>
      <c r="K5040" t="s">
        <v>31</v>
      </c>
      <c r="L5040" t="s">
        <v>130</v>
      </c>
      <c r="M5040" t="s">
        <v>131</v>
      </c>
      <c r="N5040">
        <v>40.595070999999997</v>
      </c>
      <c r="O5040">
        <v>-110.975623</v>
      </c>
      <c r="P5040">
        <v>8256.2407249999997</v>
      </c>
      <c r="Q5040">
        <v>340</v>
      </c>
      <c r="R5040">
        <v>0</v>
      </c>
    </row>
    <row r="5041" spans="1:18" x14ac:dyDescent="0.25">
      <c r="A5041">
        <v>5040</v>
      </c>
      <c r="B5041">
        <v>94</v>
      </c>
      <c r="C5041">
        <v>2836178</v>
      </c>
      <c r="D5041" t="s">
        <v>113</v>
      </c>
      <c r="E5041">
        <v>4.3940000000000001</v>
      </c>
      <c r="F5041" t="s">
        <v>21</v>
      </c>
      <c r="G5041" t="s">
        <v>26</v>
      </c>
      <c r="H5041" t="s">
        <v>21</v>
      </c>
      <c r="I5041" t="s">
        <v>20</v>
      </c>
      <c r="J5041" t="s">
        <v>20</v>
      </c>
      <c r="K5041" t="s">
        <v>41</v>
      </c>
      <c r="L5041" t="s">
        <v>87</v>
      </c>
      <c r="M5041" t="s">
        <v>58</v>
      </c>
      <c r="N5041">
        <v>41.135657000000002</v>
      </c>
      <c r="O5041">
        <v>-111.959012</v>
      </c>
      <c r="P5041">
        <v>4421.5042059999996</v>
      </c>
      <c r="Q5041">
        <v>1363</v>
      </c>
      <c r="R5041">
        <v>0</v>
      </c>
    </row>
    <row r="5042" spans="1:18" x14ac:dyDescent="0.25">
      <c r="A5042">
        <v>5041</v>
      </c>
      <c r="B5042">
        <v>94</v>
      </c>
      <c r="C5042" t="e">
        <f>-IpPIf86HWXvOcsyuE-cUF</f>
        <v>#NAME?</v>
      </c>
      <c r="D5042" t="s">
        <v>272</v>
      </c>
      <c r="E5042">
        <v>403.04500000000002</v>
      </c>
      <c r="F5042" t="s">
        <v>21</v>
      </c>
      <c r="G5042" t="s">
        <v>26</v>
      </c>
      <c r="H5042" t="s">
        <v>21</v>
      </c>
      <c r="I5042" t="s">
        <v>20</v>
      </c>
      <c r="J5042" t="s">
        <v>20</v>
      </c>
      <c r="K5042" t="s">
        <v>41</v>
      </c>
      <c r="L5042" t="s">
        <v>87</v>
      </c>
      <c r="M5042" t="s">
        <v>46</v>
      </c>
      <c r="N5042">
        <v>41.089607999999998</v>
      </c>
      <c r="O5042">
        <v>-111.91068300000001</v>
      </c>
      <c r="P5042">
        <v>4837.6995319999996</v>
      </c>
      <c r="Q5042">
        <v>1384</v>
      </c>
      <c r="R5042">
        <v>0</v>
      </c>
    </row>
    <row r="5043" spans="1:18" x14ac:dyDescent="0.25">
      <c r="A5043">
        <v>5042</v>
      </c>
      <c r="B5043">
        <v>94</v>
      </c>
      <c r="C5043">
        <v>31764718</v>
      </c>
      <c r="D5043" t="s">
        <v>115</v>
      </c>
      <c r="E5043">
        <v>4.4240000000000004</v>
      </c>
      <c r="F5043" t="s">
        <v>21</v>
      </c>
      <c r="G5043" t="s">
        <v>26</v>
      </c>
      <c r="H5043" t="s">
        <v>21</v>
      </c>
      <c r="I5043" t="s">
        <v>20</v>
      </c>
      <c r="J5043" t="s">
        <v>20</v>
      </c>
      <c r="K5043" t="s">
        <v>31</v>
      </c>
      <c r="L5043" t="s">
        <v>48</v>
      </c>
      <c r="M5043" t="s">
        <v>70</v>
      </c>
      <c r="N5043">
        <v>40.652755999999997</v>
      </c>
      <c r="O5043">
        <v>-111.992898</v>
      </c>
      <c r="P5043">
        <v>4518.086988</v>
      </c>
      <c r="Q5043">
        <v>1437</v>
      </c>
      <c r="R5043">
        <v>0</v>
      </c>
    </row>
    <row r="5044" spans="1:18" x14ac:dyDescent="0.25">
      <c r="A5044">
        <v>5043</v>
      </c>
      <c r="B5044">
        <v>94</v>
      </c>
      <c r="C5044">
        <v>1264735</v>
      </c>
      <c r="D5044" t="s">
        <v>189</v>
      </c>
      <c r="E5044">
        <v>4.4249999999999998</v>
      </c>
      <c r="F5044" t="s">
        <v>21</v>
      </c>
      <c r="G5044" t="s">
        <v>26</v>
      </c>
      <c r="H5044" t="s">
        <v>21</v>
      </c>
      <c r="I5044" t="s">
        <v>20</v>
      </c>
      <c r="J5044" t="s">
        <v>20</v>
      </c>
      <c r="K5044" t="s">
        <v>41</v>
      </c>
      <c r="L5044" t="s">
        <v>81</v>
      </c>
      <c r="M5044" t="s">
        <v>190</v>
      </c>
      <c r="N5044">
        <v>41.217252999999999</v>
      </c>
      <c r="O5044">
        <v>-111.948318</v>
      </c>
      <c r="P5044">
        <v>4423.1290019999997</v>
      </c>
      <c r="Q5044">
        <v>412</v>
      </c>
      <c r="R5044">
        <v>0</v>
      </c>
    </row>
    <row r="5045" spans="1:18" x14ac:dyDescent="0.25">
      <c r="A5045">
        <v>5044</v>
      </c>
      <c r="B5045">
        <v>94</v>
      </c>
      <c r="C5045">
        <v>31626264</v>
      </c>
      <c r="D5045" t="s">
        <v>83</v>
      </c>
      <c r="E5045">
        <v>4.431</v>
      </c>
      <c r="F5045" t="s">
        <v>21</v>
      </c>
      <c r="G5045" t="s">
        <v>26</v>
      </c>
      <c r="H5045" t="s">
        <v>21</v>
      </c>
      <c r="I5045" t="s">
        <v>20</v>
      </c>
      <c r="J5045" t="s">
        <v>20</v>
      </c>
      <c r="K5045" t="s">
        <v>22</v>
      </c>
      <c r="L5045" t="s">
        <v>84</v>
      </c>
      <c r="M5045" t="s">
        <v>85</v>
      </c>
      <c r="N5045">
        <v>40.439698999999997</v>
      </c>
      <c r="O5045">
        <v>-111.784442</v>
      </c>
      <c r="P5045">
        <v>4854.9692240000004</v>
      </c>
      <c r="Q5045">
        <v>319</v>
      </c>
      <c r="R5045">
        <v>0</v>
      </c>
    </row>
    <row r="5046" spans="1:18" x14ac:dyDescent="0.25">
      <c r="A5046">
        <v>5045</v>
      </c>
      <c r="B5046">
        <v>94</v>
      </c>
      <c r="C5046">
        <v>31302617</v>
      </c>
      <c r="D5046" t="s">
        <v>339</v>
      </c>
      <c r="E5046">
        <v>4.4320000000000004</v>
      </c>
      <c r="F5046" t="s">
        <v>21</v>
      </c>
      <c r="G5046" t="s">
        <v>20</v>
      </c>
      <c r="H5046" t="s">
        <v>21</v>
      </c>
      <c r="I5046" t="s">
        <v>20</v>
      </c>
      <c r="J5046" t="s">
        <v>20</v>
      </c>
      <c r="K5046" t="s">
        <v>41</v>
      </c>
      <c r="L5046" t="s">
        <v>95</v>
      </c>
      <c r="M5046" t="s">
        <v>73</v>
      </c>
      <c r="N5046">
        <v>41.911918</v>
      </c>
      <c r="O5046">
        <v>-112.045346</v>
      </c>
      <c r="P5046">
        <v>4745.3100260000001</v>
      </c>
      <c r="Q5046">
        <v>1417</v>
      </c>
      <c r="R5046">
        <v>0</v>
      </c>
    </row>
    <row r="5047" spans="1:18" x14ac:dyDescent="0.25">
      <c r="A5047">
        <v>5046</v>
      </c>
      <c r="B5047">
        <v>94</v>
      </c>
      <c r="C5047" t="e">
        <f>-Ip_DxNBHhiMdnfxt0aAtF</f>
        <v>#NAME?</v>
      </c>
      <c r="D5047" t="s">
        <v>272</v>
      </c>
      <c r="E5047">
        <v>4.4359999999999999</v>
      </c>
      <c r="F5047" t="s">
        <v>21</v>
      </c>
      <c r="G5047" t="s">
        <v>20</v>
      </c>
      <c r="H5047" t="s">
        <v>21</v>
      </c>
      <c r="I5047" t="s">
        <v>20</v>
      </c>
      <c r="J5047" t="s">
        <v>20</v>
      </c>
      <c r="K5047" t="s">
        <v>27</v>
      </c>
      <c r="L5047" t="s">
        <v>259</v>
      </c>
      <c r="M5047" t="s">
        <v>214</v>
      </c>
      <c r="N5047">
        <v>37.049346999999997</v>
      </c>
      <c r="O5047">
        <v>-111.625703</v>
      </c>
      <c r="P5047">
        <v>3872.3421069999999</v>
      </c>
      <c r="Q5047">
        <v>1384</v>
      </c>
      <c r="R5047">
        <v>0</v>
      </c>
    </row>
    <row r="5048" spans="1:18" x14ac:dyDescent="0.25">
      <c r="A5048">
        <v>5047</v>
      </c>
      <c r="B5048">
        <v>94</v>
      </c>
      <c r="C5048">
        <v>1752409</v>
      </c>
      <c r="D5048" t="s">
        <v>236</v>
      </c>
      <c r="E5048">
        <v>4.4370000000000003</v>
      </c>
      <c r="F5048" t="s">
        <v>21</v>
      </c>
      <c r="G5048" t="s">
        <v>26</v>
      </c>
      <c r="H5048" t="s">
        <v>21</v>
      </c>
      <c r="I5048" t="s">
        <v>20</v>
      </c>
      <c r="J5048" t="s">
        <v>20</v>
      </c>
      <c r="K5048" t="s">
        <v>31</v>
      </c>
      <c r="L5048" t="s">
        <v>48</v>
      </c>
      <c r="M5048" t="s">
        <v>79</v>
      </c>
      <c r="N5048">
        <v>40.638472</v>
      </c>
      <c r="O5048">
        <v>-112.059043</v>
      </c>
      <c r="P5048">
        <v>5051.9056259999998</v>
      </c>
      <c r="Q5048">
        <v>1398</v>
      </c>
      <c r="R5048">
        <v>0</v>
      </c>
    </row>
    <row r="5049" spans="1:18" x14ac:dyDescent="0.25">
      <c r="A5049">
        <v>5048</v>
      </c>
      <c r="B5049">
        <v>94</v>
      </c>
      <c r="C5049">
        <v>1124560</v>
      </c>
      <c r="D5049" t="s">
        <v>101</v>
      </c>
      <c r="E5049">
        <v>4.4370000000000003</v>
      </c>
      <c r="F5049" t="s">
        <v>21</v>
      </c>
      <c r="G5049" t="s">
        <v>26</v>
      </c>
      <c r="H5049" t="s">
        <v>21</v>
      </c>
      <c r="I5049" t="s">
        <v>20</v>
      </c>
      <c r="J5049" t="s">
        <v>20</v>
      </c>
      <c r="K5049" t="s">
        <v>41</v>
      </c>
      <c r="L5049" t="s">
        <v>57</v>
      </c>
      <c r="M5049" t="s">
        <v>58</v>
      </c>
      <c r="N5049">
        <v>41.118065000000001</v>
      </c>
      <c r="O5049">
        <v>-112.027553</v>
      </c>
      <c r="P5049">
        <v>4460.537996</v>
      </c>
      <c r="Q5049">
        <v>328</v>
      </c>
      <c r="R5049">
        <v>0</v>
      </c>
    </row>
    <row r="5050" spans="1:18" x14ac:dyDescent="0.25">
      <c r="A5050">
        <v>5049</v>
      </c>
      <c r="B5050">
        <v>94</v>
      </c>
      <c r="C5050">
        <v>31521969</v>
      </c>
      <c r="D5050" t="s">
        <v>390</v>
      </c>
      <c r="E5050">
        <v>4.4370000000000003</v>
      </c>
      <c r="F5050" t="s">
        <v>21</v>
      </c>
      <c r="G5050" t="s">
        <v>26</v>
      </c>
      <c r="H5050" t="s">
        <v>21</v>
      </c>
      <c r="I5050" t="s">
        <v>20</v>
      </c>
      <c r="J5050" t="s">
        <v>20</v>
      </c>
      <c r="K5050" t="s">
        <v>22</v>
      </c>
      <c r="L5050" t="s">
        <v>84</v>
      </c>
      <c r="M5050" t="s">
        <v>335</v>
      </c>
      <c r="N5050">
        <v>40.431800000000003</v>
      </c>
      <c r="O5050">
        <v>-111.811655</v>
      </c>
      <c r="P5050">
        <v>4781.4036180000003</v>
      </c>
      <c r="Q5050">
        <v>1386</v>
      </c>
      <c r="R5050">
        <v>0</v>
      </c>
    </row>
    <row r="5051" spans="1:18" x14ac:dyDescent="0.25">
      <c r="A5051">
        <v>5050</v>
      </c>
      <c r="B5051">
        <v>94</v>
      </c>
      <c r="C5051">
        <v>31459054</v>
      </c>
      <c r="D5051" t="s">
        <v>331</v>
      </c>
      <c r="E5051">
        <v>4.4390000000000001</v>
      </c>
      <c r="F5051" t="s">
        <v>21</v>
      </c>
      <c r="G5051" t="s">
        <v>26</v>
      </c>
      <c r="H5051" t="s">
        <v>21</v>
      </c>
      <c r="I5051" t="s">
        <v>20</v>
      </c>
      <c r="J5051" t="s">
        <v>20</v>
      </c>
      <c r="K5051" t="s">
        <v>27</v>
      </c>
      <c r="L5051" t="s">
        <v>111</v>
      </c>
      <c r="M5051" t="s">
        <v>112</v>
      </c>
      <c r="N5051">
        <v>39.348663999999999</v>
      </c>
      <c r="O5051">
        <v>-110.855953</v>
      </c>
      <c r="P5051">
        <v>5677.7198529999996</v>
      </c>
      <c r="Q5051">
        <v>1427</v>
      </c>
      <c r="R5051">
        <v>0</v>
      </c>
    </row>
    <row r="5052" spans="1:18" x14ac:dyDescent="0.25">
      <c r="A5052">
        <v>5051</v>
      </c>
      <c r="B5052">
        <v>94</v>
      </c>
      <c r="C5052" t="e">
        <f>-JOZW2D3Fv90lzwZQmFxXF</f>
        <v>#NAME?</v>
      </c>
      <c r="D5052" t="s">
        <v>241</v>
      </c>
      <c r="E5052">
        <v>41.031999999999996</v>
      </c>
      <c r="F5052" t="s">
        <v>21</v>
      </c>
      <c r="G5052" t="s">
        <v>20</v>
      </c>
      <c r="H5052" t="s">
        <v>21</v>
      </c>
      <c r="I5052" t="s">
        <v>20</v>
      </c>
      <c r="J5052" t="s">
        <v>20</v>
      </c>
      <c r="K5052" t="s">
        <v>27</v>
      </c>
      <c r="L5052" t="s">
        <v>111</v>
      </c>
      <c r="M5052" t="s">
        <v>243</v>
      </c>
      <c r="N5052">
        <v>39.242688999999999</v>
      </c>
      <c r="O5052">
        <v>-110.989362</v>
      </c>
      <c r="P5052">
        <v>5651.824458</v>
      </c>
      <c r="Q5052">
        <v>1327</v>
      </c>
      <c r="R5052">
        <v>0</v>
      </c>
    </row>
    <row r="5053" spans="1:18" x14ac:dyDescent="0.25">
      <c r="A5053">
        <v>5052</v>
      </c>
      <c r="B5053">
        <v>94</v>
      </c>
      <c r="C5053">
        <v>31437309</v>
      </c>
      <c r="D5053" t="s">
        <v>221</v>
      </c>
      <c r="E5053">
        <v>41.058999999999997</v>
      </c>
      <c r="F5053" t="s">
        <v>21</v>
      </c>
      <c r="G5053" t="s">
        <v>26</v>
      </c>
      <c r="H5053" t="s">
        <v>21</v>
      </c>
      <c r="I5053" t="s">
        <v>20</v>
      </c>
      <c r="J5053" t="s">
        <v>20</v>
      </c>
      <c r="K5053" t="s">
        <v>22</v>
      </c>
      <c r="L5053" t="s">
        <v>155</v>
      </c>
      <c r="M5053" t="s">
        <v>174</v>
      </c>
      <c r="N5053">
        <v>39.714340999999997</v>
      </c>
      <c r="O5053">
        <v>-111.836144</v>
      </c>
      <c r="P5053">
        <v>5070.5767619999997</v>
      </c>
      <c r="Q5053">
        <v>1342</v>
      </c>
      <c r="R5053">
        <v>0</v>
      </c>
    </row>
    <row r="5054" spans="1:18" x14ac:dyDescent="0.25">
      <c r="A5054">
        <v>5053</v>
      </c>
      <c r="B5054">
        <v>94</v>
      </c>
      <c r="C5054">
        <v>31399478</v>
      </c>
      <c r="D5054" t="s">
        <v>124</v>
      </c>
      <c r="E5054">
        <v>41.063000000000002</v>
      </c>
      <c r="F5054" t="s">
        <v>21</v>
      </c>
      <c r="G5054" t="s">
        <v>20</v>
      </c>
      <c r="H5054" t="s">
        <v>21</v>
      </c>
      <c r="I5054" t="s">
        <v>20</v>
      </c>
      <c r="J5054" t="s">
        <v>20</v>
      </c>
      <c r="K5054" t="s">
        <v>31</v>
      </c>
      <c r="L5054" t="s">
        <v>89</v>
      </c>
      <c r="M5054" t="s">
        <v>125</v>
      </c>
      <c r="N5054">
        <v>40.504145000000001</v>
      </c>
      <c r="O5054">
        <v>-111.93873000000001</v>
      </c>
      <c r="P5054">
        <v>4390.0417900000002</v>
      </c>
      <c r="Q5054">
        <v>1368</v>
      </c>
      <c r="R5054">
        <v>0</v>
      </c>
    </row>
    <row r="5055" spans="1:18" x14ac:dyDescent="0.25">
      <c r="A5055">
        <v>5054</v>
      </c>
      <c r="B5055">
        <v>94</v>
      </c>
      <c r="C5055" t="s">
        <v>704</v>
      </c>
      <c r="D5055" t="s">
        <v>129</v>
      </c>
      <c r="E5055">
        <v>41.128</v>
      </c>
      <c r="F5055" t="s">
        <v>21</v>
      </c>
      <c r="G5055" t="s">
        <v>20</v>
      </c>
      <c r="H5055" t="s">
        <v>21</v>
      </c>
      <c r="I5055" t="s">
        <v>20</v>
      </c>
      <c r="J5055" t="s">
        <v>20</v>
      </c>
      <c r="K5055" t="s">
        <v>31</v>
      </c>
      <c r="L5055" t="s">
        <v>130</v>
      </c>
      <c r="M5055" t="s">
        <v>328</v>
      </c>
      <c r="N5055">
        <v>40.816690999999999</v>
      </c>
      <c r="O5055">
        <v>-110.871407</v>
      </c>
      <c r="P5055">
        <v>9011.7194209999998</v>
      </c>
      <c r="Q5055">
        <v>340</v>
      </c>
      <c r="R5055">
        <v>0</v>
      </c>
    </row>
    <row r="5056" spans="1:18" x14ac:dyDescent="0.25">
      <c r="A5056">
        <v>5055</v>
      </c>
      <c r="B5056">
        <v>94</v>
      </c>
      <c r="C5056">
        <v>31309624</v>
      </c>
      <c r="D5056" t="s">
        <v>203</v>
      </c>
      <c r="E5056">
        <v>41.134</v>
      </c>
      <c r="F5056" t="s">
        <v>21</v>
      </c>
      <c r="G5056" t="s">
        <v>20</v>
      </c>
      <c r="H5056" t="s">
        <v>21</v>
      </c>
      <c r="I5056" t="s">
        <v>20</v>
      </c>
      <c r="J5056" t="s">
        <v>20</v>
      </c>
      <c r="K5056" t="s">
        <v>41</v>
      </c>
      <c r="L5056" t="s">
        <v>255</v>
      </c>
      <c r="M5056" t="s">
        <v>653</v>
      </c>
      <c r="N5056">
        <v>41.409202999999998</v>
      </c>
      <c r="O5056">
        <v>-111.539978</v>
      </c>
      <c r="P5056">
        <v>8193.9763390000007</v>
      </c>
      <c r="Q5056">
        <v>1349</v>
      </c>
      <c r="R5056">
        <v>0</v>
      </c>
    </row>
    <row r="5057" spans="1:18" x14ac:dyDescent="0.25">
      <c r="A5057">
        <v>5056</v>
      </c>
      <c r="B5057">
        <v>94</v>
      </c>
      <c r="C5057" t="e">
        <f>-IpUhxJ1FU5yWUxGy-zEcV</f>
        <v>#NAME?</v>
      </c>
      <c r="D5057" t="s">
        <v>272</v>
      </c>
      <c r="E5057">
        <v>417.03699999999998</v>
      </c>
      <c r="F5057" t="s">
        <v>19</v>
      </c>
      <c r="G5057" t="s">
        <v>20</v>
      </c>
      <c r="H5057" t="s">
        <v>21</v>
      </c>
      <c r="I5057" t="s">
        <v>20</v>
      </c>
      <c r="J5057" t="s">
        <v>20</v>
      </c>
      <c r="K5057" t="s">
        <v>41</v>
      </c>
      <c r="L5057" t="s">
        <v>81</v>
      </c>
      <c r="M5057" t="s">
        <v>46</v>
      </c>
      <c r="N5057">
        <v>41.266666000000001</v>
      </c>
      <c r="O5057">
        <v>-111.97434699999999</v>
      </c>
      <c r="P5057">
        <v>4225.4873740000003</v>
      </c>
      <c r="Q5057">
        <v>1384</v>
      </c>
      <c r="R5057">
        <v>0</v>
      </c>
    </row>
    <row r="5058" spans="1:18" x14ac:dyDescent="0.25">
      <c r="A5058">
        <v>5057</v>
      </c>
      <c r="B5058">
        <v>94</v>
      </c>
      <c r="C5058" t="e">
        <f>-IpyBJqsFzqhlZ7zi5F3qF</f>
        <v>#NAME?</v>
      </c>
      <c r="D5058" t="s">
        <v>272</v>
      </c>
      <c r="E5058">
        <v>417.17399999999998</v>
      </c>
      <c r="F5058" t="s">
        <v>21</v>
      </c>
      <c r="G5058" t="s">
        <v>26</v>
      </c>
      <c r="H5058" t="s">
        <v>21</v>
      </c>
      <c r="I5058" t="s">
        <v>20</v>
      </c>
      <c r="J5058" t="s">
        <v>20</v>
      </c>
      <c r="K5058" t="s">
        <v>41</v>
      </c>
      <c r="L5058" t="s">
        <v>81</v>
      </c>
      <c r="M5058" t="s">
        <v>46</v>
      </c>
      <c r="N5058">
        <v>41.268428999999998</v>
      </c>
      <c r="O5058">
        <v>-111.975466</v>
      </c>
      <c r="P5058">
        <v>4223.4447090000003</v>
      </c>
      <c r="Q5058">
        <v>1384</v>
      </c>
      <c r="R5058">
        <v>0</v>
      </c>
    </row>
    <row r="5059" spans="1:18" x14ac:dyDescent="0.25">
      <c r="A5059">
        <v>5058</v>
      </c>
      <c r="B5059">
        <v>94</v>
      </c>
      <c r="C5059" t="s">
        <v>705</v>
      </c>
      <c r="D5059" t="s">
        <v>272</v>
      </c>
      <c r="E5059">
        <v>417.32799999999997</v>
      </c>
      <c r="F5059" t="s">
        <v>21</v>
      </c>
      <c r="G5059" t="s">
        <v>26</v>
      </c>
      <c r="H5059" t="s">
        <v>21</v>
      </c>
      <c r="I5059" t="s">
        <v>20</v>
      </c>
      <c r="J5059" t="s">
        <v>20</v>
      </c>
      <c r="K5059" t="s">
        <v>41</v>
      </c>
      <c r="L5059" t="s">
        <v>81</v>
      </c>
      <c r="M5059" t="s">
        <v>46</v>
      </c>
      <c r="N5059">
        <v>41.270454000000001</v>
      </c>
      <c r="O5059">
        <v>-111.976714</v>
      </c>
      <c r="P5059">
        <v>4223.6523900000002</v>
      </c>
      <c r="Q5059">
        <v>1384</v>
      </c>
      <c r="R5059">
        <v>0</v>
      </c>
    </row>
    <row r="5060" spans="1:18" x14ac:dyDescent="0.25">
      <c r="A5060">
        <v>5059</v>
      </c>
      <c r="B5060">
        <v>94</v>
      </c>
      <c r="C5060">
        <v>28705273</v>
      </c>
      <c r="D5060" t="s">
        <v>142</v>
      </c>
      <c r="E5060">
        <v>74.537000000000006</v>
      </c>
      <c r="F5060" t="s">
        <v>21</v>
      </c>
      <c r="G5060" t="s">
        <v>20</v>
      </c>
      <c r="H5060" t="s">
        <v>21</v>
      </c>
      <c r="I5060" t="s">
        <v>20</v>
      </c>
      <c r="J5060" t="s">
        <v>20</v>
      </c>
      <c r="K5060" t="s">
        <v>27</v>
      </c>
      <c r="L5060" t="s">
        <v>143</v>
      </c>
      <c r="M5060" t="s">
        <v>106</v>
      </c>
      <c r="N5060">
        <v>38.406936999999999</v>
      </c>
      <c r="O5060">
        <v>-113.052082</v>
      </c>
      <c r="P5060">
        <v>5059.4191350000001</v>
      </c>
      <c r="Q5060">
        <v>305</v>
      </c>
      <c r="R5060">
        <v>0</v>
      </c>
    </row>
    <row r="5061" spans="1:18" x14ac:dyDescent="0.25">
      <c r="A5061">
        <v>5060</v>
      </c>
      <c r="B5061">
        <v>94</v>
      </c>
      <c r="C5061">
        <v>31768112</v>
      </c>
      <c r="D5061" t="s">
        <v>290</v>
      </c>
      <c r="E5061">
        <v>74.69</v>
      </c>
      <c r="F5061" t="s">
        <v>21</v>
      </c>
      <c r="G5061" t="s">
        <v>26</v>
      </c>
      <c r="H5061" t="s">
        <v>19</v>
      </c>
      <c r="I5061">
        <v>42</v>
      </c>
      <c r="J5061" t="s">
        <v>20</v>
      </c>
      <c r="K5061" t="s">
        <v>41</v>
      </c>
      <c r="L5061" t="s">
        <v>291</v>
      </c>
      <c r="M5061" t="s">
        <v>238</v>
      </c>
      <c r="N5061">
        <v>41.965497999999997</v>
      </c>
      <c r="O5061">
        <v>-113.060593</v>
      </c>
      <c r="P5061">
        <v>4798.6910349999998</v>
      </c>
      <c r="Q5061">
        <v>1343</v>
      </c>
      <c r="R5061">
        <v>0</v>
      </c>
    </row>
    <row r="5062" spans="1:18" x14ac:dyDescent="0.25">
      <c r="A5062">
        <v>5061</v>
      </c>
      <c r="B5062">
        <v>94</v>
      </c>
      <c r="C5062">
        <v>659258</v>
      </c>
      <c r="D5062" t="s">
        <v>383</v>
      </c>
      <c r="E5062">
        <v>16.678000000000001</v>
      </c>
      <c r="F5062" t="s">
        <v>21</v>
      </c>
      <c r="G5062" t="s">
        <v>26</v>
      </c>
      <c r="H5062" t="s">
        <v>21</v>
      </c>
      <c r="I5062" t="s">
        <v>20</v>
      </c>
      <c r="J5062" t="s">
        <v>20</v>
      </c>
      <c r="K5062" t="s">
        <v>31</v>
      </c>
      <c r="L5062" t="s">
        <v>32</v>
      </c>
      <c r="M5062" t="s">
        <v>384</v>
      </c>
      <c r="N5062">
        <v>40.576740999999998</v>
      </c>
      <c r="O5062">
        <v>-111.8128</v>
      </c>
      <c r="P5062">
        <v>5019.7929999999997</v>
      </c>
      <c r="Q5062">
        <v>414</v>
      </c>
      <c r="R5062">
        <v>0</v>
      </c>
    </row>
    <row r="5063" spans="1:18" x14ac:dyDescent="0.25">
      <c r="A5063">
        <v>5062</v>
      </c>
      <c r="B5063">
        <v>94</v>
      </c>
      <c r="C5063">
        <v>659292</v>
      </c>
      <c r="D5063" t="s">
        <v>383</v>
      </c>
      <c r="E5063">
        <v>16.835999999999999</v>
      </c>
      <c r="F5063" t="s">
        <v>21</v>
      </c>
      <c r="G5063" t="s">
        <v>26</v>
      </c>
      <c r="H5063" t="s">
        <v>21</v>
      </c>
      <c r="I5063" t="s">
        <v>20</v>
      </c>
      <c r="J5063" t="s">
        <v>20</v>
      </c>
      <c r="K5063" t="s">
        <v>31</v>
      </c>
      <c r="L5063" t="s">
        <v>32</v>
      </c>
      <c r="M5063" t="s">
        <v>384</v>
      </c>
      <c r="N5063">
        <v>40.577061</v>
      </c>
      <c r="O5063">
        <v>-111.809825</v>
      </c>
      <c r="P5063">
        <v>5050.875</v>
      </c>
      <c r="Q5063">
        <v>414</v>
      </c>
      <c r="R5063">
        <v>0</v>
      </c>
    </row>
    <row r="5064" spans="1:18" x14ac:dyDescent="0.25">
      <c r="A5064">
        <v>5063</v>
      </c>
      <c r="B5064">
        <v>94</v>
      </c>
      <c r="C5064">
        <v>661037</v>
      </c>
      <c r="D5064" t="s">
        <v>383</v>
      </c>
      <c r="E5064">
        <v>16.948</v>
      </c>
      <c r="F5064" t="s">
        <v>21</v>
      </c>
      <c r="G5064" t="s">
        <v>26</v>
      </c>
      <c r="H5064" t="s">
        <v>21</v>
      </c>
      <c r="I5064" t="s">
        <v>20</v>
      </c>
      <c r="J5064" t="s">
        <v>20</v>
      </c>
      <c r="K5064" t="s">
        <v>31</v>
      </c>
      <c r="L5064" t="s">
        <v>32</v>
      </c>
      <c r="M5064" t="s">
        <v>384</v>
      </c>
      <c r="N5064">
        <v>40.577463000000002</v>
      </c>
      <c r="O5064">
        <v>-111.80776</v>
      </c>
      <c r="P5064">
        <v>5068.902</v>
      </c>
      <c r="Q5064">
        <v>414</v>
      </c>
      <c r="R5064">
        <v>0</v>
      </c>
    </row>
    <row r="5065" spans="1:18" x14ac:dyDescent="0.25">
      <c r="A5065">
        <v>5064</v>
      </c>
      <c r="B5065">
        <v>94</v>
      </c>
      <c r="C5065">
        <v>662214</v>
      </c>
      <c r="D5065" t="s">
        <v>383</v>
      </c>
      <c r="E5065">
        <v>17.003</v>
      </c>
      <c r="F5065" t="s">
        <v>21</v>
      </c>
      <c r="G5065" t="s">
        <v>26</v>
      </c>
      <c r="H5065" t="s">
        <v>21</v>
      </c>
      <c r="I5065" t="s">
        <v>20</v>
      </c>
      <c r="J5065" t="s">
        <v>20</v>
      </c>
      <c r="K5065" t="s">
        <v>31</v>
      </c>
      <c r="L5065" t="s">
        <v>32</v>
      </c>
      <c r="M5065" t="s">
        <v>384</v>
      </c>
      <c r="N5065">
        <v>40.577658999999997</v>
      </c>
      <c r="O5065">
        <v>-111.806729</v>
      </c>
      <c r="P5065">
        <v>5077.4250000000002</v>
      </c>
      <c r="Q5065">
        <v>414</v>
      </c>
      <c r="R5065">
        <v>0</v>
      </c>
    </row>
    <row r="5066" spans="1:18" x14ac:dyDescent="0.25">
      <c r="A5066">
        <v>5065</v>
      </c>
      <c r="B5066">
        <v>94</v>
      </c>
      <c r="C5066">
        <v>664296</v>
      </c>
      <c r="D5066" t="s">
        <v>383</v>
      </c>
      <c r="E5066">
        <v>17.186</v>
      </c>
      <c r="F5066" t="s">
        <v>21</v>
      </c>
      <c r="G5066" t="s">
        <v>26</v>
      </c>
      <c r="H5066" t="s">
        <v>21</v>
      </c>
      <c r="I5066" t="s">
        <v>20</v>
      </c>
      <c r="J5066" t="s">
        <v>20</v>
      </c>
      <c r="K5066" t="s">
        <v>31</v>
      </c>
      <c r="L5066" t="s">
        <v>32</v>
      </c>
      <c r="M5066" t="s">
        <v>384</v>
      </c>
      <c r="N5066">
        <v>40.578018999999998</v>
      </c>
      <c r="O5066">
        <v>-111.803293</v>
      </c>
      <c r="P5066">
        <v>5095.33</v>
      </c>
      <c r="Q5066">
        <v>414</v>
      </c>
      <c r="R5066">
        <v>0</v>
      </c>
    </row>
    <row r="5067" spans="1:18" x14ac:dyDescent="0.25">
      <c r="A5067">
        <v>5066</v>
      </c>
      <c r="B5067">
        <v>94</v>
      </c>
      <c r="C5067">
        <v>665253</v>
      </c>
      <c r="D5067" t="s">
        <v>383</v>
      </c>
      <c r="E5067">
        <v>17.065000000000001</v>
      </c>
      <c r="F5067" t="s">
        <v>21</v>
      </c>
      <c r="G5067" t="s">
        <v>26</v>
      </c>
      <c r="H5067" t="s">
        <v>21</v>
      </c>
      <c r="I5067" t="s">
        <v>20</v>
      </c>
      <c r="J5067" t="s">
        <v>20</v>
      </c>
      <c r="K5067" t="s">
        <v>31</v>
      </c>
      <c r="L5067" t="s">
        <v>32</v>
      </c>
      <c r="M5067" t="s">
        <v>384</v>
      </c>
      <c r="N5067">
        <v>40.577876000000003</v>
      </c>
      <c r="O5067">
        <v>-111.805582</v>
      </c>
      <c r="P5067">
        <v>5085.3130000000001</v>
      </c>
      <c r="Q5067">
        <v>414</v>
      </c>
      <c r="R5067">
        <v>0</v>
      </c>
    </row>
    <row r="5068" spans="1:18" x14ac:dyDescent="0.25">
      <c r="A5068">
        <v>5067</v>
      </c>
      <c r="B5068">
        <v>94</v>
      </c>
      <c r="C5068">
        <v>665260</v>
      </c>
      <c r="D5068" t="s">
        <v>383</v>
      </c>
      <c r="E5068">
        <v>17.399999999999999</v>
      </c>
      <c r="F5068" t="s">
        <v>21</v>
      </c>
      <c r="G5068" t="s">
        <v>26</v>
      </c>
      <c r="H5068" t="s">
        <v>21</v>
      </c>
      <c r="I5068" t="s">
        <v>20</v>
      </c>
      <c r="J5068" t="s">
        <v>20</v>
      </c>
      <c r="K5068" t="s">
        <v>31</v>
      </c>
      <c r="L5068" t="s">
        <v>32</v>
      </c>
      <c r="M5068" t="s">
        <v>384</v>
      </c>
      <c r="N5068">
        <v>40.575704999999999</v>
      </c>
      <c r="O5068">
        <v>-111.800742</v>
      </c>
      <c r="P5068">
        <v>5122.1509999999998</v>
      </c>
      <c r="Q5068">
        <v>414</v>
      </c>
      <c r="R5068">
        <v>0</v>
      </c>
    </row>
    <row r="5069" spans="1:18" x14ac:dyDescent="0.25">
      <c r="A5069">
        <v>5068</v>
      </c>
      <c r="B5069">
        <v>94</v>
      </c>
      <c r="C5069">
        <v>665267</v>
      </c>
      <c r="D5069" t="s">
        <v>383</v>
      </c>
      <c r="E5069">
        <v>17.471</v>
      </c>
      <c r="F5069" t="s">
        <v>21</v>
      </c>
      <c r="G5069" t="s">
        <v>26</v>
      </c>
      <c r="H5069" t="s">
        <v>21</v>
      </c>
      <c r="I5069" t="s">
        <v>20</v>
      </c>
      <c r="J5069" t="s">
        <v>20</v>
      </c>
      <c r="K5069" t="s">
        <v>31</v>
      </c>
      <c r="L5069" t="s">
        <v>32</v>
      </c>
      <c r="M5069" t="s">
        <v>384</v>
      </c>
      <c r="N5069">
        <v>40.574807</v>
      </c>
      <c r="O5069">
        <v>-111.800054</v>
      </c>
      <c r="P5069">
        <v>5133.7889999999998</v>
      </c>
      <c r="Q5069">
        <v>414</v>
      </c>
      <c r="R5069">
        <v>0</v>
      </c>
    </row>
    <row r="5070" spans="1:18" x14ac:dyDescent="0.25">
      <c r="A5070">
        <v>5069</v>
      </c>
      <c r="B5070">
        <v>94</v>
      </c>
      <c r="C5070">
        <v>667148</v>
      </c>
      <c r="D5070" t="s">
        <v>383</v>
      </c>
      <c r="E5070">
        <v>17.61</v>
      </c>
      <c r="F5070" t="s">
        <v>19</v>
      </c>
      <c r="G5070" t="s">
        <v>20</v>
      </c>
      <c r="H5070" t="s">
        <v>21</v>
      </c>
      <c r="I5070" t="s">
        <v>20</v>
      </c>
      <c r="J5070" t="s">
        <v>20</v>
      </c>
      <c r="K5070" t="s">
        <v>31</v>
      </c>
      <c r="L5070" t="s">
        <v>32</v>
      </c>
      <c r="M5070" t="s">
        <v>384</v>
      </c>
      <c r="N5070">
        <v>40.573172</v>
      </c>
      <c r="O5070">
        <v>-111.798503</v>
      </c>
      <c r="P5070">
        <v>5160.1379999999999</v>
      </c>
      <c r="Q5070">
        <v>414</v>
      </c>
      <c r="R5070">
        <v>0</v>
      </c>
    </row>
    <row r="5071" spans="1:18" x14ac:dyDescent="0.25">
      <c r="A5071">
        <v>5070</v>
      </c>
      <c r="B5071">
        <v>94</v>
      </c>
      <c r="C5071">
        <v>31501160</v>
      </c>
      <c r="D5071" t="s">
        <v>129</v>
      </c>
      <c r="E5071">
        <v>30.603999999999999</v>
      </c>
      <c r="F5071" t="s">
        <v>21</v>
      </c>
      <c r="G5071" t="s">
        <v>26</v>
      </c>
      <c r="H5071" t="s">
        <v>21</v>
      </c>
      <c r="I5071" t="s">
        <v>20</v>
      </c>
      <c r="J5071" t="s">
        <v>20</v>
      </c>
      <c r="K5071" t="s">
        <v>31</v>
      </c>
      <c r="L5071" t="s">
        <v>130</v>
      </c>
      <c r="M5071" t="s">
        <v>302</v>
      </c>
      <c r="N5071">
        <v>40.693725999999998</v>
      </c>
      <c r="O5071">
        <v>-110.891863</v>
      </c>
      <c r="P5071">
        <v>10334.15388</v>
      </c>
      <c r="Q5071">
        <v>340</v>
      </c>
      <c r="R5071">
        <v>0</v>
      </c>
    </row>
    <row r="5072" spans="1:18" x14ac:dyDescent="0.25">
      <c r="A5072">
        <v>5071</v>
      </c>
      <c r="B5072">
        <v>94</v>
      </c>
      <c r="C5072">
        <v>31283147</v>
      </c>
      <c r="D5072" t="s">
        <v>241</v>
      </c>
      <c r="E5072">
        <v>30.617000000000001</v>
      </c>
      <c r="F5072" t="s">
        <v>21</v>
      </c>
      <c r="G5072" t="s">
        <v>26</v>
      </c>
      <c r="H5072" t="s">
        <v>21</v>
      </c>
      <c r="I5072" t="s">
        <v>20</v>
      </c>
      <c r="J5072" t="s">
        <v>20</v>
      </c>
      <c r="K5072" t="s">
        <v>27</v>
      </c>
      <c r="L5072" t="s">
        <v>111</v>
      </c>
      <c r="M5072" t="s">
        <v>243</v>
      </c>
      <c r="N5072">
        <v>39.135103999999998</v>
      </c>
      <c r="O5072">
        <v>-111.098822</v>
      </c>
      <c r="P5072">
        <v>5877.5091700000003</v>
      </c>
      <c r="Q5072">
        <v>1327</v>
      </c>
      <c r="R5072">
        <v>0</v>
      </c>
    </row>
    <row r="5073" spans="1:18" x14ac:dyDescent="0.25">
      <c r="A5073">
        <v>5072</v>
      </c>
      <c r="B5073">
        <v>94</v>
      </c>
      <c r="C5073">
        <v>31303605</v>
      </c>
      <c r="D5073" t="s">
        <v>316</v>
      </c>
      <c r="E5073">
        <v>42.600999999999999</v>
      </c>
      <c r="F5073" t="s">
        <v>21</v>
      </c>
      <c r="G5073" t="s">
        <v>26</v>
      </c>
      <c r="H5073" t="s">
        <v>21</v>
      </c>
      <c r="I5073" t="s">
        <v>20</v>
      </c>
      <c r="J5073" t="s">
        <v>20</v>
      </c>
      <c r="K5073" t="s">
        <v>22</v>
      </c>
      <c r="L5073" t="s">
        <v>168</v>
      </c>
      <c r="M5073" t="s">
        <v>302</v>
      </c>
      <c r="N5073">
        <v>40.350544999999997</v>
      </c>
      <c r="O5073">
        <v>-110.707302</v>
      </c>
      <c r="P5073">
        <v>6456.1071519999996</v>
      </c>
      <c r="Q5073">
        <v>1346</v>
      </c>
      <c r="R5073">
        <v>0</v>
      </c>
    </row>
    <row r="5074" spans="1:18" x14ac:dyDescent="0.25">
      <c r="A5074">
        <v>5073</v>
      </c>
      <c r="B5074">
        <v>94</v>
      </c>
      <c r="C5074">
        <v>31397044</v>
      </c>
      <c r="D5074" t="s">
        <v>184</v>
      </c>
      <c r="E5074">
        <v>42.654000000000003</v>
      </c>
      <c r="F5074" t="s">
        <v>21</v>
      </c>
      <c r="G5074" t="s">
        <v>26</v>
      </c>
      <c r="H5074" t="s">
        <v>21</v>
      </c>
      <c r="I5074" t="s">
        <v>20</v>
      </c>
      <c r="J5074" t="s">
        <v>20</v>
      </c>
      <c r="K5074" t="s">
        <v>27</v>
      </c>
      <c r="L5074" t="s">
        <v>143</v>
      </c>
      <c r="M5074" t="s">
        <v>55</v>
      </c>
      <c r="N5074">
        <v>38.214046000000003</v>
      </c>
      <c r="O5074">
        <v>-112.92392</v>
      </c>
      <c r="P5074">
        <v>5213.6446910000004</v>
      </c>
      <c r="Q5074">
        <v>1410</v>
      </c>
      <c r="R5074">
        <v>0</v>
      </c>
    </row>
    <row r="5075" spans="1:18" x14ac:dyDescent="0.25">
      <c r="A5075">
        <v>5074</v>
      </c>
      <c r="B5075">
        <v>94</v>
      </c>
      <c r="C5075">
        <v>31385163</v>
      </c>
      <c r="D5075" t="s">
        <v>116</v>
      </c>
      <c r="E5075">
        <v>42.692999999999998</v>
      </c>
      <c r="F5075" t="s">
        <v>21</v>
      </c>
      <c r="G5075" t="s">
        <v>26</v>
      </c>
      <c r="H5075" t="s">
        <v>21</v>
      </c>
      <c r="I5075" t="s">
        <v>20</v>
      </c>
      <c r="J5075" t="s">
        <v>20</v>
      </c>
      <c r="K5075" t="s">
        <v>41</v>
      </c>
      <c r="L5075" t="s">
        <v>95</v>
      </c>
      <c r="M5075" t="s">
        <v>117</v>
      </c>
      <c r="N5075">
        <v>41.961570999999999</v>
      </c>
      <c r="O5075">
        <v>-111.812887</v>
      </c>
      <c r="P5075">
        <v>4490.605665</v>
      </c>
      <c r="Q5075">
        <v>324</v>
      </c>
      <c r="R5075">
        <v>0</v>
      </c>
    </row>
    <row r="5076" spans="1:18" x14ac:dyDescent="0.25">
      <c r="A5076">
        <v>5075</v>
      </c>
      <c r="B5076">
        <v>94</v>
      </c>
      <c r="C5076">
        <v>31400604</v>
      </c>
      <c r="D5076" t="s">
        <v>124</v>
      </c>
      <c r="E5076">
        <v>42.697000000000003</v>
      </c>
      <c r="F5076" t="s">
        <v>19</v>
      </c>
      <c r="G5076" t="s">
        <v>20</v>
      </c>
      <c r="H5076" t="s">
        <v>21</v>
      </c>
      <c r="I5076" t="s">
        <v>20</v>
      </c>
      <c r="J5076" t="s">
        <v>20</v>
      </c>
      <c r="K5076" t="s">
        <v>31</v>
      </c>
      <c r="L5076" t="s">
        <v>48</v>
      </c>
      <c r="M5076" t="s">
        <v>125</v>
      </c>
      <c r="N5076">
        <v>40.527912000000001</v>
      </c>
      <c r="O5076">
        <v>-111.938715</v>
      </c>
      <c r="P5076">
        <v>4382.4074790000004</v>
      </c>
      <c r="Q5076">
        <v>1368</v>
      </c>
      <c r="R5076">
        <v>0</v>
      </c>
    </row>
    <row r="5077" spans="1:18" x14ac:dyDescent="0.25">
      <c r="A5077">
        <v>5076</v>
      </c>
      <c r="B5077">
        <v>94</v>
      </c>
      <c r="C5077">
        <v>31397255</v>
      </c>
      <c r="D5077" t="s">
        <v>184</v>
      </c>
      <c r="E5077">
        <v>42.756999999999998</v>
      </c>
      <c r="F5077" t="s">
        <v>21</v>
      </c>
      <c r="G5077" t="s">
        <v>26</v>
      </c>
      <c r="H5077" t="s">
        <v>21</v>
      </c>
      <c r="I5077" t="s">
        <v>20</v>
      </c>
      <c r="J5077" t="s">
        <v>20</v>
      </c>
      <c r="K5077" t="s">
        <v>27</v>
      </c>
      <c r="L5077" t="s">
        <v>143</v>
      </c>
      <c r="M5077" t="s">
        <v>55</v>
      </c>
      <c r="N5077">
        <v>38.215533000000001</v>
      </c>
      <c r="O5077">
        <v>-112.923967</v>
      </c>
      <c r="P5077">
        <v>5209.9923440000002</v>
      </c>
      <c r="Q5077">
        <v>1410</v>
      </c>
      <c r="R5077">
        <v>0</v>
      </c>
    </row>
    <row r="5078" spans="1:18" x14ac:dyDescent="0.25">
      <c r="A5078">
        <v>5077</v>
      </c>
      <c r="B5078">
        <v>94</v>
      </c>
      <c r="C5078">
        <v>31400919</v>
      </c>
      <c r="D5078" t="s">
        <v>124</v>
      </c>
      <c r="E5078">
        <v>42.756999999999998</v>
      </c>
      <c r="F5078" t="s">
        <v>21</v>
      </c>
      <c r="G5078" t="s">
        <v>26</v>
      </c>
      <c r="H5078" t="s">
        <v>21</v>
      </c>
      <c r="I5078" t="s">
        <v>20</v>
      </c>
      <c r="J5078" t="s">
        <v>20</v>
      </c>
      <c r="K5078" t="s">
        <v>31</v>
      </c>
      <c r="L5078" t="s">
        <v>48</v>
      </c>
      <c r="M5078" t="s">
        <v>125</v>
      </c>
      <c r="N5078">
        <v>40.528775000000003</v>
      </c>
      <c r="O5078">
        <v>-111.938653</v>
      </c>
      <c r="P5078">
        <v>4383.0254919999998</v>
      </c>
      <c r="Q5078">
        <v>1368</v>
      </c>
      <c r="R5078">
        <v>0</v>
      </c>
    </row>
    <row r="5079" spans="1:18" x14ac:dyDescent="0.25">
      <c r="A5079">
        <v>5078</v>
      </c>
      <c r="B5079">
        <v>94</v>
      </c>
      <c r="C5079">
        <v>31508089</v>
      </c>
      <c r="D5079" t="s">
        <v>37</v>
      </c>
      <c r="E5079">
        <v>42.792000000000002</v>
      </c>
      <c r="F5079" t="s">
        <v>21</v>
      </c>
      <c r="G5079" t="s">
        <v>26</v>
      </c>
      <c r="H5079" t="s">
        <v>21</v>
      </c>
      <c r="I5079" t="s">
        <v>20</v>
      </c>
      <c r="J5079" t="s">
        <v>20</v>
      </c>
      <c r="K5079" t="s">
        <v>27</v>
      </c>
      <c r="L5079" t="s">
        <v>405</v>
      </c>
      <c r="M5079" t="s">
        <v>39</v>
      </c>
      <c r="N5079">
        <v>38.941431000000001</v>
      </c>
      <c r="O5079">
        <v>-109.37801899999999</v>
      </c>
      <c r="P5079">
        <v>4395.236073</v>
      </c>
      <c r="Q5079">
        <v>1319</v>
      </c>
      <c r="R5079">
        <v>0</v>
      </c>
    </row>
    <row r="5080" spans="1:18" x14ac:dyDescent="0.25">
      <c r="A5080">
        <v>5079</v>
      </c>
      <c r="B5080">
        <v>94</v>
      </c>
      <c r="C5080">
        <v>31395728</v>
      </c>
      <c r="D5080" t="s">
        <v>114</v>
      </c>
      <c r="E5080">
        <v>6.96</v>
      </c>
      <c r="F5080" t="s">
        <v>21</v>
      </c>
      <c r="G5080" t="s">
        <v>26</v>
      </c>
      <c r="H5080" t="s">
        <v>21</v>
      </c>
      <c r="I5080" t="s">
        <v>20</v>
      </c>
      <c r="J5080" t="s">
        <v>20</v>
      </c>
      <c r="K5080" t="s">
        <v>41</v>
      </c>
      <c r="L5080" t="s">
        <v>87</v>
      </c>
      <c r="M5080" t="s">
        <v>82</v>
      </c>
      <c r="N5080">
        <v>41.101421999999999</v>
      </c>
      <c r="O5080">
        <v>-111.935429</v>
      </c>
      <c r="P5080">
        <v>4759.1172450000004</v>
      </c>
      <c r="Q5080">
        <v>405</v>
      </c>
      <c r="R5080">
        <v>0</v>
      </c>
    </row>
    <row r="5081" spans="1:18" x14ac:dyDescent="0.25">
      <c r="A5081">
        <v>5080</v>
      </c>
      <c r="B5081">
        <v>94</v>
      </c>
      <c r="C5081">
        <v>1491369</v>
      </c>
      <c r="D5081" t="s">
        <v>88</v>
      </c>
      <c r="E5081">
        <v>6.9640000000000004</v>
      </c>
      <c r="F5081" t="s">
        <v>21</v>
      </c>
      <c r="G5081" t="s">
        <v>26</v>
      </c>
      <c r="H5081" t="s">
        <v>21</v>
      </c>
      <c r="I5081" t="s">
        <v>20</v>
      </c>
      <c r="J5081" t="s">
        <v>20</v>
      </c>
      <c r="K5081" t="s">
        <v>31</v>
      </c>
      <c r="L5081" t="s">
        <v>89</v>
      </c>
      <c r="M5081" t="s">
        <v>90</v>
      </c>
      <c r="N5081">
        <v>40.540742000000002</v>
      </c>
      <c r="O5081">
        <v>-111.871484</v>
      </c>
      <c r="P5081">
        <v>4447.4679059999999</v>
      </c>
      <c r="Q5081">
        <v>318</v>
      </c>
      <c r="R5081">
        <v>0</v>
      </c>
    </row>
    <row r="5082" spans="1:18" x14ac:dyDescent="0.25">
      <c r="A5082">
        <v>5081</v>
      </c>
      <c r="B5082">
        <v>94</v>
      </c>
      <c r="C5082">
        <v>569281</v>
      </c>
      <c r="D5082" t="s">
        <v>115</v>
      </c>
      <c r="E5082">
        <v>6.976</v>
      </c>
      <c r="F5082" t="s">
        <v>21</v>
      </c>
      <c r="G5082" t="s">
        <v>26</v>
      </c>
      <c r="H5082" t="s">
        <v>21</v>
      </c>
      <c r="I5082" t="s">
        <v>20</v>
      </c>
      <c r="J5082" t="s">
        <v>20</v>
      </c>
      <c r="K5082" t="s">
        <v>31</v>
      </c>
      <c r="L5082" t="s">
        <v>48</v>
      </c>
      <c r="M5082" t="s">
        <v>70</v>
      </c>
      <c r="N5082">
        <v>40.653098</v>
      </c>
      <c r="O5082">
        <v>-111.944373</v>
      </c>
      <c r="P5082">
        <v>4286.5892430000004</v>
      </c>
      <c r="Q5082">
        <v>1437</v>
      </c>
      <c r="R5082">
        <v>0</v>
      </c>
    </row>
    <row r="5083" spans="1:18" x14ac:dyDescent="0.25">
      <c r="A5083">
        <v>5082</v>
      </c>
      <c r="B5083">
        <v>94</v>
      </c>
      <c r="C5083">
        <v>837421</v>
      </c>
      <c r="D5083" t="s">
        <v>68</v>
      </c>
      <c r="E5083">
        <v>6.976</v>
      </c>
      <c r="F5083" t="s">
        <v>21</v>
      </c>
      <c r="G5083" t="s">
        <v>26</v>
      </c>
      <c r="H5083" t="s">
        <v>21</v>
      </c>
      <c r="I5083" t="s">
        <v>20</v>
      </c>
      <c r="J5083" t="s">
        <v>20</v>
      </c>
      <c r="K5083" t="s">
        <v>31</v>
      </c>
      <c r="L5083" t="s">
        <v>32</v>
      </c>
      <c r="M5083" t="s">
        <v>70</v>
      </c>
      <c r="N5083">
        <v>40.674405</v>
      </c>
      <c r="O5083">
        <v>-111.822979</v>
      </c>
      <c r="P5083">
        <v>4473.8770919999997</v>
      </c>
      <c r="Q5083">
        <v>431</v>
      </c>
      <c r="R5083">
        <v>0</v>
      </c>
    </row>
    <row r="5084" spans="1:18" x14ac:dyDescent="0.25">
      <c r="A5084">
        <v>5083</v>
      </c>
      <c r="B5084">
        <v>94</v>
      </c>
      <c r="C5084">
        <v>31530697</v>
      </c>
      <c r="D5084" t="s">
        <v>121</v>
      </c>
      <c r="E5084">
        <v>6.9809999999999999</v>
      </c>
      <c r="F5084" t="s">
        <v>21</v>
      </c>
      <c r="G5084" t="s">
        <v>26</v>
      </c>
      <c r="H5084" t="s">
        <v>21</v>
      </c>
      <c r="I5084" t="s">
        <v>20</v>
      </c>
      <c r="J5084" t="s">
        <v>20</v>
      </c>
      <c r="K5084" t="s">
        <v>27</v>
      </c>
      <c r="L5084" t="s">
        <v>122</v>
      </c>
      <c r="M5084" t="s">
        <v>123</v>
      </c>
      <c r="N5084">
        <v>37.928181000000002</v>
      </c>
      <c r="O5084">
        <v>-110.583279</v>
      </c>
      <c r="P5084">
        <v>4888.6652459999996</v>
      </c>
      <c r="Q5084">
        <v>1283</v>
      </c>
      <c r="R5084">
        <v>0</v>
      </c>
    </row>
    <row r="5085" spans="1:18" x14ac:dyDescent="0.25">
      <c r="A5085">
        <v>5084</v>
      </c>
      <c r="B5085">
        <v>94</v>
      </c>
      <c r="C5085">
        <v>31460443</v>
      </c>
      <c r="D5085" t="s">
        <v>331</v>
      </c>
      <c r="E5085">
        <v>6.984</v>
      </c>
      <c r="F5085" t="s">
        <v>21</v>
      </c>
      <c r="G5085" t="s">
        <v>26</v>
      </c>
      <c r="H5085" t="s">
        <v>21</v>
      </c>
      <c r="I5085" t="s">
        <v>20</v>
      </c>
      <c r="J5085" t="s">
        <v>20</v>
      </c>
      <c r="K5085" t="s">
        <v>27</v>
      </c>
      <c r="L5085" t="s">
        <v>111</v>
      </c>
      <c r="M5085" t="s">
        <v>112</v>
      </c>
      <c r="N5085">
        <v>39.382117000000001</v>
      </c>
      <c r="O5085">
        <v>-110.85239</v>
      </c>
      <c r="P5085">
        <v>5693.8267560000004</v>
      </c>
      <c r="Q5085">
        <v>1427</v>
      </c>
      <c r="R5085">
        <v>0</v>
      </c>
    </row>
    <row r="5086" spans="1:18" x14ac:dyDescent="0.25">
      <c r="A5086">
        <v>5085</v>
      </c>
      <c r="B5086">
        <v>94</v>
      </c>
      <c r="C5086" t="e">
        <f>-JMJ3AEfHdyNlF0LQfjD7k</f>
        <v>#NAME?</v>
      </c>
      <c r="D5086" t="s">
        <v>417</v>
      </c>
      <c r="E5086">
        <v>6.9870000000000001</v>
      </c>
      <c r="F5086" t="s">
        <v>21</v>
      </c>
      <c r="G5086" t="s">
        <v>20</v>
      </c>
      <c r="H5086" t="s">
        <v>21</v>
      </c>
      <c r="I5086" t="s">
        <v>20</v>
      </c>
      <c r="J5086" t="s">
        <v>20</v>
      </c>
      <c r="K5086" t="s">
        <v>31</v>
      </c>
      <c r="L5086" t="s">
        <v>84</v>
      </c>
      <c r="M5086" t="s">
        <v>24</v>
      </c>
      <c r="N5086">
        <v>40.493105999999997</v>
      </c>
      <c r="O5086">
        <v>-112.003996</v>
      </c>
      <c r="P5086">
        <v>4809.0802729999996</v>
      </c>
      <c r="Q5086">
        <v>6765</v>
      </c>
      <c r="R5086">
        <v>0</v>
      </c>
    </row>
    <row r="5087" spans="1:18" x14ac:dyDescent="0.25">
      <c r="A5087">
        <v>5086</v>
      </c>
      <c r="B5087">
        <v>94</v>
      </c>
      <c r="C5087">
        <v>31665712</v>
      </c>
      <c r="D5087" t="s">
        <v>217</v>
      </c>
      <c r="E5087">
        <v>6.9889999999999999</v>
      </c>
      <c r="F5087" t="s">
        <v>21</v>
      </c>
      <c r="G5087" t="s">
        <v>20</v>
      </c>
      <c r="H5087" t="s">
        <v>21</v>
      </c>
      <c r="I5087" t="s">
        <v>20</v>
      </c>
      <c r="J5087" t="s">
        <v>20</v>
      </c>
      <c r="K5087" t="s">
        <v>27</v>
      </c>
      <c r="L5087" t="s">
        <v>72</v>
      </c>
      <c r="M5087" t="s">
        <v>163</v>
      </c>
      <c r="N5087">
        <v>37.172075999999997</v>
      </c>
      <c r="O5087">
        <v>-113.618703</v>
      </c>
      <c r="P5087">
        <v>3547.207285</v>
      </c>
      <c r="Q5087">
        <v>304</v>
      </c>
      <c r="R5087">
        <v>0</v>
      </c>
    </row>
    <row r="5088" spans="1:18" x14ac:dyDescent="0.25">
      <c r="A5088">
        <v>5087</v>
      </c>
      <c r="B5088">
        <v>94</v>
      </c>
      <c r="C5088">
        <v>31195457</v>
      </c>
      <c r="D5088" t="s">
        <v>395</v>
      </c>
      <c r="E5088">
        <v>6.99</v>
      </c>
      <c r="F5088" t="s">
        <v>21</v>
      </c>
      <c r="G5088" t="s">
        <v>26</v>
      </c>
      <c r="H5088" t="s">
        <v>21</v>
      </c>
      <c r="I5088" t="s">
        <v>20</v>
      </c>
      <c r="J5088" t="s">
        <v>20</v>
      </c>
      <c r="K5088" t="s">
        <v>27</v>
      </c>
      <c r="L5088" t="s">
        <v>165</v>
      </c>
      <c r="M5088" t="s">
        <v>166</v>
      </c>
      <c r="N5088">
        <v>38.892060999999998</v>
      </c>
      <c r="O5088">
        <v>-112.411057</v>
      </c>
      <c r="P5088">
        <v>4766.0188349999999</v>
      </c>
      <c r="Q5088">
        <v>335</v>
      </c>
      <c r="R5088">
        <v>0</v>
      </c>
    </row>
    <row r="5089" spans="1:18" x14ac:dyDescent="0.25">
      <c r="A5089">
        <v>5088</v>
      </c>
      <c r="B5089">
        <v>94</v>
      </c>
      <c r="C5089">
        <v>31302426</v>
      </c>
      <c r="D5089" t="s">
        <v>268</v>
      </c>
      <c r="E5089">
        <v>6.99</v>
      </c>
      <c r="F5089" t="s">
        <v>21</v>
      </c>
      <c r="G5089" t="s">
        <v>26</v>
      </c>
      <c r="H5089" t="s">
        <v>21</v>
      </c>
      <c r="I5089" t="s">
        <v>20</v>
      </c>
      <c r="J5089" t="s">
        <v>20</v>
      </c>
      <c r="K5089" t="s">
        <v>41</v>
      </c>
      <c r="L5089" t="s">
        <v>177</v>
      </c>
      <c r="M5089" t="s">
        <v>43</v>
      </c>
      <c r="N5089">
        <v>41.582785000000001</v>
      </c>
      <c r="O5089">
        <v>-112.258807</v>
      </c>
      <c r="P5089">
        <v>4189.7297099999996</v>
      </c>
      <c r="Q5089">
        <v>1380</v>
      </c>
      <c r="R5089">
        <v>0</v>
      </c>
    </row>
    <row r="5090" spans="1:18" x14ac:dyDescent="0.25">
      <c r="A5090">
        <v>5089</v>
      </c>
      <c r="B5090">
        <v>94</v>
      </c>
      <c r="C5090">
        <v>31664905</v>
      </c>
      <c r="D5090" t="s">
        <v>244</v>
      </c>
      <c r="E5090">
        <v>60.008000000000003</v>
      </c>
      <c r="F5090" t="s">
        <v>21</v>
      </c>
      <c r="G5090" t="s">
        <v>26</v>
      </c>
      <c r="H5090" t="s">
        <v>21</v>
      </c>
      <c r="I5090" t="s">
        <v>20</v>
      </c>
      <c r="J5090" t="s">
        <v>20</v>
      </c>
      <c r="K5090" t="s">
        <v>27</v>
      </c>
      <c r="L5090" t="s">
        <v>266</v>
      </c>
      <c r="M5090" t="s">
        <v>386</v>
      </c>
      <c r="N5090">
        <v>38.342066000000003</v>
      </c>
      <c r="O5090">
        <v>-111.55231000000001</v>
      </c>
      <c r="P5090">
        <v>7006.7148729999999</v>
      </c>
      <c r="Q5090">
        <v>1340</v>
      </c>
      <c r="R5090">
        <v>0</v>
      </c>
    </row>
    <row r="5091" spans="1:18" x14ac:dyDescent="0.25">
      <c r="A5091">
        <v>5090</v>
      </c>
      <c r="B5091">
        <v>94</v>
      </c>
      <c r="C5091" t="s">
        <v>706</v>
      </c>
      <c r="D5091" t="s">
        <v>203</v>
      </c>
      <c r="E5091">
        <v>60.045999999999999</v>
      </c>
      <c r="F5091" t="s">
        <v>21</v>
      </c>
      <c r="G5091" t="s">
        <v>20</v>
      </c>
      <c r="H5091" t="s">
        <v>21</v>
      </c>
      <c r="I5091" t="s">
        <v>20</v>
      </c>
      <c r="J5091" t="s">
        <v>20</v>
      </c>
      <c r="K5091" t="s">
        <v>41</v>
      </c>
      <c r="L5091" t="s">
        <v>325</v>
      </c>
      <c r="M5091" t="s">
        <v>204</v>
      </c>
      <c r="N5091">
        <v>41.503996999999998</v>
      </c>
      <c r="O5091">
        <v>-111.298377</v>
      </c>
      <c r="P5091">
        <v>6693.1118130000004</v>
      </c>
      <c r="Q5091">
        <v>1349</v>
      </c>
      <c r="R5091">
        <v>0</v>
      </c>
    </row>
    <row r="5092" spans="1:18" x14ac:dyDescent="0.25">
      <c r="A5092">
        <v>5091</v>
      </c>
      <c r="B5092">
        <v>94</v>
      </c>
      <c r="C5092">
        <v>31307365</v>
      </c>
      <c r="D5092" t="s">
        <v>316</v>
      </c>
      <c r="E5092">
        <v>62.005000000000003</v>
      </c>
      <c r="F5092" t="s">
        <v>21</v>
      </c>
      <c r="G5092" t="s">
        <v>26</v>
      </c>
      <c r="H5092" t="s">
        <v>21</v>
      </c>
      <c r="I5092" t="s">
        <v>20</v>
      </c>
      <c r="J5092" t="s">
        <v>20</v>
      </c>
      <c r="K5092" t="s">
        <v>22</v>
      </c>
      <c r="L5092" t="s">
        <v>168</v>
      </c>
      <c r="M5092" t="s">
        <v>302</v>
      </c>
      <c r="N5092">
        <v>40.247832000000002</v>
      </c>
      <c r="O5092">
        <v>-110.38695800000001</v>
      </c>
      <c r="P5092">
        <v>5943.8057650000001</v>
      </c>
      <c r="Q5092">
        <v>1346</v>
      </c>
      <c r="R5092">
        <v>0</v>
      </c>
    </row>
    <row r="5093" spans="1:18" x14ac:dyDescent="0.25">
      <c r="A5093">
        <v>5092</v>
      </c>
      <c r="B5093">
        <v>94</v>
      </c>
      <c r="C5093">
        <v>31735592</v>
      </c>
      <c r="D5093" t="s">
        <v>118</v>
      </c>
      <c r="E5093">
        <v>62.008000000000003</v>
      </c>
      <c r="F5093" t="s">
        <v>21</v>
      </c>
      <c r="G5093" t="s">
        <v>26</v>
      </c>
      <c r="H5093" t="s">
        <v>21</v>
      </c>
      <c r="I5093" t="s">
        <v>20</v>
      </c>
      <c r="J5093" t="s">
        <v>20</v>
      </c>
      <c r="K5093" t="s">
        <v>22</v>
      </c>
      <c r="L5093" t="s">
        <v>168</v>
      </c>
      <c r="M5093" t="s">
        <v>120</v>
      </c>
      <c r="N5093">
        <v>40.212406999999999</v>
      </c>
      <c r="O5093">
        <v>-110.839776</v>
      </c>
      <c r="P5093">
        <v>6561.5010149999998</v>
      </c>
      <c r="Q5093">
        <v>310</v>
      </c>
      <c r="R5093">
        <v>0</v>
      </c>
    </row>
    <row r="5094" spans="1:18" x14ac:dyDescent="0.25">
      <c r="A5094">
        <v>5093</v>
      </c>
      <c r="B5094">
        <v>94</v>
      </c>
      <c r="C5094">
        <v>31511881</v>
      </c>
      <c r="D5094" t="s">
        <v>124</v>
      </c>
      <c r="E5094">
        <v>62.082999999999998</v>
      </c>
      <c r="F5094" t="s">
        <v>21</v>
      </c>
      <c r="G5094" t="s">
        <v>26</v>
      </c>
      <c r="H5094" t="s">
        <v>21</v>
      </c>
      <c r="I5094" t="s">
        <v>20</v>
      </c>
      <c r="J5094" t="s">
        <v>20</v>
      </c>
      <c r="K5094" t="s">
        <v>31</v>
      </c>
      <c r="L5094" t="s">
        <v>362</v>
      </c>
      <c r="M5094" t="s">
        <v>365</v>
      </c>
      <c r="N5094">
        <v>40.809587999999998</v>
      </c>
      <c r="O5094">
        <v>-111.938889</v>
      </c>
      <c r="P5094">
        <v>4162.2382239999997</v>
      </c>
      <c r="Q5094">
        <v>1368</v>
      </c>
      <c r="R5094">
        <v>0</v>
      </c>
    </row>
    <row r="5095" spans="1:18" x14ac:dyDescent="0.25">
      <c r="A5095">
        <v>5094</v>
      </c>
      <c r="B5095">
        <v>94</v>
      </c>
      <c r="C5095" t="s">
        <v>707</v>
      </c>
      <c r="D5095" t="s">
        <v>184</v>
      </c>
      <c r="E5095">
        <v>7.7670000000000003</v>
      </c>
      <c r="F5095" t="s">
        <v>21</v>
      </c>
      <c r="G5095" t="s">
        <v>20</v>
      </c>
      <c r="H5095" t="s">
        <v>21</v>
      </c>
      <c r="I5095" t="s">
        <v>20</v>
      </c>
      <c r="J5095" t="s">
        <v>20</v>
      </c>
      <c r="K5095" t="s">
        <v>27</v>
      </c>
      <c r="L5095" t="s">
        <v>54</v>
      </c>
      <c r="M5095" t="s">
        <v>55</v>
      </c>
      <c r="N5095">
        <v>37.750503999999999</v>
      </c>
      <c r="O5095">
        <v>-113.055268</v>
      </c>
      <c r="P5095">
        <v>5455.3944160000001</v>
      </c>
      <c r="Q5095">
        <v>1410</v>
      </c>
      <c r="R5095">
        <v>0</v>
      </c>
    </row>
    <row r="5096" spans="1:18" x14ac:dyDescent="0.25">
      <c r="A5096">
        <v>5095</v>
      </c>
      <c r="B5096">
        <v>94</v>
      </c>
      <c r="C5096">
        <v>853264</v>
      </c>
      <c r="D5096" t="s">
        <v>68</v>
      </c>
      <c r="E5096">
        <v>7.7750000000000004</v>
      </c>
      <c r="F5096" t="s">
        <v>21</v>
      </c>
      <c r="G5096" t="s">
        <v>26</v>
      </c>
      <c r="H5096" t="s">
        <v>21</v>
      </c>
      <c r="I5096" t="s">
        <v>20</v>
      </c>
      <c r="J5096" t="s">
        <v>20</v>
      </c>
      <c r="K5096" t="s">
        <v>31</v>
      </c>
      <c r="L5096" t="s">
        <v>32</v>
      </c>
      <c r="M5096" t="s">
        <v>70</v>
      </c>
      <c r="N5096">
        <v>40.675004999999999</v>
      </c>
      <c r="O5096">
        <v>-111.80802799999999</v>
      </c>
      <c r="P5096">
        <v>4687.5199249999996</v>
      </c>
      <c r="Q5096">
        <v>431</v>
      </c>
      <c r="R5096">
        <v>0</v>
      </c>
    </row>
    <row r="5097" spans="1:18" x14ac:dyDescent="0.25">
      <c r="A5097">
        <v>5096</v>
      </c>
      <c r="B5097">
        <v>94</v>
      </c>
      <c r="C5097" t="e">
        <f>-Iora5iQGUit8MIhrDqdrF</f>
        <v>#NAME?</v>
      </c>
      <c r="D5097" t="s">
        <v>91</v>
      </c>
      <c r="E5097">
        <v>7.7779999999999996</v>
      </c>
      <c r="F5097" t="s">
        <v>21</v>
      </c>
      <c r="G5097" t="s">
        <v>20</v>
      </c>
      <c r="H5097" t="s">
        <v>21</v>
      </c>
      <c r="I5097" t="s">
        <v>20</v>
      </c>
      <c r="J5097" t="s">
        <v>20</v>
      </c>
      <c r="K5097" t="s">
        <v>41</v>
      </c>
      <c r="L5097" t="s">
        <v>42</v>
      </c>
      <c r="M5097" t="s">
        <v>73</v>
      </c>
      <c r="N5097">
        <v>41.717680000000001</v>
      </c>
      <c r="O5097">
        <v>-111.979015</v>
      </c>
      <c r="P5097">
        <v>4507.0343409999996</v>
      </c>
      <c r="Q5097">
        <v>1339</v>
      </c>
      <c r="R5097">
        <v>0</v>
      </c>
    </row>
    <row r="5098" spans="1:18" x14ac:dyDescent="0.25">
      <c r="A5098">
        <v>5097</v>
      </c>
      <c r="B5098">
        <v>94</v>
      </c>
      <c r="C5098">
        <v>31343657</v>
      </c>
      <c r="D5098" t="s">
        <v>288</v>
      </c>
      <c r="E5098">
        <v>51.378999999999998</v>
      </c>
      <c r="F5098" t="s">
        <v>21</v>
      </c>
      <c r="G5098" t="s">
        <v>26</v>
      </c>
      <c r="H5098" t="s">
        <v>21</v>
      </c>
      <c r="I5098" t="s">
        <v>20</v>
      </c>
      <c r="J5098" t="s">
        <v>20</v>
      </c>
      <c r="K5098" t="s">
        <v>27</v>
      </c>
      <c r="L5098" t="s">
        <v>327</v>
      </c>
      <c r="M5098" t="s">
        <v>147</v>
      </c>
      <c r="N5098">
        <v>37.625405000000001</v>
      </c>
      <c r="O5098">
        <v>-109.475252</v>
      </c>
      <c r="P5098">
        <v>6001.0973670000003</v>
      </c>
      <c r="Q5098">
        <v>350</v>
      </c>
      <c r="R5098">
        <v>0</v>
      </c>
    </row>
    <row r="5099" spans="1:18" x14ac:dyDescent="0.25">
      <c r="A5099">
        <v>5098</v>
      </c>
      <c r="B5099">
        <v>94</v>
      </c>
      <c r="C5099">
        <v>31343668</v>
      </c>
      <c r="D5099" t="s">
        <v>288</v>
      </c>
      <c r="E5099">
        <v>51.430999999999997</v>
      </c>
      <c r="F5099" t="s">
        <v>21</v>
      </c>
      <c r="G5099" t="s">
        <v>26</v>
      </c>
      <c r="H5099" t="s">
        <v>21</v>
      </c>
      <c r="I5099" t="s">
        <v>20</v>
      </c>
      <c r="J5099" t="s">
        <v>20</v>
      </c>
      <c r="K5099" t="s">
        <v>27</v>
      </c>
      <c r="L5099" t="s">
        <v>327</v>
      </c>
      <c r="M5099" t="s">
        <v>147</v>
      </c>
      <c r="N5099">
        <v>37.625732999999997</v>
      </c>
      <c r="O5099">
        <v>-109.47440400000001</v>
      </c>
      <c r="P5099">
        <v>6000.4781480000001</v>
      </c>
      <c r="Q5099">
        <v>350</v>
      </c>
      <c r="R5099">
        <v>0</v>
      </c>
    </row>
    <row r="5100" spans="1:18" x14ac:dyDescent="0.25">
      <c r="A5100">
        <v>5099</v>
      </c>
      <c r="B5100">
        <v>94</v>
      </c>
      <c r="C5100">
        <v>28006107</v>
      </c>
      <c r="D5100" t="s">
        <v>281</v>
      </c>
      <c r="E5100">
        <v>51.438000000000002</v>
      </c>
      <c r="F5100" t="s">
        <v>21</v>
      </c>
      <c r="G5100" t="s">
        <v>26</v>
      </c>
      <c r="H5100" t="s">
        <v>21</v>
      </c>
      <c r="I5100" t="s">
        <v>20</v>
      </c>
      <c r="J5100" t="s">
        <v>20</v>
      </c>
      <c r="K5100" t="s">
        <v>31</v>
      </c>
      <c r="L5100" t="s">
        <v>282</v>
      </c>
      <c r="M5100" t="s">
        <v>174</v>
      </c>
      <c r="N5100">
        <v>40.497445999999997</v>
      </c>
      <c r="O5100">
        <v>-112.32743499999999</v>
      </c>
      <c r="P5100">
        <v>5077.126233</v>
      </c>
      <c r="Q5100">
        <v>1347</v>
      </c>
      <c r="R5100">
        <v>0</v>
      </c>
    </row>
    <row r="5101" spans="1:18" x14ac:dyDescent="0.25">
      <c r="A5101">
        <v>5100</v>
      </c>
      <c r="B5101">
        <v>94</v>
      </c>
      <c r="C5101" t="e">
        <f>-Iop_Pk8IpD4i8UrI28RwF</f>
        <v>#NAME?</v>
      </c>
      <c r="D5101" t="s">
        <v>272</v>
      </c>
      <c r="E5101">
        <v>347.79</v>
      </c>
      <c r="F5101" t="s">
        <v>21</v>
      </c>
      <c r="G5101" t="s">
        <v>26</v>
      </c>
      <c r="H5101" t="s">
        <v>21</v>
      </c>
      <c r="I5101" t="s">
        <v>20</v>
      </c>
      <c r="J5101" t="s">
        <v>20</v>
      </c>
      <c r="K5101" t="s">
        <v>22</v>
      </c>
      <c r="L5101" t="s">
        <v>84</v>
      </c>
      <c r="M5101" t="s">
        <v>125</v>
      </c>
      <c r="N5101">
        <v>40.376009000000003</v>
      </c>
      <c r="O5101">
        <v>-111.792891</v>
      </c>
      <c r="P5101">
        <v>4547.8216860000002</v>
      </c>
      <c r="Q5101">
        <v>1384</v>
      </c>
      <c r="R5101">
        <v>0</v>
      </c>
    </row>
    <row r="5102" spans="1:18" x14ac:dyDescent="0.25">
      <c r="A5102">
        <v>5101</v>
      </c>
      <c r="B5102">
        <v>94</v>
      </c>
      <c r="C5102">
        <v>31278596</v>
      </c>
      <c r="D5102" t="s">
        <v>288</v>
      </c>
      <c r="E5102">
        <v>9.6270000000000007</v>
      </c>
      <c r="F5102" t="s">
        <v>21</v>
      </c>
      <c r="G5102" t="s">
        <v>26</v>
      </c>
      <c r="H5102" t="s">
        <v>21</v>
      </c>
      <c r="I5102" t="s">
        <v>20</v>
      </c>
      <c r="J5102" t="s">
        <v>20</v>
      </c>
      <c r="K5102" t="s">
        <v>27</v>
      </c>
      <c r="L5102" t="s">
        <v>211</v>
      </c>
      <c r="M5102" t="s">
        <v>318</v>
      </c>
      <c r="N5102">
        <v>37.119303000000002</v>
      </c>
      <c r="O5102">
        <v>-109.544887</v>
      </c>
      <c r="P5102">
        <v>4651.2745340000001</v>
      </c>
      <c r="Q5102">
        <v>350</v>
      </c>
      <c r="R5102">
        <v>0</v>
      </c>
    </row>
    <row r="5103" spans="1:18" x14ac:dyDescent="0.25">
      <c r="A5103">
        <v>5102</v>
      </c>
      <c r="B5103">
        <v>94</v>
      </c>
      <c r="C5103">
        <v>581223</v>
      </c>
      <c r="D5103" t="s">
        <v>115</v>
      </c>
      <c r="E5103">
        <v>9.6340000000000003</v>
      </c>
      <c r="F5103" t="s">
        <v>19</v>
      </c>
      <c r="G5103" t="s">
        <v>20</v>
      </c>
      <c r="H5103" t="s">
        <v>21</v>
      </c>
      <c r="I5103" t="s">
        <v>20</v>
      </c>
      <c r="J5103" t="s">
        <v>20</v>
      </c>
      <c r="K5103" t="s">
        <v>31</v>
      </c>
      <c r="L5103" t="s">
        <v>69</v>
      </c>
      <c r="M5103" t="s">
        <v>70</v>
      </c>
      <c r="N5103">
        <v>40.655732999999998</v>
      </c>
      <c r="O5103">
        <v>-111.89424099999999</v>
      </c>
      <c r="P5103">
        <v>4259.3615929999996</v>
      </c>
      <c r="Q5103">
        <v>1437</v>
      </c>
      <c r="R5103">
        <v>0</v>
      </c>
    </row>
    <row r="5104" spans="1:18" x14ac:dyDescent="0.25">
      <c r="A5104">
        <v>5103</v>
      </c>
      <c r="B5104">
        <v>94</v>
      </c>
      <c r="C5104">
        <v>27601071</v>
      </c>
      <c r="D5104" t="s">
        <v>110</v>
      </c>
      <c r="E5104">
        <v>9.6449999999999996</v>
      </c>
      <c r="F5104" t="s">
        <v>21</v>
      </c>
      <c r="G5104" t="s">
        <v>20</v>
      </c>
      <c r="H5104" t="s">
        <v>21</v>
      </c>
      <c r="I5104" t="s">
        <v>20</v>
      </c>
      <c r="J5104" t="s">
        <v>20</v>
      </c>
      <c r="K5104" t="s">
        <v>27</v>
      </c>
      <c r="L5104" t="s">
        <v>111</v>
      </c>
      <c r="M5104" t="s">
        <v>112</v>
      </c>
      <c r="N5104">
        <v>39.294570999999998</v>
      </c>
      <c r="O5104">
        <v>-111.111766</v>
      </c>
      <c r="P5104">
        <v>6636.6233149999998</v>
      </c>
      <c r="Q5104">
        <v>1361</v>
      </c>
      <c r="R5104">
        <v>0</v>
      </c>
    </row>
    <row r="5105" spans="1:18" x14ac:dyDescent="0.25">
      <c r="A5105">
        <v>5104</v>
      </c>
      <c r="B5105">
        <v>94</v>
      </c>
      <c r="C5105">
        <v>31511329</v>
      </c>
      <c r="D5105" t="s">
        <v>132</v>
      </c>
      <c r="E5105">
        <v>9.6460000000000008</v>
      </c>
      <c r="F5105" t="s">
        <v>21</v>
      </c>
      <c r="G5105" t="s">
        <v>26</v>
      </c>
      <c r="H5105" t="s">
        <v>21</v>
      </c>
      <c r="I5105" t="s">
        <v>20</v>
      </c>
      <c r="J5105" t="s">
        <v>20</v>
      </c>
      <c r="K5105" t="s">
        <v>22</v>
      </c>
      <c r="L5105" t="s">
        <v>133</v>
      </c>
      <c r="M5105" t="s">
        <v>134</v>
      </c>
      <c r="N5105">
        <v>40.427892999999997</v>
      </c>
      <c r="O5105">
        <v>-110.03005400000001</v>
      </c>
      <c r="P5105">
        <v>5924.1365100000003</v>
      </c>
      <c r="Q5105">
        <v>1405</v>
      </c>
      <c r="R5105">
        <v>0</v>
      </c>
    </row>
    <row r="5106" spans="1:18" x14ac:dyDescent="0.25">
      <c r="A5106">
        <v>5105</v>
      </c>
      <c r="B5106">
        <v>94</v>
      </c>
      <c r="C5106">
        <v>1692699</v>
      </c>
      <c r="D5106" t="s">
        <v>100</v>
      </c>
      <c r="E5106">
        <v>9.6690000000000005</v>
      </c>
      <c r="F5106" t="s">
        <v>21</v>
      </c>
      <c r="G5106" t="s">
        <v>26</v>
      </c>
      <c r="H5106" t="s">
        <v>21</v>
      </c>
      <c r="I5106" t="s">
        <v>20</v>
      </c>
      <c r="J5106" t="s">
        <v>20</v>
      </c>
      <c r="K5106" t="s">
        <v>41</v>
      </c>
      <c r="L5106" t="s">
        <v>57</v>
      </c>
      <c r="M5106" t="s">
        <v>46</v>
      </c>
      <c r="N5106">
        <v>41.171115999999998</v>
      </c>
      <c r="O5106">
        <v>-112.06446099999999</v>
      </c>
      <c r="P5106">
        <v>4242.2054029999999</v>
      </c>
      <c r="Q5106">
        <v>1396</v>
      </c>
      <c r="R5106">
        <v>0</v>
      </c>
    </row>
    <row r="5107" spans="1:18" x14ac:dyDescent="0.25">
      <c r="A5107">
        <v>5106</v>
      </c>
      <c r="B5107">
        <v>94</v>
      </c>
      <c r="C5107">
        <v>31271651</v>
      </c>
      <c r="D5107" t="s">
        <v>303</v>
      </c>
      <c r="E5107">
        <v>9.6720000000000006</v>
      </c>
      <c r="F5107" t="s">
        <v>21</v>
      </c>
      <c r="G5107" t="s">
        <v>26</v>
      </c>
      <c r="H5107" t="s">
        <v>21</v>
      </c>
      <c r="I5107" t="s">
        <v>20</v>
      </c>
      <c r="J5107" t="s">
        <v>20</v>
      </c>
      <c r="K5107" t="s">
        <v>27</v>
      </c>
      <c r="L5107" t="s">
        <v>72</v>
      </c>
      <c r="M5107" t="s">
        <v>73</v>
      </c>
      <c r="N5107">
        <v>37.176569000000001</v>
      </c>
      <c r="O5107">
        <v>-113.29001599999999</v>
      </c>
      <c r="P5107">
        <v>3159.1018920000001</v>
      </c>
      <c r="Q5107">
        <v>1326</v>
      </c>
      <c r="R5107">
        <v>0</v>
      </c>
    </row>
    <row r="5108" spans="1:18" x14ac:dyDescent="0.25">
      <c r="A5108">
        <v>5107</v>
      </c>
      <c r="B5108">
        <v>94</v>
      </c>
      <c r="C5108">
        <v>31314821</v>
      </c>
      <c r="D5108" t="s">
        <v>215</v>
      </c>
      <c r="E5108">
        <v>9.6760000000000002</v>
      </c>
      <c r="F5108" t="s">
        <v>21</v>
      </c>
      <c r="G5108" t="s">
        <v>26</v>
      </c>
      <c r="H5108" t="s">
        <v>21</v>
      </c>
      <c r="I5108" t="s">
        <v>20</v>
      </c>
      <c r="J5108" t="s">
        <v>20</v>
      </c>
      <c r="K5108" t="s">
        <v>22</v>
      </c>
      <c r="L5108" t="s">
        <v>23</v>
      </c>
      <c r="M5108" t="s">
        <v>85</v>
      </c>
      <c r="N5108">
        <v>40.341859999999997</v>
      </c>
      <c r="O5108">
        <v>-111.740166</v>
      </c>
      <c r="P5108">
        <v>4477.2450269999999</v>
      </c>
      <c r="Q5108">
        <v>330</v>
      </c>
      <c r="R5108">
        <v>0</v>
      </c>
    </row>
    <row r="5109" spans="1:18" x14ac:dyDescent="0.25">
      <c r="A5109">
        <v>5108</v>
      </c>
      <c r="B5109">
        <v>94</v>
      </c>
      <c r="C5109">
        <v>31634854</v>
      </c>
      <c r="D5109" t="s">
        <v>227</v>
      </c>
      <c r="E5109">
        <v>9.6820000000000004</v>
      </c>
      <c r="F5109" t="s">
        <v>21</v>
      </c>
      <c r="G5109" t="s">
        <v>26</v>
      </c>
      <c r="H5109" t="s">
        <v>21</v>
      </c>
      <c r="I5109" t="s">
        <v>20</v>
      </c>
      <c r="J5109" t="s">
        <v>20</v>
      </c>
      <c r="K5109" t="s">
        <v>27</v>
      </c>
      <c r="L5109" t="s">
        <v>158</v>
      </c>
      <c r="M5109" t="s">
        <v>190</v>
      </c>
      <c r="N5109">
        <v>39.549436999999998</v>
      </c>
      <c r="O5109">
        <v>-110.398808</v>
      </c>
      <c r="P5109">
        <v>6364.1091079999997</v>
      </c>
      <c r="Q5109">
        <v>1407</v>
      </c>
      <c r="R5109">
        <v>0</v>
      </c>
    </row>
    <row r="5110" spans="1:18" x14ac:dyDescent="0.25">
      <c r="A5110">
        <v>5109</v>
      </c>
      <c r="B5110">
        <v>94</v>
      </c>
      <c r="C5110">
        <v>31511340</v>
      </c>
      <c r="D5110" t="s">
        <v>132</v>
      </c>
      <c r="E5110">
        <v>9.6859999999999999</v>
      </c>
      <c r="F5110" t="s">
        <v>21</v>
      </c>
      <c r="G5110" t="s">
        <v>26</v>
      </c>
      <c r="H5110" t="s">
        <v>21</v>
      </c>
      <c r="I5110" t="s">
        <v>20</v>
      </c>
      <c r="J5110" t="s">
        <v>20</v>
      </c>
      <c r="K5110" t="s">
        <v>22</v>
      </c>
      <c r="L5110" t="s">
        <v>133</v>
      </c>
      <c r="M5110" t="s">
        <v>134</v>
      </c>
      <c r="N5110">
        <v>40.428482000000002</v>
      </c>
      <c r="O5110">
        <v>-110.03006600000001</v>
      </c>
      <c r="P5110">
        <v>5928.7076290000005</v>
      </c>
      <c r="Q5110">
        <v>1405</v>
      </c>
      <c r="R5110">
        <v>0</v>
      </c>
    </row>
    <row r="5111" spans="1:18" x14ac:dyDescent="0.25">
      <c r="A5111">
        <v>5110</v>
      </c>
      <c r="B5111">
        <v>94</v>
      </c>
      <c r="C5111">
        <v>31737208</v>
      </c>
      <c r="D5111" t="s">
        <v>118</v>
      </c>
      <c r="E5111">
        <v>64.611000000000004</v>
      </c>
      <c r="F5111" t="s">
        <v>21</v>
      </c>
      <c r="G5111" t="s">
        <v>20</v>
      </c>
      <c r="H5111" t="s">
        <v>21</v>
      </c>
      <c r="I5111" t="s">
        <v>20</v>
      </c>
      <c r="J5111" t="s">
        <v>20</v>
      </c>
      <c r="K5111" t="s">
        <v>22</v>
      </c>
      <c r="L5111" t="s">
        <v>168</v>
      </c>
      <c r="M5111" t="s">
        <v>120</v>
      </c>
      <c r="N5111">
        <v>40.20326</v>
      </c>
      <c r="O5111">
        <v>-110.792055</v>
      </c>
      <c r="P5111">
        <v>6439.8724949999996</v>
      </c>
      <c r="Q5111">
        <v>310</v>
      </c>
      <c r="R5111">
        <v>0</v>
      </c>
    </row>
    <row r="5112" spans="1:18" x14ac:dyDescent="0.25">
      <c r="A5112">
        <v>5111</v>
      </c>
      <c r="B5112">
        <v>94</v>
      </c>
      <c r="C5112">
        <v>28695163</v>
      </c>
      <c r="D5112" t="s">
        <v>142</v>
      </c>
      <c r="E5112">
        <v>64.611999999999995</v>
      </c>
      <c r="F5112" t="s">
        <v>21</v>
      </c>
      <c r="G5112" t="s">
        <v>20</v>
      </c>
      <c r="H5112" t="s">
        <v>21</v>
      </c>
      <c r="I5112" t="s">
        <v>20</v>
      </c>
      <c r="J5112" t="s">
        <v>20</v>
      </c>
      <c r="K5112" t="s">
        <v>27</v>
      </c>
      <c r="L5112" t="s">
        <v>143</v>
      </c>
      <c r="M5112" t="s">
        <v>106</v>
      </c>
      <c r="N5112">
        <v>38.456944</v>
      </c>
      <c r="O5112">
        <v>-113.223181</v>
      </c>
      <c r="P5112">
        <v>6145.8331580000004</v>
      </c>
      <c r="Q5112">
        <v>305</v>
      </c>
      <c r="R5112">
        <v>0</v>
      </c>
    </row>
    <row r="5113" spans="1:18" x14ac:dyDescent="0.25">
      <c r="A5113">
        <v>5112</v>
      </c>
      <c r="B5113">
        <v>94</v>
      </c>
      <c r="C5113">
        <v>31748658</v>
      </c>
      <c r="D5113" t="s">
        <v>290</v>
      </c>
      <c r="E5113">
        <v>64.653999999999996</v>
      </c>
      <c r="F5113" t="s">
        <v>21</v>
      </c>
      <c r="G5113" t="s">
        <v>26</v>
      </c>
      <c r="H5113" t="s">
        <v>21</v>
      </c>
      <c r="I5113" t="s">
        <v>20</v>
      </c>
      <c r="J5113" t="s">
        <v>20</v>
      </c>
      <c r="K5113" t="s">
        <v>41</v>
      </c>
      <c r="L5113" t="s">
        <v>291</v>
      </c>
      <c r="M5113" t="s">
        <v>238</v>
      </c>
      <c r="N5113">
        <v>41.836632999999999</v>
      </c>
      <c r="O5113">
        <v>-113.147338</v>
      </c>
      <c r="P5113">
        <v>4608.7670049999997</v>
      </c>
      <c r="Q5113">
        <v>1343</v>
      </c>
      <c r="R5113">
        <v>0</v>
      </c>
    </row>
    <row r="5114" spans="1:18" x14ac:dyDescent="0.25">
      <c r="A5114">
        <v>5113</v>
      </c>
      <c r="B5114">
        <v>94</v>
      </c>
      <c r="C5114">
        <v>31513252</v>
      </c>
      <c r="D5114" t="s">
        <v>124</v>
      </c>
      <c r="E5114">
        <v>64.665999999999997</v>
      </c>
      <c r="F5114" t="s">
        <v>21</v>
      </c>
      <c r="G5114" t="s">
        <v>26</v>
      </c>
      <c r="H5114" t="s">
        <v>21</v>
      </c>
      <c r="I5114" t="s">
        <v>20</v>
      </c>
      <c r="J5114" t="s">
        <v>20</v>
      </c>
      <c r="K5114" t="s">
        <v>41</v>
      </c>
      <c r="L5114" t="s">
        <v>45</v>
      </c>
      <c r="M5114" t="s">
        <v>365</v>
      </c>
      <c r="N5114">
        <v>40.846119000000002</v>
      </c>
      <c r="O5114">
        <v>-111.929984</v>
      </c>
      <c r="P5114">
        <v>4172.719889</v>
      </c>
      <c r="Q5114">
        <v>1368</v>
      </c>
      <c r="R5114">
        <v>0</v>
      </c>
    </row>
    <row r="5115" spans="1:18" x14ac:dyDescent="0.25">
      <c r="A5115">
        <v>5114</v>
      </c>
      <c r="B5115">
        <v>94</v>
      </c>
      <c r="C5115">
        <v>31845323</v>
      </c>
      <c r="D5115" t="s">
        <v>272</v>
      </c>
      <c r="E5115">
        <v>64.709000000000003</v>
      </c>
      <c r="F5115" t="s">
        <v>21</v>
      </c>
      <c r="G5115" t="s">
        <v>26</v>
      </c>
      <c r="H5115" t="s">
        <v>21</v>
      </c>
      <c r="I5115" t="s">
        <v>20</v>
      </c>
      <c r="J5115" t="s">
        <v>20</v>
      </c>
      <c r="K5115" t="s">
        <v>27</v>
      </c>
      <c r="L5115" t="s">
        <v>259</v>
      </c>
      <c r="M5115" t="s">
        <v>214</v>
      </c>
      <c r="N5115">
        <v>37.049841000000001</v>
      </c>
      <c r="O5115">
        <v>-112.53501900000001</v>
      </c>
      <c r="P5115">
        <v>4877.307898</v>
      </c>
      <c r="Q5115">
        <v>1384</v>
      </c>
      <c r="R5115">
        <v>0</v>
      </c>
    </row>
    <row r="5116" spans="1:18" x14ac:dyDescent="0.25">
      <c r="A5116">
        <v>5115</v>
      </c>
      <c r="B5116">
        <v>94</v>
      </c>
      <c r="C5116">
        <v>31328905</v>
      </c>
      <c r="D5116" t="s">
        <v>241</v>
      </c>
      <c r="E5116">
        <v>64.781000000000006</v>
      </c>
      <c r="F5116" t="s">
        <v>21</v>
      </c>
      <c r="G5116" t="s">
        <v>20</v>
      </c>
      <c r="H5116" t="s">
        <v>21</v>
      </c>
      <c r="I5116" t="s">
        <v>20</v>
      </c>
      <c r="J5116" t="s">
        <v>20</v>
      </c>
      <c r="K5116" t="s">
        <v>27</v>
      </c>
      <c r="L5116" t="s">
        <v>158</v>
      </c>
      <c r="M5116" t="s">
        <v>243</v>
      </c>
      <c r="N5116">
        <v>39.543126999999998</v>
      </c>
      <c r="O5116">
        <v>-110.814746</v>
      </c>
      <c r="P5116">
        <v>5686.9988270000003</v>
      </c>
      <c r="Q5116">
        <v>1327</v>
      </c>
      <c r="R5116">
        <v>0</v>
      </c>
    </row>
    <row r="5117" spans="1:18" x14ac:dyDescent="0.25">
      <c r="A5117">
        <v>5116</v>
      </c>
      <c r="B5117">
        <v>94</v>
      </c>
      <c r="C5117">
        <v>28225483</v>
      </c>
      <c r="D5117" t="s">
        <v>220</v>
      </c>
      <c r="E5117">
        <v>64.822999999999993</v>
      </c>
      <c r="F5117" t="s">
        <v>21</v>
      </c>
      <c r="G5117" t="s">
        <v>26</v>
      </c>
      <c r="H5117" t="s">
        <v>21</v>
      </c>
      <c r="I5117" t="s">
        <v>20</v>
      </c>
      <c r="J5117" t="s">
        <v>20</v>
      </c>
      <c r="K5117" t="s">
        <v>27</v>
      </c>
      <c r="L5117" t="s">
        <v>28</v>
      </c>
      <c r="M5117" t="s">
        <v>366</v>
      </c>
      <c r="N5117">
        <v>37.726959000000001</v>
      </c>
      <c r="O5117">
        <v>-111.523833</v>
      </c>
      <c r="P5117">
        <v>5715.0002430000004</v>
      </c>
      <c r="Q5117">
        <v>1328</v>
      </c>
      <c r="R5117">
        <v>0</v>
      </c>
    </row>
    <row r="5118" spans="1:18" x14ac:dyDescent="0.25">
      <c r="A5118">
        <v>5117</v>
      </c>
      <c r="B5118">
        <v>94</v>
      </c>
      <c r="C5118">
        <v>31540012</v>
      </c>
      <c r="D5118" t="s">
        <v>213</v>
      </c>
      <c r="E5118">
        <v>68.58</v>
      </c>
      <c r="F5118" t="s">
        <v>21</v>
      </c>
      <c r="G5118" t="s">
        <v>20</v>
      </c>
      <c r="H5118" t="s">
        <v>21</v>
      </c>
      <c r="I5118" t="s">
        <v>20</v>
      </c>
      <c r="J5118" t="s">
        <v>20</v>
      </c>
      <c r="K5118" t="s">
        <v>27</v>
      </c>
      <c r="L5118" t="s">
        <v>173</v>
      </c>
      <c r="M5118" t="s">
        <v>214</v>
      </c>
      <c r="N5118">
        <v>39.245646000000001</v>
      </c>
      <c r="O5118">
        <v>-112.905524</v>
      </c>
      <c r="P5118">
        <v>4499.6261480000003</v>
      </c>
      <c r="Q5118">
        <v>1332</v>
      </c>
      <c r="R5118">
        <v>0</v>
      </c>
    </row>
    <row r="5119" spans="1:18" x14ac:dyDescent="0.25">
      <c r="A5119">
        <v>5118</v>
      </c>
      <c r="B5119">
        <v>94</v>
      </c>
      <c r="C5119">
        <v>28696011</v>
      </c>
      <c r="D5119" t="s">
        <v>142</v>
      </c>
      <c r="E5119">
        <v>68.593000000000004</v>
      </c>
      <c r="F5119" t="s">
        <v>21</v>
      </c>
      <c r="G5119" t="s">
        <v>26</v>
      </c>
      <c r="H5119" t="s">
        <v>21</v>
      </c>
      <c r="I5119" t="s">
        <v>20</v>
      </c>
      <c r="J5119" t="s">
        <v>20</v>
      </c>
      <c r="K5119" t="s">
        <v>27</v>
      </c>
      <c r="L5119" t="s">
        <v>143</v>
      </c>
      <c r="M5119" t="s">
        <v>106</v>
      </c>
      <c r="N5119">
        <v>38.439095000000002</v>
      </c>
      <c r="O5119">
        <v>-113.153471</v>
      </c>
      <c r="P5119">
        <v>5485.0008699999998</v>
      </c>
      <c r="Q5119">
        <v>305</v>
      </c>
      <c r="R5119">
        <v>0</v>
      </c>
    </row>
    <row r="5120" spans="1:18" x14ac:dyDescent="0.25">
      <c r="A5120">
        <v>5119</v>
      </c>
      <c r="B5120">
        <v>94</v>
      </c>
      <c r="C5120">
        <v>31357135</v>
      </c>
      <c r="D5120" t="s">
        <v>288</v>
      </c>
      <c r="E5120">
        <v>68.608000000000004</v>
      </c>
      <c r="F5120" t="s">
        <v>21</v>
      </c>
      <c r="G5120" t="s">
        <v>20</v>
      </c>
      <c r="H5120" t="s">
        <v>21</v>
      </c>
      <c r="I5120" t="s">
        <v>20</v>
      </c>
      <c r="J5120" t="s">
        <v>20</v>
      </c>
      <c r="K5120" t="s">
        <v>27</v>
      </c>
      <c r="L5120" t="s">
        <v>146</v>
      </c>
      <c r="M5120" t="s">
        <v>147</v>
      </c>
      <c r="N5120">
        <v>37.826962999999999</v>
      </c>
      <c r="O5120">
        <v>-109.336929</v>
      </c>
      <c r="P5120">
        <v>7003.0647339999996</v>
      </c>
      <c r="Q5120">
        <v>350</v>
      </c>
      <c r="R5120">
        <v>0</v>
      </c>
    </row>
    <row r="5121" spans="1:18" x14ac:dyDescent="0.25">
      <c r="A5121">
        <v>5120</v>
      </c>
      <c r="B5121">
        <v>94</v>
      </c>
      <c r="C5121">
        <v>31714998</v>
      </c>
      <c r="D5121" t="s">
        <v>244</v>
      </c>
      <c r="E5121">
        <v>68.617000000000004</v>
      </c>
      <c r="F5121" t="s">
        <v>21</v>
      </c>
      <c r="G5121" t="s">
        <v>26</v>
      </c>
      <c r="H5121" t="s">
        <v>21</v>
      </c>
      <c r="I5121" t="s">
        <v>20</v>
      </c>
      <c r="J5121" t="s">
        <v>20</v>
      </c>
      <c r="K5121" t="s">
        <v>27</v>
      </c>
      <c r="L5121" t="s">
        <v>266</v>
      </c>
      <c r="M5121" t="s">
        <v>270</v>
      </c>
      <c r="N5121">
        <v>38.299039</v>
      </c>
      <c r="O5121">
        <v>-111.41886700000001</v>
      </c>
      <c r="P5121">
        <v>6778.6610760000003</v>
      </c>
      <c r="Q5121">
        <v>1340</v>
      </c>
      <c r="R5121">
        <v>0</v>
      </c>
    </row>
    <row r="5122" spans="1:18" x14ac:dyDescent="0.25">
      <c r="A5122">
        <v>5121</v>
      </c>
      <c r="B5122">
        <v>94</v>
      </c>
      <c r="C5122">
        <v>31334568</v>
      </c>
      <c r="D5122" t="s">
        <v>241</v>
      </c>
      <c r="E5122">
        <v>68.62</v>
      </c>
      <c r="F5122" t="s">
        <v>21</v>
      </c>
      <c r="G5122" t="s">
        <v>26</v>
      </c>
      <c r="H5122" t="s">
        <v>21</v>
      </c>
      <c r="I5122" t="s">
        <v>20</v>
      </c>
      <c r="J5122" t="s">
        <v>20</v>
      </c>
      <c r="K5122" t="s">
        <v>27</v>
      </c>
      <c r="L5122" t="s">
        <v>158</v>
      </c>
      <c r="M5122" t="s">
        <v>243</v>
      </c>
      <c r="N5122">
        <v>39.598066000000003</v>
      </c>
      <c r="O5122">
        <v>-110.81125299999999</v>
      </c>
      <c r="P5122">
        <v>5494.7420860000002</v>
      </c>
      <c r="Q5122">
        <v>1327</v>
      </c>
      <c r="R5122">
        <v>0</v>
      </c>
    </row>
    <row r="5123" spans="1:18" x14ac:dyDescent="0.25">
      <c r="A5123">
        <v>5122</v>
      </c>
      <c r="B5123">
        <v>94</v>
      </c>
      <c r="C5123">
        <v>31515097</v>
      </c>
      <c r="D5123" t="s">
        <v>124</v>
      </c>
      <c r="E5123">
        <v>68.700999999999993</v>
      </c>
      <c r="F5123" t="s">
        <v>21</v>
      </c>
      <c r="G5123" t="s">
        <v>26</v>
      </c>
      <c r="H5123" t="s">
        <v>21</v>
      </c>
      <c r="I5123" t="s">
        <v>20</v>
      </c>
      <c r="J5123" t="s">
        <v>20</v>
      </c>
      <c r="K5123" t="s">
        <v>41</v>
      </c>
      <c r="L5123" t="s">
        <v>45</v>
      </c>
      <c r="M5123" t="s">
        <v>365</v>
      </c>
      <c r="N5123">
        <v>40.884239999999998</v>
      </c>
      <c r="O5123">
        <v>-111.90199800000001</v>
      </c>
      <c r="P5123">
        <v>4238.0655589999997</v>
      </c>
      <c r="Q5123">
        <v>1368</v>
      </c>
      <c r="R5123">
        <v>0</v>
      </c>
    </row>
    <row r="5124" spans="1:18" x14ac:dyDescent="0.25">
      <c r="A5124">
        <v>5123</v>
      </c>
      <c r="B5124">
        <v>94</v>
      </c>
      <c r="C5124">
        <v>31334579</v>
      </c>
      <c r="D5124" t="s">
        <v>241</v>
      </c>
      <c r="E5124">
        <v>68.722999999999999</v>
      </c>
      <c r="F5124" t="s">
        <v>19</v>
      </c>
      <c r="G5124" t="s">
        <v>20</v>
      </c>
      <c r="H5124" t="s">
        <v>21</v>
      </c>
      <c r="I5124" t="s">
        <v>20</v>
      </c>
      <c r="J5124" t="s">
        <v>20</v>
      </c>
      <c r="K5124" t="s">
        <v>27</v>
      </c>
      <c r="L5124" t="s">
        <v>158</v>
      </c>
      <c r="M5124" t="s">
        <v>243</v>
      </c>
      <c r="N5124">
        <v>39.599561000000001</v>
      </c>
      <c r="O5124">
        <v>-110.81125299999999</v>
      </c>
      <c r="P5124">
        <v>5503.2709530000002</v>
      </c>
      <c r="Q5124">
        <v>1327</v>
      </c>
      <c r="R5124">
        <v>0</v>
      </c>
    </row>
    <row r="5125" spans="1:18" x14ac:dyDescent="0.25">
      <c r="A5125">
        <v>5124</v>
      </c>
      <c r="B5125">
        <v>94</v>
      </c>
      <c r="C5125">
        <v>31717209</v>
      </c>
      <c r="D5125" t="s">
        <v>244</v>
      </c>
      <c r="E5125">
        <v>68.733999999999995</v>
      </c>
      <c r="F5125" t="s">
        <v>21</v>
      </c>
      <c r="G5125" t="s">
        <v>26</v>
      </c>
      <c r="H5125" t="s">
        <v>21</v>
      </c>
      <c r="I5125" t="s">
        <v>20</v>
      </c>
      <c r="J5125" t="s">
        <v>20</v>
      </c>
      <c r="K5125" t="s">
        <v>27</v>
      </c>
      <c r="L5125" t="s">
        <v>266</v>
      </c>
      <c r="M5125" t="s">
        <v>270</v>
      </c>
      <c r="N5125">
        <v>38.299025</v>
      </c>
      <c r="O5125">
        <v>-111.416712</v>
      </c>
      <c r="P5125">
        <v>6768.3747819999999</v>
      </c>
      <c r="Q5125">
        <v>1340</v>
      </c>
      <c r="R5125">
        <v>0</v>
      </c>
    </row>
    <row r="5126" spans="1:18" x14ac:dyDescent="0.25">
      <c r="A5126">
        <v>5125</v>
      </c>
      <c r="B5126">
        <v>94</v>
      </c>
      <c r="C5126">
        <v>989326</v>
      </c>
      <c r="D5126" t="s">
        <v>65</v>
      </c>
      <c r="E5126">
        <v>5.5119999999999996</v>
      </c>
      <c r="F5126" t="s">
        <v>19</v>
      </c>
      <c r="G5126" t="s">
        <v>20</v>
      </c>
      <c r="H5126" t="s">
        <v>21</v>
      </c>
      <c r="I5126" t="s">
        <v>20</v>
      </c>
      <c r="J5126" t="s">
        <v>20</v>
      </c>
      <c r="K5126" t="s">
        <v>31</v>
      </c>
      <c r="L5126" t="s">
        <v>188</v>
      </c>
      <c r="M5126" t="s">
        <v>67</v>
      </c>
      <c r="N5126">
        <v>40.757297000000001</v>
      </c>
      <c r="O5126">
        <v>-111.836004</v>
      </c>
      <c r="P5126">
        <v>4717.9040539999996</v>
      </c>
      <c r="Q5126">
        <v>402</v>
      </c>
      <c r="R5126">
        <v>0</v>
      </c>
    </row>
    <row r="5127" spans="1:18" x14ac:dyDescent="0.25">
      <c r="A5127">
        <v>5126</v>
      </c>
      <c r="B5127">
        <v>94</v>
      </c>
      <c r="C5127" t="e">
        <f>-IpUeLgsIX5KWH-YsLGXNk</f>
        <v>#NAME?</v>
      </c>
      <c r="D5127" t="s">
        <v>363</v>
      </c>
      <c r="E5127">
        <v>5.516</v>
      </c>
      <c r="F5127" t="s">
        <v>21</v>
      </c>
      <c r="G5127" t="s">
        <v>26</v>
      </c>
      <c r="H5127" t="s">
        <v>21</v>
      </c>
      <c r="I5127" t="s">
        <v>20</v>
      </c>
      <c r="J5127" t="s">
        <v>20</v>
      </c>
      <c r="K5127" t="s">
        <v>41</v>
      </c>
      <c r="L5127" t="s">
        <v>95</v>
      </c>
      <c r="M5127" t="s">
        <v>73</v>
      </c>
      <c r="N5127">
        <v>41.842080000000003</v>
      </c>
      <c r="O5127">
        <v>-111.884056</v>
      </c>
      <c r="P5127">
        <v>4384.3502429999999</v>
      </c>
      <c r="Q5127">
        <v>356</v>
      </c>
      <c r="R5127">
        <v>0</v>
      </c>
    </row>
    <row r="5128" spans="1:18" x14ac:dyDescent="0.25">
      <c r="A5128">
        <v>5127</v>
      </c>
      <c r="B5128">
        <v>94</v>
      </c>
      <c r="C5128">
        <v>534715</v>
      </c>
      <c r="D5128" t="s">
        <v>44</v>
      </c>
      <c r="E5128">
        <v>5.524</v>
      </c>
      <c r="F5128" t="s">
        <v>21</v>
      </c>
      <c r="G5128" t="s">
        <v>26</v>
      </c>
      <c r="H5128" t="s">
        <v>21</v>
      </c>
      <c r="I5128" t="s">
        <v>20</v>
      </c>
      <c r="J5128" t="s">
        <v>20</v>
      </c>
      <c r="K5128" t="s">
        <v>41</v>
      </c>
      <c r="L5128" t="s">
        <v>45</v>
      </c>
      <c r="M5128" t="s">
        <v>46</v>
      </c>
      <c r="N5128">
        <v>40.957037999999997</v>
      </c>
      <c r="O5128">
        <v>-111.88334999999999</v>
      </c>
      <c r="P5128">
        <v>4231.3442189999996</v>
      </c>
      <c r="Q5128">
        <v>1395</v>
      </c>
      <c r="R5128">
        <v>0</v>
      </c>
    </row>
    <row r="5129" spans="1:18" x14ac:dyDescent="0.25">
      <c r="A5129">
        <v>5128</v>
      </c>
      <c r="B5129">
        <v>94</v>
      </c>
      <c r="C5129">
        <v>31312139</v>
      </c>
      <c r="D5129" t="s">
        <v>215</v>
      </c>
      <c r="E5129">
        <v>5.5259999999999998</v>
      </c>
      <c r="F5129" t="s">
        <v>21</v>
      </c>
      <c r="G5129" t="s">
        <v>26</v>
      </c>
      <c r="H5129" t="s">
        <v>21</v>
      </c>
      <c r="I5129" t="s">
        <v>20</v>
      </c>
      <c r="J5129" t="s">
        <v>20</v>
      </c>
      <c r="K5129" t="s">
        <v>22</v>
      </c>
      <c r="L5129" t="s">
        <v>23</v>
      </c>
      <c r="M5129" t="s">
        <v>85</v>
      </c>
      <c r="N5129">
        <v>40.282325</v>
      </c>
      <c r="O5129">
        <v>-111.732071</v>
      </c>
      <c r="P5129">
        <v>4477.8075360000003</v>
      </c>
      <c r="Q5129">
        <v>330</v>
      </c>
      <c r="R5129">
        <v>0</v>
      </c>
    </row>
    <row r="5130" spans="1:18" x14ac:dyDescent="0.25">
      <c r="A5130">
        <v>5129</v>
      </c>
      <c r="B5130">
        <v>94</v>
      </c>
      <c r="C5130">
        <v>31640178</v>
      </c>
      <c r="D5130" t="s">
        <v>127</v>
      </c>
      <c r="E5130">
        <v>5.5339999999999998</v>
      </c>
      <c r="F5130" t="s">
        <v>21</v>
      </c>
      <c r="G5130" t="s">
        <v>26</v>
      </c>
      <c r="H5130" t="s">
        <v>21</v>
      </c>
      <c r="I5130" t="s">
        <v>20</v>
      </c>
      <c r="J5130" t="s">
        <v>20</v>
      </c>
      <c r="K5130" t="s">
        <v>41</v>
      </c>
      <c r="L5130" t="s">
        <v>95</v>
      </c>
      <c r="M5130" t="s">
        <v>73</v>
      </c>
      <c r="N5130">
        <v>41.975968999999999</v>
      </c>
      <c r="O5130">
        <v>-111.846931</v>
      </c>
      <c r="P5130">
        <v>4457.212098</v>
      </c>
      <c r="Q5130">
        <v>1364</v>
      </c>
      <c r="R5130">
        <v>0</v>
      </c>
    </row>
    <row r="5131" spans="1:18" x14ac:dyDescent="0.25">
      <c r="A5131">
        <v>5130</v>
      </c>
      <c r="B5131">
        <v>94</v>
      </c>
      <c r="C5131">
        <v>31424503</v>
      </c>
      <c r="D5131" t="s">
        <v>333</v>
      </c>
      <c r="E5131">
        <v>19.026</v>
      </c>
      <c r="F5131" t="s">
        <v>19</v>
      </c>
      <c r="G5131" t="s">
        <v>20</v>
      </c>
      <c r="H5131" t="s">
        <v>21</v>
      </c>
      <c r="I5131" t="s">
        <v>20</v>
      </c>
      <c r="J5131" t="s">
        <v>20</v>
      </c>
      <c r="K5131" t="s">
        <v>31</v>
      </c>
      <c r="L5131" t="s">
        <v>78</v>
      </c>
      <c r="M5131" t="s">
        <v>49</v>
      </c>
      <c r="N5131">
        <v>40.697687999999999</v>
      </c>
      <c r="O5131">
        <v>-111.980429</v>
      </c>
      <c r="P5131">
        <v>4207.6813590000002</v>
      </c>
      <c r="Q5131">
        <v>1426</v>
      </c>
      <c r="R5131">
        <v>0</v>
      </c>
    </row>
    <row r="5132" spans="1:18" x14ac:dyDescent="0.25">
      <c r="A5132">
        <v>5131</v>
      </c>
      <c r="B5132">
        <v>94</v>
      </c>
      <c r="C5132">
        <v>31421584</v>
      </c>
      <c r="D5132" t="s">
        <v>220</v>
      </c>
      <c r="E5132">
        <v>19.027000000000001</v>
      </c>
      <c r="F5132" t="s">
        <v>21</v>
      </c>
      <c r="G5132" t="s">
        <v>26</v>
      </c>
      <c r="H5132" t="s">
        <v>21</v>
      </c>
      <c r="I5132" t="s">
        <v>20</v>
      </c>
      <c r="J5132" t="s">
        <v>20</v>
      </c>
      <c r="K5132" t="s">
        <v>27</v>
      </c>
      <c r="L5132" t="s">
        <v>28</v>
      </c>
      <c r="M5132" t="s">
        <v>29</v>
      </c>
      <c r="N5132">
        <v>37.653134000000001</v>
      </c>
      <c r="O5132">
        <v>-112.08351399999999</v>
      </c>
      <c r="P5132">
        <v>6412.7898759999998</v>
      </c>
      <c r="Q5132">
        <v>1328</v>
      </c>
      <c r="R5132">
        <v>0</v>
      </c>
    </row>
    <row r="5133" spans="1:18" x14ac:dyDescent="0.25">
      <c r="A5133">
        <v>5132</v>
      </c>
      <c r="B5133">
        <v>94</v>
      </c>
      <c r="C5133">
        <v>28170889</v>
      </c>
      <c r="D5133" t="s">
        <v>233</v>
      </c>
      <c r="E5133">
        <v>19.032</v>
      </c>
      <c r="F5133" t="s">
        <v>21</v>
      </c>
      <c r="G5133" t="s">
        <v>20</v>
      </c>
      <c r="H5133" t="s">
        <v>21</v>
      </c>
      <c r="I5133" t="s">
        <v>20</v>
      </c>
      <c r="J5133" t="s">
        <v>20</v>
      </c>
      <c r="K5133" t="s">
        <v>22</v>
      </c>
      <c r="L5133" t="s">
        <v>234</v>
      </c>
      <c r="M5133" t="s">
        <v>235</v>
      </c>
      <c r="N5133">
        <v>40.177017999999997</v>
      </c>
      <c r="O5133">
        <v>-109.322699</v>
      </c>
      <c r="P5133">
        <v>5497.8264380000001</v>
      </c>
      <c r="Q5133">
        <v>1354</v>
      </c>
      <c r="R5133">
        <v>0</v>
      </c>
    </row>
    <row r="5134" spans="1:18" x14ac:dyDescent="0.25">
      <c r="A5134">
        <v>5133</v>
      </c>
      <c r="B5134">
        <v>94</v>
      </c>
      <c r="C5134">
        <v>31293211</v>
      </c>
      <c r="D5134" t="s">
        <v>315</v>
      </c>
      <c r="E5134">
        <v>19.035</v>
      </c>
      <c r="F5134" t="s">
        <v>21</v>
      </c>
      <c r="G5134" t="s">
        <v>26</v>
      </c>
      <c r="H5134" t="s">
        <v>21</v>
      </c>
      <c r="I5134" t="s">
        <v>20</v>
      </c>
      <c r="J5134" t="s">
        <v>20</v>
      </c>
      <c r="K5134" t="s">
        <v>27</v>
      </c>
      <c r="L5134" t="s">
        <v>111</v>
      </c>
      <c r="M5134" t="s">
        <v>243</v>
      </c>
      <c r="N5134">
        <v>39.227941999999999</v>
      </c>
      <c r="O5134">
        <v>-111.03182099999999</v>
      </c>
      <c r="P5134">
        <v>5792.6822659999998</v>
      </c>
      <c r="Q5134">
        <v>307</v>
      </c>
      <c r="R5134">
        <v>0</v>
      </c>
    </row>
    <row r="5135" spans="1:18" x14ac:dyDescent="0.25">
      <c r="A5135">
        <v>5134</v>
      </c>
      <c r="B5135">
        <v>94</v>
      </c>
      <c r="C5135">
        <v>31193978</v>
      </c>
      <c r="D5135" t="s">
        <v>310</v>
      </c>
      <c r="E5135">
        <v>19.035</v>
      </c>
      <c r="F5135" t="s">
        <v>21</v>
      </c>
      <c r="G5135" t="s">
        <v>26</v>
      </c>
      <c r="H5135" t="s">
        <v>21</v>
      </c>
      <c r="I5135" t="s">
        <v>20</v>
      </c>
      <c r="J5135" t="s">
        <v>20</v>
      </c>
      <c r="K5135" t="s">
        <v>31</v>
      </c>
      <c r="L5135" t="s">
        <v>285</v>
      </c>
      <c r="M5135" t="s">
        <v>206</v>
      </c>
      <c r="N5135">
        <v>40.643349000000001</v>
      </c>
      <c r="O5135">
        <v>-112.312129</v>
      </c>
      <c r="P5135">
        <v>4206.6779399999996</v>
      </c>
      <c r="Q5135">
        <v>1414</v>
      </c>
      <c r="R5135">
        <v>0</v>
      </c>
    </row>
    <row r="5136" spans="1:18" x14ac:dyDescent="0.25">
      <c r="A5136">
        <v>5135</v>
      </c>
      <c r="B5136">
        <v>94</v>
      </c>
      <c r="C5136">
        <v>1549825</v>
      </c>
      <c r="D5136" t="s">
        <v>88</v>
      </c>
      <c r="E5136">
        <v>19.04</v>
      </c>
      <c r="F5136" t="s">
        <v>21</v>
      </c>
      <c r="G5136" t="s">
        <v>26</v>
      </c>
      <c r="H5136" t="s">
        <v>21</v>
      </c>
      <c r="I5136" t="s">
        <v>20</v>
      </c>
      <c r="J5136" t="s">
        <v>20</v>
      </c>
      <c r="K5136" t="s">
        <v>31</v>
      </c>
      <c r="L5136" t="s">
        <v>66</v>
      </c>
      <c r="M5136" t="s">
        <v>90</v>
      </c>
      <c r="N5136">
        <v>40.710932999999997</v>
      </c>
      <c r="O5136">
        <v>-111.87118599999999</v>
      </c>
      <c r="P5136">
        <v>4229.9853059999996</v>
      </c>
      <c r="Q5136">
        <v>318</v>
      </c>
      <c r="R5136">
        <v>0</v>
      </c>
    </row>
    <row r="5137" spans="1:18" x14ac:dyDescent="0.25">
      <c r="A5137">
        <v>5136</v>
      </c>
      <c r="B5137">
        <v>94</v>
      </c>
      <c r="C5137">
        <v>31395134</v>
      </c>
      <c r="D5137" t="s">
        <v>352</v>
      </c>
      <c r="E5137">
        <v>19.050999999999998</v>
      </c>
      <c r="F5137" t="s">
        <v>21</v>
      </c>
      <c r="G5137" t="s">
        <v>26</v>
      </c>
      <c r="H5137" t="s">
        <v>21</v>
      </c>
      <c r="I5137" t="s">
        <v>20</v>
      </c>
      <c r="J5137" t="s">
        <v>20</v>
      </c>
      <c r="K5137" t="s">
        <v>31</v>
      </c>
      <c r="L5137" t="s">
        <v>282</v>
      </c>
      <c r="M5137" t="s">
        <v>206</v>
      </c>
      <c r="N5137">
        <v>40.338774000000001</v>
      </c>
      <c r="O5137">
        <v>-112.463784</v>
      </c>
      <c r="P5137">
        <v>5126.3311960000001</v>
      </c>
      <c r="Q5137">
        <v>409</v>
      </c>
      <c r="R5137">
        <v>0</v>
      </c>
    </row>
    <row r="5138" spans="1:18" x14ac:dyDescent="0.25">
      <c r="A5138">
        <v>5137</v>
      </c>
      <c r="B5138">
        <v>94</v>
      </c>
      <c r="C5138">
        <v>31293222</v>
      </c>
      <c r="D5138" t="s">
        <v>315</v>
      </c>
      <c r="E5138">
        <v>19.071999999999999</v>
      </c>
      <c r="F5138" t="s">
        <v>21</v>
      </c>
      <c r="G5138" t="s">
        <v>26</v>
      </c>
      <c r="H5138" t="s">
        <v>21</v>
      </c>
      <c r="I5138" t="s">
        <v>20</v>
      </c>
      <c r="J5138" t="s">
        <v>20</v>
      </c>
      <c r="K5138" t="s">
        <v>27</v>
      </c>
      <c r="L5138" t="s">
        <v>111</v>
      </c>
      <c r="M5138" t="s">
        <v>243</v>
      </c>
      <c r="N5138">
        <v>39.227952999999999</v>
      </c>
      <c r="O5138">
        <v>-111.031127</v>
      </c>
      <c r="P5138">
        <v>5793.5525740000003</v>
      </c>
      <c r="Q5138">
        <v>307</v>
      </c>
      <c r="R5138">
        <v>0</v>
      </c>
    </row>
    <row r="5139" spans="1:18" x14ac:dyDescent="0.25">
      <c r="A5139">
        <v>5138</v>
      </c>
      <c r="B5139">
        <v>94</v>
      </c>
      <c r="C5139">
        <v>31510781</v>
      </c>
      <c r="D5139" t="s">
        <v>292</v>
      </c>
      <c r="E5139">
        <v>19.088000000000001</v>
      </c>
      <c r="F5139" t="s">
        <v>21</v>
      </c>
      <c r="G5139" t="s">
        <v>20</v>
      </c>
      <c r="H5139" t="s">
        <v>21</v>
      </c>
      <c r="I5139" t="s">
        <v>20</v>
      </c>
      <c r="J5139" t="s">
        <v>20</v>
      </c>
      <c r="K5139" t="s">
        <v>22</v>
      </c>
      <c r="L5139" t="s">
        <v>253</v>
      </c>
      <c r="M5139" t="s">
        <v>134</v>
      </c>
      <c r="N5139">
        <v>40.355711999999997</v>
      </c>
      <c r="O5139">
        <v>-110.323359</v>
      </c>
      <c r="P5139">
        <v>6330.0606870000001</v>
      </c>
      <c r="Q5139">
        <v>323</v>
      </c>
      <c r="R5139">
        <v>0</v>
      </c>
    </row>
    <row r="5140" spans="1:18" x14ac:dyDescent="0.25">
      <c r="A5140">
        <v>5139</v>
      </c>
      <c r="B5140">
        <v>94</v>
      </c>
      <c r="C5140">
        <v>31754681</v>
      </c>
      <c r="D5140" t="s">
        <v>231</v>
      </c>
      <c r="E5140">
        <v>19.09</v>
      </c>
      <c r="F5140" t="s">
        <v>21</v>
      </c>
      <c r="G5140" t="s">
        <v>26</v>
      </c>
      <c r="H5140" t="s">
        <v>21</v>
      </c>
      <c r="I5140" t="s">
        <v>20</v>
      </c>
      <c r="J5140" t="s">
        <v>20</v>
      </c>
      <c r="K5140" t="s">
        <v>41</v>
      </c>
      <c r="L5140" t="s">
        <v>57</v>
      </c>
      <c r="M5140" t="s">
        <v>93</v>
      </c>
      <c r="N5140">
        <v>41.312154</v>
      </c>
      <c r="O5140">
        <v>-112.027703</v>
      </c>
      <c r="P5140">
        <v>4207.5087739999999</v>
      </c>
      <c r="Q5140">
        <v>1409</v>
      </c>
      <c r="R5140">
        <v>0</v>
      </c>
    </row>
    <row r="5141" spans="1:18" x14ac:dyDescent="0.25">
      <c r="A5141">
        <v>5140</v>
      </c>
      <c r="B5141">
        <v>94</v>
      </c>
      <c r="C5141">
        <v>27874347</v>
      </c>
      <c r="D5141" t="s">
        <v>91</v>
      </c>
      <c r="E5141">
        <v>19.113</v>
      </c>
      <c r="F5141" t="s">
        <v>21</v>
      </c>
      <c r="G5141" t="s">
        <v>20</v>
      </c>
      <c r="H5141" t="s">
        <v>21</v>
      </c>
      <c r="I5141" t="s">
        <v>20</v>
      </c>
      <c r="J5141" t="s">
        <v>20</v>
      </c>
      <c r="K5141" t="s">
        <v>41</v>
      </c>
      <c r="L5141" t="s">
        <v>95</v>
      </c>
      <c r="M5141" t="s">
        <v>73</v>
      </c>
      <c r="N5141">
        <v>41.861932000000003</v>
      </c>
      <c r="O5141">
        <v>-111.97989099999999</v>
      </c>
      <c r="P5141">
        <v>4478.7797179999998</v>
      </c>
      <c r="Q5141">
        <v>1339</v>
      </c>
      <c r="R5141">
        <v>0</v>
      </c>
    </row>
    <row r="5142" spans="1:18" x14ac:dyDescent="0.25">
      <c r="A5142">
        <v>5141</v>
      </c>
      <c r="B5142">
        <v>94</v>
      </c>
      <c r="C5142" t="e">
        <f>-JMHgyM4Hc1-yRzqcK5TKF</f>
        <v>#NAME?</v>
      </c>
      <c r="D5142" t="s">
        <v>88</v>
      </c>
      <c r="E5142">
        <v>19.117999999999999</v>
      </c>
      <c r="F5142" t="s">
        <v>21</v>
      </c>
      <c r="G5142" t="s">
        <v>20</v>
      </c>
      <c r="H5142" t="s">
        <v>21</v>
      </c>
      <c r="I5142" t="s">
        <v>20</v>
      </c>
      <c r="J5142" t="s">
        <v>20</v>
      </c>
      <c r="K5142" t="s">
        <v>31</v>
      </c>
      <c r="L5142" t="s">
        <v>66</v>
      </c>
      <c r="M5142" t="s">
        <v>90</v>
      </c>
      <c r="N5142">
        <v>40.712054999999999</v>
      </c>
      <c r="O5142">
        <v>-111.871172</v>
      </c>
      <c r="P5142">
        <v>4231.1323780000002</v>
      </c>
      <c r="Q5142">
        <v>318</v>
      </c>
      <c r="R5142">
        <v>0</v>
      </c>
    </row>
    <row r="5143" spans="1:18" x14ac:dyDescent="0.25">
      <c r="A5143">
        <v>5142</v>
      </c>
      <c r="B5143">
        <v>94</v>
      </c>
      <c r="C5143" t="e">
        <f>-IoLrwroIauNzyNKcDqlHF</f>
        <v>#NAME?</v>
      </c>
      <c r="D5143" t="s">
        <v>304</v>
      </c>
      <c r="E5143">
        <v>13.694000000000001</v>
      </c>
      <c r="F5143" t="s">
        <v>21</v>
      </c>
      <c r="G5143" t="s">
        <v>20</v>
      </c>
      <c r="H5143" t="s">
        <v>21</v>
      </c>
      <c r="I5143" t="s">
        <v>20</v>
      </c>
      <c r="J5143" t="s">
        <v>20</v>
      </c>
      <c r="K5143" t="s">
        <v>41</v>
      </c>
      <c r="L5143" t="s">
        <v>223</v>
      </c>
      <c r="M5143" t="s">
        <v>43</v>
      </c>
      <c r="N5143">
        <v>41.711156000000003</v>
      </c>
      <c r="O5143">
        <v>-112.09065</v>
      </c>
      <c r="P5143">
        <v>4281.8764579999997</v>
      </c>
      <c r="Q5143">
        <v>1348</v>
      </c>
      <c r="R5143">
        <v>0</v>
      </c>
    </row>
    <row r="5144" spans="1:18" x14ac:dyDescent="0.25">
      <c r="A5144">
        <v>5143</v>
      </c>
      <c r="B5144">
        <v>94</v>
      </c>
      <c r="C5144">
        <v>31652687</v>
      </c>
      <c r="D5144" t="s">
        <v>240</v>
      </c>
      <c r="E5144">
        <v>13.696</v>
      </c>
      <c r="F5144" t="s">
        <v>21</v>
      </c>
      <c r="G5144" t="s">
        <v>26</v>
      </c>
      <c r="H5144" t="s">
        <v>21</v>
      </c>
      <c r="I5144" t="s">
        <v>20</v>
      </c>
      <c r="J5144" t="s">
        <v>20</v>
      </c>
      <c r="K5144" t="s">
        <v>27</v>
      </c>
      <c r="L5144" t="s">
        <v>146</v>
      </c>
      <c r="M5144" t="s">
        <v>147</v>
      </c>
      <c r="N5144">
        <v>38.345117000000002</v>
      </c>
      <c r="O5144">
        <v>-109.187854</v>
      </c>
      <c r="P5144">
        <v>7493.8930950000004</v>
      </c>
      <c r="Q5144">
        <v>1355</v>
      </c>
      <c r="R5144">
        <v>0</v>
      </c>
    </row>
    <row r="5145" spans="1:18" x14ac:dyDescent="0.25">
      <c r="A5145">
        <v>5144</v>
      </c>
      <c r="B5145">
        <v>94</v>
      </c>
      <c r="C5145">
        <v>27883765</v>
      </c>
      <c r="D5145" t="s">
        <v>136</v>
      </c>
      <c r="E5145">
        <v>13.705</v>
      </c>
      <c r="F5145" t="s">
        <v>21</v>
      </c>
      <c r="G5145" t="s">
        <v>26</v>
      </c>
      <c r="H5145" t="s">
        <v>21</v>
      </c>
      <c r="I5145" t="s">
        <v>20</v>
      </c>
      <c r="J5145" t="s">
        <v>20</v>
      </c>
      <c r="K5145" t="s">
        <v>41</v>
      </c>
      <c r="L5145" t="s">
        <v>137</v>
      </c>
      <c r="M5145" t="s">
        <v>138</v>
      </c>
      <c r="N5145">
        <v>41.047987999999997</v>
      </c>
      <c r="O5145">
        <v>-111.673114</v>
      </c>
      <c r="P5145">
        <v>5048.9321170000003</v>
      </c>
      <c r="Q5145">
        <v>317</v>
      </c>
      <c r="R5145">
        <v>0</v>
      </c>
    </row>
    <row r="5146" spans="1:18" x14ac:dyDescent="0.25">
      <c r="A5146">
        <v>5145</v>
      </c>
      <c r="B5146">
        <v>94</v>
      </c>
      <c r="C5146" t="e">
        <f>-IovQZhAGwPV4Bv8_-bw6F</f>
        <v>#NAME?</v>
      </c>
      <c r="D5146" t="s">
        <v>118</v>
      </c>
      <c r="E5146">
        <v>13.71</v>
      </c>
      <c r="F5146" t="s">
        <v>21</v>
      </c>
      <c r="G5146" t="s">
        <v>26</v>
      </c>
      <c r="H5146" t="s">
        <v>21</v>
      </c>
      <c r="I5146" t="s">
        <v>20</v>
      </c>
      <c r="J5146" t="s">
        <v>20</v>
      </c>
      <c r="K5146" t="s">
        <v>22</v>
      </c>
      <c r="L5146" t="s">
        <v>35</v>
      </c>
      <c r="M5146" t="s">
        <v>120</v>
      </c>
      <c r="N5146">
        <v>40.551456999999999</v>
      </c>
      <c r="O5146">
        <v>-111.422258</v>
      </c>
      <c r="P5146">
        <v>5652.9783989999996</v>
      </c>
      <c r="Q5146">
        <v>310</v>
      </c>
      <c r="R5146">
        <v>0</v>
      </c>
    </row>
    <row r="5147" spans="1:18" x14ac:dyDescent="0.25">
      <c r="A5147">
        <v>5146</v>
      </c>
      <c r="B5147">
        <v>94</v>
      </c>
      <c r="C5147">
        <v>31526449</v>
      </c>
      <c r="D5147" t="s">
        <v>390</v>
      </c>
      <c r="E5147">
        <v>13.712</v>
      </c>
      <c r="F5147" t="s">
        <v>21</v>
      </c>
      <c r="G5147" t="s">
        <v>20</v>
      </c>
      <c r="H5147" t="s">
        <v>21</v>
      </c>
      <c r="I5147" t="s">
        <v>20</v>
      </c>
      <c r="J5147" t="s">
        <v>20</v>
      </c>
      <c r="K5147" t="s">
        <v>22</v>
      </c>
      <c r="L5147" t="s">
        <v>60</v>
      </c>
      <c r="M5147" t="s">
        <v>335</v>
      </c>
      <c r="N5147">
        <v>40.448419000000001</v>
      </c>
      <c r="O5147">
        <v>-111.64476000000001</v>
      </c>
      <c r="P5147">
        <v>6386.6992099999998</v>
      </c>
      <c r="Q5147">
        <v>1386</v>
      </c>
      <c r="R5147">
        <v>0</v>
      </c>
    </row>
    <row r="5148" spans="1:18" x14ac:dyDescent="0.25">
      <c r="A5148">
        <v>5147</v>
      </c>
      <c r="B5148">
        <v>94</v>
      </c>
      <c r="C5148">
        <v>31504027</v>
      </c>
      <c r="D5148" t="s">
        <v>224</v>
      </c>
      <c r="E5148">
        <v>13.714</v>
      </c>
      <c r="F5148" t="s">
        <v>21</v>
      </c>
      <c r="G5148" t="s">
        <v>26</v>
      </c>
      <c r="H5148" t="s">
        <v>21</v>
      </c>
      <c r="I5148" t="s">
        <v>20</v>
      </c>
      <c r="J5148" t="s">
        <v>20</v>
      </c>
      <c r="K5148" t="s">
        <v>22</v>
      </c>
      <c r="L5148" t="s">
        <v>140</v>
      </c>
      <c r="M5148" t="s">
        <v>194</v>
      </c>
      <c r="N5148">
        <v>40.100143000000003</v>
      </c>
      <c r="O5148">
        <v>-111.630877</v>
      </c>
      <c r="P5148">
        <v>4668.0614889999997</v>
      </c>
      <c r="Q5148">
        <v>408</v>
      </c>
      <c r="R5148">
        <v>0</v>
      </c>
    </row>
    <row r="5149" spans="1:18" x14ac:dyDescent="0.25">
      <c r="A5149">
        <v>5148</v>
      </c>
      <c r="B5149">
        <v>94</v>
      </c>
      <c r="C5149">
        <v>28358777</v>
      </c>
      <c r="D5149" t="s">
        <v>323</v>
      </c>
      <c r="E5149">
        <v>13.721</v>
      </c>
      <c r="F5149" t="s">
        <v>21</v>
      </c>
      <c r="G5149" t="s">
        <v>26</v>
      </c>
      <c r="H5149" t="s">
        <v>21</v>
      </c>
      <c r="I5149" t="s">
        <v>20</v>
      </c>
      <c r="J5149" t="s">
        <v>20</v>
      </c>
      <c r="K5149" t="s">
        <v>31</v>
      </c>
      <c r="L5149" t="s">
        <v>130</v>
      </c>
      <c r="M5149" t="s">
        <v>131</v>
      </c>
      <c r="N5149">
        <v>40.658593000000003</v>
      </c>
      <c r="O5149">
        <v>-111.280765</v>
      </c>
      <c r="P5149">
        <v>6365.1785319999999</v>
      </c>
      <c r="Q5149">
        <v>1345</v>
      </c>
      <c r="R5149">
        <v>0</v>
      </c>
    </row>
    <row r="5150" spans="1:18" x14ac:dyDescent="0.25">
      <c r="A5150">
        <v>5149</v>
      </c>
      <c r="B5150">
        <v>94</v>
      </c>
      <c r="C5150" t="s">
        <v>708</v>
      </c>
      <c r="D5150" t="s">
        <v>184</v>
      </c>
      <c r="E5150">
        <v>13.725</v>
      </c>
      <c r="F5150" t="s">
        <v>21</v>
      </c>
      <c r="G5150" t="s">
        <v>20</v>
      </c>
      <c r="H5150" t="s">
        <v>21</v>
      </c>
      <c r="I5150" t="s">
        <v>20</v>
      </c>
      <c r="J5150" t="s">
        <v>20</v>
      </c>
      <c r="K5150" t="s">
        <v>27</v>
      </c>
      <c r="L5150" t="s">
        <v>54</v>
      </c>
      <c r="M5150" t="s">
        <v>55</v>
      </c>
      <c r="N5150">
        <v>37.834958</v>
      </c>
      <c r="O5150">
        <v>-113.05016500000001</v>
      </c>
      <c r="P5150">
        <v>5348.8267230000001</v>
      </c>
      <c r="Q5150">
        <v>1410</v>
      </c>
      <c r="R5150">
        <v>0</v>
      </c>
    </row>
    <row r="5151" spans="1:18" x14ac:dyDescent="0.25">
      <c r="A5151">
        <v>5150</v>
      </c>
      <c r="B5151">
        <v>94</v>
      </c>
      <c r="C5151" t="s">
        <v>709</v>
      </c>
      <c r="D5151" t="s">
        <v>272</v>
      </c>
      <c r="E5151">
        <v>178.54499999999999</v>
      </c>
      <c r="F5151" t="s">
        <v>21</v>
      </c>
      <c r="G5151" t="s">
        <v>26</v>
      </c>
      <c r="H5151" t="s">
        <v>21</v>
      </c>
      <c r="I5151" t="s">
        <v>20</v>
      </c>
      <c r="J5151" t="s">
        <v>20</v>
      </c>
      <c r="K5151" t="s">
        <v>27</v>
      </c>
      <c r="L5151" t="s">
        <v>64</v>
      </c>
      <c r="M5151" t="s">
        <v>214</v>
      </c>
      <c r="N5151">
        <v>38.441943000000002</v>
      </c>
      <c r="O5151">
        <v>-112.229911</v>
      </c>
      <c r="P5151">
        <v>5903.6380289999997</v>
      </c>
      <c r="Q5151">
        <v>1384</v>
      </c>
      <c r="R5151">
        <v>0</v>
      </c>
    </row>
    <row r="5152" spans="1:18" x14ac:dyDescent="0.25">
      <c r="A5152">
        <v>5151</v>
      </c>
      <c r="B5152">
        <v>94</v>
      </c>
      <c r="C5152" t="e">
        <f>-IoIPLneFRecbrwKDmnOgk</f>
        <v>#NAME?</v>
      </c>
      <c r="D5152" t="s">
        <v>272</v>
      </c>
      <c r="E5152">
        <v>178.934</v>
      </c>
      <c r="F5152" t="s">
        <v>21</v>
      </c>
      <c r="G5152" t="s">
        <v>26</v>
      </c>
      <c r="H5152" t="s">
        <v>21</v>
      </c>
      <c r="I5152" t="s">
        <v>20</v>
      </c>
      <c r="J5152" t="s">
        <v>20</v>
      </c>
      <c r="K5152" t="s">
        <v>27</v>
      </c>
      <c r="L5152" t="s">
        <v>64</v>
      </c>
      <c r="M5152" t="s">
        <v>214</v>
      </c>
      <c r="N5152">
        <v>38.447586000000001</v>
      </c>
      <c r="O5152">
        <v>-112.230221</v>
      </c>
      <c r="P5152">
        <v>5816.2354169999999</v>
      </c>
      <c r="Q5152">
        <v>1384</v>
      </c>
      <c r="R5152">
        <v>0</v>
      </c>
    </row>
    <row r="5153" spans="1:18" x14ac:dyDescent="0.25">
      <c r="A5153">
        <v>5152</v>
      </c>
      <c r="B5153">
        <v>94</v>
      </c>
      <c r="C5153">
        <v>526934</v>
      </c>
      <c r="D5153" t="s">
        <v>47</v>
      </c>
      <c r="E5153">
        <v>0.125</v>
      </c>
      <c r="F5153" t="s">
        <v>21</v>
      </c>
      <c r="G5153" t="s">
        <v>26</v>
      </c>
      <c r="H5153" t="s">
        <v>21</v>
      </c>
      <c r="I5153" t="s">
        <v>20</v>
      </c>
      <c r="J5153" t="s">
        <v>20</v>
      </c>
      <c r="K5153" t="s">
        <v>31</v>
      </c>
      <c r="L5153" t="s">
        <v>48</v>
      </c>
      <c r="M5153" t="s">
        <v>49</v>
      </c>
      <c r="N5153">
        <v>40.544032999999999</v>
      </c>
      <c r="O5153">
        <v>-111.981538</v>
      </c>
      <c r="P5153">
        <v>4583.9094169999998</v>
      </c>
      <c r="Q5153">
        <v>6715</v>
      </c>
      <c r="R5153">
        <v>0</v>
      </c>
    </row>
    <row r="5154" spans="1:18" x14ac:dyDescent="0.25">
      <c r="A5154">
        <v>5153</v>
      </c>
      <c r="B5154">
        <v>94</v>
      </c>
      <c r="C5154">
        <v>31662540</v>
      </c>
      <c r="D5154" t="s">
        <v>170</v>
      </c>
      <c r="E5154">
        <v>0.127</v>
      </c>
      <c r="F5154" t="s">
        <v>21</v>
      </c>
      <c r="G5154" t="s">
        <v>361</v>
      </c>
      <c r="H5154" t="s">
        <v>21</v>
      </c>
      <c r="I5154" t="s">
        <v>20</v>
      </c>
      <c r="J5154" t="s">
        <v>20</v>
      </c>
      <c r="K5154" t="s">
        <v>41</v>
      </c>
      <c r="L5154" t="s">
        <v>81</v>
      </c>
      <c r="M5154" t="s">
        <v>82</v>
      </c>
      <c r="N5154">
        <v>41.190221000000001</v>
      </c>
      <c r="O5154">
        <v>-111.94779200000001</v>
      </c>
      <c r="P5154">
        <v>4613.7095630000003</v>
      </c>
      <c r="Q5154">
        <v>1284</v>
      </c>
      <c r="R5154">
        <v>0</v>
      </c>
    </row>
    <row r="5155" spans="1:18" x14ac:dyDescent="0.25">
      <c r="A5155">
        <v>5154</v>
      </c>
      <c r="B5155">
        <v>94</v>
      </c>
      <c r="C5155">
        <v>967337</v>
      </c>
      <c r="D5155" t="s">
        <v>599</v>
      </c>
      <c r="E5155">
        <v>0.129</v>
      </c>
      <c r="F5155" t="s">
        <v>21</v>
      </c>
      <c r="G5155" t="s">
        <v>26</v>
      </c>
      <c r="H5155" t="s">
        <v>21</v>
      </c>
      <c r="I5155" t="s">
        <v>20</v>
      </c>
      <c r="J5155" t="s">
        <v>20</v>
      </c>
      <c r="K5155" t="s">
        <v>41</v>
      </c>
      <c r="L5155" t="s">
        <v>45</v>
      </c>
      <c r="M5155" t="s">
        <v>67</v>
      </c>
      <c r="N5155">
        <v>40.861080999999999</v>
      </c>
      <c r="O5155">
        <v>-111.900919</v>
      </c>
      <c r="P5155">
        <v>4272.3964640000004</v>
      </c>
      <c r="Q5155">
        <v>1387</v>
      </c>
      <c r="R5155">
        <v>0</v>
      </c>
    </row>
    <row r="5156" spans="1:18" x14ac:dyDescent="0.25">
      <c r="A5156">
        <v>5155</v>
      </c>
      <c r="B5156">
        <v>94</v>
      </c>
      <c r="C5156">
        <v>31256523</v>
      </c>
      <c r="D5156" t="s">
        <v>241</v>
      </c>
      <c r="E5156">
        <v>0.13</v>
      </c>
      <c r="F5156" t="s">
        <v>21</v>
      </c>
      <c r="G5156" t="s">
        <v>26</v>
      </c>
      <c r="H5156" t="s">
        <v>21</v>
      </c>
      <c r="I5156" t="s">
        <v>20</v>
      </c>
      <c r="J5156" t="s">
        <v>20</v>
      </c>
      <c r="K5156" t="s">
        <v>27</v>
      </c>
      <c r="L5156" t="s">
        <v>242</v>
      </c>
      <c r="M5156" t="s">
        <v>243</v>
      </c>
      <c r="N5156">
        <v>38.766773999999998</v>
      </c>
      <c r="O5156">
        <v>-111.349374</v>
      </c>
      <c r="P5156">
        <v>6432.2785279999998</v>
      </c>
      <c r="Q5156">
        <v>1327</v>
      </c>
      <c r="R5156">
        <v>0</v>
      </c>
    </row>
    <row r="5157" spans="1:18" x14ac:dyDescent="0.25">
      <c r="A5157">
        <v>5156</v>
      </c>
      <c r="B5157">
        <v>94</v>
      </c>
      <c r="C5157">
        <v>27283273</v>
      </c>
      <c r="D5157" t="s">
        <v>150</v>
      </c>
      <c r="E5157">
        <v>0.13</v>
      </c>
      <c r="F5157" t="s">
        <v>21</v>
      </c>
      <c r="G5157" t="s">
        <v>26</v>
      </c>
      <c r="H5157" t="s">
        <v>21</v>
      </c>
      <c r="I5157" t="s">
        <v>20</v>
      </c>
      <c r="J5157" t="s">
        <v>20</v>
      </c>
      <c r="K5157" t="s">
        <v>27</v>
      </c>
      <c r="L5157" t="s">
        <v>151</v>
      </c>
      <c r="M5157" t="s">
        <v>152</v>
      </c>
      <c r="N5157">
        <v>38.991776000000002</v>
      </c>
      <c r="O5157">
        <v>-110.187788</v>
      </c>
      <c r="P5157">
        <v>4029.426798</v>
      </c>
      <c r="Q5157">
        <v>1336</v>
      </c>
      <c r="R5157">
        <v>0</v>
      </c>
    </row>
    <row r="5158" spans="1:18" x14ac:dyDescent="0.25">
      <c r="A5158">
        <v>5157</v>
      </c>
      <c r="B5158">
        <v>94</v>
      </c>
      <c r="C5158">
        <v>31462294</v>
      </c>
      <c r="D5158" t="s">
        <v>710</v>
      </c>
      <c r="E5158">
        <v>0.13200000000000001</v>
      </c>
      <c r="F5158" t="s">
        <v>21</v>
      </c>
      <c r="G5158" t="s">
        <v>26</v>
      </c>
      <c r="H5158" t="s">
        <v>21</v>
      </c>
      <c r="I5158" t="s">
        <v>20</v>
      </c>
      <c r="J5158" t="s">
        <v>20</v>
      </c>
      <c r="K5158" t="s">
        <v>22</v>
      </c>
      <c r="L5158" t="s">
        <v>35</v>
      </c>
      <c r="M5158" t="s">
        <v>169</v>
      </c>
      <c r="N5158">
        <v>40.625712</v>
      </c>
      <c r="O5158">
        <v>-111.43966399999999</v>
      </c>
      <c r="P5158">
        <v>6391.9451250000002</v>
      </c>
      <c r="Q5158">
        <v>369</v>
      </c>
      <c r="R5158">
        <v>0</v>
      </c>
    </row>
    <row r="5159" spans="1:18" x14ac:dyDescent="0.25">
      <c r="A5159">
        <v>5158</v>
      </c>
      <c r="B5159">
        <v>94</v>
      </c>
      <c r="C5159">
        <v>31747005</v>
      </c>
      <c r="D5159" t="s">
        <v>322</v>
      </c>
      <c r="E5159">
        <v>0.13200000000000001</v>
      </c>
      <c r="F5159" t="s">
        <v>21</v>
      </c>
      <c r="G5159" t="s">
        <v>20</v>
      </c>
      <c r="H5159" t="s">
        <v>21</v>
      </c>
      <c r="I5159" t="s">
        <v>20</v>
      </c>
      <c r="J5159" t="s">
        <v>20</v>
      </c>
      <c r="K5159" t="s">
        <v>22</v>
      </c>
      <c r="L5159" t="s">
        <v>84</v>
      </c>
      <c r="M5159" t="s">
        <v>24</v>
      </c>
      <c r="N5159">
        <v>40.412885000000003</v>
      </c>
      <c r="O5159">
        <v>-111.86886199999999</v>
      </c>
      <c r="P5159">
        <v>4509.6659559999998</v>
      </c>
      <c r="Q5159">
        <v>6660</v>
      </c>
      <c r="R5159">
        <v>0</v>
      </c>
    </row>
    <row r="5160" spans="1:18" x14ac:dyDescent="0.25">
      <c r="A5160">
        <v>5159</v>
      </c>
      <c r="B5160">
        <v>94</v>
      </c>
      <c r="C5160">
        <v>27566557</v>
      </c>
      <c r="D5160" t="s">
        <v>201</v>
      </c>
      <c r="E5160">
        <v>0.13400000000000001</v>
      </c>
      <c r="F5160" t="s">
        <v>21</v>
      </c>
      <c r="G5160" t="s">
        <v>26</v>
      </c>
      <c r="H5160" t="s">
        <v>21</v>
      </c>
      <c r="I5160" t="s">
        <v>20</v>
      </c>
      <c r="J5160" t="s">
        <v>20</v>
      </c>
      <c r="K5160" t="s">
        <v>27</v>
      </c>
      <c r="L5160" t="s">
        <v>202</v>
      </c>
      <c r="M5160" t="s">
        <v>104</v>
      </c>
      <c r="N5160">
        <v>39.083061000000001</v>
      </c>
      <c r="O5160">
        <v>-112.277666</v>
      </c>
      <c r="P5160">
        <v>5075.925338</v>
      </c>
      <c r="Q5160">
        <v>1366</v>
      </c>
      <c r="R5160">
        <v>0</v>
      </c>
    </row>
    <row r="5161" spans="1:18" x14ac:dyDescent="0.25">
      <c r="A5161">
        <v>5160</v>
      </c>
      <c r="B5161">
        <v>94</v>
      </c>
      <c r="C5161">
        <v>669039</v>
      </c>
      <c r="D5161" t="s">
        <v>383</v>
      </c>
      <c r="E5161">
        <v>17.811</v>
      </c>
      <c r="F5161" t="s">
        <v>21</v>
      </c>
      <c r="G5161" t="s">
        <v>26</v>
      </c>
      <c r="H5161" t="s">
        <v>21</v>
      </c>
      <c r="I5161" t="s">
        <v>20</v>
      </c>
      <c r="J5161" t="s">
        <v>20</v>
      </c>
      <c r="K5161" t="s">
        <v>31</v>
      </c>
      <c r="L5161" t="s">
        <v>32</v>
      </c>
      <c r="M5161" t="s">
        <v>384</v>
      </c>
      <c r="N5161">
        <v>40.572397000000002</v>
      </c>
      <c r="O5161">
        <v>-111.795574</v>
      </c>
      <c r="P5161">
        <v>5186.8320000000003</v>
      </c>
      <c r="Q5161">
        <v>414</v>
      </c>
      <c r="R5161">
        <v>0</v>
      </c>
    </row>
    <row r="5162" spans="1:18" x14ac:dyDescent="0.25">
      <c r="A5162">
        <v>5161</v>
      </c>
      <c r="B5162">
        <v>94</v>
      </c>
      <c r="C5162">
        <v>669046</v>
      </c>
      <c r="D5162" t="s">
        <v>383</v>
      </c>
      <c r="E5162">
        <v>17.940000000000001</v>
      </c>
      <c r="F5162" t="s">
        <v>21</v>
      </c>
      <c r="G5162" t="s">
        <v>26</v>
      </c>
      <c r="H5162" t="s">
        <v>21</v>
      </c>
      <c r="I5162" t="s">
        <v>20</v>
      </c>
      <c r="J5162" t="s">
        <v>20</v>
      </c>
      <c r="K5162" t="s">
        <v>31</v>
      </c>
      <c r="L5162" t="s">
        <v>32</v>
      </c>
      <c r="M5162" t="s">
        <v>384</v>
      </c>
      <c r="N5162">
        <v>40.572754000000003</v>
      </c>
      <c r="O5162">
        <v>-111.79320300000001</v>
      </c>
      <c r="P5162">
        <v>5191.2380000000003</v>
      </c>
      <c r="Q5162">
        <v>414</v>
      </c>
      <c r="R5162">
        <v>0</v>
      </c>
    </row>
    <row r="5163" spans="1:18" x14ac:dyDescent="0.25">
      <c r="A5163">
        <v>5162</v>
      </c>
      <c r="B5163">
        <v>94</v>
      </c>
      <c r="C5163">
        <v>671280</v>
      </c>
      <c r="D5163" t="s">
        <v>383</v>
      </c>
      <c r="E5163">
        <v>18.170000000000002</v>
      </c>
      <c r="F5163" t="s">
        <v>21</v>
      </c>
      <c r="G5163" t="s">
        <v>26</v>
      </c>
      <c r="H5163" t="s">
        <v>21</v>
      </c>
      <c r="I5163" t="s">
        <v>20</v>
      </c>
      <c r="J5163" t="s">
        <v>20</v>
      </c>
      <c r="K5163" t="s">
        <v>31</v>
      </c>
      <c r="L5163" t="s">
        <v>32</v>
      </c>
      <c r="M5163" t="s">
        <v>384</v>
      </c>
      <c r="N5163">
        <v>40.573096</v>
      </c>
      <c r="O5163">
        <v>-111.788854</v>
      </c>
      <c r="P5163">
        <v>5222.88</v>
      </c>
      <c r="Q5163">
        <v>414</v>
      </c>
      <c r="R5163">
        <v>0</v>
      </c>
    </row>
    <row r="5164" spans="1:18" x14ac:dyDescent="0.25">
      <c r="A5164">
        <v>5163</v>
      </c>
      <c r="B5164">
        <v>94</v>
      </c>
      <c r="C5164">
        <v>31583400</v>
      </c>
      <c r="D5164" t="s">
        <v>172</v>
      </c>
      <c r="E5164">
        <v>56.726999999999997</v>
      </c>
      <c r="F5164" t="s">
        <v>21</v>
      </c>
      <c r="G5164" t="s">
        <v>26</v>
      </c>
      <c r="H5164" t="s">
        <v>21</v>
      </c>
      <c r="I5164" t="s">
        <v>20</v>
      </c>
      <c r="J5164" t="s">
        <v>20</v>
      </c>
      <c r="K5164" t="s">
        <v>27</v>
      </c>
      <c r="L5164" t="s">
        <v>230</v>
      </c>
      <c r="M5164" t="s">
        <v>174</v>
      </c>
      <c r="N5164">
        <v>39.512701</v>
      </c>
      <c r="O5164">
        <v>-111.571112</v>
      </c>
      <c r="P5164">
        <v>5478.0914339999999</v>
      </c>
      <c r="Q5164">
        <v>1411</v>
      </c>
      <c r="R5164">
        <v>0</v>
      </c>
    </row>
    <row r="5165" spans="1:18" x14ac:dyDescent="0.25">
      <c r="A5165">
        <v>5164</v>
      </c>
      <c r="B5165">
        <v>94</v>
      </c>
      <c r="C5165">
        <v>31777881</v>
      </c>
      <c r="D5165" t="s">
        <v>281</v>
      </c>
      <c r="E5165">
        <v>56.779000000000003</v>
      </c>
      <c r="F5165" t="s">
        <v>19</v>
      </c>
      <c r="G5165" t="s">
        <v>20</v>
      </c>
      <c r="H5165" t="s">
        <v>21</v>
      </c>
      <c r="I5165" t="s">
        <v>20</v>
      </c>
      <c r="J5165" t="s">
        <v>20</v>
      </c>
      <c r="K5165" t="s">
        <v>31</v>
      </c>
      <c r="L5165" t="s">
        <v>282</v>
      </c>
      <c r="M5165" t="s">
        <v>174</v>
      </c>
      <c r="N5165">
        <v>40.565569000000004</v>
      </c>
      <c r="O5165">
        <v>-112.29600600000001</v>
      </c>
      <c r="P5165">
        <v>4688.1045199999999</v>
      </c>
      <c r="Q5165">
        <v>1347</v>
      </c>
      <c r="R5165">
        <v>0</v>
      </c>
    </row>
    <row r="5166" spans="1:18" x14ac:dyDescent="0.25">
      <c r="A5166">
        <v>5165</v>
      </c>
      <c r="B5166">
        <v>94</v>
      </c>
      <c r="C5166">
        <v>31503940</v>
      </c>
      <c r="D5166" t="s">
        <v>124</v>
      </c>
      <c r="E5166">
        <v>56.822000000000003</v>
      </c>
      <c r="F5166" t="s">
        <v>19</v>
      </c>
      <c r="G5166" t="s">
        <v>20</v>
      </c>
      <c r="H5166" t="s">
        <v>21</v>
      </c>
      <c r="I5166" t="s">
        <v>20</v>
      </c>
      <c r="J5166" t="s">
        <v>20</v>
      </c>
      <c r="K5166" t="s">
        <v>31</v>
      </c>
      <c r="L5166" t="s">
        <v>362</v>
      </c>
      <c r="M5166" t="s">
        <v>365</v>
      </c>
      <c r="N5166">
        <v>40.733144000000003</v>
      </c>
      <c r="O5166">
        <v>-111.93903</v>
      </c>
      <c r="P5166">
        <v>4177.9765669999997</v>
      </c>
      <c r="Q5166">
        <v>1368</v>
      </c>
      <c r="R5166">
        <v>0</v>
      </c>
    </row>
    <row r="5167" spans="1:18" x14ac:dyDescent="0.25">
      <c r="A5167">
        <v>5166</v>
      </c>
      <c r="B5167">
        <v>94</v>
      </c>
      <c r="C5167">
        <v>31353434</v>
      </c>
      <c r="D5167" t="s">
        <v>142</v>
      </c>
      <c r="E5167">
        <v>56.887999999999998</v>
      </c>
      <c r="F5167" t="s">
        <v>21</v>
      </c>
      <c r="G5167" t="s">
        <v>26</v>
      </c>
      <c r="H5167" t="s">
        <v>21</v>
      </c>
      <c r="I5167" t="s">
        <v>20</v>
      </c>
      <c r="J5167" t="s">
        <v>20</v>
      </c>
      <c r="K5167" t="s">
        <v>27</v>
      </c>
      <c r="L5167" t="s">
        <v>143</v>
      </c>
      <c r="M5167" t="s">
        <v>106</v>
      </c>
      <c r="N5167">
        <v>38.449449000000001</v>
      </c>
      <c r="O5167">
        <v>-113.342404</v>
      </c>
      <c r="P5167">
        <v>5125.1369249999998</v>
      </c>
      <c r="Q5167">
        <v>305</v>
      </c>
      <c r="R5167">
        <v>0</v>
      </c>
    </row>
    <row r="5168" spans="1:18" x14ac:dyDescent="0.25">
      <c r="A5168">
        <v>5167</v>
      </c>
      <c r="B5168">
        <v>94</v>
      </c>
      <c r="C5168">
        <v>31747614</v>
      </c>
      <c r="D5168" t="s">
        <v>290</v>
      </c>
      <c r="E5168">
        <v>56.927</v>
      </c>
      <c r="F5168" t="s">
        <v>21</v>
      </c>
      <c r="G5168" t="s">
        <v>20</v>
      </c>
      <c r="H5168" t="s">
        <v>21</v>
      </c>
      <c r="I5168" t="s">
        <v>20</v>
      </c>
      <c r="J5168" t="s">
        <v>20</v>
      </c>
      <c r="K5168" t="s">
        <v>41</v>
      </c>
      <c r="L5168" t="s">
        <v>291</v>
      </c>
      <c r="M5168" t="s">
        <v>238</v>
      </c>
      <c r="N5168">
        <v>41.817149999999998</v>
      </c>
      <c r="O5168">
        <v>-113.290736</v>
      </c>
      <c r="P5168">
        <v>5472.6325399999996</v>
      </c>
      <c r="Q5168">
        <v>1343</v>
      </c>
      <c r="R5168">
        <v>0</v>
      </c>
    </row>
    <row r="5169" spans="1:18" x14ac:dyDescent="0.25">
      <c r="A5169">
        <v>5168</v>
      </c>
      <c r="B5169">
        <v>94</v>
      </c>
      <c r="C5169">
        <v>31504487</v>
      </c>
      <c r="D5169" t="s">
        <v>124</v>
      </c>
      <c r="E5169">
        <v>56.95</v>
      </c>
      <c r="F5169" t="s">
        <v>21</v>
      </c>
      <c r="G5169" t="s">
        <v>26</v>
      </c>
      <c r="H5169" t="s">
        <v>21</v>
      </c>
      <c r="I5169" t="s">
        <v>20</v>
      </c>
      <c r="J5169" t="s">
        <v>20</v>
      </c>
      <c r="K5169" t="s">
        <v>31</v>
      </c>
      <c r="L5169" t="s">
        <v>362</v>
      </c>
      <c r="M5169" t="s">
        <v>365</v>
      </c>
      <c r="N5169">
        <v>40.735002999999999</v>
      </c>
      <c r="O5169">
        <v>-111.938975</v>
      </c>
      <c r="P5169">
        <v>4176.9814219999998</v>
      </c>
      <c r="Q5169">
        <v>1368</v>
      </c>
      <c r="R5169">
        <v>0</v>
      </c>
    </row>
    <row r="5170" spans="1:18" x14ac:dyDescent="0.25">
      <c r="A5170">
        <v>5169</v>
      </c>
      <c r="B5170">
        <v>94</v>
      </c>
      <c r="C5170">
        <v>31395181</v>
      </c>
      <c r="D5170" t="s">
        <v>114</v>
      </c>
      <c r="E5170">
        <v>6.766</v>
      </c>
      <c r="F5170" t="s">
        <v>19</v>
      </c>
      <c r="G5170" t="s">
        <v>20</v>
      </c>
      <c r="H5170" t="s">
        <v>21</v>
      </c>
      <c r="I5170" t="s">
        <v>20</v>
      </c>
      <c r="J5170" t="s">
        <v>20</v>
      </c>
      <c r="K5170" t="s">
        <v>41</v>
      </c>
      <c r="L5170" t="s">
        <v>87</v>
      </c>
      <c r="M5170" t="s">
        <v>82</v>
      </c>
      <c r="N5170">
        <v>41.101236999999998</v>
      </c>
      <c r="O5170">
        <v>-111.939127</v>
      </c>
      <c r="P5170">
        <v>4745.2648769999996</v>
      </c>
      <c r="Q5170">
        <v>405</v>
      </c>
      <c r="R5170">
        <v>0</v>
      </c>
    </row>
    <row r="5171" spans="1:18" x14ac:dyDescent="0.25">
      <c r="A5171">
        <v>5170</v>
      </c>
      <c r="B5171">
        <v>94</v>
      </c>
      <c r="C5171">
        <v>28649640</v>
      </c>
      <c r="D5171" t="s">
        <v>192</v>
      </c>
      <c r="E5171">
        <v>6.7670000000000003</v>
      </c>
      <c r="F5171" t="s">
        <v>21</v>
      </c>
      <c r="G5171" t="s">
        <v>26</v>
      </c>
      <c r="H5171" t="s">
        <v>21</v>
      </c>
      <c r="I5171" t="s">
        <v>20</v>
      </c>
      <c r="J5171" t="s">
        <v>20</v>
      </c>
      <c r="K5171" t="s">
        <v>22</v>
      </c>
      <c r="L5171" t="s">
        <v>140</v>
      </c>
      <c r="M5171" t="s">
        <v>125</v>
      </c>
      <c r="N5171">
        <v>40.161278000000003</v>
      </c>
      <c r="O5171">
        <v>-111.654374</v>
      </c>
      <c r="P5171">
        <v>4447.2309070000001</v>
      </c>
      <c r="Q5171">
        <v>1375</v>
      </c>
      <c r="R5171">
        <v>0</v>
      </c>
    </row>
    <row r="5172" spans="1:18" x14ac:dyDescent="0.25">
      <c r="A5172">
        <v>5171</v>
      </c>
      <c r="B5172">
        <v>94</v>
      </c>
      <c r="C5172">
        <v>31496512</v>
      </c>
      <c r="D5172" t="s">
        <v>317</v>
      </c>
      <c r="E5172">
        <v>6.7679999999999998</v>
      </c>
      <c r="F5172" t="s">
        <v>21</v>
      </c>
      <c r="G5172" t="s">
        <v>20</v>
      </c>
      <c r="H5172" t="s">
        <v>21</v>
      </c>
      <c r="I5172" t="s">
        <v>20</v>
      </c>
      <c r="J5172" t="s">
        <v>20</v>
      </c>
      <c r="K5172" t="s">
        <v>27</v>
      </c>
      <c r="L5172" t="s">
        <v>211</v>
      </c>
      <c r="M5172" t="s">
        <v>212</v>
      </c>
      <c r="N5172">
        <v>37.057299</v>
      </c>
      <c r="O5172">
        <v>-110.084817</v>
      </c>
      <c r="P5172">
        <v>5496.2936980000004</v>
      </c>
      <c r="Q5172">
        <v>1432</v>
      </c>
      <c r="R5172">
        <v>0</v>
      </c>
    </row>
    <row r="5173" spans="1:18" x14ac:dyDescent="0.25">
      <c r="A5173">
        <v>5172</v>
      </c>
      <c r="B5173">
        <v>94</v>
      </c>
      <c r="C5173">
        <v>31328293</v>
      </c>
      <c r="D5173" t="s">
        <v>333</v>
      </c>
      <c r="E5173">
        <v>6.7679999999999998</v>
      </c>
      <c r="F5173" t="s">
        <v>19</v>
      </c>
      <c r="G5173" t="s">
        <v>20</v>
      </c>
      <c r="H5173" t="s">
        <v>19</v>
      </c>
      <c r="I5173">
        <v>71</v>
      </c>
      <c r="J5173" t="s">
        <v>20</v>
      </c>
      <c r="K5173" t="s">
        <v>31</v>
      </c>
      <c r="L5173" t="s">
        <v>48</v>
      </c>
      <c r="M5173" t="s">
        <v>49</v>
      </c>
      <c r="N5173">
        <v>40.52223</v>
      </c>
      <c r="O5173">
        <v>-111.984178</v>
      </c>
      <c r="P5173">
        <v>4588.1206970000003</v>
      </c>
      <c r="Q5173">
        <v>1426</v>
      </c>
      <c r="R5173">
        <v>0</v>
      </c>
    </row>
    <row r="5174" spans="1:18" x14ac:dyDescent="0.25">
      <c r="A5174">
        <v>5173</v>
      </c>
      <c r="B5174">
        <v>94</v>
      </c>
      <c r="C5174">
        <v>31654327</v>
      </c>
      <c r="D5174" t="s">
        <v>363</v>
      </c>
      <c r="E5174">
        <v>6.0789999999999997</v>
      </c>
      <c r="F5174" t="s">
        <v>21</v>
      </c>
      <c r="G5174" t="s">
        <v>26</v>
      </c>
      <c r="H5174" t="s">
        <v>21</v>
      </c>
      <c r="I5174" t="s">
        <v>20</v>
      </c>
      <c r="J5174" t="s">
        <v>20</v>
      </c>
      <c r="K5174" t="s">
        <v>41</v>
      </c>
      <c r="L5174" t="s">
        <v>95</v>
      </c>
      <c r="M5174" t="s">
        <v>73</v>
      </c>
      <c r="N5174">
        <v>41.838952999999997</v>
      </c>
      <c r="O5174">
        <v>-111.87409599999999</v>
      </c>
      <c r="P5174">
        <v>4391.6149789999999</v>
      </c>
      <c r="Q5174">
        <v>356</v>
      </c>
      <c r="R5174">
        <v>0</v>
      </c>
    </row>
    <row r="5175" spans="1:18" x14ac:dyDescent="0.25">
      <c r="A5175">
        <v>5174</v>
      </c>
      <c r="B5175">
        <v>94</v>
      </c>
      <c r="C5175">
        <v>31522427</v>
      </c>
      <c r="D5175" t="s">
        <v>231</v>
      </c>
      <c r="E5175">
        <v>6.0830000000000002</v>
      </c>
      <c r="F5175" t="s">
        <v>19</v>
      </c>
      <c r="G5175" t="s">
        <v>20</v>
      </c>
      <c r="H5175" t="s">
        <v>19</v>
      </c>
      <c r="I5175">
        <v>103</v>
      </c>
      <c r="J5175" t="s">
        <v>20</v>
      </c>
      <c r="K5175" t="s">
        <v>41</v>
      </c>
      <c r="L5175" t="s">
        <v>57</v>
      </c>
      <c r="M5175" t="s">
        <v>93</v>
      </c>
      <c r="N5175">
        <v>41.123052999999999</v>
      </c>
      <c r="O5175">
        <v>-112.02602400000001</v>
      </c>
      <c r="P5175">
        <v>4499.4148269999996</v>
      </c>
      <c r="Q5175">
        <v>1409</v>
      </c>
      <c r="R5175">
        <v>0</v>
      </c>
    </row>
    <row r="5176" spans="1:18" x14ac:dyDescent="0.25">
      <c r="A5176">
        <v>5175</v>
      </c>
      <c r="B5176">
        <v>94</v>
      </c>
      <c r="C5176">
        <v>535005</v>
      </c>
      <c r="D5176" t="s">
        <v>44</v>
      </c>
      <c r="E5176">
        <v>6.0839999999999996</v>
      </c>
      <c r="F5176" t="s">
        <v>21</v>
      </c>
      <c r="G5176" t="s">
        <v>26</v>
      </c>
      <c r="H5176" t="s">
        <v>21</v>
      </c>
      <c r="I5176" t="s">
        <v>20</v>
      </c>
      <c r="J5176" t="s">
        <v>20</v>
      </c>
      <c r="K5176" t="s">
        <v>41</v>
      </c>
      <c r="L5176" t="s">
        <v>45</v>
      </c>
      <c r="M5176" t="s">
        <v>46</v>
      </c>
      <c r="N5176">
        <v>40.965153000000001</v>
      </c>
      <c r="O5176">
        <v>-111.883374</v>
      </c>
      <c r="P5176">
        <v>4282.3379500000001</v>
      </c>
      <c r="Q5176">
        <v>1395</v>
      </c>
      <c r="R5176">
        <v>0</v>
      </c>
    </row>
    <row r="5177" spans="1:18" x14ac:dyDescent="0.25">
      <c r="A5177">
        <v>5176</v>
      </c>
      <c r="B5177">
        <v>94</v>
      </c>
      <c r="C5177" t="s">
        <v>711</v>
      </c>
      <c r="D5177" t="s">
        <v>227</v>
      </c>
      <c r="E5177">
        <v>6.0860000000000003</v>
      </c>
      <c r="F5177" t="s">
        <v>21</v>
      </c>
      <c r="G5177" t="s">
        <v>26</v>
      </c>
      <c r="H5177" t="s">
        <v>21</v>
      </c>
      <c r="I5177" t="s">
        <v>20</v>
      </c>
      <c r="J5177" t="s">
        <v>20</v>
      </c>
      <c r="K5177" t="s">
        <v>27</v>
      </c>
      <c r="L5177" t="s">
        <v>158</v>
      </c>
      <c r="M5177" t="s">
        <v>190</v>
      </c>
      <c r="N5177">
        <v>39.536124999999998</v>
      </c>
      <c r="O5177">
        <v>-110.46237000000001</v>
      </c>
      <c r="P5177">
        <v>5936.9829239999999</v>
      </c>
      <c r="Q5177">
        <v>1407</v>
      </c>
      <c r="R5177">
        <v>0</v>
      </c>
    </row>
    <row r="5178" spans="1:18" x14ac:dyDescent="0.25">
      <c r="A5178">
        <v>5177</v>
      </c>
      <c r="B5178">
        <v>94</v>
      </c>
      <c r="C5178">
        <v>549912</v>
      </c>
      <c r="D5178" t="s">
        <v>77</v>
      </c>
      <c r="E5178">
        <v>6.0890000000000004</v>
      </c>
      <c r="F5178" t="s">
        <v>19</v>
      </c>
      <c r="G5178" t="s">
        <v>20</v>
      </c>
      <c r="H5178" t="s">
        <v>21</v>
      </c>
      <c r="I5178" t="s">
        <v>20</v>
      </c>
      <c r="J5178" t="s">
        <v>20</v>
      </c>
      <c r="K5178" t="s">
        <v>31</v>
      </c>
      <c r="L5178" t="s">
        <v>78</v>
      </c>
      <c r="M5178" t="s">
        <v>79</v>
      </c>
      <c r="N5178">
        <v>40.726886</v>
      </c>
      <c r="O5178">
        <v>-112.024886</v>
      </c>
      <c r="P5178">
        <v>4205.2487970000002</v>
      </c>
      <c r="Q5178">
        <v>1436</v>
      </c>
      <c r="R5178">
        <v>0</v>
      </c>
    </row>
    <row r="5179" spans="1:18" x14ac:dyDescent="0.25">
      <c r="A5179">
        <v>5178</v>
      </c>
      <c r="B5179">
        <v>94</v>
      </c>
      <c r="C5179" t="e">
        <f>-JLk8oL4GNHab12vnD7rGF</f>
        <v>#NAME?</v>
      </c>
      <c r="D5179" t="s">
        <v>236</v>
      </c>
      <c r="E5179">
        <v>6.093</v>
      </c>
      <c r="F5179" t="s">
        <v>21</v>
      </c>
      <c r="G5179" t="s">
        <v>20</v>
      </c>
      <c r="H5179" t="s">
        <v>21</v>
      </c>
      <c r="I5179" t="s">
        <v>20</v>
      </c>
      <c r="J5179" t="s">
        <v>20</v>
      </c>
      <c r="K5179" t="s">
        <v>31</v>
      </c>
      <c r="L5179" t="s">
        <v>78</v>
      </c>
      <c r="M5179" t="s">
        <v>79</v>
      </c>
      <c r="N5179">
        <v>40.656945</v>
      </c>
      <c r="O5179">
        <v>-112.079267</v>
      </c>
      <c r="P5179">
        <v>4958.5927959999999</v>
      </c>
      <c r="Q5179">
        <v>1398</v>
      </c>
      <c r="R5179">
        <v>0</v>
      </c>
    </row>
    <row r="5180" spans="1:18" x14ac:dyDescent="0.25">
      <c r="A5180">
        <v>5179</v>
      </c>
      <c r="B5180">
        <v>94</v>
      </c>
      <c r="C5180">
        <v>31311443</v>
      </c>
      <c r="D5180" t="s">
        <v>40</v>
      </c>
      <c r="E5180">
        <v>5.6180000000000003</v>
      </c>
      <c r="F5180" t="s">
        <v>21</v>
      </c>
      <c r="G5180" t="s">
        <v>26</v>
      </c>
      <c r="H5180" t="s">
        <v>21</v>
      </c>
      <c r="I5180" t="s">
        <v>20</v>
      </c>
      <c r="J5180" t="s">
        <v>20</v>
      </c>
      <c r="K5180" t="s">
        <v>41</v>
      </c>
      <c r="L5180" t="s">
        <v>42</v>
      </c>
      <c r="M5180" t="s">
        <v>43</v>
      </c>
      <c r="N5180">
        <v>41.633709000000003</v>
      </c>
      <c r="O5180">
        <v>-111.838538</v>
      </c>
      <c r="P5180">
        <v>4733.4732569999996</v>
      </c>
      <c r="Q5180">
        <v>1391</v>
      </c>
      <c r="R5180">
        <v>0</v>
      </c>
    </row>
    <row r="5181" spans="1:18" x14ac:dyDescent="0.25">
      <c r="A5181">
        <v>5180</v>
      </c>
      <c r="B5181">
        <v>94</v>
      </c>
      <c r="C5181">
        <v>31523383</v>
      </c>
      <c r="D5181" t="s">
        <v>390</v>
      </c>
      <c r="E5181">
        <v>5.6189999999999998</v>
      </c>
      <c r="F5181" t="s">
        <v>21</v>
      </c>
      <c r="G5181" t="s">
        <v>26</v>
      </c>
      <c r="H5181" t="s">
        <v>21</v>
      </c>
      <c r="I5181" t="s">
        <v>20</v>
      </c>
      <c r="J5181" t="s">
        <v>20</v>
      </c>
      <c r="K5181" t="s">
        <v>22</v>
      </c>
      <c r="L5181" t="s">
        <v>84</v>
      </c>
      <c r="M5181" t="s">
        <v>335</v>
      </c>
      <c r="N5181">
        <v>40.431905999999998</v>
      </c>
      <c r="O5181">
        <v>-111.789187</v>
      </c>
      <c r="P5181">
        <v>4841.6595859999998</v>
      </c>
      <c r="Q5181">
        <v>1386</v>
      </c>
      <c r="R5181">
        <v>0</v>
      </c>
    </row>
    <row r="5182" spans="1:18" x14ac:dyDescent="0.25">
      <c r="A5182">
        <v>5181</v>
      </c>
      <c r="B5182">
        <v>94</v>
      </c>
      <c r="C5182">
        <v>31761458</v>
      </c>
      <c r="D5182" t="s">
        <v>77</v>
      </c>
      <c r="E5182">
        <v>5.6269999999999998</v>
      </c>
      <c r="F5182" t="s">
        <v>21</v>
      </c>
      <c r="G5182" t="s">
        <v>26</v>
      </c>
      <c r="H5182" t="s">
        <v>21</v>
      </c>
      <c r="I5182" t="s">
        <v>20</v>
      </c>
      <c r="J5182" t="s">
        <v>20</v>
      </c>
      <c r="K5182" t="s">
        <v>31</v>
      </c>
      <c r="L5182" t="s">
        <v>78</v>
      </c>
      <c r="M5182" t="s">
        <v>79</v>
      </c>
      <c r="N5182">
        <v>40.720207000000002</v>
      </c>
      <c r="O5182">
        <v>-112.024889</v>
      </c>
      <c r="P5182">
        <v>4189.2507610000002</v>
      </c>
      <c r="Q5182">
        <v>1436</v>
      </c>
      <c r="R5182">
        <v>0</v>
      </c>
    </row>
    <row r="5183" spans="1:18" x14ac:dyDescent="0.25">
      <c r="A5183">
        <v>5182</v>
      </c>
      <c r="B5183">
        <v>94</v>
      </c>
      <c r="C5183">
        <v>815351</v>
      </c>
      <c r="D5183" t="s">
        <v>68</v>
      </c>
      <c r="E5183">
        <v>5.6319999999999997</v>
      </c>
      <c r="F5183" t="s">
        <v>21</v>
      </c>
      <c r="G5183" t="s">
        <v>26</v>
      </c>
      <c r="H5183" t="s">
        <v>21</v>
      </c>
      <c r="I5183" t="s">
        <v>20</v>
      </c>
      <c r="J5183" t="s">
        <v>20</v>
      </c>
      <c r="K5183" t="s">
        <v>31</v>
      </c>
      <c r="L5183" t="s">
        <v>32</v>
      </c>
      <c r="M5183" t="s">
        <v>70</v>
      </c>
      <c r="N5183">
        <v>40.674292000000001</v>
      </c>
      <c r="O5183">
        <v>-111.848448</v>
      </c>
      <c r="P5183">
        <v>4268.6970220000003</v>
      </c>
      <c r="Q5183">
        <v>431</v>
      </c>
      <c r="R5183">
        <v>0</v>
      </c>
    </row>
    <row r="5184" spans="1:18" x14ac:dyDescent="0.25">
      <c r="A5184">
        <v>5183</v>
      </c>
      <c r="B5184">
        <v>94</v>
      </c>
      <c r="C5184" t="e">
        <f>-IoJm786F4yVr4YEi0OQ4F</f>
        <v>#NAME?</v>
      </c>
      <c r="D5184" t="s">
        <v>215</v>
      </c>
      <c r="E5184">
        <v>5.633</v>
      </c>
      <c r="F5184" t="s">
        <v>21</v>
      </c>
      <c r="G5184" t="s">
        <v>26</v>
      </c>
      <c r="H5184" t="s">
        <v>21</v>
      </c>
      <c r="I5184" t="s">
        <v>20</v>
      </c>
      <c r="J5184" t="s">
        <v>20</v>
      </c>
      <c r="K5184" t="s">
        <v>22</v>
      </c>
      <c r="L5184" t="s">
        <v>23</v>
      </c>
      <c r="M5184" t="s">
        <v>85</v>
      </c>
      <c r="N5184">
        <v>40.283698000000001</v>
      </c>
      <c r="O5184">
        <v>-111.73303900000001</v>
      </c>
      <c r="P5184">
        <v>4478.8184060000003</v>
      </c>
      <c r="Q5184">
        <v>330</v>
      </c>
      <c r="R5184">
        <v>0</v>
      </c>
    </row>
    <row r="5185" spans="1:18" x14ac:dyDescent="0.25">
      <c r="A5185">
        <v>5184</v>
      </c>
      <c r="B5185">
        <v>94</v>
      </c>
      <c r="C5185">
        <v>31778434</v>
      </c>
      <c r="D5185" t="s">
        <v>272</v>
      </c>
      <c r="E5185">
        <v>5.6360000000000001</v>
      </c>
      <c r="F5185" t="s">
        <v>21</v>
      </c>
      <c r="G5185" t="s">
        <v>26</v>
      </c>
      <c r="H5185" t="s">
        <v>21</v>
      </c>
      <c r="I5185" t="s">
        <v>20</v>
      </c>
      <c r="J5185" t="s">
        <v>20</v>
      </c>
      <c r="K5185" t="s">
        <v>27</v>
      </c>
      <c r="L5185" t="s">
        <v>259</v>
      </c>
      <c r="M5185" t="s">
        <v>214</v>
      </c>
      <c r="N5185">
        <v>37.060513</v>
      </c>
      <c r="O5185">
        <v>-111.642134</v>
      </c>
      <c r="P5185">
        <v>3945.4426979999998</v>
      </c>
      <c r="Q5185">
        <v>1384</v>
      </c>
      <c r="R5185">
        <v>0</v>
      </c>
    </row>
    <row r="5186" spans="1:18" x14ac:dyDescent="0.25">
      <c r="A5186">
        <v>5185</v>
      </c>
      <c r="B5186">
        <v>94</v>
      </c>
      <c r="C5186">
        <v>31296942</v>
      </c>
      <c r="D5186" t="s">
        <v>203</v>
      </c>
      <c r="E5186">
        <v>5.6360000000000001</v>
      </c>
      <c r="F5186" t="s">
        <v>21</v>
      </c>
      <c r="G5186" t="s">
        <v>26</v>
      </c>
      <c r="H5186" t="s">
        <v>21</v>
      </c>
      <c r="I5186" t="s">
        <v>20</v>
      </c>
      <c r="J5186" t="s">
        <v>20</v>
      </c>
      <c r="K5186" t="s">
        <v>41</v>
      </c>
      <c r="L5186" t="s">
        <v>81</v>
      </c>
      <c r="M5186" t="s">
        <v>204</v>
      </c>
      <c r="N5186">
        <v>41.244300000000003</v>
      </c>
      <c r="O5186">
        <v>-111.984572</v>
      </c>
      <c r="P5186">
        <v>4222.4461140000003</v>
      </c>
      <c r="Q5186">
        <v>1349</v>
      </c>
      <c r="R5186">
        <v>0</v>
      </c>
    </row>
    <row r="5187" spans="1:18" x14ac:dyDescent="0.25">
      <c r="A5187">
        <v>5186</v>
      </c>
      <c r="B5187">
        <v>94</v>
      </c>
      <c r="C5187" t="e">
        <f>-JNL2YPtGOunZJDicUpIHk</f>
        <v>#NAME?</v>
      </c>
      <c r="D5187" t="s">
        <v>124</v>
      </c>
      <c r="E5187">
        <v>5.6369999999999996</v>
      </c>
      <c r="F5187" t="s">
        <v>21</v>
      </c>
      <c r="G5187" t="s">
        <v>26</v>
      </c>
      <c r="H5187" t="s">
        <v>21</v>
      </c>
      <c r="I5187" t="s">
        <v>20</v>
      </c>
      <c r="J5187" t="s">
        <v>20</v>
      </c>
      <c r="K5187" t="s">
        <v>22</v>
      </c>
      <c r="L5187" t="s">
        <v>193</v>
      </c>
      <c r="M5187" t="s">
        <v>194</v>
      </c>
      <c r="N5187">
        <v>40.033799000000002</v>
      </c>
      <c r="O5187">
        <v>-111.958327</v>
      </c>
      <c r="P5187">
        <v>4571.318843</v>
      </c>
      <c r="Q5187">
        <v>1368</v>
      </c>
      <c r="R5187">
        <v>0</v>
      </c>
    </row>
    <row r="5188" spans="1:18" x14ac:dyDescent="0.25">
      <c r="A5188">
        <v>5187</v>
      </c>
      <c r="B5188">
        <v>94</v>
      </c>
      <c r="C5188">
        <v>31759942</v>
      </c>
      <c r="D5188" t="s">
        <v>105</v>
      </c>
      <c r="E5188">
        <v>5.6440000000000001</v>
      </c>
      <c r="F5188" t="s">
        <v>21</v>
      </c>
      <c r="G5188" t="s">
        <v>26</v>
      </c>
      <c r="H5188" t="s">
        <v>21</v>
      </c>
      <c r="I5188" t="s">
        <v>20</v>
      </c>
      <c r="J5188" t="s">
        <v>20</v>
      </c>
      <c r="K5188" t="s">
        <v>27</v>
      </c>
      <c r="L5188" t="s">
        <v>51</v>
      </c>
      <c r="M5188" t="s">
        <v>106</v>
      </c>
      <c r="N5188">
        <v>37.909967000000002</v>
      </c>
      <c r="O5188">
        <v>-112.77857400000001</v>
      </c>
      <c r="P5188">
        <v>5721.2790759999998</v>
      </c>
      <c r="Q5188">
        <v>432</v>
      </c>
      <c r="R5188">
        <v>0</v>
      </c>
    </row>
    <row r="5189" spans="1:18" x14ac:dyDescent="0.25">
      <c r="A5189">
        <v>5188</v>
      </c>
      <c r="B5189">
        <v>94</v>
      </c>
      <c r="C5189">
        <v>31403534</v>
      </c>
      <c r="D5189" t="s">
        <v>224</v>
      </c>
      <c r="E5189">
        <v>5.6479999999999997</v>
      </c>
      <c r="F5189" t="s">
        <v>21</v>
      </c>
      <c r="G5189" t="s">
        <v>26</v>
      </c>
      <c r="H5189" t="s">
        <v>21</v>
      </c>
      <c r="I5189" t="s">
        <v>20</v>
      </c>
      <c r="J5189" t="s">
        <v>20</v>
      </c>
      <c r="K5189" t="s">
        <v>22</v>
      </c>
      <c r="L5189" t="s">
        <v>198</v>
      </c>
      <c r="M5189" t="s">
        <v>194</v>
      </c>
      <c r="N5189">
        <v>40.044535000000003</v>
      </c>
      <c r="O5189">
        <v>-111.72743800000001</v>
      </c>
      <c r="P5189">
        <v>4588.1494169999996</v>
      </c>
      <c r="Q5189">
        <v>408</v>
      </c>
      <c r="R5189">
        <v>0</v>
      </c>
    </row>
    <row r="5190" spans="1:18" x14ac:dyDescent="0.25">
      <c r="A5190">
        <v>5189</v>
      </c>
      <c r="B5190">
        <v>94</v>
      </c>
      <c r="C5190">
        <v>27379572</v>
      </c>
      <c r="D5190" t="s">
        <v>185</v>
      </c>
      <c r="E5190">
        <v>5.6529999999999996</v>
      </c>
      <c r="F5190" t="s">
        <v>21</v>
      </c>
      <c r="G5190" t="s">
        <v>26</v>
      </c>
      <c r="H5190" t="s">
        <v>21</v>
      </c>
      <c r="I5190" t="s">
        <v>20</v>
      </c>
      <c r="J5190" t="s">
        <v>20</v>
      </c>
      <c r="K5190" t="s">
        <v>41</v>
      </c>
      <c r="L5190" t="s">
        <v>57</v>
      </c>
      <c r="M5190" t="s">
        <v>58</v>
      </c>
      <c r="N5190">
        <v>41.148918999999999</v>
      </c>
      <c r="O5190">
        <v>-112.12290299999999</v>
      </c>
      <c r="P5190">
        <v>4181.0299009999999</v>
      </c>
      <c r="Q5190">
        <v>309</v>
      </c>
      <c r="R5190">
        <v>0</v>
      </c>
    </row>
    <row r="5191" spans="1:18" x14ac:dyDescent="0.25">
      <c r="A5191">
        <v>5190</v>
      </c>
      <c r="B5191">
        <v>94</v>
      </c>
      <c r="C5191">
        <v>31411989</v>
      </c>
      <c r="D5191" t="s">
        <v>124</v>
      </c>
      <c r="E5191">
        <v>51.505000000000003</v>
      </c>
      <c r="F5191" t="s">
        <v>19</v>
      </c>
      <c r="G5191" t="s">
        <v>20</v>
      </c>
      <c r="H5191" t="s">
        <v>21</v>
      </c>
      <c r="I5191" t="s">
        <v>20</v>
      </c>
      <c r="J5191" t="s">
        <v>20</v>
      </c>
      <c r="K5191" t="s">
        <v>31</v>
      </c>
      <c r="L5191" t="s">
        <v>69</v>
      </c>
      <c r="M5191" t="s">
        <v>125</v>
      </c>
      <c r="N5191">
        <v>40.655909999999999</v>
      </c>
      <c r="O5191">
        <v>-111.938834</v>
      </c>
      <c r="P5191">
        <v>4259.7136</v>
      </c>
      <c r="Q5191">
        <v>1368</v>
      </c>
      <c r="R5191">
        <v>0</v>
      </c>
    </row>
    <row r="5192" spans="1:18" x14ac:dyDescent="0.25">
      <c r="A5192">
        <v>5191</v>
      </c>
      <c r="B5192">
        <v>94</v>
      </c>
      <c r="C5192">
        <v>31629967</v>
      </c>
      <c r="D5192" t="s">
        <v>244</v>
      </c>
      <c r="E5192">
        <v>51.531999999999996</v>
      </c>
      <c r="F5192" t="s">
        <v>21</v>
      </c>
      <c r="G5192" t="s">
        <v>26</v>
      </c>
      <c r="H5192" t="s">
        <v>21</v>
      </c>
      <c r="I5192" t="s">
        <v>20</v>
      </c>
      <c r="J5192" t="s">
        <v>20</v>
      </c>
      <c r="K5192" t="s">
        <v>27</v>
      </c>
      <c r="L5192" t="s">
        <v>266</v>
      </c>
      <c r="M5192" t="s">
        <v>386</v>
      </c>
      <c r="N5192">
        <v>38.411535000000001</v>
      </c>
      <c r="O5192">
        <v>-111.642911</v>
      </c>
      <c r="P5192">
        <v>7044.3237959999997</v>
      </c>
      <c r="Q5192">
        <v>1340</v>
      </c>
      <c r="R5192">
        <v>0</v>
      </c>
    </row>
    <row r="5193" spans="1:18" x14ac:dyDescent="0.25">
      <c r="A5193">
        <v>5192</v>
      </c>
      <c r="B5193">
        <v>94</v>
      </c>
      <c r="C5193">
        <v>31343679</v>
      </c>
      <c r="D5193" t="s">
        <v>288</v>
      </c>
      <c r="E5193">
        <v>51.536999999999999</v>
      </c>
      <c r="F5193" t="s">
        <v>21</v>
      </c>
      <c r="G5193" t="s">
        <v>26</v>
      </c>
      <c r="H5193" t="s">
        <v>21</v>
      </c>
      <c r="I5193" t="s">
        <v>20</v>
      </c>
      <c r="J5193" t="s">
        <v>20</v>
      </c>
      <c r="K5193" t="s">
        <v>27</v>
      </c>
      <c r="L5193" t="s">
        <v>327</v>
      </c>
      <c r="M5193" t="s">
        <v>147</v>
      </c>
      <c r="N5193">
        <v>37.626804999999997</v>
      </c>
      <c r="O5193">
        <v>-109.473029</v>
      </c>
      <c r="P5193">
        <v>6002.5945510000001</v>
      </c>
      <c r="Q5193">
        <v>350</v>
      </c>
      <c r="R5193">
        <v>0</v>
      </c>
    </row>
    <row r="5194" spans="1:18" x14ac:dyDescent="0.25">
      <c r="A5194">
        <v>5193</v>
      </c>
      <c r="B5194">
        <v>94</v>
      </c>
      <c r="C5194">
        <v>31340480</v>
      </c>
      <c r="D5194" t="s">
        <v>303</v>
      </c>
      <c r="E5194">
        <v>51.573</v>
      </c>
      <c r="F5194" t="s">
        <v>21</v>
      </c>
      <c r="G5194" t="s">
        <v>20</v>
      </c>
      <c r="H5194" t="s">
        <v>21</v>
      </c>
      <c r="I5194" t="s">
        <v>20</v>
      </c>
      <c r="J5194" t="s">
        <v>20</v>
      </c>
      <c r="K5194" t="s">
        <v>27</v>
      </c>
      <c r="L5194" t="s">
        <v>279</v>
      </c>
      <c r="M5194" t="s">
        <v>29</v>
      </c>
      <c r="N5194">
        <v>37.250411</v>
      </c>
      <c r="O5194">
        <v>-112.76030299999999</v>
      </c>
      <c r="P5194">
        <v>5815.8515390000002</v>
      </c>
      <c r="Q5194">
        <v>1326</v>
      </c>
      <c r="R5194">
        <v>0</v>
      </c>
    </row>
    <row r="5195" spans="1:18" x14ac:dyDescent="0.25">
      <c r="A5195">
        <v>5194</v>
      </c>
      <c r="B5195">
        <v>94</v>
      </c>
      <c r="C5195">
        <v>31629978</v>
      </c>
      <c r="D5195" t="s">
        <v>244</v>
      </c>
      <c r="E5195">
        <v>51.573999999999998</v>
      </c>
      <c r="F5195" t="s">
        <v>21</v>
      </c>
      <c r="G5195" t="s">
        <v>26</v>
      </c>
      <c r="H5195" t="s">
        <v>19</v>
      </c>
      <c r="I5195">
        <v>72</v>
      </c>
      <c r="J5195" t="s">
        <v>20</v>
      </c>
      <c r="K5195" t="s">
        <v>27</v>
      </c>
      <c r="L5195" t="s">
        <v>266</v>
      </c>
      <c r="M5195" t="s">
        <v>386</v>
      </c>
      <c r="N5195">
        <v>38.410924999999999</v>
      </c>
      <c r="O5195">
        <v>-111.64281800000001</v>
      </c>
      <c r="P5195">
        <v>7038.5413570000001</v>
      </c>
      <c r="Q5195">
        <v>1340</v>
      </c>
      <c r="R5195">
        <v>0</v>
      </c>
    </row>
    <row r="5196" spans="1:18" x14ac:dyDescent="0.25">
      <c r="A5196">
        <v>5195</v>
      </c>
      <c r="B5196">
        <v>94</v>
      </c>
      <c r="C5196">
        <v>28646141</v>
      </c>
      <c r="D5196" t="s">
        <v>142</v>
      </c>
      <c r="E5196">
        <v>51.588999999999999</v>
      </c>
      <c r="F5196" t="s">
        <v>21</v>
      </c>
      <c r="G5196" t="s">
        <v>26</v>
      </c>
      <c r="H5196" t="s">
        <v>21</v>
      </c>
      <c r="I5196" t="s">
        <v>20</v>
      </c>
      <c r="J5196" t="s">
        <v>20</v>
      </c>
      <c r="K5196" t="s">
        <v>27</v>
      </c>
      <c r="L5196" t="s">
        <v>143</v>
      </c>
      <c r="M5196" t="s">
        <v>106</v>
      </c>
      <c r="N5196">
        <v>38.478836000000001</v>
      </c>
      <c r="O5196">
        <v>-113.43261099999999</v>
      </c>
      <c r="P5196">
        <v>4841.1538440000004</v>
      </c>
      <c r="Q5196">
        <v>305</v>
      </c>
      <c r="R5196">
        <v>0</v>
      </c>
    </row>
    <row r="5197" spans="1:18" x14ac:dyDescent="0.25">
      <c r="A5197">
        <v>5196</v>
      </c>
      <c r="B5197">
        <v>94</v>
      </c>
      <c r="C5197">
        <v>31361706</v>
      </c>
      <c r="D5197" t="s">
        <v>288</v>
      </c>
      <c r="E5197">
        <v>71.757999999999996</v>
      </c>
      <c r="F5197" t="s">
        <v>21</v>
      </c>
      <c r="G5197" t="s">
        <v>26</v>
      </c>
      <c r="H5197" t="s">
        <v>21</v>
      </c>
      <c r="I5197" t="s">
        <v>20</v>
      </c>
      <c r="J5197" t="s">
        <v>20</v>
      </c>
      <c r="K5197" t="s">
        <v>27</v>
      </c>
      <c r="L5197" t="s">
        <v>146</v>
      </c>
      <c r="M5197" t="s">
        <v>147</v>
      </c>
      <c r="N5197">
        <v>37.871206000000001</v>
      </c>
      <c r="O5197">
        <v>-109.34289800000001</v>
      </c>
      <c r="P5197">
        <v>7003.824173</v>
      </c>
      <c r="Q5197">
        <v>350</v>
      </c>
      <c r="R5197">
        <v>0</v>
      </c>
    </row>
    <row r="5198" spans="1:18" x14ac:dyDescent="0.25">
      <c r="A5198">
        <v>5197</v>
      </c>
      <c r="B5198">
        <v>94</v>
      </c>
      <c r="C5198">
        <v>31769138</v>
      </c>
      <c r="D5198" t="s">
        <v>118</v>
      </c>
      <c r="E5198">
        <v>71.801000000000002</v>
      </c>
      <c r="F5198" t="s">
        <v>21</v>
      </c>
      <c r="G5198" t="s">
        <v>20</v>
      </c>
      <c r="H5198" t="s">
        <v>21</v>
      </c>
      <c r="I5198" t="s">
        <v>20</v>
      </c>
      <c r="J5198" t="s">
        <v>20</v>
      </c>
      <c r="K5198" t="s">
        <v>22</v>
      </c>
      <c r="L5198" t="s">
        <v>253</v>
      </c>
      <c r="M5198" t="s">
        <v>120</v>
      </c>
      <c r="N5198">
        <v>40.186289000000002</v>
      </c>
      <c r="O5198">
        <v>-110.66999199999999</v>
      </c>
      <c r="P5198">
        <v>6781.3185640000002</v>
      </c>
      <c r="Q5198">
        <v>310</v>
      </c>
      <c r="R5198">
        <v>0</v>
      </c>
    </row>
    <row r="5199" spans="1:18" x14ac:dyDescent="0.25">
      <c r="A5199">
        <v>5198</v>
      </c>
      <c r="B5199">
        <v>94</v>
      </c>
      <c r="C5199">
        <v>31633638</v>
      </c>
      <c r="D5199" t="s">
        <v>227</v>
      </c>
      <c r="E5199">
        <v>8.8819999999999997</v>
      </c>
      <c r="F5199" t="s">
        <v>21</v>
      </c>
      <c r="G5199" t="s">
        <v>26</v>
      </c>
      <c r="H5199" t="s">
        <v>21</v>
      </c>
      <c r="I5199" t="s">
        <v>20</v>
      </c>
      <c r="J5199" t="s">
        <v>20</v>
      </c>
      <c r="K5199" t="s">
        <v>27</v>
      </c>
      <c r="L5199" t="s">
        <v>158</v>
      </c>
      <c r="M5199" t="s">
        <v>190</v>
      </c>
      <c r="N5199">
        <v>39.543810999999998</v>
      </c>
      <c r="O5199">
        <v>-110.41111100000001</v>
      </c>
      <c r="P5199">
        <v>6276.5836939999999</v>
      </c>
      <c r="Q5199">
        <v>1407</v>
      </c>
      <c r="R5199">
        <v>0</v>
      </c>
    </row>
    <row r="5200" spans="1:18" x14ac:dyDescent="0.25">
      <c r="A5200">
        <v>5199</v>
      </c>
      <c r="B5200">
        <v>94</v>
      </c>
      <c r="C5200">
        <v>31636496</v>
      </c>
      <c r="D5200" t="s">
        <v>233</v>
      </c>
      <c r="E5200">
        <v>8.8840000000000003</v>
      </c>
      <c r="F5200" t="s">
        <v>21</v>
      </c>
      <c r="G5200" t="s">
        <v>20</v>
      </c>
      <c r="H5200" t="s">
        <v>21</v>
      </c>
      <c r="I5200" t="s">
        <v>20</v>
      </c>
      <c r="J5200" t="s">
        <v>20</v>
      </c>
      <c r="K5200" t="s">
        <v>22</v>
      </c>
      <c r="L5200" t="s">
        <v>234</v>
      </c>
      <c r="M5200" t="s">
        <v>235</v>
      </c>
      <c r="N5200">
        <v>40.071823999999999</v>
      </c>
      <c r="O5200">
        <v>-109.20444000000001</v>
      </c>
      <c r="P5200">
        <v>5176.1684400000004</v>
      </c>
      <c r="Q5200">
        <v>1354</v>
      </c>
      <c r="R5200">
        <v>0</v>
      </c>
    </row>
    <row r="5201" spans="1:18" x14ac:dyDescent="0.25">
      <c r="A5201">
        <v>5200</v>
      </c>
      <c r="B5201">
        <v>94</v>
      </c>
      <c r="C5201">
        <v>31808285</v>
      </c>
      <c r="D5201" t="s">
        <v>100</v>
      </c>
      <c r="E5201">
        <v>8.8870000000000005</v>
      </c>
      <c r="F5201" t="s">
        <v>21</v>
      </c>
      <c r="G5201" t="s">
        <v>26</v>
      </c>
      <c r="H5201" t="s">
        <v>21</v>
      </c>
      <c r="I5201" t="s">
        <v>20</v>
      </c>
      <c r="J5201" t="s">
        <v>20</v>
      </c>
      <c r="K5201" t="s">
        <v>41</v>
      </c>
      <c r="L5201" t="s">
        <v>57</v>
      </c>
      <c r="M5201" t="s">
        <v>46</v>
      </c>
      <c r="N5201">
        <v>41.159827999999997</v>
      </c>
      <c r="O5201">
        <v>-112.064485</v>
      </c>
      <c r="P5201">
        <v>4250.1381439999996</v>
      </c>
      <c r="Q5201">
        <v>1396</v>
      </c>
      <c r="R5201">
        <v>0</v>
      </c>
    </row>
    <row r="5202" spans="1:18" x14ac:dyDescent="0.25">
      <c r="A5202">
        <v>5201</v>
      </c>
      <c r="B5202">
        <v>94</v>
      </c>
      <c r="C5202">
        <v>31648799</v>
      </c>
      <c r="D5202" t="s">
        <v>240</v>
      </c>
      <c r="E5202">
        <v>8.8889999999999993</v>
      </c>
      <c r="F5202" t="s">
        <v>21</v>
      </c>
      <c r="G5202" t="s">
        <v>20</v>
      </c>
      <c r="H5202" t="s">
        <v>21</v>
      </c>
      <c r="I5202" t="s">
        <v>20</v>
      </c>
      <c r="J5202" t="s">
        <v>20</v>
      </c>
      <c r="K5202" t="s">
        <v>27</v>
      </c>
      <c r="L5202" t="s">
        <v>146</v>
      </c>
      <c r="M5202" t="s">
        <v>147</v>
      </c>
      <c r="N5202">
        <v>38.312375000000003</v>
      </c>
      <c r="O5202">
        <v>-109.250794</v>
      </c>
      <c r="P5202">
        <v>6916.0808779999998</v>
      </c>
      <c r="Q5202">
        <v>1355</v>
      </c>
      <c r="R5202">
        <v>0</v>
      </c>
    </row>
    <row r="5203" spans="1:18" x14ac:dyDescent="0.25">
      <c r="A5203">
        <v>5202</v>
      </c>
      <c r="B5203">
        <v>94</v>
      </c>
      <c r="C5203">
        <v>31382838</v>
      </c>
      <c r="D5203" t="s">
        <v>284</v>
      </c>
      <c r="E5203">
        <v>8.89</v>
      </c>
      <c r="F5203" t="s">
        <v>21</v>
      </c>
      <c r="G5203" t="s">
        <v>20</v>
      </c>
      <c r="H5203" t="s">
        <v>21</v>
      </c>
      <c r="I5203" t="s">
        <v>20</v>
      </c>
      <c r="J5203" t="s">
        <v>20</v>
      </c>
      <c r="K5203" t="s">
        <v>31</v>
      </c>
      <c r="L5203" t="s">
        <v>285</v>
      </c>
      <c r="M5203" t="s">
        <v>206</v>
      </c>
      <c r="N5203">
        <v>40.353935</v>
      </c>
      <c r="O5203">
        <v>-112.74551599999999</v>
      </c>
      <c r="P5203">
        <v>4521.1815809999998</v>
      </c>
      <c r="Q5203">
        <v>407</v>
      </c>
      <c r="R5203">
        <v>0</v>
      </c>
    </row>
    <row r="5204" spans="1:18" x14ac:dyDescent="0.25">
      <c r="A5204">
        <v>5203</v>
      </c>
      <c r="B5204">
        <v>94</v>
      </c>
      <c r="C5204">
        <v>31265199</v>
      </c>
      <c r="D5204" t="s">
        <v>303</v>
      </c>
      <c r="E5204">
        <v>8.8919999999999995</v>
      </c>
      <c r="F5204" t="s">
        <v>21</v>
      </c>
      <c r="G5204" t="s">
        <v>26</v>
      </c>
      <c r="H5204" t="s">
        <v>21</v>
      </c>
      <c r="I5204" t="s">
        <v>20</v>
      </c>
      <c r="J5204" t="s">
        <v>20</v>
      </c>
      <c r="K5204" t="s">
        <v>27</v>
      </c>
      <c r="L5204" t="s">
        <v>72</v>
      </c>
      <c r="M5204" t="s">
        <v>73</v>
      </c>
      <c r="N5204">
        <v>37.176499</v>
      </c>
      <c r="O5204">
        <v>-113.304158</v>
      </c>
      <c r="P5204">
        <v>3144.3273140000001</v>
      </c>
      <c r="Q5204">
        <v>1326</v>
      </c>
      <c r="R5204">
        <v>0</v>
      </c>
    </row>
    <row r="5205" spans="1:18" x14ac:dyDescent="0.25">
      <c r="A5205">
        <v>5204</v>
      </c>
      <c r="B5205">
        <v>94</v>
      </c>
      <c r="C5205">
        <v>31280466</v>
      </c>
      <c r="D5205" t="s">
        <v>347</v>
      </c>
      <c r="E5205">
        <v>8.8919999999999995</v>
      </c>
      <c r="F5205" t="s">
        <v>21</v>
      </c>
      <c r="G5205" t="s">
        <v>26</v>
      </c>
      <c r="H5205" t="s">
        <v>21</v>
      </c>
      <c r="I5205" t="s">
        <v>20</v>
      </c>
      <c r="J5205" t="s">
        <v>20</v>
      </c>
      <c r="K5205" t="s">
        <v>41</v>
      </c>
      <c r="L5205" t="s">
        <v>325</v>
      </c>
      <c r="M5205" t="s">
        <v>204</v>
      </c>
      <c r="N5205">
        <v>41.517049</v>
      </c>
      <c r="O5205">
        <v>-111.140112</v>
      </c>
      <c r="P5205">
        <v>6261.3653119999999</v>
      </c>
      <c r="Q5205">
        <v>1334</v>
      </c>
      <c r="R5205">
        <v>0</v>
      </c>
    </row>
    <row r="5206" spans="1:18" x14ac:dyDescent="0.25">
      <c r="A5206">
        <v>5205</v>
      </c>
      <c r="B5206">
        <v>94</v>
      </c>
      <c r="C5206">
        <v>28591853</v>
      </c>
      <c r="D5206" t="s">
        <v>142</v>
      </c>
      <c r="E5206">
        <v>8.8989999999999991</v>
      </c>
      <c r="F5206" t="s">
        <v>21</v>
      </c>
      <c r="G5206" t="s">
        <v>26</v>
      </c>
      <c r="H5206" t="s">
        <v>21</v>
      </c>
      <c r="I5206" t="s">
        <v>20</v>
      </c>
      <c r="J5206" t="s">
        <v>20</v>
      </c>
      <c r="K5206" t="s">
        <v>27</v>
      </c>
      <c r="L5206" t="s">
        <v>143</v>
      </c>
      <c r="M5206" t="s">
        <v>106</v>
      </c>
      <c r="N5206">
        <v>38.834288000000001</v>
      </c>
      <c r="O5206">
        <v>-113.990066</v>
      </c>
      <c r="P5206">
        <v>5332.8976409999996</v>
      </c>
      <c r="Q5206">
        <v>305</v>
      </c>
      <c r="R5206">
        <v>0</v>
      </c>
    </row>
    <row r="5207" spans="1:18" x14ac:dyDescent="0.25">
      <c r="A5207">
        <v>5206</v>
      </c>
      <c r="B5207">
        <v>94</v>
      </c>
      <c r="C5207">
        <v>31354244</v>
      </c>
      <c r="D5207" t="s">
        <v>34</v>
      </c>
      <c r="E5207">
        <v>6.6289999999999996</v>
      </c>
      <c r="F5207" t="s">
        <v>21</v>
      </c>
      <c r="G5207" t="s">
        <v>26</v>
      </c>
      <c r="H5207" t="s">
        <v>21</v>
      </c>
      <c r="I5207" t="s">
        <v>20</v>
      </c>
      <c r="J5207" t="s">
        <v>20</v>
      </c>
      <c r="K5207" t="s">
        <v>22</v>
      </c>
      <c r="L5207" t="s">
        <v>35</v>
      </c>
      <c r="M5207" t="s">
        <v>36</v>
      </c>
      <c r="N5207">
        <v>40.506639999999997</v>
      </c>
      <c r="O5207">
        <v>-111.423164</v>
      </c>
      <c r="P5207">
        <v>5514.7884260000001</v>
      </c>
      <c r="Q5207">
        <v>1400</v>
      </c>
      <c r="R5207">
        <v>0</v>
      </c>
    </row>
    <row r="5208" spans="1:18" x14ac:dyDescent="0.25">
      <c r="A5208">
        <v>5207</v>
      </c>
      <c r="B5208">
        <v>94</v>
      </c>
      <c r="C5208">
        <v>1456578</v>
      </c>
      <c r="D5208" t="s">
        <v>109</v>
      </c>
      <c r="E5208">
        <v>6.6360000000000001</v>
      </c>
      <c r="F5208" t="s">
        <v>21</v>
      </c>
      <c r="G5208" t="s">
        <v>26</v>
      </c>
      <c r="H5208" t="s">
        <v>21</v>
      </c>
      <c r="I5208" t="s">
        <v>20</v>
      </c>
      <c r="J5208" t="s">
        <v>20</v>
      </c>
      <c r="K5208" t="s">
        <v>41</v>
      </c>
      <c r="L5208" t="s">
        <v>42</v>
      </c>
      <c r="M5208" t="s">
        <v>73</v>
      </c>
      <c r="N5208">
        <v>41.658411999999998</v>
      </c>
      <c r="O5208">
        <v>-111.83292299999999</v>
      </c>
      <c r="P5208">
        <v>4582.7745670000004</v>
      </c>
      <c r="Q5208">
        <v>345</v>
      </c>
      <c r="R5208">
        <v>0</v>
      </c>
    </row>
    <row r="5209" spans="1:18" x14ac:dyDescent="0.25">
      <c r="A5209">
        <v>5208</v>
      </c>
      <c r="B5209">
        <v>94</v>
      </c>
      <c r="C5209">
        <v>31312049</v>
      </c>
      <c r="D5209" t="s">
        <v>40</v>
      </c>
      <c r="E5209">
        <v>6.6390000000000002</v>
      </c>
      <c r="F5209" t="s">
        <v>21</v>
      </c>
      <c r="G5209" t="s">
        <v>26</v>
      </c>
      <c r="H5209" t="s">
        <v>21</v>
      </c>
      <c r="I5209" t="s">
        <v>20</v>
      </c>
      <c r="J5209" t="s">
        <v>20</v>
      </c>
      <c r="K5209" t="s">
        <v>41</v>
      </c>
      <c r="L5209" t="s">
        <v>42</v>
      </c>
      <c r="M5209" t="s">
        <v>43</v>
      </c>
      <c r="N5209">
        <v>41.634374999999999</v>
      </c>
      <c r="O5209">
        <v>-111.81897499999999</v>
      </c>
      <c r="P5209">
        <v>4767.0937210000002</v>
      </c>
      <c r="Q5209">
        <v>1391</v>
      </c>
      <c r="R5209">
        <v>0</v>
      </c>
    </row>
    <row r="5210" spans="1:18" x14ac:dyDescent="0.25">
      <c r="A5210">
        <v>5209</v>
      </c>
      <c r="B5210">
        <v>94</v>
      </c>
      <c r="C5210">
        <v>31448136</v>
      </c>
      <c r="D5210" t="s">
        <v>254</v>
      </c>
      <c r="E5210">
        <v>6.6429999999999998</v>
      </c>
      <c r="F5210" t="s">
        <v>21</v>
      </c>
      <c r="G5210" t="s">
        <v>26</v>
      </c>
      <c r="H5210" t="s">
        <v>21</v>
      </c>
      <c r="I5210" t="s">
        <v>20</v>
      </c>
      <c r="J5210" t="s">
        <v>20</v>
      </c>
      <c r="K5210" t="s">
        <v>41</v>
      </c>
      <c r="L5210" t="s">
        <v>255</v>
      </c>
      <c r="M5210" t="s">
        <v>204</v>
      </c>
      <c r="N5210">
        <v>41.333962</v>
      </c>
      <c r="O5210">
        <v>-111.82660799999999</v>
      </c>
      <c r="P5210">
        <v>5296.4138080000002</v>
      </c>
      <c r="Q5210">
        <v>1429</v>
      </c>
      <c r="R5210">
        <v>0</v>
      </c>
    </row>
    <row r="5211" spans="1:18" x14ac:dyDescent="0.25">
      <c r="A5211">
        <v>5210</v>
      </c>
      <c r="B5211">
        <v>94</v>
      </c>
      <c r="C5211">
        <v>31629821</v>
      </c>
      <c r="D5211" t="s">
        <v>217</v>
      </c>
      <c r="E5211">
        <v>6.6459999999999999</v>
      </c>
      <c r="F5211" t="s">
        <v>21</v>
      </c>
      <c r="G5211" t="s">
        <v>20</v>
      </c>
      <c r="H5211" t="s">
        <v>21</v>
      </c>
      <c r="I5211" t="s">
        <v>20</v>
      </c>
      <c r="J5211" t="s">
        <v>20</v>
      </c>
      <c r="K5211" t="s">
        <v>27</v>
      </c>
      <c r="L5211" t="s">
        <v>72</v>
      </c>
      <c r="M5211" t="s">
        <v>163</v>
      </c>
      <c r="N5211">
        <v>37.167897000000004</v>
      </c>
      <c r="O5211">
        <v>-113.61563200000001</v>
      </c>
      <c r="P5211">
        <v>3433.4051650000001</v>
      </c>
      <c r="Q5211">
        <v>304</v>
      </c>
      <c r="R5211">
        <v>0</v>
      </c>
    </row>
    <row r="5212" spans="1:18" x14ac:dyDescent="0.25">
      <c r="A5212">
        <v>5211</v>
      </c>
      <c r="B5212">
        <v>94</v>
      </c>
      <c r="C5212">
        <v>1439727</v>
      </c>
      <c r="D5212" t="s">
        <v>304</v>
      </c>
      <c r="E5212">
        <v>6.6470000000000002</v>
      </c>
      <c r="F5212" t="s">
        <v>21</v>
      </c>
      <c r="G5212" t="s">
        <v>26</v>
      </c>
      <c r="H5212" t="s">
        <v>21</v>
      </c>
      <c r="I5212" t="s">
        <v>20</v>
      </c>
      <c r="J5212" t="s">
        <v>20</v>
      </c>
      <c r="K5212" t="s">
        <v>41</v>
      </c>
      <c r="L5212" t="s">
        <v>177</v>
      </c>
      <c r="M5212" t="s">
        <v>43</v>
      </c>
      <c r="N5212">
        <v>41.613695999999997</v>
      </c>
      <c r="O5212">
        <v>-112.064818</v>
      </c>
      <c r="P5212">
        <v>4223.7232560000002</v>
      </c>
      <c r="Q5212">
        <v>1348</v>
      </c>
      <c r="R5212">
        <v>0</v>
      </c>
    </row>
    <row r="5213" spans="1:18" x14ac:dyDescent="0.25">
      <c r="A5213">
        <v>5212</v>
      </c>
      <c r="B5213">
        <v>94</v>
      </c>
      <c r="C5213">
        <v>31525850</v>
      </c>
      <c r="D5213" t="s">
        <v>390</v>
      </c>
      <c r="E5213">
        <v>6.65</v>
      </c>
      <c r="F5213" t="s">
        <v>21</v>
      </c>
      <c r="G5213" t="s">
        <v>26</v>
      </c>
      <c r="H5213" t="s">
        <v>21</v>
      </c>
      <c r="I5213" t="s">
        <v>20</v>
      </c>
      <c r="J5213" t="s">
        <v>20</v>
      </c>
      <c r="K5213" t="s">
        <v>22</v>
      </c>
      <c r="L5213" t="s">
        <v>84</v>
      </c>
      <c r="M5213" t="s">
        <v>335</v>
      </c>
      <c r="N5213">
        <v>40.432018999999997</v>
      </c>
      <c r="O5213">
        <v>-111.76956199999999</v>
      </c>
      <c r="P5213">
        <v>4905.7013900000002</v>
      </c>
      <c r="Q5213">
        <v>1386</v>
      </c>
      <c r="R5213">
        <v>0</v>
      </c>
    </row>
    <row r="5214" spans="1:18" x14ac:dyDescent="0.25">
      <c r="A5214">
        <v>5213</v>
      </c>
      <c r="B5214">
        <v>94</v>
      </c>
      <c r="C5214">
        <v>31364599</v>
      </c>
      <c r="D5214" t="s">
        <v>343</v>
      </c>
      <c r="E5214">
        <v>6.6529999999999996</v>
      </c>
      <c r="F5214" t="s">
        <v>21</v>
      </c>
      <c r="G5214" t="s">
        <v>26</v>
      </c>
      <c r="H5214" t="s">
        <v>21</v>
      </c>
      <c r="I5214" t="s">
        <v>20</v>
      </c>
      <c r="J5214" t="s">
        <v>20</v>
      </c>
      <c r="K5214" t="s">
        <v>27</v>
      </c>
      <c r="L5214" t="s">
        <v>230</v>
      </c>
      <c r="M5214" t="s">
        <v>82</v>
      </c>
      <c r="N5214">
        <v>39.546757999999997</v>
      </c>
      <c r="O5214">
        <v>-111.462951</v>
      </c>
      <c r="P5214">
        <v>5806.505553</v>
      </c>
      <c r="Q5214">
        <v>1402</v>
      </c>
      <c r="R5214">
        <v>0</v>
      </c>
    </row>
    <row r="5215" spans="1:18" x14ac:dyDescent="0.25">
      <c r="A5215">
        <v>5214</v>
      </c>
      <c r="B5215">
        <v>94</v>
      </c>
      <c r="C5215" t="e">
        <f>-JLk88YmItezUdj4jrsZxV</f>
        <v>#NAME?</v>
      </c>
      <c r="D5215" t="s">
        <v>236</v>
      </c>
      <c r="E5215">
        <v>6.6619999999999999</v>
      </c>
      <c r="F5215" t="s">
        <v>21</v>
      </c>
      <c r="G5215" t="s">
        <v>504</v>
      </c>
      <c r="H5215" t="s">
        <v>21</v>
      </c>
      <c r="I5215" t="s">
        <v>20</v>
      </c>
      <c r="J5215" t="s">
        <v>20</v>
      </c>
      <c r="K5215" t="s">
        <v>31</v>
      </c>
      <c r="L5215" t="s">
        <v>78</v>
      </c>
      <c r="M5215" t="s">
        <v>79</v>
      </c>
      <c r="N5215">
        <v>40.661952999999997</v>
      </c>
      <c r="O5215">
        <v>-112.087824</v>
      </c>
      <c r="P5215">
        <v>4846.0023309999997</v>
      </c>
      <c r="Q5215">
        <v>1398</v>
      </c>
      <c r="R5215">
        <v>0</v>
      </c>
    </row>
    <row r="5216" spans="1:18" x14ac:dyDescent="0.25">
      <c r="A5216">
        <v>5215</v>
      </c>
      <c r="B5216">
        <v>94</v>
      </c>
      <c r="C5216">
        <v>31761559</v>
      </c>
      <c r="D5216" t="s">
        <v>68</v>
      </c>
      <c r="E5216">
        <v>6.67</v>
      </c>
      <c r="F5216" t="s">
        <v>21</v>
      </c>
      <c r="G5216" t="s">
        <v>20</v>
      </c>
      <c r="H5216" t="s">
        <v>21</v>
      </c>
      <c r="I5216" t="s">
        <v>20</v>
      </c>
      <c r="J5216" t="s">
        <v>20</v>
      </c>
      <c r="K5216" t="s">
        <v>31</v>
      </c>
      <c r="L5216" t="s">
        <v>32</v>
      </c>
      <c r="M5216" t="s">
        <v>70</v>
      </c>
      <c r="N5216">
        <v>40.674222</v>
      </c>
      <c r="O5216">
        <v>-111.828773</v>
      </c>
      <c r="P5216">
        <v>4419.9429749999999</v>
      </c>
      <c r="Q5216">
        <v>431</v>
      </c>
      <c r="R5216">
        <v>0</v>
      </c>
    </row>
    <row r="5217" spans="1:18" x14ac:dyDescent="0.25">
      <c r="A5217">
        <v>5216</v>
      </c>
      <c r="B5217">
        <v>94</v>
      </c>
      <c r="C5217">
        <v>31411248</v>
      </c>
      <c r="D5217" t="s">
        <v>224</v>
      </c>
      <c r="E5217">
        <v>9.8849999999999998</v>
      </c>
      <c r="F5217" t="s">
        <v>21</v>
      </c>
      <c r="G5217" t="s">
        <v>26</v>
      </c>
      <c r="H5217" t="s">
        <v>21</v>
      </c>
      <c r="I5217" t="s">
        <v>20</v>
      </c>
      <c r="J5217" t="s">
        <v>20</v>
      </c>
      <c r="K5217" t="s">
        <v>22</v>
      </c>
      <c r="L5217" t="s">
        <v>198</v>
      </c>
      <c r="M5217" t="s">
        <v>194</v>
      </c>
      <c r="N5217">
        <v>40.071109</v>
      </c>
      <c r="O5217">
        <v>-111.663031</v>
      </c>
      <c r="P5217">
        <v>4556.7198909999997</v>
      </c>
      <c r="Q5217">
        <v>408</v>
      </c>
      <c r="R5217">
        <v>0</v>
      </c>
    </row>
    <row r="5218" spans="1:18" x14ac:dyDescent="0.25">
      <c r="A5218">
        <v>5217</v>
      </c>
      <c r="B5218">
        <v>94</v>
      </c>
      <c r="C5218" t="e">
        <f>-IpZioLwGKDl6wQJXfgUTk</f>
        <v>#NAME?</v>
      </c>
      <c r="D5218" t="s">
        <v>208</v>
      </c>
      <c r="E5218">
        <v>9.8940000000000001</v>
      </c>
      <c r="F5218" t="s">
        <v>21</v>
      </c>
      <c r="G5218" t="s">
        <v>26</v>
      </c>
      <c r="H5218" t="s">
        <v>21</v>
      </c>
      <c r="I5218" t="s">
        <v>20</v>
      </c>
      <c r="J5218" t="s">
        <v>20</v>
      </c>
      <c r="K5218" t="s">
        <v>31</v>
      </c>
      <c r="L5218" t="s">
        <v>209</v>
      </c>
      <c r="M5218" t="s">
        <v>131</v>
      </c>
      <c r="N5218">
        <v>40.703657999999997</v>
      </c>
      <c r="O5218">
        <v>-111.54638300000001</v>
      </c>
      <c r="P5218">
        <v>6448.5082389999998</v>
      </c>
      <c r="Q5218">
        <v>357</v>
      </c>
      <c r="R5218">
        <v>0</v>
      </c>
    </row>
    <row r="5219" spans="1:18" x14ac:dyDescent="0.25">
      <c r="A5219">
        <v>5218</v>
      </c>
      <c r="B5219">
        <v>94</v>
      </c>
      <c r="C5219" t="s">
        <v>712</v>
      </c>
      <c r="D5219" t="s">
        <v>199</v>
      </c>
      <c r="E5219">
        <v>9.9079999999999995</v>
      </c>
      <c r="F5219" t="s">
        <v>21</v>
      </c>
      <c r="G5219" t="s">
        <v>26</v>
      </c>
      <c r="H5219" t="s">
        <v>21</v>
      </c>
      <c r="I5219" t="s">
        <v>20</v>
      </c>
      <c r="J5219" t="s">
        <v>20</v>
      </c>
      <c r="K5219" t="s">
        <v>27</v>
      </c>
      <c r="L5219" t="s">
        <v>103</v>
      </c>
      <c r="M5219" t="s">
        <v>200</v>
      </c>
      <c r="N5219">
        <v>38.263857999999999</v>
      </c>
      <c r="O5219">
        <v>-112.491755</v>
      </c>
      <c r="P5219">
        <v>7054.2804770000002</v>
      </c>
      <c r="Q5219">
        <v>341</v>
      </c>
      <c r="R5219">
        <v>0</v>
      </c>
    </row>
    <row r="5220" spans="1:18" x14ac:dyDescent="0.25">
      <c r="A5220">
        <v>5219</v>
      </c>
      <c r="B5220">
        <v>94</v>
      </c>
      <c r="C5220">
        <v>31191931</v>
      </c>
      <c r="D5220" t="s">
        <v>310</v>
      </c>
      <c r="E5220">
        <v>9.9090000000000007</v>
      </c>
      <c r="F5220" t="s">
        <v>21</v>
      </c>
      <c r="G5220" t="s">
        <v>26</v>
      </c>
      <c r="H5220" t="s">
        <v>21</v>
      </c>
      <c r="I5220" t="s">
        <v>20</v>
      </c>
      <c r="J5220" t="s">
        <v>20</v>
      </c>
      <c r="K5220" t="s">
        <v>31</v>
      </c>
      <c r="L5220" t="s">
        <v>285</v>
      </c>
      <c r="M5220" t="s">
        <v>206</v>
      </c>
      <c r="N5220">
        <v>40.599927999999998</v>
      </c>
      <c r="O5220">
        <v>-112.469656</v>
      </c>
      <c r="P5220">
        <v>4263.7834540000003</v>
      </c>
      <c r="Q5220">
        <v>1414</v>
      </c>
      <c r="R5220">
        <v>0</v>
      </c>
    </row>
    <row r="5221" spans="1:18" x14ac:dyDescent="0.25">
      <c r="A5221">
        <v>5220</v>
      </c>
      <c r="B5221">
        <v>94</v>
      </c>
      <c r="C5221">
        <v>31403512</v>
      </c>
      <c r="D5221" t="s">
        <v>224</v>
      </c>
      <c r="E5221">
        <v>5.5359999999999996</v>
      </c>
      <c r="F5221" t="s">
        <v>21</v>
      </c>
      <c r="G5221" t="s">
        <v>26</v>
      </c>
      <c r="H5221" t="s">
        <v>21</v>
      </c>
      <c r="I5221" t="s">
        <v>20</v>
      </c>
      <c r="J5221" t="s">
        <v>20</v>
      </c>
      <c r="K5221" t="s">
        <v>22</v>
      </c>
      <c r="L5221" t="s">
        <v>198</v>
      </c>
      <c r="M5221" t="s">
        <v>194</v>
      </c>
      <c r="N5221">
        <v>40.044541000000002</v>
      </c>
      <c r="O5221">
        <v>-111.72953</v>
      </c>
      <c r="P5221">
        <v>4593.8567130000001</v>
      </c>
      <c r="Q5221">
        <v>408</v>
      </c>
      <c r="R5221">
        <v>0</v>
      </c>
    </row>
    <row r="5222" spans="1:18" x14ac:dyDescent="0.25">
      <c r="A5222">
        <v>5221</v>
      </c>
      <c r="B5222">
        <v>94</v>
      </c>
      <c r="C5222">
        <v>31498954</v>
      </c>
      <c r="D5222" t="s">
        <v>124</v>
      </c>
      <c r="E5222">
        <v>54.811999999999998</v>
      </c>
      <c r="F5222" t="s">
        <v>19</v>
      </c>
      <c r="G5222" t="s">
        <v>20</v>
      </c>
      <c r="H5222" t="s">
        <v>21</v>
      </c>
      <c r="I5222" t="s">
        <v>20</v>
      </c>
      <c r="J5222" t="s">
        <v>20</v>
      </c>
      <c r="K5222" t="s">
        <v>31</v>
      </c>
      <c r="L5222" t="s">
        <v>362</v>
      </c>
      <c r="M5222" t="s">
        <v>125</v>
      </c>
      <c r="N5222">
        <v>40.703946999999999</v>
      </c>
      <c r="O5222">
        <v>-111.93894899999999</v>
      </c>
      <c r="P5222">
        <v>4191.7099029999999</v>
      </c>
      <c r="Q5222">
        <v>1368</v>
      </c>
      <c r="R5222">
        <v>0</v>
      </c>
    </row>
    <row r="5223" spans="1:18" x14ac:dyDescent="0.25">
      <c r="A5223">
        <v>5222</v>
      </c>
      <c r="B5223">
        <v>94</v>
      </c>
      <c r="C5223">
        <v>1504676</v>
      </c>
      <c r="D5223" t="s">
        <v>88</v>
      </c>
      <c r="E5223">
        <v>6.0129999999999999</v>
      </c>
      <c r="F5223" t="s">
        <v>19</v>
      </c>
      <c r="G5223" t="s">
        <v>20</v>
      </c>
      <c r="H5223" t="s">
        <v>21</v>
      </c>
      <c r="I5223" t="s">
        <v>20</v>
      </c>
      <c r="J5223" t="s">
        <v>20</v>
      </c>
      <c r="K5223" t="s">
        <v>31</v>
      </c>
      <c r="L5223" t="s">
        <v>89</v>
      </c>
      <c r="M5223" t="s">
        <v>90</v>
      </c>
      <c r="N5223">
        <v>40.526966000000002</v>
      </c>
      <c r="O5223">
        <v>-111.871216</v>
      </c>
      <c r="P5223">
        <v>4416.2364360000001</v>
      </c>
      <c r="Q5223">
        <v>318</v>
      </c>
      <c r="R5223">
        <v>0</v>
      </c>
    </row>
    <row r="5224" spans="1:18" x14ac:dyDescent="0.25">
      <c r="A5224">
        <v>5223</v>
      </c>
      <c r="B5224">
        <v>94</v>
      </c>
      <c r="C5224" t="s">
        <v>713</v>
      </c>
      <c r="D5224" t="s">
        <v>129</v>
      </c>
      <c r="E5224">
        <v>6.0149999999999997</v>
      </c>
      <c r="F5224" t="s">
        <v>21</v>
      </c>
      <c r="G5224" t="s">
        <v>20</v>
      </c>
      <c r="H5224" t="s">
        <v>21</v>
      </c>
      <c r="I5224" t="s">
        <v>20</v>
      </c>
      <c r="J5224" t="s">
        <v>20</v>
      </c>
      <c r="K5224" t="s">
        <v>31</v>
      </c>
      <c r="L5224" t="s">
        <v>130</v>
      </c>
      <c r="M5224" t="s">
        <v>131</v>
      </c>
      <c r="N5224">
        <v>40.631583999999997</v>
      </c>
      <c r="O5224">
        <v>-111.18828600000001</v>
      </c>
      <c r="P5224">
        <v>6980.0008770000004</v>
      </c>
      <c r="Q5224">
        <v>340</v>
      </c>
      <c r="R5224">
        <v>0</v>
      </c>
    </row>
    <row r="5225" spans="1:18" x14ac:dyDescent="0.25">
      <c r="A5225">
        <v>5224</v>
      </c>
      <c r="B5225">
        <v>94</v>
      </c>
      <c r="C5225">
        <v>31369930</v>
      </c>
      <c r="D5225" t="s">
        <v>345</v>
      </c>
      <c r="E5225">
        <v>6.0229999999999997</v>
      </c>
      <c r="F5225" t="s">
        <v>21</v>
      </c>
      <c r="G5225" t="s">
        <v>26</v>
      </c>
      <c r="H5225" t="s">
        <v>21</v>
      </c>
      <c r="I5225" t="s">
        <v>20</v>
      </c>
      <c r="J5225" t="s">
        <v>20</v>
      </c>
      <c r="K5225" t="s">
        <v>27</v>
      </c>
      <c r="L5225" t="s">
        <v>75</v>
      </c>
      <c r="M5225" t="s">
        <v>76</v>
      </c>
      <c r="N5225">
        <v>38.630262000000002</v>
      </c>
      <c r="O5225">
        <v>-112.121409</v>
      </c>
      <c r="P5225">
        <v>5321.5229289999997</v>
      </c>
      <c r="Q5225">
        <v>1403</v>
      </c>
      <c r="R5225">
        <v>0</v>
      </c>
    </row>
    <row r="5226" spans="1:18" x14ac:dyDescent="0.25">
      <c r="A5226">
        <v>5225</v>
      </c>
      <c r="B5226">
        <v>94</v>
      </c>
      <c r="C5226">
        <v>819144</v>
      </c>
      <c r="D5226" t="s">
        <v>68</v>
      </c>
      <c r="E5226">
        <v>6.0270000000000001</v>
      </c>
      <c r="F5226" t="s">
        <v>21</v>
      </c>
      <c r="G5226" t="s">
        <v>26</v>
      </c>
      <c r="H5226" t="s">
        <v>21</v>
      </c>
      <c r="I5226" t="s">
        <v>20</v>
      </c>
      <c r="J5226" t="s">
        <v>20</v>
      </c>
      <c r="K5226" t="s">
        <v>31</v>
      </c>
      <c r="L5226" t="s">
        <v>32</v>
      </c>
      <c r="M5226" t="s">
        <v>70</v>
      </c>
      <c r="N5226">
        <v>40.674256999999997</v>
      </c>
      <c r="O5226">
        <v>-111.84096099999999</v>
      </c>
      <c r="P5226">
        <v>4331.6508199999998</v>
      </c>
      <c r="Q5226">
        <v>431</v>
      </c>
      <c r="R5226">
        <v>0</v>
      </c>
    </row>
    <row r="5227" spans="1:18" x14ac:dyDescent="0.25">
      <c r="A5227">
        <v>5226</v>
      </c>
      <c r="B5227">
        <v>94</v>
      </c>
      <c r="C5227">
        <v>1049625</v>
      </c>
      <c r="D5227" t="s">
        <v>127</v>
      </c>
      <c r="E5227">
        <v>6.0309999999999997</v>
      </c>
      <c r="F5227" t="s">
        <v>21</v>
      </c>
      <c r="G5227" t="s">
        <v>26</v>
      </c>
      <c r="H5227" t="s">
        <v>21</v>
      </c>
      <c r="I5227" t="s">
        <v>20</v>
      </c>
      <c r="J5227" t="s">
        <v>20</v>
      </c>
      <c r="K5227" t="s">
        <v>41</v>
      </c>
      <c r="L5227" t="s">
        <v>95</v>
      </c>
      <c r="M5227" t="s">
        <v>73</v>
      </c>
      <c r="N5227">
        <v>41.976044000000002</v>
      </c>
      <c r="O5227">
        <v>-111.837283</v>
      </c>
      <c r="P5227">
        <v>4449.7583080000004</v>
      </c>
      <c r="Q5227">
        <v>1364</v>
      </c>
      <c r="R5227">
        <v>0</v>
      </c>
    </row>
    <row r="5228" spans="1:18" x14ac:dyDescent="0.25">
      <c r="A5228">
        <v>5227</v>
      </c>
      <c r="B5228">
        <v>94</v>
      </c>
      <c r="C5228">
        <v>2376420</v>
      </c>
      <c r="D5228" t="s">
        <v>113</v>
      </c>
      <c r="E5228">
        <v>6.032</v>
      </c>
      <c r="F5228" t="s">
        <v>21</v>
      </c>
      <c r="G5228" t="s">
        <v>26</v>
      </c>
      <c r="H5228" t="s">
        <v>21</v>
      </c>
      <c r="I5228" t="s">
        <v>20</v>
      </c>
      <c r="J5228" t="s">
        <v>20</v>
      </c>
      <c r="K5228" t="s">
        <v>41</v>
      </c>
      <c r="L5228" t="s">
        <v>87</v>
      </c>
      <c r="M5228" t="s">
        <v>58</v>
      </c>
      <c r="N5228">
        <v>41.132491999999999</v>
      </c>
      <c r="O5228">
        <v>-111.92872800000001</v>
      </c>
      <c r="P5228">
        <v>4456.6452939999999</v>
      </c>
      <c r="Q5228">
        <v>1363</v>
      </c>
      <c r="R5228">
        <v>0</v>
      </c>
    </row>
    <row r="5229" spans="1:18" x14ac:dyDescent="0.25">
      <c r="A5229">
        <v>5228</v>
      </c>
      <c r="B5229">
        <v>94</v>
      </c>
      <c r="C5229">
        <v>1455035</v>
      </c>
      <c r="D5229" t="s">
        <v>109</v>
      </c>
      <c r="E5229">
        <v>6.0359999999999996</v>
      </c>
      <c r="F5229" t="s">
        <v>21</v>
      </c>
      <c r="G5229" t="s">
        <v>26</v>
      </c>
      <c r="H5229" t="s">
        <v>21</v>
      </c>
      <c r="I5229" t="s">
        <v>20</v>
      </c>
      <c r="J5229" t="s">
        <v>20</v>
      </c>
      <c r="K5229" t="s">
        <v>41</v>
      </c>
      <c r="L5229" t="s">
        <v>42</v>
      </c>
      <c r="M5229" t="s">
        <v>73</v>
      </c>
      <c r="N5229">
        <v>41.649726000000001</v>
      </c>
      <c r="O5229">
        <v>-111.832773</v>
      </c>
      <c r="P5229">
        <v>4604.2316229999997</v>
      </c>
      <c r="Q5229">
        <v>345</v>
      </c>
      <c r="R5229">
        <v>0</v>
      </c>
    </row>
    <row r="5230" spans="1:18" x14ac:dyDescent="0.25">
      <c r="A5230">
        <v>5229</v>
      </c>
      <c r="B5230">
        <v>94</v>
      </c>
      <c r="C5230">
        <v>1252608</v>
      </c>
      <c r="D5230" t="s">
        <v>128</v>
      </c>
      <c r="E5230">
        <v>6.0389999999999997</v>
      </c>
      <c r="F5230" t="s">
        <v>21</v>
      </c>
      <c r="G5230" t="s">
        <v>26</v>
      </c>
      <c r="H5230" t="s">
        <v>21</v>
      </c>
      <c r="I5230" t="s">
        <v>20</v>
      </c>
      <c r="J5230" t="s">
        <v>20</v>
      </c>
      <c r="K5230" t="s">
        <v>41</v>
      </c>
      <c r="L5230" t="s">
        <v>95</v>
      </c>
      <c r="M5230" t="s">
        <v>73</v>
      </c>
      <c r="N5230">
        <v>41.777918</v>
      </c>
      <c r="O5230">
        <v>-111.848783</v>
      </c>
      <c r="P5230">
        <v>4407.1063160000003</v>
      </c>
      <c r="Q5230">
        <v>5943</v>
      </c>
      <c r="R5230">
        <v>0</v>
      </c>
    </row>
    <row r="5231" spans="1:18" x14ac:dyDescent="0.25">
      <c r="A5231">
        <v>5230</v>
      </c>
      <c r="B5231">
        <v>94</v>
      </c>
      <c r="C5231">
        <v>31504517</v>
      </c>
      <c r="D5231" t="s">
        <v>292</v>
      </c>
      <c r="E5231">
        <v>6.0439999999999996</v>
      </c>
      <c r="F5231" t="s">
        <v>21</v>
      </c>
      <c r="G5231" t="s">
        <v>20</v>
      </c>
      <c r="H5231" t="s">
        <v>21</v>
      </c>
      <c r="I5231" t="s">
        <v>20</v>
      </c>
      <c r="J5231" t="s">
        <v>20</v>
      </c>
      <c r="K5231" t="s">
        <v>22</v>
      </c>
      <c r="L5231" t="s">
        <v>253</v>
      </c>
      <c r="M5231" t="s">
        <v>134</v>
      </c>
      <c r="N5231">
        <v>40.249206000000001</v>
      </c>
      <c r="O5231">
        <v>-110.386591</v>
      </c>
      <c r="P5231">
        <v>5950.7991700000002</v>
      </c>
      <c r="Q5231">
        <v>323</v>
      </c>
      <c r="R5231">
        <v>0</v>
      </c>
    </row>
    <row r="5232" spans="1:18" x14ac:dyDescent="0.25">
      <c r="A5232">
        <v>5231</v>
      </c>
      <c r="B5232">
        <v>94</v>
      </c>
      <c r="C5232">
        <v>27599928</v>
      </c>
      <c r="D5232" t="s">
        <v>110</v>
      </c>
      <c r="E5232">
        <v>6.0439999999999996</v>
      </c>
      <c r="F5232" t="s">
        <v>21</v>
      </c>
      <c r="G5232" t="s">
        <v>26</v>
      </c>
      <c r="H5232" t="s">
        <v>21</v>
      </c>
      <c r="I5232" t="s">
        <v>20</v>
      </c>
      <c r="J5232" t="s">
        <v>20</v>
      </c>
      <c r="K5232" t="s">
        <v>27</v>
      </c>
      <c r="L5232" t="s">
        <v>111</v>
      </c>
      <c r="M5232" t="s">
        <v>112</v>
      </c>
      <c r="N5232">
        <v>39.246319999999997</v>
      </c>
      <c r="O5232">
        <v>-111.09281799999999</v>
      </c>
      <c r="P5232">
        <v>5916.2447689999999</v>
      </c>
      <c r="Q5232">
        <v>1361</v>
      </c>
      <c r="R5232">
        <v>0</v>
      </c>
    </row>
    <row r="5233" spans="1:18" x14ac:dyDescent="0.25">
      <c r="A5233">
        <v>5232</v>
      </c>
      <c r="B5233">
        <v>94</v>
      </c>
      <c r="C5233" t="s">
        <v>714</v>
      </c>
      <c r="D5233" t="s">
        <v>208</v>
      </c>
      <c r="E5233">
        <v>6.0449999999999999</v>
      </c>
      <c r="F5233" t="s">
        <v>19</v>
      </c>
      <c r="G5233" t="s">
        <v>20</v>
      </c>
      <c r="H5233" t="s">
        <v>19</v>
      </c>
      <c r="I5233">
        <v>248</v>
      </c>
      <c r="J5233" t="s">
        <v>20</v>
      </c>
      <c r="K5233" t="s">
        <v>31</v>
      </c>
      <c r="L5233" t="s">
        <v>209</v>
      </c>
      <c r="M5233" t="s">
        <v>131</v>
      </c>
      <c r="N5233">
        <v>40.660331999999997</v>
      </c>
      <c r="O5233">
        <v>-111.509462</v>
      </c>
      <c r="P5233">
        <v>6761.6520950000004</v>
      </c>
      <c r="Q5233">
        <v>357</v>
      </c>
      <c r="R5233">
        <v>0</v>
      </c>
    </row>
    <row r="5234" spans="1:18" x14ac:dyDescent="0.25">
      <c r="A5234">
        <v>5233</v>
      </c>
      <c r="B5234">
        <v>94</v>
      </c>
      <c r="C5234">
        <v>1010024</v>
      </c>
      <c r="D5234" t="s">
        <v>65</v>
      </c>
      <c r="E5234">
        <v>6.0449999999999999</v>
      </c>
      <c r="F5234" t="s">
        <v>19</v>
      </c>
      <c r="G5234" t="s">
        <v>20</v>
      </c>
      <c r="H5234" t="s">
        <v>21</v>
      </c>
      <c r="I5234" t="s">
        <v>20</v>
      </c>
      <c r="J5234" t="s">
        <v>20</v>
      </c>
      <c r="K5234" t="s">
        <v>31</v>
      </c>
      <c r="L5234" t="s">
        <v>188</v>
      </c>
      <c r="M5234" t="s">
        <v>67</v>
      </c>
      <c r="N5234">
        <v>40.750781000000003</v>
      </c>
      <c r="O5234">
        <v>-111.830596</v>
      </c>
      <c r="P5234">
        <v>4695.4612049999996</v>
      </c>
      <c r="Q5234">
        <v>402</v>
      </c>
      <c r="R5234">
        <v>0</v>
      </c>
    </row>
    <row r="5235" spans="1:18" x14ac:dyDescent="0.25">
      <c r="A5235">
        <v>5234</v>
      </c>
      <c r="B5235">
        <v>94</v>
      </c>
      <c r="C5235" t="e">
        <f>-JPjgET_G69Mb6Vm27ngGk</f>
        <v>#NAME?</v>
      </c>
      <c r="D5235" t="s">
        <v>227</v>
      </c>
      <c r="E5235">
        <v>6.0510000000000002</v>
      </c>
      <c r="F5235" t="s">
        <v>21</v>
      </c>
      <c r="G5235" t="s">
        <v>20</v>
      </c>
      <c r="H5235" t="s">
        <v>21</v>
      </c>
      <c r="I5235" t="s">
        <v>20</v>
      </c>
      <c r="J5235" t="s">
        <v>20</v>
      </c>
      <c r="K5235" t="s">
        <v>27</v>
      </c>
      <c r="L5235" t="s">
        <v>158</v>
      </c>
      <c r="M5235" t="s">
        <v>190</v>
      </c>
      <c r="N5235">
        <v>39.536047000000003</v>
      </c>
      <c r="O5235">
        <v>-110.463008</v>
      </c>
      <c r="P5235">
        <v>5933.158238</v>
      </c>
      <c r="Q5235">
        <v>1407</v>
      </c>
      <c r="R5235">
        <v>0</v>
      </c>
    </row>
    <row r="5236" spans="1:18" x14ac:dyDescent="0.25">
      <c r="A5236">
        <v>5235</v>
      </c>
      <c r="B5236">
        <v>94</v>
      </c>
      <c r="C5236">
        <v>28338860</v>
      </c>
      <c r="D5236" t="s">
        <v>160</v>
      </c>
      <c r="E5236">
        <v>6.0579999999999998</v>
      </c>
      <c r="F5236" t="s">
        <v>21</v>
      </c>
      <c r="G5236" t="s">
        <v>26</v>
      </c>
      <c r="H5236" t="s">
        <v>21</v>
      </c>
      <c r="I5236" t="s">
        <v>20</v>
      </c>
      <c r="J5236" t="s">
        <v>20</v>
      </c>
      <c r="K5236" t="s">
        <v>27</v>
      </c>
      <c r="L5236" t="s">
        <v>72</v>
      </c>
      <c r="M5236" t="s">
        <v>73</v>
      </c>
      <c r="N5236">
        <v>37.284069000000002</v>
      </c>
      <c r="O5236">
        <v>-113.30696399999999</v>
      </c>
      <c r="P5236">
        <v>3754.297442</v>
      </c>
      <c r="Q5236">
        <v>1335</v>
      </c>
      <c r="R5236">
        <v>0</v>
      </c>
    </row>
    <row r="5237" spans="1:18" x14ac:dyDescent="0.25">
      <c r="A5237">
        <v>5236</v>
      </c>
      <c r="B5237">
        <v>94</v>
      </c>
      <c r="C5237">
        <v>31694478</v>
      </c>
      <c r="D5237" t="s">
        <v>96</v>
      </c>
      <c r="E5237">
        <v>6.0609999999999999</v>
      </c>
      <c r="F5237" t="s">
        <v>21</v>
      </c>
      <c r="G5237" t="s">
        <v>20</v>
      </c>
      <c r="H5237" t="s">
        <v>21</v>
      </c>
      <c r="I5237" t="s">
        <v>20</v>
      </c>
      <c r="J5237" t="s">
        <v>20</v>
      </c>
      <c r="K5237" t="s">
        <v>22</v>
      </c>
      <c r="L5237" t="s">
        <v>97</v>
      </c>
      <c r="M5237" t="s">
        <v>98</v>
      </c>
      <c r="N5237">
        <v>40.977223000000002</v>
      </c>
      <c r="O5237">
        <v>-109.75308</v>
      </c>
      <c r="P5237">
        <v>6615.3742080000002</v>
      </c>
      <c r="Q5237">
        <v>311</v>
      </c>
      <c r="R5237">
        <v>0</v>
      </c>
    </row>
    <row r="5238" spans="1:18" x14ac:dyDescent="0.25">
      <c r="A5238">
        <v>5237</v>
      </c>
      <c r="B5238">
        <v>94</v>
      </c>
      <c r="C5238">
        <v>31312472</v>
      </c>
      <c r="D5238" t="s">
        <v>215</v>
      </c>
      <c r="E5238">
        <v>6.0620000000000003</v>
      </c>
      <c r="F5238" t="s">
        <v>19</v>
      </c>
      <c r="G5238" t="s">
        <v>20</v>
      </c>
      <c r="H5238" t="s">
        <v>21</v>
      </c>
      <c r="I5238" t="s">
        <v>20</v>
      </c>
      <c r="J5238" t="s">
        <v>20</v>
      </c>
      <c r="K5238" t="s">
        <v>22</v>
      </c>
      <c r="L5238" t="s">
        <v>23</v>
      </c>
      <c r="M5238" t="s">
        <v>85</v>
      </c>
      <c r="N5238">
        <v>40.289867000000001</v>
      </c>
      <c r="O5238">
        <v>-111.73390999999999</v>
      </c>
      <c r="P5238">
        <v>4495.7002730000004</v>
      </c>
      <c r="Q5238">
        <v>330</v>
      </c>
      <c r="R5238">
        <v>0</v>
      </c>
    </row>
    <row r="5239" spans="1:18" x14ac:dyDescent="0.25">
      <c r="A5239">
        <v>5238</v>
      </c>
      <c r="B5239">
        <v>94</v>
      </c>
      <c r="C5239">
        <v>31735570</v>
      </c>
      <c r="D5239" t="s">
        <v>118</v>
      </c>
      <c r="E5239">
        <v>61.011000000000003</v>
      </c>
      <c r="F5239" t="s">
        <v>21</v>
      </c>
      <c r="G5239" t="s">
        <v>26</v>
      </c>
      <c r="H5239" t="s">
        <v>21</v>
      </c>
      <c r="I5239" t="s">
        <v>20</v>
      </c>
      <c r="J5239" t="s">
        <v>20</v>
      </c>
      <c r="K5239" t="s">
        <v>22</v>
      </c>
      <c r="L5239" t="s">
        <v>168</v>
      </c>
      <c r="M5239" t="s">
        <v>120</v>
      </c>
      <c r="N5239">
        <v>40.212420000000002</v>
      </c>
      <c r="O5239">
        <v>-110.858665</v>
      </c>
      <c r="P5239">
        <v>6652.8779240000003</v>
      </c>
      <c r="Q5239">
        <v>310</v>
      </c>
      <c r="R5239">
        <v>0</v>
      </c>
    </row>
    <row r="5240" spans="1:18" x14ac:dyDescent="0.25">
      <c r="A5240">
        <v>5239</v>
      </c>
      <c r="B5240">
        <v>94</v>
      </c>
      <c r="C5240" t="e">
        <f>-Ip-JLbCIr5DL1nHOb5lFF</f>
        <v>#NAME?</v>
      </c>
      <c r="D5240" t="s">
        <v>203</v>
      </c>
      <c r="E5240">
        <v>61.045000000000002</v>
      </c>
      <c r="F5240" t="s">
        <v>21</v>
      </c>
      <c r="G5240" t="s">
        <v>20</v>
      </c>
      <c r="H5240" t="s">
        <v>21</v>
      </c>
      <c r="I5240" t="s">
        <v>20</v>
      </c>
      <c r="J5240" t="s">
        <v>20</v>
      </c>
      <c r="K5240" t="s">
        <v>41</v>
      </c>
      <c r="L5240" t="s">
        <v>325</v>
      </c>
      <c r="M5240" t="s">
        <v>204</v>
      </c>
      <c r="N5240">
        <v>41.501164000000003</v>
      </c>
      <c r="O5240">
        <v>-111.27975000000001</v>
      </c>
      <c r="P5240">
        <v>6626.2557749999996</v>
      </c>
      <c r="Q5240">
        <v>1349</v>
      </c>
      <c r="R5240">
        <v>0</v>
      </c>
    </row>
    <row r="5241" spans="1:18" x14ac:dyDescent="0.25">
      <c r="A5241">
        <v>5240</v>
      </c>
      <c r="B5241">
        <v>94</v>
      </c>
      <c r="C5241">
        <v>31482343</v>
      </c>
      <c r="D5241" t="s">
        <v>319</v>
      </c>
      <c r="E5241">
        <v>61.048999999999999</v>
      </c>
      <c r="F5241" t="s">
        <v>21</v>
      </c>
      <c r="G5241" t="s">
        <v>26</v>
      </c>
      <c r="H5241" t="s">
        <v>21</v>
      </c>
      <c r="I5241" t="s">
        <v>20</v>
      </c>
      <c r="J5241" t="s">
        <v>20</v>
      </c>
      <c r="K5241" t="s">
        <v>27</v>
      </c>
      <c r="L5241" t="s">
        <v>54</v>
      </c>
      <c r="M5241" t="s">
        <v>55</v>
      </c>
      <c r="N5241">
        <v>37.680869999999999</v>
      </c>
      <c r="O5241">
        <v>-113.07014700000001</v>
      </c>
      <c r="P5241">
        <v>5699.6095729999997</v>
      </c>
      <c r="Q5241">
        <v>314</v>
      </c>
      <c r="R5241">
        <v>0</v>
      </c>
    </row>
    <row r="5242" spans="1:18" x14ac:dyDescent="0.25">
      <c r="A5242">
        <v>5241</v>
      </c>
      <c r="B5242">
        <v>94</v>
      </c>
      <c r="C5242">
        <v>31712839</v>
      </c>
      <c r="D5242" t="s">
        <v>244</v>
      </c>
      <c r="E5242">
        <v>61.103000000000002</v>
      </c>
      <c r="F5242" t="s">
        <v>21</v>
      </c>
      <c r="G5242" t="s">
        <v>26</v>
      </c>
      <c r="H5242" t="s">
        <v>21</v>
      </c>
      <c r="I5242" t="s">
        <v>20</v>
      </c>
      <c r="J5242" t="s">
        <v>20</v>
      </c>
      <c r="K5242" t="s">
        <v>27</v>
      </c>
      <c r="L5242" t="s">
        <v>266</v>
      </c>
      <c r="M5242" t="s">
        <v>386</v>
      </c>
      <c r="N5242">
        <v>38.334828000000002</v>
      </c>
      <c r="O5242">
        <v>-111.53715699999999</v>
      </c>
      <c r="P5242">
        <v>7029.4206169999998</v>
      </c>
      <c r="Q5242">
        <v>1340</v>
      </c>
      <c r="R5242">
        <v>0</v>
      </c>
    </row>
    <row r="5243" spans="1:18" x14ac:dyDescent="0.25">
      <c r="A5243">
        <v>5242</v>
      </c>
      <c r="B5243">
        <v>94</v>
      </c>
      <c r="C5243">
        <v>31482954</v>
      </c>
      <c r="D5243" t="s">
        <v>319</v>
      </c>
      <c r="E5243">
        <v>61.134</v>
      </c>
      <c r="F5243" t="s">
        <v>21</v>
      </c>
      <c r="G5243" t="s">
        <v>26</v>
      </c>
      <c r="H5243" t="s">
        <v>21</v>
      </c>
      <c r="I5243" t="s">
        <v>20</v>
      </c>
      <c r="J5243" t="s">
        <v>20</v>
      </c>
      <c r="K5243" t="s">
        <v>27</v>
      </c>
      <c r="L5243" t="s">
        <v>54</v>
      </c>
      <c r="M5243" t="s">
        <v>55</v>
      </c>
      <c r="N5243">
        <v>37.680878</v>
      </c>
      <c r="O5243">
        <v>-113.068603</v>
      </c>
      <c r="P5243">
        <v>5713.4215430000004</v>
      </c>
      <c r="Q5243">
        <v>314</v>
      </c>
      <c r="R5243">
        <v>0</v>
      </c>
    </row>
    <row r="5244" spans="1:18" x14ac:dyDescent="0.25">
      <c r="A5244">
        <v>5243</v>
      </c>
      <c r="B5244">
        <v>94</v>
      </c>
      <c r="C5244">
        <v>31712850</v>
      </c>
      <c r="D5244" t="s">
        <v>244</v>
      </c>
      <c r="E5244">
        <v>61.140999999999998</v>
      </c>
      <c r="F5244" t="s">
        <v>21</v>
      </c>
      <c r="G5244" t="s">
        <v>26</v>
      </c>
      <c r="H5244" t="s">
        <v>21</v>
      </c>
      <c r="I5244" t="s">
        <v>20</v>
      </c>
      <c r="J5244" t="s">
        <v>20</v>
      </c>
      <c r="K5244" t="s">
        <v>27</v>
      </c>
      <c r="L5244" t="s">
        <v>266</v>
      </c>
      <c r="M5244" t="s">
        <v>386</v>
      </c>
      <c r="N5244">
        <v>38.334318000000003</v>
      </c>
      <c r="O5244">
        <v>-111.536839</v>
      </c>
      <c r="P5244">
        <v>7029.505752</v>
      </c>
      <c r="Q5244">
        <v>1340</v>
      </c>
      <c r="R5244">
        <v>0</v>
      </c>
    </row>
    <row r="5245" spans="1:18" x14ac:dyDescent="0.25">
      <c r="A5245">
        <v>5244</v>
      </c>
      <c r="B5245">
        <v>94</v>
      </c>
      <c r="C5245">
        <v>28647319</v>
      </c>
      <c r="D5245" t="s">
        <v>192</v>
      </c>
      <c r="E5245">
        <v>5.665</v>
      </c>
      <c r="F5245" t="s">
        <v>21</v>
      </c>
      <c r="G5245" t="s">
        <v>26</v>
      </c>
      <c r="H5245" t="s">
        <v>21</v>
      </c>
      <c r="I5245" t="s">
        <v>20</v>
      </c>
      <c r="J5245" t="s">
        <v>20</v>
      </c>
      <c r="K5245" t="s">
        <v>22</v>
      </c>
      <c r="L5245" t="s">
        <v>140</v>
      </c>
      <c r="M5245" t="s">
        <v>125</v>
      </c>
      <c r="N5245">
        <v>40.158548000000003</v>
      </c>
      <c r="O5245">
        <v>-111.674019</v>
      </c>
      <c r="P5245">
        <v>4451.3388960000002</v>
      </c>
      <c r="Q5245">
        <v>1375</v>
      </c>
      <c r="R5245">
        <v>0</v>
      </c>
    </row>
    <row r="5246" spans="1:18" x14ac:dyDescent="0.25">
      <c r="A5246">
        <v>5245</v>
      </c>
      <c r="B5246">
        <v>94</v>
      </c>
      <c r="C5246">
        <v>31500437</v>
      </c>
      <c r="D5246" t="s">
        <v>124</v>
      </c>
      <c r="E5246">
        <v>55.712000000000003</v>
      </c>
      <c r="F5246" t="s">
        <v>19</v>
      </c>
      <c r="G5246" t="s">
        <v>20</v>
      </c>
      <c r="H5246" t="s">
        <v>21</v>
      </c>
      <c r="I5246" t="s">
        <v>20</v>
      </c>
      <c r="J5246" t="s">
        <v>20</v>
      </c>
      <c r="K5246" t="s">
        <v>31</v>
      </c>
      <c r="L5246" t="s">
        <v>362</v>
      </c>
      <c r="M5246" t="s">
        <v>125</v>
      </c>
      <c r="N5246">
        <v>40.717016000000001</v>
      </c>
      <c r="O5246">
        <v>-111.93897800000001</v>
      </c>
      <c r="P5246">
        <v>4184.3760270000002</v>
      </c>
      <c r="Q5246">
        <v>1368</v>
      </c>
      <c r="R5246">
        <v>0</v>
      </c>
    </row>
    <row r="5247" spans="1:18" x14ac:dyDescent="0.25">
      <c r="A5247">
        <v>5246</v>
      </c>
      <c r="B5247">
        <v>94</v>
      </c>
      <c r="C5247">
        <v>31583356</v>
      </c>
      <c r="D5247" t="s">
        <v>172</v>
      </c>
      <c r="E5247">
        <v>55.735999999999997</v>
      </c>
      <c r="F5247" t="s">
        <v>21</v>
      </c>
      <c r="G5247" t="s">
        <v>26</v>
      </c>
      <c r="H5247" t="s">
        <v>21</v>
      </c>
      <c r="I5247" t="s">
        <v>20</v>
      </c>
      <c r="J5247" t="s">
        <v>20</v>
      </c>
      <c r="K5247" t="s">
        <v>27</v>
      </c>
      <c r="L5247" t="s">
        <v>230</v>
      </c>
      <c r="M5247" t="s">
        <v>174</v>
      </c>
      <c r="N5247">
        <v>39.524911000000003</v>
      </c>
      <c r="O5247">
        <v>-111.57825</v>
      </c>
      <c r="P5247">
        <v>5502.5096560000002</v>
      </c>
      <c r="Q5247">
        <v>1411</v>
      </c>
      <c r="R5247">
        <v>0</v>
      </c>
    </row>
    <row r="5248" spans="1:18" x14ac:dyDescent="0.25">
      <c r="A5248">
        <v>5247</v>
      </c>
      <c r="B5248">
        <v>94</v>
      </c>
      <c r="C5248">
        <v>31662767</v>
      </c>
      <c r="D5248" t="s">
        <v>244</v>
      </c>
      <c r="E5248">
        <v>55.762999999999998</v>
      </c>
      <c r="F5248" t="s">
        <v>21</v>
      </c>
      <c r="G5248" t="s">
        <v>26</v>
      </c>
      <c r="H5248" t="s">
        <v>21</v>
      </c>
      <c r="I5248" t="s">
        <v>20</v>
      </c>
      <c r="J5248" t="s">
        <v>20</v>
      </c>
      <c r="K5248" t="s">
        <v>27</v>
      </c>
      <c r="L5248" t="s">
        <v>266</v>
      </c>
      <c r="M5248" t="s">
        <v>386</v>
      </c>
      <c r="N5248">
        <v>38.390884999999997</v>
      </c>
      <c r="O5248">
        <v>-111.58949</v>
      </c>
      <c r="P5248">
        <v>7087.5933409999998</v>
      </c>
      <c r="Q5248">
        <v>1340</v>
      </c>
      <c r="R5248">
        <v>0</v>
      </c>
    </row>
    <row r="5249" spans="1:18" x14ac:dyDescent="0.25">
      <c r="A5249">
        <v>5248</v>
      </c>
      <c r="B5249">
        <v>94</v>
      </c>
      <c r="C5249">
        <v>28028101</v>
      </c>
      <c r="D5249" t="s">
        <v>281</v>
      </c>
      <c r="E5249">
        <v>55.77</v>
      </c>
      <c r="F5249" t="s">
        <v>19</v>
      </c>
      <c r="G5249" t="s">
        <v>20</v>
      </c>
      <c r="H5249" t="s">
        <v>19</v>
      </c>
      <c r="I5249">
        <v>112</v>
      </c>
      <c r="J5249" t="s">
        <v>20</v>
      </c>
      <c r="K5249" t="s">
        <v>31</v>
      </c>
      <c r="L5249" t="s">
        <v>282</v>
      </c>
      <c r="M5249" t="s">
        <v>174</v>
      </c>
      <c r="N5249">
        <v>40.551040999999998</v>
      </c>
      <c r="O5249">
        <v>-112.298087</v>
      </c>
      <c r="P5249">
        <v>4798.4385009999996</v>
      </c>
      <c r="Q5249">
        <v>1347</v>
      </c>
      <c r="R5249">
        <v>0</v>
      </c>
    </row>
    <row r="5250" spans="1:18" x14ac:dyDescent="0.25">
      <c r="A5250">
        <v>5249</v>
      </c>
      <c r="B5250">
        <v>94</v>
      </c>
      <c r="C5250">
        <v>31500834</v>
      </c>
      <c r="D5250" t="s">
        <v>124</v>
      </c>
      <c r="E5250">
        <v>55.811999999999998</v>
      </c>
      <c r="F5250" t="s">
        <v>21</v>
      </c>
      <c r="G5250" t="s">
        <v>26</v>
      </c>
      <c r="H5250" t="s">
        <v>21</v>
      </c>
      <c r="I5250" t="s">
        <v>20</v>
      </c>
      <c r="J5250" t="s">
        <v>20</v>
      </c>
      <c r="K5250" t="s">
        <v>31</v>
      </c>
      <c r="L5250" t="s">
        <v>362</v>
      </c>
      <c r="M5250" t="s">
        <v>125</v>
      </c>
      <c r="N5250">
        <v>40.718474999999998</v>
      </c>
      <c r="O5250">
        <v>-111.93898</v>
      </c>
      <c r="P5250">
        <v>4183.7381429999996</v>
      </c>
      <c r="Q5250">
        <v>1368</v>
      </c>
      <c r="R5250">
        <v>0</v>
      </c>
    </row>
    <row r="5251" spans="1:18" x14ac:dyDescent="0.25">
      <c r="A5251">
        <v>5250</v>
      </c>
      <c r="B5251">
        <v>94</v>
      </c>
      <c r="C5251">
        <v>987570</v>
      </c>
      <c r="D5251" t="s">
        <v>375</v>
      </c>
      <c r="E5251">
        <v>0.13400000000000001</v>
      </c>
      <c r="F5251" t="s">
        <v>19</v>
      </c>
      <c r="G5251" t="s">
        <v>20</v>
      </c>
      <c r="H5251" t="s">
        <v>21</v>
      </c>
      <c r="I5251" t="s">
        <v>20</v>
      </c>
      <c r="J5251" t="s">
        <v>20</v>
      </c>
      <c r="K5251" t="s">
        <v>41</v>
      </c>
      <c r="L5251" t="s">
        <v>87</v>
      </c>
      <c r="M5251" t="s">
        <v>67</v>
      </c>
      <c r="N5251">
        <v>40.990091999999997</v>
      </c>
      <c r="O5251">
        <v>-111.905001</v>
      </c>
      <c r="P5251">
        <v>4228.1057280000005</v>
      </c>
      <c r="Q5251">
        <v>422</v>
      </c>
      <c r="R5251">
        <v>0</v>
      </c>
    </row>
    <row r="5252" spans="1:18" x14ac:dyDescent="0.25">
      <c r="A5252">
        <v>5251</v>
      </c>
      <c r="B5252">
        <v>94</v>
      </c>
      <c r="C5252" t="e">
        <f>-JQEu3GwF390jHrzRpENlF</f>
        <v>#NAME?</v>
      </c>
      <c r="D5252" t="s">
        <v>216</v>
      </c>
      <c r="E5252">
        <v>0.13500000000000001</v>
      </c>
      <c r="F5252" t="s">
        <v>21</v>
      </c>
      <c r="G5252" t="s">
        <v>26</v>
      </c>
      <c r="H5252" t="s">
        <v>21</v>
      </c>
      <c r="I5252" t="s">
        <v>20</v>
      </c>
      <c r="J5252" t="s">
        <v>20</v>
      </c>
      <c r="K5252" t="s">
        <v>27</v>
      </c>
      <c r="L5252" t="s">
        <v>158</v>
      </c>
      <c r="M5252" t="s">
        <v>159</v>
      </c>
      <c r="N5252">
        <v>39.682628999999999</v>
      </c>
      <c r="O5252">
        <v>-110.855587</v>
      </c>
      <c r="P5252">
        <v>5750.1191840000001</v>
      </c>
      <c r="Q5252">
        <v>1428</v>
      </c>
      <c r="R5252">
        <v>0</v>
      </c>
    </row>
    <row r="5253" spans="1:18" x14ac:dyDescent="0.25">
      <c r="A5253">
        <v>5252</v>
      </c>
      <c r="B5253">
        <v>94</v>
      </c>
      <c r="C5253">
        <v>31757578</v>
      </c>
      <c r="D5253" t="s">
        <v>105</v>
      </c>
      <c r="E5253">
        <v>0.13700000000000001</v>
      </c>
      <c r="F5253" t="s">
        <v>21</v>
      </c>
      <c r="G5253" t="s">
        <v>26</v>
      </c>
      <c r="H5253" t="s">
        <v>21</v>
      </c>
      <c r="I5253" t="s">
        <v>20</v>
      </c>
      <c r="J5253" t="s">
        <v>20</v>
      </c>
      <c r="K5253" t="s">
        <v>27</v>
      </c>
      <c r="L5253" t="s">
        <v>51</v>
      </c>
      <c r="M5253" t="s">
        <v>106</v>
      </c>
      <c r="N5253">
        <v>37.8521</v>
      </c>
      <c r="O5253">
        <v>-112.825733</v>
      </c>
      <c r="P5253">
        <v>5880.1212079999996</v>
      </c>
      <c r="Q5253">
        <v>432</v>
      </c>
      <c r="R5253">
        <v>0</v>
      </c>
    </row>
    <row r="5254" spans="1:18" x14ac:dyDescent="0.25">
      <c r="A5254">
        <v>5253</v>
      </c>
      <c r="B5254">
        <v>94</v>
      </c>
      <c r="C5254">
        <v>750565</v>
      </c>
      <c r="D5254" t="s">
        <v>86</v>
      </c>
      <c r="E5254">
        <v>0.13700000000000001</v>
      </c>
      <c r="F5254" t="s">
        <v>21</v>
      </c>
      <c r="G5254" t="s">
        <v>26</v>
      </c>
      <c r="H5254" t="s">
        <v>21</v>
      </c>
      <c r="I5254" t="s">
        <v>20</v>
      </c>
      <c r="J5254" t="s">
        <v>20</v>
      </c>
      <c r="K5254" t="s">
        <v>41</v>
      </c>
      <c r="L5254" t="s">
        <v>87</v>
      </c>
      <c r="M5254" t="s">
        <v>58</v>
      </c>
      <c r="N5254">
        <v>41.012276999999997</v>
      </c>
      <c r="O5254">
        <v>-111.91340599999999</v>
      </c>
      <c r="P5254">
        <v>4331.0498040000002</v>
      </c>
      <c r="Q5254">
        <v>258</v>
      </c>
      <c r="R5254">
        <v>0</v>
      </c>
    </row>
    <row r="5255" spans="1:18" x14ac:dyDescent="0.25">
      <c r="A5255">
        <v>5254</v>
      </c>
      <c r="B5255">
        <v>94</v>
      </c>
      <c r="C5255">
        <v>31764096</v>
      </c>
      <c r="D5255" t="s">
        <v>312</v>
      </c>
      <c r="E5255">
        <v>0.13800000000000001</v>
      </c>
      <c r="F5255" t="s">
        <v>21</v>
      </c>
      <c r="G5255" t="s">
        <v>26</v>
      </c>
      <c r="H5255" t="s">
        <v>21</v>
      </c>
      <c r="I5255" t="s">
        <v>20</v>
      </c>
      <c r="J5255" t="s">
        <v>20</v>
      </c>
      <c r="K5255" t="s">
        <v>27</v>
      </c>
      <c r="L5255" t="s">
        <v>143</v>
      </c>
      <c r="M5255" t="s">
        <v>313</v>
      </c>
      <c r="N5255">
        <v>38.399051</v>
      </c>
      <c r="O5255">
        <v>-113.01037700000001</v>
      </c>
      <c r="P5255">
        <v>4900.2788860000001</v>
      </c>
      <c r="Q5255">
        <v>255</v>
      </c>
      <c r="R5255">
        <v>0</v>
      </c>
    </row>
    <row r="5256" spans="1:18" x14ac:dyDescent="0.25">
      <c r="A5256">
        <v>5255</v>
      </c>
      <c r="B5256">
        <v>94</v>
      </c>
      <c r="C5256" t="e">
        <f>-IpUVfwfHlyJEbrSELwgNF</f>
        <v>#NAME?</v>
      </c>
      <c r="D5256" t="s">
        <v>232</v>
      </c>
      <c r="E5256">
        <v>0.13900000000000001</v>
      </c>
      <c r="F5256" t="s">
        <v>21</v>
      </c>
      <c r="G5256" t="s">
        <v>26</v>
      </c>
      <c r="H5256" t="s">
        <v>21</v>
      </c>
      <c r="I5256" t="s">
        <v>20</v>
      </c>
      <c r="J5256" t="s">
        <v>20</v>
      </c>
      <c r="K5256" t="s">
        <v>31</v>
      </c>
      <c r="L5256" t="s">
        <v>209</v>
      </c>
      <c r="M5256" t="s">
        <v>131</v>
      </c>
      <c r="N5256">
        <v>40.661045999999999</v>
      </c>
      <c r="O5256">
        <v>-111.50704899999999</v>
      </c>
      <c r="P5256">
        <v>6761.2025919999996</v>
      </c>
      <c r="Q5256">
        <v>1279</v>
      </c>
      <c r="R5256">
        <v>0</v>
      </c>
    </row>
    <row r="5257" spans="1:18" x14ac:dyDescent="0.25">
      <c r="A5257">
        <v>5256</v>
      </c>
      <c r="B5257">
        <v>94</v>
      </c>
      <c r="C5257">
        <v>31489421</v>
      </c>
      <c r="D5257" t="s">
        <v>353</v>
      </c>
      <c r="E5257">
        <v>0.13900000000000001</v>
      </c>
      <c r="F5257" t="s">
        <v>21</v>
      </c>
      <c r="G5257" t="s">
        <v>26</v>
      </c>
      <c r="H5257" t="s">
        <v>21</v>
      </c>
      <c r="I5257" t="s">
        <v>20</v>
      </c>
      <c r="J5257" t="s">
        <v>20</v>
      </c>
      <c r="K5257" t="s">
        <v>31</v>
      </c>
      <c r="L5257" t="s">
        <v>188</v>
      </c>
      <c r="M5257" t="s">
        <v>138</v>
      </c>
      <c r="N5257">
        <v>40.752263999999997</v>
      </c>
      <c r="O5257">
        <v>-111.71306300000001</v>
      </c>
      <c r="P5257">
        <v>5555.4766970000001</v>
      </c>
      <c r="Q5257">
        <v>1367</v>
      </c>
      <c r="R5257">
        <v>0</v>
      </c>
    </row>
    <row r="5258" spans="1:18" x14ac:dyDescent="0.25">
      <c r="A5258">
        <v>5257</v>
      </c>
      <c r="B5258">
        <v>94</v>
      </c>
      <c r="C5258">
        <v>31655027</v>
      </c>
      <c r="D5258" t="s">
        <v>71</v>
      </c>
      <c r="E5258">
        <v>0.14099999999999999</v>
      </c>
      <c r="F5258" t="s">
        <v>21</v>
      </c>
      <c r="G5258" t="s">
        <v>26</v>
      </c>
      <c r="H5258" t="s">
        <v>21</v>
      </c>
      <c r="I5258" t="s">
        <v>20</v>
      </c>
      <c r="J5258" t="s">
        <v>20</v>
      </c>
      <c r="K5258" t="s">
        <v>27</v>
      </c>
      <c r="L5258" t="s">
        <v>72</v>
      </c>
      <c r="M5258" t="s">
        <v>73</v>
      </c>
      <c r="N5258">
        <v>37.229965999999997</v>
      </c>
      <c r="O5258">
        <v>-113.37140599999999</v>
      </c>
      <c r="P5258">
        <v>3276.5473940000002</v>
      </c>
      <c r="Q5258">
        <v>423</v>
      </c>
      <c r="R5258">
        <v>0</v>
      </c>
    </row>
    <row r="5259" spans="1:18" x14ac:dyDescent="0.25">
      <c r="A5259">
        <v>5258</v>
      </c>
      <c r="B5259">
        <v>94</v>
      </c>
      <c r="C5259">
        <v>31309042</v>
      </c>
      <c r="D5259" t="s">
        <v>40</v>
      </c>
      <c r="E5259">
        <v>0.14099999999999999</v>
      </c>
      <c r="F5259" t="s">
        <v>21</v>
      </c>
      <c r="G5259" t="s">
        <v>26</v>
      </c>
      <c r="H5259" t="s">
        <v>21</v>
      </c>
      <c r="I5259" t="s">
        <v>20</v>
      </c>
      <c r="J5259" t="s">
        <v>20</v>
      </c>
      <c r="K5259" t="s">
        <v>41</v>
      </c>
      <c r="L5259" t="s">
        <v>42</v>
      </c>
      <c r="M5259" t="s">
        <v>43</v>
      </c>
      <c r="N5259">
        <v>41.638719000000002</v>
      </c>
      <c r="O5259">
        <v>-111.93159799999999</v>
      </c>
      <c r="P5259">
        <v>4476.8390120000004</v>
      </c>
      <c r="Q5259">
        <v>1391</v>
      </c>
      <c r="R5259">
        <v>0</v>
      </c>
    </row>
    <row r="5260" spans="1:18" x14ac:dyDescent="0.25">
      <c r="A5260">
        <v>5259</v>
      </c>
      <c r="B5260">
        <v>94</v>
      </c>
      <c r="C5260">
        <v>31696475</v>
      </c>
      <c r="D5260" t="s">
        <v>715</v>
      </c>
      <c r="E5260">
        <v>0.14199999999999999</v>
      </c>
      <c r="F5260" t="s">
        <v>21</v>
      </c>
      <c r="G5260" t="s">
        <v>20</v>
      </c>
      <c r="H5260" t="s">
        <v>21</v>
      </c>
      <c r="I5260" t="s">
        <v>20</v>
      </c>
      <c r="J5260" t="s">
        <v>20</v>
      </c>
      <c r="K5260" t="s">
        <v>41</v>
      </c>
      <c r="L5260" t="s">
        <v>87</v>
      </c>
      <c r="M5260" t="s">
        <v>46</v>
      </c>
      <c r="N5260">
        <v>40.975408000000002</v>
      </c>
      <c r="O5260">
        <v>-111.891865</v>
      </c>
      <c r="P5260">
        <v>4217.1223289999998</v>
      </c>
      <c r="Q5260">
        <v>1277</v>
      </c>
      <c r="R5260">
        <v>0</v>
      </c>
    </row>
    <row r="5261" spans="1:18" x14ac:dyDescent="0.25">
      <c r="A5261">
        <v>5260</v>
      </c>
      <c r="B5261">
        <v>94</v>
      </c>
      <c r="C5261" t="e">
        <f>-Ip-OmViFK1Ckq_5lS1z7F</f>
        <v>#NAME?</v>
      </c>
      <c r="D5261" t="s">
        <v>338</v>
      </c>
      <c r="E5261">
        <v>0.14299999999999999</v>
      </c>
      <c r="F5261" t="s">
        <v>21</v>
      </c>
      <c r="G5261" t="s">
        <v>26</v>
      </c>
      <c r="H5261" t="s">
        <v>21</v>
      </c>
      <c r="I5261" t="s">
        <v>20</v>
      </c>
      <c r="J5261" t="s">
        <v>20</v>
      </c>
      <c r="K5261" t="s">
        <v>27</v>
      </c>
      <c r="L5261" t="s">
        <v>72</v>
      </c>
      <c r="M5261" t="s">
        <v>73</v>
      </c>
      <c r="N5261">
        <v>37.001860999999998</v>
      </c>
      <c r="O5261">
        <v>-113.00028</v>
      </c>
      <c r="P5261">
        <v>4996.1737469999998</v>
      </c>
      <c r="Q5261">
        <v>315</v>
      </c>
      <c r="R5261">
        <v>0</v>
      </c>
    </row>
    <row r="5262" spans="1:18" x14ac:dyDescent="0.25">
      <c r="A5262">
        <v>5261</v>
      </c>
      <c r="B5262">
        <v>94</v>
      </c>
      <c r="C5262">
        <v>31528669</v>
      </c>
      <c r="D5262" t="s">
        <v>716</v>
      </c>
      <c r="E5262">
        <v>0.14399999999999999</v>
      </c>
      <c r="F5262" t="s">
        <v>21</v>
      </c>
      <c r="G5262" t="s">
        <v>26</v>
      </c>
      <c r="H5262" t="s">
        <v>21</v>
      </c>
      <c r="I5262" t="s">
        <v>20</v>
      </c>
      <c r="J5262" t="s">
        <v>20</v>
      </c>
      <c r="K5262" t="s">
        <v>27</v>
      </c>
      <c r="L5262" t="s">
        <v>51</v>
      </c>
      <c r="M5262" t="s">
        <v>106</v>
      </c>
      <c r="N5262">
        <v>37.844293</v>
      </c>
      <c r="O5262">
        <v>-112.82765999999999</v>
      </c>
      <c r="P5262">
        <v>5930.892965</v>
      </c>
      <c r="Q5262">
        <v>433</v>
      </c>
      <c r="R5262">
        <v>0</v>
      </c>
    </row>
    <row r="5263" spans="1:18" x14ac:dyDescent="0.25">
      <c r="A5263">
        <v>5262</v>
      </c>
      <c r="B5263">
        <v>94</v>
      </c>
      <c r="C5263">
        <v>1735950</v>
      </c>
      <c r="D5263" t="s">
        <v>260</v>
      </c>
      <c r="E5263">
        <v>0.14399999999999999</v>
      </c>
      <c r="F5263" t="s">
        <v>21</v>
      </c>
      <c r="G5263" t="s">
        <v>26</v>
      </c>
      <c r="H5263" t="s">
        <v>21</v>
      </c>
      <c r="I5263" t="s">
        <v>20</v>
      </c>
      <c r="J5263" t="s">
        <v>20</v>
      </c>
      <c r="K5263" t="s">
        <v>41</v>
      </c>
      <c r="L5263" t="s">
        <v>81</v>
      </c>
      <c r="M5263" t="s">
        <v>46</v>
      </c>
      <c r="N5263">
        <v>41.220475999999998</v>
      </c>
      <c r="O5263">
        <v>-112.003742</v>
      </c>
      <c r="P5263">
        <v>4272.1615279999996</v>
      </c>
      <c r="Q5263">
        <v>1358</v>
      </c>
      <c r="R5263">
        <v>0</v>
      </c>
    </row>
    <row r="5264" spans="1:18" x14ac:dyDescent="0.25">
      <c r="A5264">
        <v>5263</v>
      </c>
      <c r="B5264">
        <v>94</v>
      </c>
      <c r="C5264">
        <v>31289286</v>
      </c>
      <c r="D5264" t="s">
        <v>308</v>
      </c>
      <c r="E5264">
        <v>0.19600000000000001</v>
      </c>
      <c r="F5264" t="s">
        <v>21</v>
      </c>
      <c r="G5264" t="s">
        <v>26</v>
      </c>
      <c r="H5264" t="s">
        <v>21</v>
      </c>
      <c r="I5264" t="s">
        <v>20</v>
      </c>
      <c r="J5264" t="s">
        <v>20</v>
      </c>
      <c r="K5264" t="s">
        <v>27</v>
      </c>
      <c r="L5264" t="s">
        <v>230</v>
      </c>
      <c r="M5264" t="s">
        <v>82</v>
      </c>
      <c r="N5264">
        <v>39.634385999999999</v>
      </c>
      <c r="O5264">
        <v>-111.43718800000001</v>
      </c>
      <c r="P5264">
        <v>5964.527634</v>
      </c>
      <c r="Q5264">
        <v>1344</v>
      </c>
      <c r="R5264">
        <v>0</v>
      </c>
    </row>
    <row r="5265" spans="1:18" x14ac:dyDescent="0.25">
      <c r="A5265">
        <v>5264</v>
      </c>
      <c r="B5265">
        <v>94</v>
      </c>
      <c r="C5265">
        <v>31535324</v>
      </c>
      <c r="D5265" t="s">
        <v>53</v>
      </c>
      <c r="E5265">
        <v>0.53100000000000003</v>
      </c>
      <c r="F5265" t="s">
        <v>21</v>
      </c>
      <c r="G5265" t="s">
        <v>20</v>
      </c>
      <c r="H5265" t="s">
        <v>21</v>
      </c>
      <c r="I5265" t="s">
        <v>20</v>
      </c>
      <c r="J5265" t="s">
        <v>20</v>
      </c>
      <c r="K5265" t="s">
        <v>27</v>
      </c>
      <c r="L5265" t="s">
        <v>54</v>
      </c>
      <c r="M5265" t="s">
        <v>55</v>
      </c>
      <c r="N5265">
        <v>37.677045999999997</v>
      </c>
      <c r="O5265">
        <v>-113.071544</v>
      </c>
      <c r="P5265">
        <v>5726.1517640000002</v>
      </c>
      <c r="Q5265">
        <v>1285</v>
      </c>
      <c r="R5265">
        <v>0</v>
      </c>
    </row>
    <row r="5266" spans="1:18" x14ac:dyDescent="0.25">
      <c r="A5266">
        <v>5265</v>
      </c>
      <c r="B5266">
        <v>94</v>
      </c>
      <c r="C5266">
        <v>2125413</v>
      </c>
      <c r="D5266" t="s">
        <v>332</v>
      </c>
      <c r="E5266">
        <v>0.53500000000000003</v>
      </c>
      <c r="F5266" t="s">
        <v>21</v>
      </c>
      <c r="G5266" t="s">
        <v>26</v>
      </c>
      <c r="H5266" t="s">
        <v>21</v>
      </c>
      <c r="I5266" t="s">
        <v>20</v>
      </c>
      <c r="J5266" t="s">
        <v>20</v>
      </c>
      <c r="K5266" t="s">
        <v>31</v>
      </c>
      <c r="L5266" t="s">
        <v>282</v>
      </c>
      <c r="M5266" t="s">
        <v>206</v>
      </c>
      <c r="N5266">
        <v>40.592401000000002</v>
      </c>
      <c r="O5266">
        <v>-112.42337999999999</v>
      </c>
      <c r="P5266">
        <v>4255.0110029999996</v>
      </c>
      <c r="Q5266">
        <v>1399</v>
      </c>
      <c r="R5266">
        <v>0</v>
      </c>
    </row>
    <row r="5267" spans="1:18" x14ac:dyDescent="0.25">
      <c r="A5267">
        <v>5266</v>
      </c>
      <c r="B5267">
        <v>94</v>
      </c>
      <c r="C5267">
        <v>31400378</v>
      </c>
      <c r="D5267" t="s">
        <v>139</v>
      </c>
      <c r="E5267">
        <v>0.53700000000000003</v>
      </c>
      <c r="F5267" t="s">
        <v>21</v>
      </c>
      <c r="G5267" t="s">
        <v>26</v>
      </c>
      <c r="H5267" t="s">
        <v>21</v>
      </c>
      <c r="I5267" t="s">
        <v>20</v>
      </c>
      <c r="J5267" t="s">
        <v>20</v>
      </c>
      <c r="K5267" t="s">
        <v>22</v>
      </c>
      <c r="L5267" t="s">
        <v>140</v>
      </c>
      <c r="M5267" t="s">
        <v>141</v>
      </c>
      <c r="N5267">
        <v>40.113745000000002</v>
      </c>
      <c r="O5267">
        <v>-111.654765</v>
      </c>
      <c r="P5267">
        <v>4520.2517189999999</v>
      </c>
      <c r="Q5267">
        <v>342</v>
      </c>
      <c r="R5267">
        <v>0</v>
      </c>
    </row>
    <row r="5268" spans="1:18" x14ac:dyDescent="0.25">
      <c r="A5268">
        <v>5267</v>
      </c>
      <c r="B5268">
        <v>94</v>
      </c>
      <c r="C5268">
        <v>31758496</v>
      </c>
      <c r="D5268" t="s">
        <v>717</v>
      </c>
      <c r="E5268">
        <v>0.53700000000000003</v>
      </c>
      <c r="F5268" t="s">
        <v>21</v>
      </c>
      <c r="G5268" t="s">
        <v>20</v>
      </c>
      <c r="H5268" t="s">
        <v>21</v>
      </c>
      <c r="I5268" t="s">
        <v>20</v>
      </c>
      <c r="J5268" t="s">
        <v>20</v>
      </c>
      <c r="K5268" t="s">
        <v>31</v>
      </c>
      <c r="L5268" t="s">
        <v>89</v>
      </c>
      <c r="M5268" t="s">
        <v>24</v>
      </c>
      <c r="N5268">
        <v>40.488734999999998</v>
      </c>
      <c r="O5268">
        <v>-111.896513</v>
      </c>
      <c r="P5268">
        <v>4449.5716830000001</v>
      </c>
      <c r="Q5268">
        <v>436</v>
      </c>
      <c r="R5268">
        <v>0</v>
      </c>
    </row>
    <row r="5269" spans="1:18" x14ac:dyDescent="0.25">
      <c r="A5269">
        <v>5268</v>
      </c>
      <c r="B5269">
        <v>94</v>
      </c>
      <c r="C5269">
        <v>31346372</v>
      </c>
      <c r="D5269" t="s">
        <v>34</v>
      </c>
      <c r="E5269">
        <v>0.53800000000000003</v>
      </c>
      <c r="F5269" t="s">
        <v>21</v>
      </c>
      <c r="G5269" t="s">
        <v>26</v>
      </c>
      <c r="H5269" t="s">
        <v>21</v>
      </c>
      <c r="I5269" t="s">
        <v>20</v>
      </c>
      <c r="J5269" t="s">
        <v>20</v>
      </c>
      <c r="K5269" t="s">
        <v>22</v>
      </c>
      <c r="L5269" t="s">
        <v>35</v>
      </c>
      <c r="M5269" t="s">
        <v>36</v>
      </c>
      <c r="N5269">
        <v>40.463374000000002</v>
      </c>
      <c r="O5269">
        <v>-111.471695</v>
      </c>
      <c r="P5269">
        <v>5376.9382809999997</v>
      </c>
      <c r="Q5269">
        <v>1400</v>
      </c>
      <c r="R5269">
        <v>0</v>
      </c>
    </row>
    <row r="5270" spans="1:18" x14ac:dyDescent="0.25">
      <c r="A5270">
        <v>5269</v>
      </c>
      <c r="B5270">
        <v>94</v>
      </c>
      <c r="C5270">
        <v>31758894</v>
      </c>
      <c r="D5270" t="s">
        <v>77</v>
      </c>
      <c r="E5270">
        <v>0.53800000000000003</v>
      </c>
      <c r="F5270" t="s">
        <v>21</v>
      </c>
      <c r="G5270" t="s">
        <v>26</v>
      </c>
      <c r="H5270" t="s">
        <v>21</v>
      </c>
      <c r="I5270" t="s">
        <v>20</v>
      </c>
      <c r="J5270" t="s">
        <v>20</v>
      </c>
      <c r="K5270" t="s">
        <v>31</v>
      </c>
      <c r="L5270" t="s">
        <v>48</v>
      </c>
      <c r="M5270" t="s">
        <v>79</v>
      </c>
      <c r="N5270">
        <v>40.646407000000004</v>
      </c>
      <c r="O5270">
        <v>-112.02460600000001</v>
      </c>
      <c r="P5270">
        <v>4765.2137990000001</v>
      </c>
      <c r="Q5270">
        <v>1436</v>
      </c>
      <c r="R5270">
        <v>0</v>
      </c>
    </row>
    <row r="5271" spans="1:18" x14ac:dyDescent="0.25">
      <c r="A5271">
        <v>5270</v>
      </c>
      <c r="B5271">
        <v>94</v>
      </c>
      <c r="C5271">
        <v>31527858</v>
      </c>
      <c r="D5271" t="s">
        <v>182</v>
      </c>
      <c r="E5271">
        <v>0.54</v>
      </c>
      <c r="F5271" t="s">
        <v>21</v>
      </c>
      <c r="G5271" t="s">
        <v>20</v>
      </c>
      <c r="H5271" t="s">
        <v>21</v>
      </c>
      <c r="I5271" t="s">
        <v>20</v>
      </c>
      <c r="J5271" t="s">
        <v>20</v>
      </c>
      <c r="K5271" t="s">
        <v>27</v>
      </c>
      <c r="L5271" t="s">
        <v>183</v>
      </c>
      <c r="M5271" t="s">
        <v>76</v>
      </c>
      <c r="N5271">
        <v>38.909681999999997</v>
      </c>
      <c r="O5271">
        <v>-111.94006400000001</v>
      </c>
      <c r="P5271">
        <v>5124.4689470000003</v>
      </c>
      <c r="Q5271">
        <v>429</v>
      </c>
      <c r="R5271">
        <v>0</v>
      </c>
    </row>
    <row r="5272" spans="1:18" x14ac:dyDescent="0.25">
      <c r="A5272">
        <v>5271</v>
      </c>
      <c r="B5272">
        <v>94</v>
      </c>
      <c r="C5272">
        <v>27338274</v>
      </c>
      <c r="D5272" t="s">
        <v>185</v>
      </c>
      <c r="E5272">
        <v>0.54200000000000004</v>
      </c>
      <c r="F5272" t="s">
        <v>21</v>
      </c>
      <c r="G5272" t="s">
        <v>26</v>
      </c>
      <c r="H5272" t="s">
        <v>21</v>
      </c>
      <c r="I5272" t="s">
        <v>20</v>
      </c>
      <c r="J5272" t="s">
        <v>20</v>
      </c>
      <c r="K5272" t="s">
        <v>41</v>
      </c>
      <c r="L5272" t="s">
        <v>57</v>
      </c>
      <c r="M5272" t="s">
        <v>58</v>
      </c>
      <c r="N5272">
        <v>41.139888999999997</v>
      </c>
      <c r="O5272">
        <v>-112.036467</v>
      </c>
      <c r="P5272">
        <v>4415.3468279999997</v>
      </c>
      <c r="Q5272">
        <v>309</v>
      </c>
      <c r="R5272">
        <v>0</v>
      </c>
    </row>
    <row r="5273" spans="1:18" x14ac:dyDescent="0.25">
      <c r="A5273">
        <v>5272</v>
      </c>
      <c r="B5273">
        <v>94</v>
      </c>
      <c r="C5273">
        <v>31839144</v>
      </c>
      <c r="D5273" t="s">
        <v>179</v>
      </c>
      <c r="E5273">
        <v>0.30399999999999999</v>
      </c>
      <c r="F5273" t="s">
        <v>19</v>
      </c>
      <c r="G5273" t="s">
        <v>20</v>
      </c>
      <c r="H5273" t="s">
        <v>21</v>
      </c>
      <c r="I5273" t="s">
        <v>20</v>
      </c>
      <c r="J5273" t="s">
        <v>20</v>
      </c>
      <c r="K5273" t="s">
        <v>31</v>
      </c>
      <c r="L5273" t="s">
        <v>66</v>
      </c>
      <c r="M5273" t="s">
        <v>67</v>
      </c>
      <c r="N5273">
        <v>40.756287</v>
      </c>
      <c r="O5273">
        <v>-111.89969499999999</v>
      </c>
      <c r="P5273">
        <v>4175.6141019999995</v>
      </c>
      <c r="Q5273">
        <v>362</v>
      </c>
      <c r="R5273">
        <v>0</v>
      </c>
    </row>
    <row r="5274" spans="1:18" x14ac:dyDescent="0.25">
      <c r="A5274">
        <v>5273</v>
      </c>
      <c r="B5274">
        <v>94</v>
      </c>
      <c r="C5274">
        <v>31303426</v>
      </c>
      <c r="D5274" t="s">
        <v>251</v>
      </c>
      <c r="E5274">
        <v>0.30499999999999999</v>
      </c>
      <c r="F5274" t="s">
        <v>21</v>
      </c>
      <c r="G5274" t="s">
        <v>26</v>
      </c>
      <c r="H5274" t="s">
        <v>21</v>
      </c>
      <c r="I5274" t="s">
        <v>20</v>
      </c>
      <c r="J5274" t="s">
        <v>20</v>
      </c>
      <c r="K5274" t="s">
        <v>27</v>
      </c>
      <c r="L5274" t="s">
        <v>165</v>
      </c>
      <c r="M5274" t="s">
        <v>166</v>
      </c>
      <c r="N5274">
        <v>38.977614000000003</v>
      </c>
      <c r="O5274">
        <v>-112.32933199999999</v>
      </c>
      <c r="P5274">
        <v>5002.3039980000003</v>
      </c>
      <c r="Q5274">
        <v>326</v>
      </c>
      <c r="R5274">
        <v>0</v>
      </c>
    </row>
    <row r="5275" spans="1:18" x14ac:dyDescent="0.25">
      <c r="A5275">
        <v>5274</v>
      </c>
      <c r="B5275">
        <v>94</v>
      </c>
      <c r="C5275" t="e">
        <f>-JMHeabMHPDqKUBTNeviBk</f>
        <v>#NAME?</v>
      </c>
      <c r="D5275" t="s">
        <v>718</v>
      </c>
      <c r="E5275">
        <v>0.30499999999999999</v>
      </c>
      <c r="F5275" t="s">
        <v>19</v>
      </c>
      <c r="G5275" t="s">
        <v>20</v>
      </c>
      <c r="H5275" t="s">
        <v>21</v>
      </c>
      <c r="I5275" t="s">
        <v>20</v>
      </c>
      <c r="J5275" t="s">
        <v>20</v>
      </c>
      <c r="K5275" t="s">
        <v>31</v>
      </c>
      <c r="L5275" t="s">
        <v>66</v>
      </c>
      <c r="M5275" t="s">
        <v>67</v>
      </c>
      <c r="N5275">
        <v>40.754134000000001</v>
      </c>
      <c r="O5275">
        <v>-111.89393699999999</v>
      </c>
      <c r="P5275">
        <v>4178.0537130000002</v>
      </c>
      <c r="Q5275">
        <v>1282</v>
      </c>
      <c r="R5275">
        <v>0</v>
      </c>
    </row>
    <row r="5276" spans="1:18" x14ac:dyDescent="0.25">
      <c r="A5276">
        <v>5275</v>
      </c>
      <c r="B5276">
        <v>94</v>
      </c>
      <c r="C5276">
        <v>1002761</v>
      </c>
      <c r="D5276" t="s">
        <v>171</v>
      </c>
      <c r="E5276">
        <v>0.30499999999999999</v>
      </c>
      <c r="F5276" t="s">
        <v>21</v>
      </c>
      <c r="G5276" t="s">
        <v>26</v>
      </c>
      <c r="H5276" t="s">
        <v>21</v>
      </c>
      <c r="I5276" t="s">
        <v>20</v>
      </c>
      <c r="J5276" t="s">
        <v>20</v>
      </c>
      <c r="K5276" t="s">
        <v>31</v>
      </c>
      <c r="L5276" t="s">
        <v>78</v>
      </c>
      <c r="M5276" t="s">
        <v>79</v>
      </c>
      <c r="N5276">
        <v>40.696489</v>
      </c>
      <c r="O5276">
        <v>-112.086012</v>
      </c>
      <c r="P5276">
        <v>4348.3520609999996</v>
      </c>
      <c r="Q5276">
        <v>346</v>
      </c>
      <c r="R5276">
        <v>0</v>
      </c>
    </row>
    <row r="5277" spans="1:18" x14ac:dyDescent="0.25">
      <c r="A5277">
        <v>5276</v>
      </c>
      <c r="B5277">
        <v>94</v>
      </c>
      <c r="C5277" t="e">
        <f>-Ip5i8NDFuLON7FoSIHIhV</f>
        <v>#NAME?</v>
      </c>
      <c r="D5277" t="s">
        <v>239</v>
      </c>
      <c r="E5277">
        <v>0.307</v>
      </c>
      <c r="F5277" t="s">
        <v>21</v>
      </c>
      <c r="G5277" t="s">
        <v>361</v>
      </c>
      <c r="H5277" t="s">
        <v>21</v>
      </c>
      <c r="I5277" t="s">
        <v>20</v>
      </c>
      <c r="J5277" t="s">
        <v>20</v>
      </c>
      <c r="K5277" t="s">
        <v>41</v>
      </c>
      <c r="L5277" t="s">
        <v>181</v>
      </c>
      <c r="M5277" t="s">
        <v>178</v>
      </c>
      <c r="N5277">
        <v>41.617303999999997</v>
      </c>
      <c r="O5277">
        <v>-112.366911</v>
      </c>
      <c r="P5277">
        <v>4212.2617550000004</v>
      </c>
      <c r="Q5277">
        <v>1392</v>
      </c>
      <c r="R5277">
        <v>0</v>
      </c>
    </row>
    <row r="5278" spans="1:18" x14ac:dyDescent="0.25">
      <c r="A5278">
        <v>5277</v>
      </c>
      <c r="B5278">
        <v>94</v>
      </c>
      <c r="C5278">
        <v>27337348</v>
      </c>
      <c r="D5278" t="s">
        <v>185</v>
      </c>
      <c r="E5278">
        <v>0.307</v>
      </c>
      <c r="F5278" t="s">
        <v>21</v>
      </c>
      <c r="G5278" t="s">
        <v>26</v>
      </c>
      <c r="H5278" t="s">
        <v>21</v>
      </c>
      <c r="I5278" t="s">
        <v>20</v>
      </c>
      <c r="J5278" t="s">
        <v>20</v>
      </c>
      <c r="K5278" t="s">
        <v>41</v>
      </c>
      <c r="L5278" t="s">
        <v>57</v>
      </c>
      <c r="M5278" t="s">
        <v>58</v>
      </c>
      <c r="N5278">
        <v>41.139878000000003</v>
      </c>
      <c r="O5278">
        <v>-112.031954</v>
      </c>
      <c r="P5278">
        <v>4439.2769490000001</v>
      </c>
      <c r="Q5278">
        <v>309</v>
      </c>
      <c r="R5278">
        <v>0</v>
      </c>
    </row>
    <row r="5279" spans="1:18" x14ac:dyDescent="0.25">
      <c r="A5279">
        <v>5278</v>
      </c>
      <c r="B5279">
        <v>94</v>
      </c>
      <c r="C5279">
        <v>1085844</v>
      </c>
      <c r="D5279" t="s">
        <v>108</v>
      </c>
      <c r="E5279">
        <v>0.308</v>
      </c>
      <c r="F5279" t="s">
        <v>21</v>
      </c>
      <c r="G5279" t="s">
        <v>26</v>
      </c>
      <c r="H5279" t="s">
        <v>21</v>
      </c>
      <c r="I5279" t="s">
        <v>20</v>
      </c>
      <c r="J5279" t="s">
        <v>20</v>
      </c>
      <c r="K5279" t="s">
        <v>41</v>
      </c>
      <c r="L5279" t="s">
        <v>81</v>
      </c>
      <c r="M5279" t="s">
        <v>93</v>
      </c>
      <c r="N5279">
        <v>41.170140000000004</v>
      </c>
      <c r="O5279">
        <v>-112.021281</v>
      </c>
      <c r="P5279">
        <v>4491.0687710000002</v>
      </c>
      <c r="Q5279">
        <v>1341</v>
      </c>
      <c r="R5279">
        <v>0</v>
      </c>
    </row>
    <row r="5280" spans="1:18" x14ac:dyDescent="0.25">
      <c r="A5280">
        <v>5279</v>
      </c>
      <c r="B5280">
        <v>94</v>
      </c>
      <c r="C5280">
        <v>1078178</v>
      </c>
      <c r="D5280" t="s">
        <v>367</v>
      </c>
      <c r="E5280">
        <v>0.308</v>
      </c>
      <c r="F5280" t="s">
        <v>21</v>
      </c>
      <c r="G5280" t="s">
        <v>26</v>
      </c>
      <c r="H5280" t="s">
        <v>21</v>
      </c>
      <c r="I5280" t="s">
        <v>20</v>
      </c>
      <c r="J5280" t="s">
        <v>20</v>
      </c>
      <c r="K5280" t="s">
        <v>41</v>
      </c>
      <c r="L5280" t="s">
        <v>177</v>
      </c>
      <c r="M5280" t="s">
        <v>368</v>
      </c>
      <c r="N5280">
        <v>41.414496999999997</v>
      </c>
      <c r="O5280">
        <v>-112.05153900000001</v>
      </c>
      <c r="P5280">
        <v>4185.9902339999999</v>
      </c>
      <c r="Q5280">
        <v>266</v>
      </c>
      <c r="R5280">
        <v>0</v>
      </c>
    </row>
    <row r="5281" spans="1:18" x14ac:dyDescent="0.25">
      <c r="A5281">
        <v>5280</v>
      </c>
      <c r="B5281">
        <v>94</v>
      </c>
      <c r="C5281">
        <v>31757272</v>
      </c>
      <c r="D5281" t="s">
        <v>44</v>
      </c>
      <c r="E5281">
        <v>7.2850000000000001</v>
      </c>
      <c r="F5281" t="s">
        <v>19</v>
      </c>
      <c r="G5281" t="s">
        <v>20</v>
      </c>
      <c r="H5281" t="s">
        <v>19</v>
      </c>
      <c r="I5281">
        <v>227</v>
      </c>
      <c r="J5281" t="s">
        <v>20</v>
      </c>
      <c r="K5281" t="s">
        <v>41</v>
      </c>
      <c r="L5281" t="s">
        <v>87</v>
      </c>
      <c r="M5281" t="s">
        <v>46</v>
      </c>
      <c r="N5281">
        <v>40.980499999999999</v>
      </c>
      <c r="O5281">
        <v>-111.887553</v>
      </c>
      <c r="P5281">
        <v>4248.3327319999999</v>
      </c>
      <c r="Q5281">
        <v>1395</v>
      </c>
      <c r="R5281">
        <v>0</v>
      </c>
    </row>
    <row r="5282" spans="1:18" x14ac:dyDescent="0.25">
      <c r="A5282">
        <v>5281</v>
      </c>
      <c r="B5282">
        <v>94</v>
      </c>
      <c r="C5282">
        <v>31522416</v>
      </c>
      <c r="D5282" t="s">
        <v>231</v>
      </c>
      <c r="E5282">
        <v>5.899</v>
      </c>
      <c r="F5282" t="s">
        <v>21</v>
      </c>
      <c r="G5282" t="s">
        <v>26</v>
      </c>
      <c r="H5282" t="s">
        <v>21</v>
      </c>
      <c r="I5282" t="s">
        <v>20</v>
      </c>
      <c r="J5282" t="s">
        <v>20</v>
      </c>
      <c r="K5282" t="s">
        <v>41</v>
      </c>
      <c r="L5282" t="s">
        <v>57</v>
      </c>
      <c r="M5282" t="s">
        <v>93</v>
      </c>
      <c r="N5282">
        <v>41.120292999999997</v>
      </c>
      <c r="O5282">
        <v>-112.026055</v>
      </c>
      <c r="P5282">
        <v>4484.9097890000003</v>
      </c>
      <c r="Q5282">
        <v>1409</v>
      </c>
      <c r="R5282">
        <v>0</v>
      </c>
    </row>
    <row r="5283" spans="1:18" x14ac:dyDescent="0.25">
      <c r="A5283">
        <v>5282</v>
      </c>
      <c r="B5283">
        <v>94</v>
      </c>
      <c r="C5283">
        <v>31312461</v>
      </c>
      <c r="D5283" t="s">
        <v>215</v>
      </c>
      <c r="E5283">
        <v>5.9</v>
      </c>
      <c r="F5283" t="s">
        <v>21</v>
      </c>
      <c r="G5283" t="s">
        <v>26</v>
      </c>
      <c r="H5283" t="s">
        <v>21</v>
      </c>
      <c r="I5283" t="s">
        <v>20</v>
      </c>
      <c r="J5283" t="s">
        <v>20</v>
      </c>
      <c r="K5283" t="s">
        <v>22</v>
      </c>
      <c r="L5283" t="s">
        <v>23</v>
      </c>
      <c r="M5283" t="s">
        <v>85</v>
      </c>
      <c r="N5283">
        <v>40.287506</v>
      </c>
      <c r="O5283">
        <v>-111.733805</v>
      </c>
      <c r="P5283">
        <v>4483.1375969999999</v>
      </c>
      <c r="Q5283">
        <v>330</v>
      </c>
      <c r="R5283">
        <v>0</v>
      </c>
    </row>
    <row r="5284" spans="1:18" x14ac:dyDescent="0.25">
      <c r="A5284">
        <v>5283</v>
      </c>
      <c r="B5284">
        <v>94</v>
      </c>
      <c r="C5284">
        <v>31344812</v>
      </c>
      <c r="D5284" t="s">
        <v>288</v>
      </c>
      <c r="E5284">
        <v>52.048999999999999</v>
      </c>
      <c r="F5284" t="s">
        <v>21</v>
      </c>
      <c r="G5284" t="s">
        <v>20</v>
      </c>
      <c r="H5284" t="s">
        <v>21</v>
      </c>
      <c r="I5284" t="s">
        <v>20</v>
      </c>
      <c r="J5284" t="s">
        <v>20</v>
      </c>
      <c r="K5284" t="s">
        <v>27</v>
      </c>
      <c r="L5284" t="s">
        <v>327</v>
      </c>
      <c r="M5284" t="s">
        <v>147</v>
      </c>
      <c r="N5284">
        <v>37.633167</v>
      </c>
      <c r="O5284">
        <v>-109.468242</v>
      </c>
      <c r="P5284">
        <v>6062.0417020000004</v>
      </c>
      <c r="Q5284">
        <v>350</v>
      </c>
      <c r="R5284">
        <v>0</v>
      </c>
    </row>
    <row r="5285" spans="1:18" x14ac:dyDescent="0.25">
      <c r="A5285">
        <v>5284</v>
      </c>
      <c r="B5285">
        <v>94</v>
      </c>
      <c r="C5285">
        <v>31630122</v>
      </c>
      <c r="D5285" t="s">
        <v>244</v>
      </c>
      <c r="E5285">
        <v>52.061999999999998</v>
      </c>
      <c r="F5285" t="s">
        <v>21</v>
      </c>
      <c r="G5285" t="s">
        <v>26</v>
      </c>
      <c r="H5285" t="s">
        <v>21</v>
      </c>
      <c r="I5285" t="s">
        <v>20</v>
      </c>
      <c r="J5285" t="s">
        <v>20</v>
      </c>
      <c r="K5285" t="s">
        <v>27</v>
      </c>
      <c r="L5285" t="s">
        <v>266</v>
      </c>
      <c r="M5285" t="s">
        <v>386</v>
      </c>
      <c r="N5285">
        <v>38.403852000000001</v>
      </c>
      <c r="O5285">
        <v>-111.642809</v>
      </c>
      <c r="P5285">
        <v>6999.8540700000003</v>
      </c>
      <c r="Q5285">
        <v>1340</v>
      </c>
      <c r="R5285">
        <v>0</v>
      </c>
    </row>
    <row r="5286" spans="1:18" x14ac:dyDescent="0.25">
      <c r="A5286">
        <v>5285</v>
      </c>
      <c r="B5286">
        <v>94</v>
      </c>
      <c r="C5286">
        <v>31495003</v>
      </c>
      <c r="D5286" t="s">
        <v>124</v>
      </c>
      <c r="E5286">
        <v>52.070999999999998</v>
      </c>
      <c r="F5286" t="s">
        <v>19</v>
      </c>
      <c r="G5286" t="s">
        <v>20</v>
      </c>
      <c r="H5286" t="s">
        <v>21</v>
      </c>
      <c r="I5286" t="s">
        <v>20</v>
      </c>
      <c r="J5286" t="s">
        <v>20</v>
      </c>
      <c r="K5286" t="s">
        <v>31</v>
      </c>
      <c r="L5286" t="s">
        <v>69</v>
      </c>
      <c r="M5286" t="s">
        <v>125</v>
      </c>
      <c r="N5286">
        <v>40.664138000000001</v>
      </c>
      <c r="O5286">
        <v>-111.93885</v>
      </c>
      <c r="P5286">
        <v>4244.7875540000005</v>
      </c>
      <c r="Q5286">
        <v>1368</v>
      </c>
      <c r="R5286">
        <v>0</v>
      </c>
    </row>
    <row r="5287" spans="1:18" x14ac:dyDescent="0.25">
      <c r="A5287">
        <v>5286</v>
      </c>
      <c r="B5287">
        <v>94</v>
      </c>
      <c r="C5287">
        <v>31367073</v>
      </c>
      <c r="D5287" t="s">
        <v>229</v>
      </c>
      <c r="E5287">
        <v>6.18</v>
      </c>
      <c r="F5287" t="s">
        <v>21</v>
      </c>
      <c r="G5287" t="s">
        <v>20</v>
      </c>
      <c r="H5287" t="s">
        <v>21</v>
      </c>
      <c r="I5287" t="s">
        <v>20</v>
      </c>
      <c r="J5287" t="s">
        <v>20</v>
      </c>
      <c r="K5287" t="s">
        <v>27</v>
      </c>
      <c r="L5287" t="s">
        <v>230</v>
      </c>
      <c r="M5287" t="s">
        <v>82</v>
      </c>
      <c r="N5287">
        <v>39.479441999999999</v>
      </c>
      <c r="O5287">
        <v>-111.539615</v>
      </c>
      <c r="P5287">
        <v>5542.8789870000001</v>
      </c>
      <c r="Q5287">
        <v>331</v>
      </c>
      <c r="R5287">
        <v>0</v>
      </c>
    </row>
    <row r="5288" spans="1:18" x14ac:dyDescent="0.25">
      <c r="A5288">
        <v>5287</v>
      </c>
      <c r="B5288">
        <v>94</v>
      </c>
      <c r="C5288">
        <v>1054997</v>
      </c>
      <c r="D5288" t="s">
        <v>65</v>
      </c>
      <c r="E5288">
        <v>6.1820000000000004</v>
      </c>
      <c r="F5288" t="s">
        <v>21</v>
      </c>
      <c r="G5288" t="s">
        <v>26</v>
      </c>
      <c r="H5288" t="s">
        <v>21</v>
      </c>
      <c r="I5288" t="s">
        <v>20</v>
      </c>
      <c r="J5288" t="s">
        <v>20</v>
      </c>
      <c r="K5288" t="s">
        <v>31</v>
      </c>
      <c r="L5288" t="s">
        <v>188</v>
      </c>
      <c r="M5288" t="s">
        <v>67</v>
      </c>
      <c r="N5288">
        <v>40.748755000000003</v>
      </c>
      <c r="O5288">
        <v>-111.83050299999999</v>
      </c>
      <c r="P5288">
        <v>4670.4594569999999</v>
      </c>
      <c r="Q5288">
        <v>402</v>
      </c>
      <c r="R5288">
        <v>0</v>
      </c>
    </row>
    <row r="5289" spans="1:18" x14ac:dyDescent="0.25">
      <c r="A5289">
        <v>5288</v>
      </c>
      <c r="B5289">
        <v>94</v>
      </c>
      <c r="C5289">
        <v>1010191</v>
      </c>
      <c r="D5289" t="s">
        <v>65</v>
      </c>
      <c r="E5289">
        <v>6.1829999999999998</v>
      </c>
      <c r="F5289" t="s">
        <v>21</v>
      </c>
      <c r="G5289" t="s">
        <v>26</v>
      </c>
      <c r="H5289" t="s">
        <v>21</v>
      </c>
      <c r="I5289" t="s">
        <v>20</v>
      </c>
      <c r="J5289" t="s">
        <v>20</v>
      </c>
      <c r="K5289" t="s">
        <v>31</v>
      </c>
      <c r="L5289" t="s">
        <v>188</v>
      </c>
      <c r="M5289" t="s">
        <v>67</v>
      </c>
      <c r="N5289">
        <v>40.748747000000002</v>
      </c>
      <c r="O5289">
        <v>-111.830704</v>
      </c>
      <c r="P5289">
        <v>4668.7402469999997</v>
      </c>
      <c r="Q5289">
        <v>402</v>
      </c>
      <c r="R5289">
        <v>0</v>
      </c>
    </row>
    <row r="5290" spans="1:18" x14ac:dyDescent="0.25">
      <c r="A5290">
        <v>5289</v>
      </c>
      <c r="B5290">
        <v>94</v>
      </c>
      <c r="C5290">
        <v>31394601</v>
      </c>
      <c r="D5290" t="s">
        <v>114</v>
      </c>
      <c r="E5290">
        <v>6.19</v>
      </c>
      <c r="F5290" t="s">
        <v>19</v>
      </c>
      <c r="G5290" t="s">
        <v>20</v>
      </c>
      <c r="H5290" t="s">
        <v>21</v>
      </c>
      <c r="I5290" t="s">
        <v>20</v>
      </c>
      <c r="J5290" t="s">
        <v>20</v>
      </c>
      <c r="K5290" t="s">
        <v>41</v>
      </c>
      <c r="L5290" t="s">
        <v>87</v>
      </c>
      <c r="M5290" t="s">
        <v>82</v>
      </c>
      <c r="N5290">
        <v>41.102510000000002</v>
      </c>
      <c r="O5290">
        <v>-111.950024</v>
      </c>
      <c r="P5290">
        <v>4728.5519400000003</v>
      </c>
      <c r="Q5290">
        <v>405</v>
      </c>
      <c r="R5290">
        <v>0</v>
      </c>
    </row>
    <row r="5291" spans="1:18" x14ac:dyDescent="0.25">
      <c r="A5291">
        <v>5290</v>
      </c>
      <c r="B5291">
        <v>94</v>
      </c>
      <c r="C5291" t="e">
        <f>-JYlOxRlIdqtSIkqjvwJFF</f>
        <v>#NAME?</v>
      </c>
      <c r="D5291" t="s">
        <v>129</v>
      </c>
      <c r="E5291">
        <v>6.1929999999999996</v>
      </c>
      <c r="F5291" t="s">
        <v>21</v>
      </c>
      <c r="G5291" t="s">
        <v>20</v>
      </c>
      <c r="H5291" t="s">
        <v>21</v>
      </c>
      <c r="I5291" t="s">
        <v>20</v>
      </c>
      <c r="J5291" t="s">
        <v>20</v>
      </c>
      <c r="K5291" t="s">
        <v>31</v>
      </c>
      <c r="L5291" t="s">
        <v>130</v>
      </c>
      <c r="M5291" t="s">
        <v>131</v>
      </c>
      <c r="N5291">
        <v>40.631152</v>
      </c>
      <c r="O5291">
        <v>-111.184966</v>
      </c>
      <c r="P5291">
        <v>7008.9308730000002</v>
      </c>
      <c r="Q5291">
        <v>340</v>
      </c>
      <c r="R5291">
        <v>0</v>
      </c>
    </row>
    <row r="5292" spans="1:18" x14ac:dyDescent="0.25">
      <c r="A5292">
        <v>5291</v>
      </c>
      <c r="B5292">
        <v>94</v>
      </c>
      <c r="C5292">
        <v>31299429</v>
      </c>
      <c r="D5292" t="s">
        <v>203</v>
      </c>
      <c r="E5292">
        <v>6.194</v>
      </c>
      <c r="F5292" t="s">
        <v>21</v>
      </c>
      <c r="G5292" t="s">
        <v>26</v>
      </c>
      <c r="H5292" t="s">
        <v>21</v>
      </c>
      <c r="I5292" t="s">
        <v>20</v>
      </c>
      <c r="J5292" t="s">
        <v>20</v>
      </c>
      <c r="K5292" t="s">
        <v>41</v>
      </c>
      <c r="L5292" t="s">
        <v>81</v>
      </c>
      <c r="M5292" t="s">
        <v>204</v>
      </c>
      <c r="N5292">
        <v>41.244323999999999</v>
      </c>
      <c r="O5292">
        <v>-111.97384</v>
      </c>
      <c r="P5292">
        <v>4236.069673</v>
      </c>
      <c r="Q5292">
        <v>1349</v>
      </c>
      <c r="R5292">
        <v>0</v>
      </c>
    </row>
    <row r="5293" spans="1:18" x14ac:dyDescent="0.25">
      <c r="A5293">
        <v>5292</v>
      </c>
      <c r="B5293">
        <v>94</v>
      </c>
      <c r="C5293">
        <v>1026875</v>
      </c>
      <c r="D5293" t="s">
        <v>171</v>
      </c>
      <c r="E5293">
        <v>6.1959999999999997</v>
      </c>
      <c r="F5293" t="s">
        <v>19</v>
      </c>
      <c r="G5293" t="s">
        <v>20</v>
      </c>
      <c r="H5293" t="s">
        <v>21</v>
      </c>
      <c r="I5293" t="s">
        <v>20</v>
      </c>
      <c r="J5293" t="s">
        <v>20</v>
      </c>
      <c r="K5293" t="s">
        <v>31</v>
      </c>
      <c r="L5293" t="s">
        <v>362</v>
      </c>
      <c r="M5293" t="s">
        <v>79</v>
      </c>
      <c r="N5293">
        <v>40.696609000000002</v>
      </c>
      <c r="O5293">
        <v>-111.973535</v>
      </c>
      <c r="P5293">
        <v>4210.1168120000002</v>
      </c>
      <c r="Q5293">
        <v>346</v>
      </c>
      <c r="R5293">
        <v>0</v>
      </c>
    </row>
    <row r="5294" spans="1:18" x14ac:dyDescent="0.25">
      <c r="A5294">
        <v>5293</v>
      </c>
      <c r="B5294">
        <v>94</v>
      </c>
      <c r="C5294">
        <v>535260</v>
      </c>
      <c r="D5294" t="s">
        <v>44</v>
      </c>
      <c r="E5294">
        <v>6.1970000000000001</v>
      </c>
      <c r="F5294" t="s">
        <v>21</v>
      </c>
      <c r="G5294" t="s">
        <v>26</v>
      </c>
      <c r="H5294" t="s">
        <v>21</v>
      </c>
      <c r="I5294" t="s">
        <v>20</v>
      </c>
      <c r="J5294" t="s">
        <v>20</v>
      </c>
      <c r="K5294" t="s">
        <v>41</v>
      </c>
      <c r="L5294" t="s">
        <v>87</v>
      </c>
      <c r="M5294" t="s">
        <v>46</v>
      </c>
      <c r="N5294">
        <v>40.966780999999997</v>
      </c>
      <c r="O5294">
        <v>-111.88340100000001</v>
      </c>
      <c r="P5294">
        <v>4278.2409909999997</v>
      </c>
      <c r="Q5294">
        <v>1395</v>
      </c>
      <c r="R5294">
        <v>0</v>
      </c>
    </row>
    <row r="5295" spans="1:18" x14ac:dyDescent="0.25">
      <c r="A5295">
        <v>5294</v>
      </c>
      <c r="B5295">
        <v>94</v>
      </c>
      <c r="C5295">
        <v>31389103</v>
      </c>
      <c r="D5295" t="s">
        <v>364</v>
      </c>
      <c r="E5295">
        <v>6.1989999999999998</v>
      </c>
      <c r="F5295" t="s">
        <v>21</v>
      </c>
      <c r="G5295" t="s">
        <v>26</v>
      </c>
      <c r="H5295" t="s">
        <v>21</v>
      </c>
      <c r="I5295" t="s">
        <v>20</v>
      </c>
      <c r="J5295" t="s">
        <v>20</v>
      </c>
      <c r="K5295" t="s">
        <v>22</v>
      </c>
      <c r="L5295" t="s">
        <v>140</v>
      </c>
      <c r="M5295" t="s">
        <v>85</v>
      </c>
      <c r="N5295">
        <v>40.098379000000001</v>
      </c>
      <c r="O5295">
        <v>-111.683581</v>
      </c>
      <c r="P5295">
        <v>4520.6875570000002</v>
      </c>
      <c r="Q5295">
        <v>1401</v>
      </c>
      <c r="R5295">
        <v>0</v>
      </c>
    </row>
    <row r="5296" spans="1:18" x14ac:dyDescent="0.25">
      <c r="A5296">
        <v>5295</v>
      </c>
      <c r="B5296">
        <v>94</v>
      </c>
      <c r="C5296">
        <v>31342563</v>
      </c>
      <c r="D5296" t="s">
        <v>303</v>
      </c>
      <c r="E5296">
        <v>54.491</v>
      </c>
      <c r="F5296" t="s">
        <v>21</v>
      </c>
      <c r="G5296" t="s">
        <v>20</v>
      </c>
      <c r="H5296" t="s">
        <v>21</v>
      </c>
      <c r="I5296" t="s">
        <v>20</v>
      </c>
      <c r="J5296" t="s">
        <v>20</v>
      </c>
      <c r="K5296" t="s">
        <v>27</v>
      </c>
      <c r="L5296" t="s">
        <v>279</v>
      </c>
      <c r="M5296" t="s">
        <v>29</v>
      </c>
      <c r="N5296">
        <v>37.224206000000002</v>
      </c>
      <c r="O5296">
        <v>-112.71948500000001</v>
      </c>
      <c r="P5296">
        <v>5567.2375240000001</v>
      </c>
      <c r="Q5296">
        <v>1326</v>
      </c>
      <c r="R5296">
        <v>0</v>
      </c>
    </row>
    <row r="5297" spans="1:18" x14ac:dyDescent="0.25">
      <c r="A5297">
        <v>5296</v>
      </c>
      <c r="B5297">
        <v>94</v>
      </c>
      <c r="C5297">
        <v>31465648</v>
      </c>
      <c r="D5297" t="s">
        <v>319</v>
      </c>
      <c r="E5297">
        <v>54.494</v>
      </c>
      <c r="F5297" t="s">
        <v>21</v>
      </c>
      <c r="G5297" t="s">
        <v>20</v>
      </c>
      <c r="H5297" t="s">
        <v>21</v>
      </c>
      <c r="I5297" t="s">
        <v>20</v>
      </c>
      <c r="J5297" t="s">
        <v>20</v>
      </c>
      <c r="K5297" t="s">
        <v>27</v>
      </c>
      <c r="L5297" t="s">
        <v>54</v>
      </c>
      <c r="M5297" t="s">
        <v>55</v>
      </c>
      <c r="N5297">
        <v>37.673786999999997</v>
      </c>
      <c r="O5297">
        <v>-113.18500400000001</v>
      </c>
      <c r="P5297">
        <v>5400.2744300000004</v>
      </c>
      <c r="Q5297">
        <v>314</v>
      </c>
      <c r="R5297">
        <v>0</v>
      </c>
    </row>
    <row r="5298" spans="1:18" x14ac:dyDescent="0.25">
      <c r="A5298">
        <v>5297</v>
      </c>
      <c r="B5298">
        <v>94</v>
      </c>
      <c r="C5298" t="e">
        <f>-JO4sCzuHRqZkDXtKXkC4F</f>
        <v>#NAME?</v>
      </c>
      <c r="D5298" t="s">
        <v>172</v>
      </c>
      <c r="E5298">
        <v>54.500999999999998</v>
      </c>
      <c r="F5298" t="s">
        <v>21</v>
      </c>
      <c r="G5298" t="s">
        <v>26</v>
      </c>
      <c r="H5298" t="s">
        <v>21</v>
      </c>
      <c r="I5298" t="s">
        <v>20</v>
      </c>
      <c r="J5298" t="s">
        <v>20</v>
      </c>
      <c r="K5298" t="s">
        <v>27</v>
      </c>
      <c r="L5298" t="s">
        <v>230</v>
      </c>
      <c r="M5298" t="s">
        <v>174</v>
      </c>
      <c r="N5298">
        <v>39.533529999999999</v>
      </c>
      <c r="O5298">
        <v>-111.59183</v>
      </c>
      <c r="P5298">
        <v>5498.2246649999997</v>
      </c>
      <c r="Q5298">
        <v>1411</v>
      </c>
      <c r="R5298">
        <v>0</v>
      </c>
    </row>
    <row r="5299" spans="1:18" x14ac:dyDescent="0.25">
      <c r="A5299">
        <v>5298</v>
      </c>
      <c r="B5299">
        <v>94</v>
      </c>
      <c r="C5299" t="e">
        <f>-Ip9gN2eIU9V-D810-D6Ek</f>
        <v>#NAME?</v>
      </c>
      <c r="D5299" t="s">
        <v>272</v>
      </c>
      <c r="E5299">
        <v>386.80200000000002</v>
      </c>
      <c r="F5299" t="s">
        <v>19</v>
      </c>
      <c r="G5299" t="s">
        <v>20</v>
      </c>
      <c r="H5299" t="s">
        <v>19</v>
      </c>
      <c r="I5299">
        <v>93</v>
      </c>
      <c r="J5299" t="s">
        <v>20</v>
      </c>
      <c r="K5299" t="s">
        <v>41</v>
      </c>
      <c r="L5299" t="s">
        <v>45</v>
      </c>
      <c r="M5299" t="s">
        <v>49</v>
      </c>
      <c r="N5299">
        <v>40.861623999999999</v>
      </c>
      <c r="O5299">
        <v>-111.896288</v>
      </c>
      <c r="P5299">
        <v>4328.4949239999996</v>
      </c>
      <c r="Q5299">
        <v>1384</v>
      </c>
      <c r="R5299">
        <v>0</v>
      </c>
    </row>
    <row r="5300" spans="1:18" x14ac:dyDescent="0.25">
      <c r="A5300">
        <v>5299</v>
      </c>
      <c r="B5300">
        <v>94</v>
      </c>
      <c r="C5300" t="e">
        <f>-Ip9in_1F5mEb6b59ODPXk</f>
        <v>#NAME?</v>
      </c>
      <c r="D5300" t="s">
        <v>272</v>
      </c>
      <c r="E5300">
        <v>386.87</v>
      </c>
      <c r="F5300" t="s">
        <v>21</v>
      </c>
      <c r="G5300" t="s">
        <v>26</v>
      </c>
      <c r="H5300" t="s">
        <v>21</v>
      </c>
      <c r="I5300" t="s">
        <v>20</v>
      </c>
      <c r="J5300" t="s">
        <v>20</v>
      </c>
      <c r="K5300" t="s">
        <v>41</v>
      </c>
      <c r="L5300" t="s">
        <v>45</v>
      </c>
      <c r="M5300" t="s">
        <v>49</v>
      </c>
      <c r="N5300">
        <v>40.862465999999998</v>
      </c>
      <c r="O5300">
        <v>-111.895644</v>
      </c>
      <c r="P5300">
        <v>4333.2634939999998</v>
      </c>
      <c r="Q5300">
        <v>1384</v>
      </c>
      <c r="R5300">
        <v>0</v>
      </c>
    </row>
    <row r="5301" spans="1:18" x14ac:dyDescent="0.25">
      <c r="A5301">
        <v>5300</v>
      </c>
      <c r="B5301">
        <v>94</v>
      </c>
      <c r="C5301">
        <v>31590027</v>
      </c>
      <c r="D5301" t="s">
        <v>288</v>
      </c>
      <c r="E5301">
        <v>387.31</v>
      </c>
      <c r="F5301" t="s">
        <v>21</v>
      </c>
      <c r="G5301" t="s">
        <v>26</v>
      </c>
      <c r="H5301" t="s">
        <v>19</v>
      </c>
      <c r="I5301">
        <v>44</v>
      </c>
      <c r="J5301" t="s">
        <v>20</v>
      </c>
      <c r="K5301" t="s">
        <v>22</v>
      </c>
      <c r="L5301" t="s">
        <v>234</v>
      </c>
      <c r="M5301" t="s">
        <v>98</v>
      </c>
      <c r="N5301">
        <v>40.864260000000002</v>
      </c>
      <c r="O5301">
        <v>-109.482856</v>
      </c>
      <c r="P5301">
        <v>7450.6459560000003</v>
      </c>
      <c r="Q5301">
        <v>350</v>
      </c>
      <c r="R5301">
        <v>0</v>
      </c>
    </row>
    <row r="5302" spans="1:18" x14ac:dyDescent="0.25">
      <c r="A5302">
        <v>5301</v>
      </c>
      <c r="B5302">
        <v>94</v>
      </c>
      <c r="C5302">
        <v>27507434</v>
      </c>
      <c r="D5302" t="s">
        <v>96</v>
      </c>
      <c r="E5302">
        <v>4.6059999999999999</v>
      </c>
      <c r="F5302" t="s">
        <v>21</v>
      </c>
      <c r="G5302" t="s">
        <v>26</v>
      </c>
      <c r="H5302" t="s">
        <v>21</v>
      </c>
      <c r="I5302" t="s">
        <v>20</v>
      </c>
      <c r="J5302" t="s">
        <v>20</v>
      </c>
      <c r="K5302" t="s">
        <v>22</v>
      </c>
      <c r="L5302" t="s">
        <v>97</v>
      </c>
      <c r="M5302" t="s">
        <v>98</v>
      </c>
      <c r="N5302">
        <v>40.977998999999997</v>
      </c>
      <c r="O5302">
        <v>-109.77997499999999</v>
      </c>
      <c r="P5302">
        <v>6787.7456309999998</v>
      </c>
      <c r="Q5302">
        <v>311</v>
      </c>
      <c r="R5302">
        <v>0</v>
      </c>
    </row>
    <row r="5303" spans="1:18" x14ac:dyDescent="0.25">
      <c r="A5303">
        <v>5302</v>
      </c>
      <c r="B5303">
        <v>94</v>
      </c>
      <c r="C5303">
        <v>31534737</v>
      </c>
      <c r="D5303" t="s">
        <v>121</v>
      </c>
      <c r="E5303">
        <v>4.6059999999999999</v>
      </c>
      <c r="F5303" t="s">
        <v>21</v>
      </c>
      <c r="G5303" t="s">
        <v>26</v>
      </c>
      <c r="H5303" t="s">
        <v>21</v>
      </c>
      <c r="I5303" t="s">
        <v>20</v>
      </c>
      <c r="J5303" t="s">
        <v>20</v>
      </c>
      <c r="K5303" t="s">
        <v>27</v>
      </c>
      <c r="L5303" t="s">
        <v>122</v>
      </c>
      <c r="M5303" t="s">
        <v>123</v>
      </c>
      <c r="N5303">
        <v>37.960872999999999</v>
      </c>
      <c r="O5303">
        <v>-110.575326</v>
      </c>
      <c r="P5303">
        <v>4748.3894929999997</v>
      </c>
      <c r="Q5303">
        <v>1283</v>
      </c>
      <c r="R5303">
        <v>0</v>
      </c>
    </row>
    <row r="5304" spans="1:18" x14ac:dyDescent="0.25">
      <c r="A5304">
        <v>5303</v>
      </c>
      <c r="B5304">
        <v>94</v>
      </c>
      <c r="C5304" t="s">
        <v>719</v>
      </c>
      <c r="D5304" t="s">
        <v>272</v>
      </c>
      <c r="E5304">
        <v>387.95499999999998</v>
      </c>
      <c r="F5304" t="s">
        <v>21</v>
      </c>
      <c r="G5304" t="s">
        <v>26</v>
      </c>
      <c r="H5304" t="s">
        <v>21</v>
      </c>
      <c r="I5304" t="s">
        <v>20</v>
      </c>
      <c r="J5304" t="s">
        <v>20</v>
      </c>
      <c r="K5304" t="s">
        <v>41</v>
      </c>
      <c r="L5304" t="s">
        <v>45</v>
      </c>
      <c r="M5304" t="s">
        <v>49</v>
      </c>
      <c r="N5304">
        <v>40.877307999999999</v>
      </c>
      <c r="O5304">
        <v>-111.89221999999999</v>
      </c>
      <c r="P5304">
        <v>4305.7009509999998</v>
      </c>
      <c r="Q5304">
        <v>1384</v>
      </c>
      <c r="R5304">
        <v>0</v>
      </c>
    </row>
    <row r="5305" spans="1:18" x14ac:dyDescent="0.25">
      <c r="A5305">
        <v>5304</v>
      </c>
      <c r="B5305">
        <v>94</v>
      </c>
      <c r="C5305" t="e">
        <f>-Ip9sAdAFXXFjwXFAT-E5V</f>
        <v>#NAME?</v>
      </c>
      <c r="D5305" t="s">
        <v>272</v>
      </c>
      <c r="E5305">
        <v>388.01100000000002</v>
      </c>
      <c r="F5305" t="s">
        <v>21</v>
      </c>
      <c r="G5305" t="s">
        <v>26</v>
      </c>
      <c r="H5305" t="s">
        <v>21</v>
      </c>
      <c r="I5305" t="s">
        <v>20</v>
      </c>
      <c r="J5305" t="s">
        <v>20</v>
      </c>
      <c r="K5305" t="s">
        <v>41</v>
      </c>
      <c r="L5305" t="s">
        <v>45</v>
      </c>
      <c r="M5305" t="s">
        <v>49</v>
      </c>
      <c r="N5305">
        <v>40.878107999999997</v>
      </c>
      <c r="O5305">
        <v>-111.892217</v>
      </c>
      <c r="P5305">
        <v>4304.025963</v>
      </c>
      <c r="Q5305">
        <v>1384</v>
      </c>
      <c r="R5305">
        <v>0</v>
      </c>
    </row>
    <row r="5306" spans="1:18" x14ac:dyDescent="0.25">
      <c r="A5306">
        <v>5305</v>
      </c>
      <c r="B5306">
        <v>94</v>
      </c>
      <c r="C5306" t="s">
        <v>720</v>
      </c>
      <c r="D5306" t="s">
        <v>272</v>
      </c>
      <c r="E5306">
        <v>388.10199999999998</v>
      </c>
      <c r="F5306" t="s">
        <v>21</v>
      </c>
      <c r="G5306" t="s">
        <v>26</v>
      </c>
      <c r="H5306" t="s">
        <v>21</v>
      </c>
      <c r="I5306" t="s">
        <v>20</v>
      </c>
      <c r="J5306" t="s">
        <v>20</v>
      </c>
      <c r="K5306" t="s">
        <v>41</v>
      </c>
      <c r="L5306" t="s">
        <v>45</v>
      </c>
      <c r="M5306" t="s">
        <v>49</v>
      </c>
      <c r="N5306">
        <v>40.879407</v>
      </c>
      <c r="O5306">
        <v>-111.892219</v>
      </c>
      <c r="P5306">
        <v>4301.1117109999996</v>
      </c>
      <c r="Q5306">
        <v>1384</v>
      </c>
      <c r="R5306">
        <v>0</v>
      </c>
    </row>
    <row r="5307" spans="1:18" x14ac:dyDescent="0.25">
      <c r="A5307">
        <v>5306</v>
      </c>
      <c r="B5307">
        <v>94</v>
      </c>
      <c r="C5307" t="e">
        <f>-Ip9tsYlGXe_Fi1FDDLmlk</f>
        <v>#NAME?</v>
      </c>
      <c r="D5307" t="s">
        <v>272</v>
      </c>
      <c r="E5307">
        <v>388.17899999999997</v>
      </c>
      <c r="F5307" t="s">
        <v>21</v>
      </c>
      <c r="G5307" t="s">
        <v>26</v>
      </c>
      <c r="H5307" t="s">
        <v>21</v>
      </c>
      <c r="I5307" t="s">
        <v>20</v>
      </c>
      <c r="J5307" t="s">
        <v>20</v>
      </c>
      <c r="K5307" t="s">
        <v>41</v>
      </c>
      <c r="L5307" t="s">
        <v>45</v>
      </c>
      <c r="M5307" t="s">
        <v>49</v>
      </c>
      <c r="N5307">
        <v>40.880521000000002</v>
      </c>
      <c r="O5307">
        <v>-111.89221499999999</v>
      </c>
      <c r="P5307">
        <v>4297.4890779999996</v>
      </c>
      <c r="Q5307">
        <v>1384</v>
      </c>
      <c r="R5307">
        <v>0</v>
      </c>
    </row>
    <row r="5308" spans="1:18" x14ac:dyDescent="0.25">
      <c r="A5308">
        <v>5307</v>
      </c>
      <c r="B5308">
        <v>94</v>
      </c>
      <c r="C5308" t="e">
        <f>-Ip9u6hqIk9w8xho8GOf-k</f>
        <v>#NAME?</v>
      </c>
      <c r="D5308" t="s">
        <v>272</v>
      </c>
      <c r="E5308">
        <v>388.20400000000001</v>
      </c>
      <c r="F5308" t="s">
        <v>21</v>
      </c>
      <c r="G5308" t="s">
        <v>26</v>
      </c>
      <c r="H5308" t="s">
        <v>21</v>
      </c>
      <c r="I5308" t="s">
        <v>20</v>
      </c>
      <c r="J5308" t="s">
        <v>20</v>
      </c>
      <c r="K5308" t="s">
        <v>41</v>
      </c>
      <c r="L5308" t="s">
        <v>45</v>
      </c>
      <c r="M5308" t="s">
        <v>49</v>
      </c>
      <c r="N5308">
        <v>40.880873000000001</v>
      </c>
      <c r="O5308">
        <v>-111.892222</v>
      </c>
      <c r="P5308">
        <v>4295.5927009999996</v>
      </c>
      <c r="Q5308">
        <v>1384</v>
      </c>
      <c r="R5308">
        <v>0</v>
      </c>
    </row>
    <row r="5309" spans="1:18" x14ac:dyDescent="0.25">
      <c r="A5309">
        <v>5308</v>
      </c>
      <c r="B5309">
        <v>94</v>
      </c>
      <c r="C5309" t="e">
        <f>-Ip9ueYhF35rIYA7wEDUMV</f>
        <v>#NAME?</v>
      </c>
      <c r="D5309" t="s">
        <v>272</v>
      </c>
      <c r="E5309">
        <v>388.23700000000002</v>
      </c>
      <c r="F5309" t="s">
        <v>21</v>
      </c>
      <c r="G5309" t="s">
        <v>26</v>
      </c>
      <c r="H5309" t="s">
        <v>21</v>
      </c>
      <c r="I5309" t="s">
        <v>20</v>
      </c>
      <c r="J5309" t="s">
        <v>20</v>
      </c>
      <c r="K5309" t="s">
        <v>41</v>
      </c>
      <c r="L5309" t="s">
        <v>45</v>
      </c>
      <c r="M5309" t="s">
        <v>49</v>
      </c>
      <c r="N5309">
        <v>40.881341999999997</v>
      </c>
      <c r="O5309">
        <v>-111.892213</v>
      </c>
      <c r="P5309">
        <v>4293.2626989999999</v>
      </c>
      <c r="Q5309">
        <v>1384</v>
      </c>
      <c r="R5309">
        <v>0</v>
      </c>
    </row>
    <row r="5310" spans="1:18" x14ac:dyDescent="0.25">
      <c r="A5310">
        <v>5309</v>
      </c>
      <c r="B5310">
        <v>94</v>
      </c>
      <c r="C5310" t="e">
        <f>-JQCqTJKFFeoZasO2NBtek</f>
        <v>#NAME?</v>
      </c>
      <c r="D5310" t="s">
        <v>132</v>
      </c>
      <c r="E5310">
        <v>9.9109999999999996</v>
      </c>
      <c r="F5310" t="s">
        <v>21</v>
      </c>
      <c r="G5310" t="s">
        <v>26</v>
      </c>
      <c r="H5310" t="s">
        <v>21</v>
      </c>
      <c r="I5310" t="s">
        <v>20</v>
      </c>
      <c r="J5310" t="s">
        <v>20</v>
      </c>
      <c r="K5310" t="s">
        <v>22</v>
      </c>
      <c r="L5310" t="s">
        <v>133</v>
      </c>
      <c r="M5310" t="s">
        <v>134</v>
      </c>
      <c r="N5310">
        <v>40.431728999999997</v>
      </c>
      <c r="O5310">
        <v>-110.030089</v>
      </c>
      <c r="P5310">
        <v>5954.8689100000001</v>
      </c>
      <c r="Q5310">
        <v>1405</v>
      </c>
      <c r="R5310">
        <v>0</v>
      </c>
    </row>
    <row r="5311" spans="1:18" x14ac:dyDescent="0.25">
      <c r="A5311">
        <v>5310</v>
      </c>
      <c r="B5311">
        <v>94</v>
      </c>
      <c r="C5311" t="e">
        <f>-IoveUFlIcajab2fwGzB1V</f>
        <v>#NAME?</v>
      </c>
      <c r="D5311" t="s">
        <v>316</v>
      </c>
      <c r="E5311">
        <v>9.9149999999999991</v>
      </c>
      <c r="F5311" t="s">
        <v>21</v>
      </c>
      <c r="G5311" t="s">
        <v>20</v>
      </c>
      <c r="H5311" t="s">
        <v>21</v>
      </c>
      <c r="I5311" t="s">
        <v>20</v>
      </c>
      <c r="J5311" t="s">
        <v>20</v>
      </c>
      <c r="K5311" t="s">
        <v>31</v>
      </c>
      <c r="L5311" t="s">
        <v>130</v>
      </c>
      <c r="M5311" t="s">
        <v>302</v>
      </c>
      <c r="N5311">
        <v>40.558124999999997</v>
      </c>
      <c r="O5311">
        <v>-111.13178000000001</v>
      </c>
      <c r="P5311">
        <v>7124.987572</v>
      </c>
      <c r="Q5311">
        <v>1346</v>
      </c>
      <c r="R5311">
        <v>0</v>
      </c>
    </row>
    <row r="5312" spans="1:18" x14ac:dyDescent="0.25">
      <c r="A5312">
        <v>5311</v>
      </c>
      <c r="B5312">
        <v>94</v>
      </c>
      <c r="C5312">
        <v>31314843</v>
      </c>
      <c r="D5312" t="s">
        <v>215</v>
      </c>
      <c r="E5312">
        <v>9.9169999999999998</v>
      </c>
      <c r="F5312" t="s">
        <v>21</v>
      </c>
      <c r="G5312" t="s">
        <v>26</v>
      </c>
      <c r="H5312" t="s">
        <v>21</v>
      </c>
      <c r="I5312" t="s">
        <v>20</v>
      </c>
      <c r="J5312" t="s">
        <v>20</v>
      </c>
      <c r="K5312" t="s">
        <v>22</v>
      </c>
      <c r="L5312" t="s">
        <v>23</v>
      </c>
      <c r="M5312" t="s">
        <v>85</v>
      </c>
      <c r="N5312">
        <v>40.345336000000003</v>
      </c>
      <c r="O5312">
        <v>-111.74073300000001</v>
      </c>
      <c r="P5312">
        <v>4478.8489049999998</v>
      </c>
      <c r="Q5312">
        <v>330</v>
      </c>
      <c r="R5312">
        <v>0</v>
      </c>
    </row>
    <row r="5313" spans="1:18" x14ac:dyDescent="0.25">
      <c r="A5313">
        <v>5312</v>
      </c>
      <c r="B5313">
        <v>94</v>
      </c>
      <c r="C5313" t="e">
        <f>-JQCqXq_FTa6t1eZLdXqtF</f>
        <v>#NAME?</v>
      </c>
      <c r="D5313" t="s">
        <v>132</v>
      </c>
      <c r="E5313">
        <v>9.923</v>
      </c>
      <c r="F5313" t="s">
        <v>21</v>
      </c>
      <c r="G5313" t="s">
        <v>20</v>
      </c>
      <c r="H5313" t="s">
        <v>21</v>
      </c>
      <c r="I5313" t="s">
        <v>20</v>
      </c>
      <c r="J5313" t="s">
        <v>20</v>
      </c>
      <c r="K5313" t="s">
        <v>22</v>
      </c>
      <c r="L5313" t="s">
        <v>133</v>
      </c>
      <c r="M5313" t="s">
        <v>134</v>
      </c>
      <c r="N5313">
        <v>40.431894999999997</v>
      </c>
      <c r="O5313">
        <v>-110.03008699999999</v>
      </c>
      <c r="P5313">
        <v>5956.36816</v>
      </c>
      <c r="Q5313">
        <v>1405</v>
      </c>
      <c r="R5313">
        <v>0</v>
      </c>
    </row>
    <row r="5314" spans="1:18" x14ac:dyDescent="0.25">
      <c r="A5314">
        <v>5313</v>
      </c>
      <c r="B5314">
        <v>94</v>
      </c>
      <c r="C5314">
        <v>27508704</v>
      </c>
      <c r="D5314" t="s">
        <v>96</v>
      </c>
      <c r="E5314">
        <v>9.9290000000000003</v>
      </c>
      <c r="F5314" t="s">
        <v>21</v>
      </c>
      <c r="G5314" t="s">
        <v>26</v>
      </c>
      <c r="H5314" t="s">
        <v>21</v>
      </c>
      <c r="I5314" t="s">
        <v>20</v>
      </c>
      <c r="J5314" t="s">
        <v>20</v>
      </c>
      <c r="K5314" t="s">
        <v>22</v>
      </c>
      <c r="L5314" t="s">
        <v>97</v>
      </c>
      <c r="M5314" t="s">
        <v>98</v>
      </c>
      <c r="N5314">
        <v>40.992337999999997</v>
      </c>
      <c r="O5314">
        <v>-109.685813</v>
      </c>
      <c r="P5314">
        <v>6139.596501</v>
      </c>
      <c r="Q5314">
        <v>311</v>
      </c>
      <c r="R5314">
        <v>0</v>
      </c>
    </row>
    <row r="5315" spans="1:18" x14ac:dyDescent="0.25">
      <c r="A5315">
        <v>5314</v>
      </c>
      <c r="B5315">
        <v>94</v>
      </c>
      <c r="C5315">
        <v>31859645</v>
      </c>
      <c r="D5315" t="s">
        <v>115</v>
      </c>
      <c r="E5315">
        <v>9.9320000000000004</v>
      </c>
      <c r="F5315" t="s">
        <v>19</v>
      </c>
      <c r="G5315" t="s">
        <v>20</v>
      </c>
      <c r="H5315" t="s">
        <v>19</v>
      </c>
      <c r="I5315">
        <v>89</v>
      </c>
      <c r="J5315" t="s">
        <v>20</v>
      </c>
      <c r="K5315" t="s">
        <v>31</v>
      </c>
      <c r="L5315" t="s">
        <v>69</v>
      </c>
      <c r="M5315" t="s">
        <v>70</v>
      </c>
      <c r="N5315">
        <v>40.656080000000003</v>
      </c>
      <c r="O5315">
        <v>-111.88830799999999</v>
      </c>
      <c r="P5315">
        <v>4242.1360599999998</v>
      </c>
      <c r="Q5315">
        <v>1437</v>
      </c>
      <c r="R5315">
        <v>0</v>
      </c>
    </row>
    <row r="5316" spans="1:18" x14ac:dyDescent="0.25">
      <c r="A5316">
        <v>5315</v>
      </c>
      <c r="B5316">
        <v>94</v>
      </c>
      <c r="C5316">
        <v>31302320</v>
      </c>
      <c r="D5316" t="s">
        <v>116</v>
      </c>
      <c r="E5316">
        <v>9.9329999999999998</v>
      </c>
      <c r="F5316" t="s">
        <v>21</v>
      </c>
      <c r="G5316" t="s">
        <v>26</v>
      </c>
      <c r="H5316" t="s">
        <v>21</v>
      </c>
      <c r="I5316" t="s">
        <v>20</v>
      </c>
      <c r="J5316" t="s">
        <v>20</v>
      </c>
      <c r="K5316" t="s">
        <v>41</v>
      </c>
      <c r="L5316" t="s">
        <v>177</v>
      </c>
      <c r="M5316" t="s">
        <v>43</v>
      </c>
      <c r="N5316">
        <v>41.548749000000001</v>
      </c>
      <c r="O5316">
        <v>-111.95381500000001</v>
      </c>
      <c r="P5316">
        <v>5826.6604209999996</v>
      </c>
      <c r="Q5316">
        <v>324</v>
      </c>
      <c r="R5316">
        <v>0</v>
      </c>
    </row>
    <row r="5317" spans="1:18" x14ac:dyDescent="0.25">
      <c r="A5317">
        <v>5316</v>
      </c>
      <c r="B5317">
        <v>94</v>
      </c>
      <c r="C5317">
        <v>31576587</v>
      </c>
      <c r="D5317" t="s">
        <v>172</v>
      </c>
      <c r="E5317">
        <v>39.21</v>
      </c>
      <c r="F5317" t="s">
        <v>21</v>
      </c>
      <c r="G5317" t="s">
        <v>26</v>
      </c>
      <c r="H5317" t="s">
        <v>21</v>
      </c>
      <c r="I5317" t="s">
        <v>20</v>
      </c>
      <c r="J5317" t="s">
        <v>20</v>
      </c>
      <c r="K5317" t="s">
        <v>22</v>
      </c>
      <c r="L5317" t="s">
        <v>155</v>
      </c>
      <c r="M5317" t="s">
        <v>174</v>
      </c>
      <c r="N5317">
        <v>39.718068000000002</v>
      </c>
      <c r="O5317">
        <v>-111.72947600000001</v>
      </c>
      <c r="P5317">
        <v>5739.1307850000003</v>
      </c>
      <c r="Q5317">
        <v>1411</v>
      </c>
      <c r="R5317">
        <v>0</v>
      </c>
    </row>
    <row r="5318" spans="1:18" x14ac:dyDescent="0.25">
      <c r="A5318">
        <v>5317</v>
      </c>
      <c r="B5318">
        <v>94</v>
      </c>
      <c r="C5318">
        <v>31478481</v>
      </c>
      <c r="D5318" t="s">
        <v>213</v>
      </c>
      <c r="E5318">
        <v>39.228999999999999</v>
      </c>
      <c r="F5318" t="s">
        <v>21</v>
      </c>
      <c r="G5318" t="s">
        <v>26</v>
      </c>
      <c r="H5318" t="s">
        <v>21</v>
      </c>
      <c r="I5318" t="s">
        <v>20</v>
      </c>
      <c r="J5318" t="s">
        <v>20</v>
      </c>
      <c r="K5318" t="s">
        <v>27</v>
      </c>
      <c r="L5318" t="s">
        <v>173</v>
      </c>
      <c r="M5318" t="s">
        <v>214</v>
      </c>
      <c r="N5318">
        <v>39.023232</v>
      </c>
      <c r="O5318">
        <v>-113.362787</v>
      </c>
      <c r="P5318">
        <v>4857.3192870000003</v>
      </c>
      <c r="Q5318">
        <v>1332</v>
      </c>
      <c r="R5318">
        <v>0</v>
      </c>
    </row>
    <row r="5319" spans="1:18" x14ac:dyDescent="0.25">
      <c r="A5319">
        <v>5318</v>
      </c>
      <c r="B5319">
        <v>94</v>
      </c>
      <c r="C5319">
        <v>31255986</v>
      </c>
      <c r="D5319" t="s">
        <v>303</v>
      </c>
      <c r="E5319">
        <v>4.6989999999999998</v>
      </c>
      <c r="F5319" t="s">
        <v>21</v>
      </c>
      <c r="G5319" t="s">
        <v>26</v>
      </c>
      <c r="H5319" t="s">
        <v>21</v>
      </c>
      <c r="I5319" t="s">
        <v>20</v>
      </c>
      <c r="J5319" t="s">
        <v>20</v>
      </c>
      <c r="K5319" t="s">
        <v>27</v>
      </c>
      <c r="L5319" t="s">
        <v>72</v>
      </c>
      <c r="M5319" t="s">
        <v>73</v>
      </c>
      <c r="N5319">
        <v>37.166462000000003</v>
      </c>
      <c r="O5319">
        <v>-113.37823299999999</v>
      </c>
      <c r="P5319">
        <v>2808.9828499999999</v>
      </c>
      <c r="Q5319">
        <v>1326</v>
      </c>
      <c r="R5319">
        <v>0</v>
      </c>
    </row>
    <row r="5320" spans="1:18" x14ac:dyDescent="0.25">
      <c r="A5320">
        <v>5319</v>
      </c>
      <c r="B5320">
        <v>94</v>
      </c>
      <c r="C5320">
        <v>31191490</v>
      </c>
      <c r="D5320" t="s">
        <v>339</v>
      </c>
      <c r="E5320">
        <v>4.7039999999999997</v>
      </c>
      <c r="F5320" t="s">
        <v>21</v>
      </c>
      <c r="G5320" t="s">
        <v>26</v>
      </c>
      <c r="H5320" t="s">
        <v>21</v>
      </c>
      <c r="I5320" t="s">
        <v>20</v>
      </c>
      <c r="J5320" t="s">
        <v>20</v>
      </c>
      <c r="K5320" t="s">
        <v>41</v>
      </c>
      <c r="L5320" t="s">
        <v>95</v>
      </c>
      <c r="M5320" t="s">
        <v>73</v>
      </c>
      <c r="N5320">
        <v>41.915835999999999</v>
      </c>
      <c r="O5320">
        <v>-112.04519999999999</v>
      </c>
      <c r="P5320">
        <v>4763.4484940000002</v>
      </c>
      <c r="Q5320">
        <v>1417</v>
      </c>
      <c r="R5320">
        <v>0</v>
      </c>
    </row>
    <row r="5321" spans="1:18" x14ac:dyDescent="0.25">
      <c r="A5321">
        <v>5320</v>
      </c>
      <c r="B5321">
        <v>94</v>
      </c>
      <c r="C5321">
        <v>1009152</v>
      </c>
      <c r="D5321" t="s">
        <v>171</v>
      </c>
      <c r="E5321">
        <v>4.7050000000000001</v>
      </c>
      <c r="F5321" t="s">
        <v>21</v>
      </c>
      <c r="G5321" t="s">
        <v>26</v>
      </c>
      <c r="H5321" t="s">
        <v>21</v>
      </c>
      <c r="I5321" t="s">
        <v>20</v>
      </c>
      <c r="J5321" t="s">
        <v>20</v>
      </c>
      <c r="K5321" t="s">
        <v>31</v>
      </c>
      <c r="L5321" t="s">
        <v>78</v>
      </c>
      <c r="M5321" t="s">
        <v>79</v>
      </c>
      <c r="N5321">
        <v>40.696586000000003</v>
      </c>
      <c r="O5321">
        <v>-112.001952</v>
      </c>
      <c r="P5321">
        <v>4217.7507830000004</v>
      </c>
      <c r="Q5321">
        <v>346</v>
      </c>
      <c r="R5321">
        <v>0</v>
      </c>
    </row>
    <row r="5322" spans="1:18" x14ac:dyDescent="0.25">
      <c r="A5322">
        <v>5321</v>
      </c>
      <c r="B5322">
        <v>94</v>
      </c>
      <c r="C5322">
        <v>532483</v>
      </c>
      <c r="D5322" t="s">
        <v>44</v>
      </c>
      <c r="E5322">
        <v>4.7110000000000003</v>
      </c>
      <c r="F5322" t="s">
        <v>21</v>
      </c>
      <c r="G5322" t="s">
        <v>26</v>
      </c>
      <c r="H5322" t="s">
        <v>21</v>
      </c>
      <c r="I5322" t="s">
        <v>20</v>
      </c>
      <c r="J5322" t="s">
        <v>20</v>
      </c>
      <c r="K5322" t="s">
        <v>41</v>
      </c>
      <c r="L5322" t="s">
        <v>45</v>
      </c>
      <c r="M5322" t="s">
        <v>46</v>
      </c>
      <c r="N5322">
        <v>40.945476999999997</v>
      </c>
      <c r="O5322">
        <v>-111.88115000000001</v>
      </c>
      <c r="P5322">
        <v>4254.3416699999998</v>
      </c>
      <c r="Q5322">
        <v>1395</v>
      </c>
      <c r="R5322">
        <v>0</v>
      </c>
    </row>
    <row r="5323" spans="1:18" x14ac:dyDescent="0.25">
      <c r="A5323">
        <v>5322</v>
      </c>
      <c r="B5323">
        <v>94</v>
      </c>
      <c r="C5323">
        <v>31388547</v>
      </c>
      <c r="D5323" t="s">
        <v>364</v>
      </c>
      <c r="E5323">
        <v>4.7110000000000003</v>
      </c>
      <c r="F5323" t="s">
        <v>21</v>
      </c>
      <c r="G5323" t="s">
        <v>26</v>
      </c>
      <c r="H5323" t="s">
        <v>21</v>
      </c>
      <c r="I5323" t="s">
        <v>20</v>
      </c>
      <c r="J5323" t="s">
        <v>20</v>
      </c>
      <c r="K5323" t="s">
        <v>22</v>
      </c>
      <c r="L5323" t="s">
        <v>140</v>
      </c>
      <c r="M5323" t="s">
        <v>85</v>
      </c>
      <c r="N5323">
        <v>40.098277000000003</v>
      </c>
      <c r="O5323">
        <v>-111.711675</v>
      </c>
      <c r="P5323">
        <v>4484.4776730000003</v>
      </c>
      <c r="Q5323">
        <v>1401</v>
      </c>
      <c r="R5323">
        <v>0</v>
      </c>
    </row>
    <row r="5324" spans="1:18" x14ac:dyDescent="0.25">
      <c r="A5324">
        <v>5323</v>
      </c>
      <c r="B5324">
        <v>94</v>
      </c>
      <c r="C5324">
        <v>1265985</v>
      </c>
      <c r="D5324" t="s">
        <v>189</v>
      </c>
      <c r="E5324">
        <v>4.7110000000000003</v>
      </c>
      <c r="F5324" t="s">
        <v>21</v>
      </c>
      <c r="G5324" t="s">
        <v>26</v>
      </c>
      <c r="H5324" t="s">
        <v>21</v>
      </c>
      <c r="I5324" t="s">
        <v>20</v>
      </c>
      <c r="J5324" t="s">
        <v>20</v>
      </c>
      <c r="K5324" t="s">
        <v>41</v>
      </c>
      <c r="L5324" t="s">
        <v>81</v>
      </c>
      <c r="M5324" t="s">
        <v>190</v>
      </c>
      <c r="N5324">
        <v>41.221417000000002</v>
      </c>
      <c r="O5324">
        <v>-111.94823100000001</v>
      </c>
      <c r="P5324">
        <v>4409.2820670000001</v>
      </c>
      <c r="Q5324">
        <v>412</v>
      </c>
      <c r="R5324">
        <v>0</v>
      </c>
    </row>
    <row r="5325" spans="1:18" x14ac:dyDescent="0.25">
      <c r="A5325">
        <v>5324</v>
      </c>
      <c r="B5325">
        <v>94</v>
      </c>
      <c r="C5325">
        <v>31594655</v>
      </c>
      <c r="D5325" t="s">
        <v>288</v>
      </c>
      <c r="E5325">
        <v>396.68799999999999</v>
      </c>
      <c r="F5325" t="s">
        <v>21</v>
      </c>
      <c r="G5325" t="s">
        <v>20</v>
      </c>
      <c r="H5325" t="s">
        <v>21</v>
      </c>
      <c r="I5325" t="s">
        <v>20</v>
      </c>
      <c r="J5325" t="s">
        <v>20</v>
      </c>
      <c r="K5325" t="s">
        <v>22</v>
      </c>
      <c r="L5325" t="s">
        <v>97</v>
      </c>
      <c r="M5325" t="s">
        <v>98</v>
      </c>
      <c r="N5325">
        <v>40.940584999999999</v>
      </c>
      <c r="O5325">
        <v>-109.411562</v>
      </c>
      <c r="P5325">
        <v>6321.4845610000002</v>
      </c>
      <c r="Q5325">
        <v>350</v>
      </c>
      <c r="R5325">
        <v>0</v>
      </c>
    </row>
    <row r="5326" spans="1:18" x14ac:dyDescent="0.25">
      <c r="A5326">
        <v>5325</v>
      </c>
      <c r="B5326">
        <v>94</v>
      </c>
      <c r="C5326" t="e">
        <f>-IpZQHT3GpP_rlRoojyLlF</f>
        <v>#NAME?</v>
      </c>
      <c r="D5326" t="s">
        <v>288</v>
      </c>
      <c r="E5326">
        <v>396.79599999999999</v>
      </c>
      <c r="F5326" t="s">
        <v>21</v>
      </c>
      <c r="G5326" t="s">
        <v>20</v>
      </c>
      <c r="H5326" t="s">
        <v>21</v>
      </c>
      <c r="I5326" t="s">
        <v>20</v>
      </c>
      <c r="J5326" t="s">
        <v>20</v>
      </c>
      <c r="K5326" t="s">
        <v>22</v>
      </c>
      <c r="L5326" t="s">
        <v>97</v>
      </c>
      <c r="M5326" t="s">
        <v>98</v>
      </c>
      <c r="N5326">
        <v>40.941260999999997</v>
      </c>
      <c r="O5326">
        <v>-109.413422</v>
      </c>
      <c r="P5326">
        <v>6292.1159109999999</v>
      </c>
      <c r="Q5326">
        <v>350</v>
      </c>
      <c r="R5326">
        <v>0</v>
      </c>
    </row>
    <row r="5327" spans="1:18" x14ac:dyDescent="0.25">
      <c r="A5327">
        <v>5326</v>
      </c>
      <c r="B5327">
        <v>94</v>
      </c>
      <c r="C5327">
        <v>31594666</v>
      </c>
      <c r="D5327" t="s">
        <v>288</v>
      </c>
      <c r="E5327">
        <v>397.71300000000002</v>
      </c>
      <c r="F5327" t="s">
        <v>21</v>
      </c>
      <c r="G5327" t="s">
        <v>20</v>
      </c>
      <c r="H5327" t="s">
        <v>21</v>
      </c>
      <c r="I5327" t="s">
        <v>20</v>
      </c>
      <c r="J5327" t="s">
        <v>20</v>
      </c>
      <c r="K5327" t="s">
        <v>22</v>
      </c>
      <c r="L5327" t="s">
        <v>97</v>
      </c>
      <c r="M5327" t="s">
        <v>98</v>
      </c>
      <c r="N5327">
        <v>40.944591000000003</v>
      </c>
      <c r="O5327">
        <v>-109.428597</v>
      </c>
      <c r="P5327">
        <v>6252.4736439999997</v>
      </c>
      <c r="Q5327">
        <v>350</v>
      </c>
      <c r="R5327">
        <v>0</v>
      </c>
    </row>
    <row r="5328" spans="1:18" x14ac:dyDescent="0.25">
      <c r="A5328">
        <v>5327</v>
      </c>
      <c r="B5328">
        <v>94</v>
      </c>
      <c r="C5328">
        <v>31594677</v>
      </c>
      <c r="D5328" t="s">
        <v>288</v>
      </c>
      <c r="E5328">
        <v>397.92500000000001</v>
      </c>
      <c r="F5328" t="s">
        <v>21</v>
      </c>
      <c r="G5328" t="s">
        <v>26</v>
      </c>
      <c r="H5328" t="s">
        <v>21</v>
      </c>
      <c r="I5328" t="s">
        <v>20</v>
      </c>
      <c r="J5328" t="s">
        <v>20</v>
      </c>
      <c r="K5328" t="s">
        <v>22</v>
      </c>
      <c r="L5328" t="s">
        <v>97</v>
      </c>
      <c r="M5328" t="s">
        <v>98</v>
      </c>
      <c r="N5328">
        <v>40.945244000000002</v>
      </c>
      <c r="O5328">
        <v>-109.43234699999999</v>
      </c>
      <c r="P5328">
        <v>6262.1666679999998</v>
      </c>
      <c r="Q5328">
        <v>350</v>
      </c>
      <c r="R5328">
        <v>0</v>
      </c>
    </row>
    <row r="5329" spans="1:18" x14ac:dyDescent="0.25">
      <c r="A5329">
        <v>5328</v>
      </c>
      <c r="B5329">
        <v>94</v>
      </c>
      <c r="C5329" t="e">
        <f>-IpOuaAzIjaUpOvNNMhY8k</f>
        <v>#NAME?</v>
      </c>
      <c r="D5329" t="s">
        <v>272</v>
      </c>
      <c r="E5329">
        <v>398.69400000000002</v>
      </c>
      <c r="F5329" t="s">
        <v>19</v>
      </c>
      <c r="G5329" t="s">
        <v>20</v>
      </c>
      <c r="H5329" t="s">
        <v>21</v>
      </c>
      <c r="I5329" t="s">
        <v>20</v>
      </c>
      <c r="J5329" t="s">
        <v>20</v>
      </c>
      <c r="K5329" t="s">
        <v>41</v>
      </c>
      <c r="L5329" t="s">
        <v>87</v>
      </c>
      <c r="M5329" t="s">
        <v>46</v>
      </c>
      <c r="N5329">
        <v>41.027301000000001</v>
      </c>
      <c r="O5329">
        <v>-111.90846500000001</v>
      </c>
      <c r="P5329">
        <v>4496.0367809999998</v>
      </c>
      <c r="Q5329">
        <v>1384</v>
      </c>
      <c r="R5329">
        <v>0</v>
      </c>
    </row>
    <row r="5330" spans="1:18" x14ac:dyDescent="0.25">
      <c r="A5330">
        <v>5329</v>
      </c>
      <c r="B5330">
        <v>94</v>
      </c>
      <c r="C5330" t="e">
        <f>-IpOwK2OGi9TOwFXFUxUpV</f>
        <v>#NAME?</v>
      </c>
      <c r="D5330" t="s">
        <v>272</v>
      </c>
      <c r="E5330">
        <v>398.95800000000003</v>
      </c>
      <c r="F5330" t="s">
        <v>21</v>
      </c>
      <c r="G5330" t="s">
        <v>26</v>
      </c>
      <c r="H5330" t="s">
        <v>21</v>
      </c>
      <c r="I5330" t="s">
        <v>20</v>
      </c>
      <c r="J5330" t="s">
        <v>20</v>
      </c>
      <c r="K5330" t="s">
        <v>41</v>
      </c>
      <c r="L5330" t="s">
        <v>87</v>
      </c>
      <c r="M5330" t="s">
        <v>46</v>
      </c>
      <c r="N5330">
        <v>41.031070999999997</v>
      </c>
      <c r="O5330">
        <v>-111.90881299999999</v>
      </c>
      <c r="P5330">
        <v>4530.5971159999999</v>
      </c>
      <c r="Q5330">
        <v>1384</v>
      </c>
      <c r="R5330">
        <v>0</v>
      </c>
    </row>
    <row r="5331" spans="1:18" x14ac:dyDescent="0.25">
      <c r="A5331">
        <v>5330</v>
      </c>
      <c r="B5331">
        <v>94</v>
      </c>
      <c r="C5331" t="s">
        <v>721</v>
      </c>
      <c r="D5331" t="s">
        <v>272</v>
      </c>
      <c r="E5331">
        <v>399.11500000000001</v>
      </c>
      <c r="F5331" t="s">
        <v>21</v>
      </c>
      <c r="G5331" t="s">
        <v>26</v>
      </c>
      <c r="H5331" t="s">
        <v>21</v>
      </c>
      <c r="I5331" t="s">
        <v>20</v>
      </c>
      <c r="J5331" t="s">
        <v>20</v>
      </c>
      <c r="K5331" t="s">
        <v>41</v>
      </c>
      <c r="L5331" t="s">
        <v>87</v>
      </c>
      <c r="M5331" t="s">
        <v>46</v>
      </c>
      <c r="N5331">
        <v>41.033307999999998</v>
      </c>
      <c r="O5331">
        <v>-111.908981</v>
      </c>
      <c r="P5331">
        <v>4549.0649119999998</v>
      </c>
      <c r="Q5331">
        <v>1384</v>
      </c>
      <c r="R5331">
        <v>0</v>
      </c>
    </row>
    <row r="5332" spans="1:18" x14ac:dyDescent="0.25">
      <c r="A5332">
        <v>5331</v>
      </c>
      <c r="B5332">
        <v>94</v>
      </c>
      <c r="C5332" t="e">
        <f>-IpOx7gpGTuOdgh0m5EGPk</f>
        <v>#NAME?</v>
      </c>
      <c r="D5332" t="s">
        <v>272</v>
      </c>
      <c r="E5332">
        <v>399.29500000000002</v>
      </c>
      <c r="F5332" t="s">
        <v>21</v>
      </c>
      <c r="G5332" t="s">
        <v>26</v>
      </c>
      <c r="H5332" t="s">
        <v>21</v>
      </c>
      <c r="I5332" t="s">
        <v>20</v>
      </c>
      <c r="J5332" t="s">
        <v>20</v>
      </c>
      <c r="K5332" t="s">
        <v>41</v>
      </c>
      <c r="L5332" t="s">
        <v>87</v>
      </c>
      <c r="M5332" t="s">
        <v>46</v>
      </c>
      <c r="N5332">
        <v>41.035879000000001</v>
      </c>
      <c r="O5332">
        <v>-111.90920300000001</v>
      </c>
      <c r="P5332">
        <v>4565.7302989999998</v>
      </c>
      <c r="Q5332">
        <v>1384</v>
      </c>
      <c r="R5332">
        <v>0</v>
      </c>
    </row>
    <row r="5333" spans="1:18" x14ac:dyDescent="0.25">
      <c r="A5333">
        <v>5332</v>
      </c>
      <c r="B5333">
        <v>94</v>
      </c>
      <c r="C5333" t="e">
        <f>-IpOxwMwGYeOF82YGDD0Ok</f>
        <v>#NAME?</v>
      </c>
      <c r="D5333" t="s">
        <v>272</v>
      </c>
      <c r="E5333">
        <v>399.49200000000002</v>
      </c>
      <c r="F5333" t="s">
        <v>21</v>
      </c>
      <c r="G5333" t="s">
        <v>26</v>
      </c>
      <c r="H5333" t="s">
        <v>21</v>
      </c>
      <c r="I5333" t="s">
        <v>20</v>
      </c>
      <c r="J5333" t="s">
        <v>20</v>
      </c>
      <c r="K5333" t="s">
        <v>41</v>
      </c>
      <c r="L5333" t="s">
        <v>87</v>
      </c>
      <c r="M5333" t="s">
        <v>46</v>
      </c>
      <c r="N5333">
        <v>41.038699000000001</v>
      </c>
      <c r="O5333">
        <v>-111.909443</v>
      </c>
      <c r="P5333">
        <v>4583.8158199999998</v>
      </c>
      <c r="Q5333">
        <v>1384</v>
      </c>
      <c r="R5333">
        <v>0</v>
      </c>
    </row>
    <row r="5334" spans="1:18" x14ac:dyDescent="0.25">
      <c r="A5334">
        <v>5333</v>
      </c>
      <c r="B5334">
        <v>94</v>
      </c>
      <c r="C5334" t="e">
        <f>-IpOy_RDGXXmdSzQILM6QF</f>
        <v>#NAME?</v>
      </c>
      <c r="D5334" t="s">
        <v>272</v>
      </c>
      <c r="E5334">
        <v>399.70499999999998</v>
      </c>
      <c r="F5334" t="s">
        <v>19</v>
      </c>
      <c r="G5334" t="s">
        <v>20</v>
      </c>
      <c r="H5334" t="s">
        <v>21</v>
      </c>
      <c r="I5334" t="s">
        <v>20</v>
      </c>
      <c r="J5334" t="s">
        <v>20</v>
      </c>
      <c r="K5334" t="s">
        <v>41</v>
      </c>
      <c r="L5334" t="s">
        <v>87</v>
      </c>
      <c r="M5334" t="s">
        <v>46</v>
      </c>
      <c r="N5334">
        <v>41.041752000000002</v>
      </c>
      <c r="O5334">
        <v>-111.90969</v>
      </c>
      <c r="P5334">
        <v>4608.5790779999998</v>
      </c>
      <c r="Q5334">
        <v>1384</v>
      </c>
      <c r="R5334">
        <v>0</v>
      </c>
    </row>
    <row r="5335" spans="1:18" x14ac:dyDescent="0.25">
      <c r="A5335">
        <v>5334</v>
      </c>
      <c r="B5335">
        <v>94</v>
      </c>
      <c r="C5335" t="s">
        <v>722</v>
      </c>
      <c r="D5335" t="s">
        <v>272</v>
      </c>
      <c r="E5335">
        <v>399.86500000000001</v>
      </c>
      <c r="F5335" t="s">
        <v>21</v>
      </c>
      <c r="G5335" t="s">
        <v>26</v>
      </c>
      <c r="H5335" t="s">
        <v>21</v>
      </c>
      <c r="I5335" t="s">
        <v>20</v>
      </c>
      <c r="J5335" t="s">
        <v>20</v>
      </c>
      <c r="K5335" t="s">
        <v>41</v>
      </c>
      <c r="L5335" t="s">
        <v>87</v>
      </c>
      <c r="M5335" t="s">
        <v>46</v>
      </c>
      <c r="N5335">
        <v>41.044029999999999</v>
      </c>
      <c r="O5335">
        <v>-111.90988299999999</v>
      </c>
      <c r="P5335">
        <v>4635.889682</v>
      </c>
      <c r="Q5335">
        <v>1384</v>
      </c>
      <c r="R5335">
        <v>0</v>
      </c>
    </row>
    <row r="5336" spans="1:18" x14ac:dyDescent="0.25">
      <c r="A5336">
        <v>5335</v>
      </c>
      <c r="B5336">
        <v>94</v>
      </c>
      <c r="C5336">
        <v>1008597</v>
      </c>
      <c r="D5336" t="s">
        <v>171</v>
      </c>
      <c r="E5336">
        <v>4.0049999999999999</v>
      </c>
      <c r="F5336" t="s">
        <v>19</v>
      </c>
      <c r="G5336" t="s">
        <v>20</v>
      </c>
      <c r="H5336" t="s">
        <v>21</v>
      </c>
      <c r="I5336" t="s">
        <v>20</v>
      </c>
      <c r="J5336" t="s">
        <v>20</v>
      </c>
      <c r="K5336" t="s">
        <v>31</v>
      </c>
      <c r="L5336" t="s">
        <v>78</v>
      </c>
      <c r="M5336" t="s">
        <v>79</v>
      </c>
      <c r="N5336">
        <v>40.696572000000003</v>
      </c>
      <c r="O5336">
        <v>-112.015331</v>
      </c>
      <c r="P5336">
        <v>4231.3308379999999</v>
      </c>
      <c r="Q5336">
        <v>346</v>
      </c>
      <c r="R5336">
        <v>0</v>
      </c>
    </row>
    <row r="5337" spans="1:18" x14ac:dyDescent="0.25">
      <c r="A5337">
        <v>5336</v>
      </c>
      <c r="B5337">
        <v>94</v>
      </c>
      <c r="C5337">
        <v>28472228</v>
      </c>
      <c r="D5337" t="s">
        <v>99</v>
      </c>
      <c r="E5337">
        <v>4.01</v>
      </c>
      <c r="F5337" t="s">
        <v>21</v>
      </c>
      <c r="G5337" t="s">
        <v>20</v>
      </c>
      <c r="H5337" t="s">
        <v>21</v>
      </c>
      <c r="I5337" t="s">
        <v>20</v>
      </c>
      <c r="J5337" t="s">
        <v>20</v>
      </c>
      <c r="K5337" t="s">
        <v>41</v>
      </c>
      <c r="L5337" t="s">
        <v>81</v>
      </c>
      <c r="M5337" t="s">
        <v>82</v>
      </c>
      <c r="N5337">
        <v>41.210147999999997</v>
      </c>
      <c r="O5337">
        <v>-111.965143</v>
      </c>
      <c r="P5337">
        <v>4288.3637399999998</v>
      </c>
      <c r="Q5337">
        <v>1376</v>
      </c>
      <c r="R5337">
        <v>0</v>
      </c>
    </row>
    <row r="5338" spans="1:18" x14ac:dyDescent="0.25">
      <c r="A5338">
        <v>5337</v>
      </c>
      <c r="B5338">
        <v>94</v>
      </c>
      <c r="C5338" t="e">
        <f>-Ip5JWDEFzHqRJY8dJ0vvF</f>
        <v>#NAME?</v>
      </c>
      <c r="D5338" t="s">
        <v>208</v>
      </c>
      <c r="E5338">
        <v>4.0119999999999996</v>
      </c>
      <c r="F5338" t="s">
        <v>21</v>
      </c>
      <c r="G5338" t="s">
        <v>26</v>
      </c>
      <c r="H5338" t="s">
        <v>21</v>
      </c>
      <c r="I5338" t="s">
        <v>20</v>
      </c>
      <c r="J5338" t="s">
        <v>20</v>
      </c>
      <c r="K5338" t="s">
        <v>31</v>
      </c>
      <c r="L5338" t="s">
        <v>209</v>
      </c>
      <c r="M5338" t="s">
        <v>131</v>
      </c>
      <c r="N5338">
        <v>40.636664000000003</v>
      </c>
      <c r="O5338">
        <v>-111.493779</v>
      </c>
      <c r="P5338">
        <v>7234.8931460000003</v>
      </c>
      <c r="Q5338">
        <v>357</v>
      </c>
      <c r="R5338">
        <v>0</v>
      </c>
    </row>
    <row r="5339" spans="1:18" x14ac:dyDescent="0.25">
      <c r="A5339">
        <v>5338</v>
      </c>
      <c r="B5339">
        <v>94</v>
      </c>
      <c r="C5339" t="e">
        <f>-IpjL19QIWefskkwsRfW-F</f>
        <v>#NAME?</v>
      </c>
      <c r="D5339" t="s">
        <v>272</v>
      </c>
      <c r="E5339">
        <v>364.45400000000001</v>
      </c>
      <c r="F5339" t="s">
        <v>21</v>
      </c>
      <c r="G5339" t="s">
        <v>26</v>
      </c>
      <c r="H5339" t="s">
        <v>21</v>
      </c>
      <c r="I5339" t="s">
        <v>20</v>
      </c>
      <c r="J5339" t="s">
        <v>20</v>
      </c>
      <c r="K5339" t="s">
        <v>31</v>
      </c>
      <c r="L5339" t="s">
        <v>89</v>
      </c>
      <c r="M5339" t="s">
        <v>49</v>
      </c>
      <c r="N5339">
        <v>40.554059000000002</v>
      </c>
      <c r="O5339">
        <v>-111.890793</v>
      </c>
      <c r="P5339">
        <v>4357.1387169999998</v>
      </c>
      <c r="Q5339">
        <v>1384</v>
      </c>
      <c r="R5339">
        <v>0</v>
      </c>
    </row>
    <row r="5340" spans="1:18" x14ac:dyDescent="0.25">
      <c r="A5340">
        <v>5339</v>
      </c>
      <c r="B5340">
        <v>94</v>
      </c>
      <c r="C5340" t="e">
        <f>-IpjLBgXFhe8uh9xJn75Lk</f>
        <v>#NAME?</v>
      </c>
      <c r="D5340" t="s">
        <v>272</v>
      </c>
      <c r="E5340">
        <v>364.565</v>
      </c>
      <c r="F5340" t="s">
        <v>21</v>
      </c>
      <c r="G5340" t="s">
        <v>20</v>
      </c>
      <c r="H5340" t="s">
        <v>21</v>
      </c>
      <c r="I5340" t="s">
        <v>20</v>
      </c>
      <c r="J5340" t="s">
        <v>20</v>
      </c>
      <c r="K5340" t="s">
        <v>31</v>
      </c>
      <c r="L5340" t="s">
        <v>89</v>
      </c>
      <c r="M5340" t="s">
        <v>49</v>
      </c>
      <c r="N5340">
        <v>40.555675000000001</v>
      </c>
      <c r="O5340">
        <v>-111.8908</v>
      </c>
      <c r="P5340">
        <v>4351.0986730000004</v>
      </c>
      <c r="Q5340">
        <v>1384</v>
      </c>
      <c r="R5340">
        <v>0</v>
      </c>
    </row>
    <row r="5341" spans="1:18" x14ac:dyDescent="0.25">
      <c r="A5341">
        <v>5340</v>
      </c>
      <c r="B5341">
        <v>94</v>
      </c>
      <c r="C5341" t="e">
        <f>-IoujhPYHvH3z432TMMkOk</f>
        <v>#NAME?</v>
      </c>
      <c r="D5341" t="s">
        <v>272</v>
      </c>
      <c r="E5341">
        <v>364.78399999999999</v>
      </c>
      <c r="F5341" t="s">
        <v>19</v>
      </c>
      <c r="G5341" t="s">
        <v>20</v>
      </c>
      <c r="H5341" t="s">
        <v>21</v>
      </c>
      <c r="I5341" t="s">
        <v>20</v>
      </c>
      <c r="J5341" t="s">
        <v>20</v>
      </c>
      <c r="K5341" t="s">
        <v>31</v>
      </c>
      <c r="L5341" t="s">
        <v>89</v>
      </c>
      <c r="M5341" t="s">
        <v>49</v>
      </c>
      <c r="N5341">
        <v>40.558875</v>
      </c>
      <c r="O5341">
        <v>-111.89078499999999</v>
      </c>
      <c r="P5341">
        <v>4343.3969729999999</v>
      </c>
      <c r="Q5341">
        <v>1384</v>
      </c>
      <c r="R5341">
        <v>0</v>
      </c>
    </row>
    <row r="5342" spans="1:18" x14ac:dyDescent="0.25">
      <c r="A5342">
        <v>5341</v>
      </c>
      <c r="B5342">
        <v>94</v>
      </c>
      <c r="C5342">
        <v>31574730</v>
      </c>
      <c r="D5342" t="s">
        <v>288</v>
      </c>
      <c r="E5342">
        <v>364.90199999999999</v>
      </c>
      <c r="F5342" t="s">
        <v>21</v>
      </c>
      <c r="G5342" t="s">
        <v>20</v>
      </c>
      <c r="H5342" t="s">
        <v>21</v>
      </c>
      <c r="I5342" t="s">
        <v>20</v>
      </c>
      <c r="J5342" t="s">
        <v>20</v>
      </c>
      <c r="K5342" t="s">
        <v>22</v>
      </c>
      <c r="L5342" t="s">
        <v>234</v>
      </c>
      <c r="M5342" t="s">
        <v>98</v>
      </c>
      <c r="N5342">
        <v>40.608603000000002</v>
      </c>
      <c r="O5342">
        <v>-109.469431</v>
      </c>
      <c r="P5342">
        <v>5927.9581479999997</v>
      </c>
      <c r="Q5342">
        <v>350</v>
      </c>
      <c r="R5342">
        <v>0</v>
      </c>
    </row>
    <row r="5343" spans="1:18" x14ac:dyDescent="0.25">
      <c r="A5343">
        <v>5342</v>
      </c>
      <c r="B5343">
        <v>94</v>
      </c>
      <c r="C5343" t="e">
        <f>-IoulmXvFpPKqCtBRHcCiV</f>
        <v>#NAME?</v>
      </c>
      <c r="D5343" t="s">
        <v>272</v>
      </c>
      <c r="E5343">
        <v>365.02</v>
      </c>
      <c r="F5343" t="s">
        <v>19</v>
      </c>
      <c r="G5343" t="s">
        <v>20</v>
      </c>
      <c r="H5343" t="s">
        <v>21</v>
      </c>
      <c r="I5343" t="s">
        <v>20</v>
      </c>
      <c r="J5343" t="s">
        <v>20</v>
      </c>
      <c r="K5343" t="s">
        <v>31</v>
      </c>
      <c r="L5343" t="s">
        <v>89</v>
      </c>
      <c r="M5343" t="s">
        <v>49</v>
      </c>
      <c r="N5343">
        <v>40.5623</v>
      </c>
      <c r="O5343">
        <v>-111.890823</v>
      </c>
      <c r="P5343">
        <v>4342.8209040000002</v>
      </c>
      <c r="Q5343">
        <v>1384</v>
      </c>
      <c r="R5343">
        <v>0</v>
      </c>
    </row>
    <row r="5344" spans="1:18" x14ac:dyDescent="0.25">
      <c r="A5344">
        <v>5343</v>
      </c>
      <c r="B5344">
        <v>94</v>
      </c>
      <c r="C5344" t="e">
        <f>-IounoMpFsadJ26tc3RoKF</f>
        <v>#NAME?</v>
      </c>
      <c r="D5344" t="s">
        <v>272</v>
      </c>
      <c r="E5344">
        <v>365.27600000000001</v>
      </c>
      <c r="F5344" t="s">
        <v>19</v>
      </c>
      <c r="G5344" t="s">
        <v>20</v>
      </c>
      <c r="H5344" t="s">
        <v>21</v>
      </c>
      <c r="I5344" t="s">
        <v>20</v>
      </c>
      <c r="J5344" t="s">
        <v>20</v>
      </c>
      <c r="K5344" t="s">
        <v>31</v>
      </c>
      <c r="L5344" t="s">
        <v>89</v>
      </c>
      <c r="M5344" t="s">
        <v>49</v>
      </c>
      <c r="N5344">
        <v>40.566017000000002</v>
      </c>
      <c r="O5344">
        <v>-111.89081899999999</v>
      </c>
      <c r="P5344">
        <v>4359.4672929999997</v>
      </c>
      <c r="Q5344">
        <v>1384</v>
      </c>
      <c r="R5344">
        <v>0</v>
      </c>
    </row>
    <row r="5345" spans="1:18" x14ac:dyDescent="0.25">
      <c r="A5345">
        <v>5344</v>
      </c>
      <c r="B5345">
        <v>94</v>
      </c>
      <c r="C5345" t="e">
        <f>-Ious1ybFiHkOez7A38Mnk</f>
        <v>#NAME?</v>
      </c>
      <c r="D5345" t="s">
        <v>272</v>
      </c>
      <c r="E5345">
        <v>365.53100000000001</v>
      </c>
      <c r="F5345" t="s">
        <v>19</v>
      </c>
      <c r="G5345" t="s">
        <v>20</v>
      </c>
      <c r="H5345" t="s">
        <v>21</v>
      </c>
      <c r="I5345" t="s">
        <v>20</v>
      </c>
      <c r="J5345" t="s">
        <v>20</v>
      </c>
      <c r="K5345" t="s">
        <v>31</v>
      </c>
      <c r="L5345" t="s">
        <v>89</v>
      </c>
      <c r="M5345" t="s">
        <v>49</v>
      </c>
      <c r="N5345">
        <v>40.569724000000001</v>
      </c>
      <c r="O5345">
        <v>-111.890761</v>
      </c>
      <c r="P5345">
        <v>4346.5084909999996</v>
      </c>
      <c r="Q5345">
        <v>1384</v>
      </c>
      <c r="R5345">
        <v>0</v>
      </c>
    </row>
    <row r="5346" spans="1:18" x14ac:dyDescent="0.25">
      <c r="A5346">
        <v>5345</v>
      </c>
      <c r="B5346">
        <v>94</v>
      </c>
      <c r="C5346" t="e">
        <f>-Ip9HPQjHByYblXLxakzdV</f>
        <v>#NAME?</v>
      </c>
      <c r="D5346" t="s">
        <v>272</v>
      </c>
      <c r="E5346">
        <v>382.68700000000001</v>
      </c>
      <c r="F5346" t="s">
        <v>19</v>
      </c>
      <c r="G5346" t="s">
        <v>20</v>
      </c>
      <c r="H5346" t="s">
        <v>21</v>
      </c>
      <c r="I5346" t="s">
        <v>20</v>
      </c>
      <c r="J5346" t="s">
        <v>20</v>
      </c>
      <c r="K5346" t="s">
        <v>31</v>
      </c>
      <c r="L5346" t="s">
        <v>66</v>
      </c>
      <c r="M5346" t="s">
        <v>49</v>
      </c>
      <c r="N5346">
        <v>40.806271000000002</v>
      </c>
      <c r="O5346">
        <v>-111.91781400000001</v>
      </c>
      <c r="P5346">
        <v>4187.4115760000004</v>
      </c>
      <c r="Q5346">
        <v>1384</v>
      </c>
      <c r="R5346">
        <v>0</v>
      </c>
    </row>
    <row r="5347" spans="1:18" x14ac:dyDescent="0.25">
      <c r="A5347">
        <v>5346</v>
      </c>
      <c r="B5347">
        <v>94</v>
      </c>
      <c r="C5347">
        <v>31590016</v>
      </c>
      <c r="D5347" t="s">
        <v>288</v>
      </c>
      <c r="E5347">
        <v>383.01499999999999</v>
      </c>
      <c r="F5347" t="s">
        <v>21</v>
      </c>
      <c r="G5347" t="s">
        <v>26</v>
      </c>
      <c r="H5347" t="s">
        <v>21</v>
      </c>
      <c r="I5347" t="s">
        <v>20</v>
      </c>
      <c r="J5347" t="s">
        <v>20</v>
      </c>
      <c r="K5347" t="s">
        <v>22</v>
      </c>
      <c r="L5347" t="s">
        <v>234</v>
      </c>
      <c r="M5347" t="s">
        <v>98</v>
      </c>
      <c r="N5347">
        <v>40.813791000000002</v>
      </c>
      <c r="O5347">
        <v>-109.46658100000001</v>
      </c>
      <c r="P5347">
        <v>8076.7517600000001</v>
      </c>
      <c r="Q5347">
        <v>350</v>
      </c>
      <c r="R5347">
        <v>0</v>
      </c>
    </row>
    <row r="5348" spans="1:18" x14ac:dyDescent="0.25">
      <c r="A5348">
        <v>5347</v>
      </c>
      <c r="B5348">
        <v>94</v>
      </c>
      <c r="C5348" t="s">
        <v>723</v>
      </c>
      <c r="D5348" t="s">
        <v>272</v>
      </c>
      <c r="E5348">
        <v>384.54899999999998</v>
      </c>
      <c r="F5348" t="s">
        <v>21</v>
      </c>
      <c r="G5348" t="s">
        <v>26</v>
      </c>
      <c r="H5348" t="s">
        <v>21</v>
      </c>
      <c r="I5348" t="s">
        <v>20</v>
      </c>
      <c r="J5348" t="s">
        <v>20</v>
      </c>
      <c r="K5348" t="s">
        <v>41</v>
      </c>
      <c r="L5348" t="s">
        <v>45</v>
      </c>
      <c r="M5348" t="s">
        <v>49</v>
      </c>
      <c r="N5348">
        <v>40.832707999999997</v>
      </c>
      <c r="O5348">
        <v>-111.91471300000001</v>
      </c>
      <c r="P5348">
        <v>4251.6363170000004</v>
      </c>
      <c r="Q5348">
        <v>1384</v>
      </c>
      <c r="R5348">
        <v>0</v>
      </c>
    </row>
    <row r="5349" spans="1:18" x14ac:dyDescent="0.25">
      <c r="A5349">
        <v>5348</v>
      </c>
      <c r="B5349">
        <v>94</v>
      </c>
      <c r="C5349" t="s">
        <v>724</v>
      </c>
      <c r="D5349" t="s">
        <v>272</v>
      </c>
      <c r="E5349">
        <v>384.71699999999998</v>
      </c>
      <c r="F5349" t="s">
        <v>21</v>
      </c>
      <c r="G5349" t="s">
        <v>26</v>
      </c>
      <c r="H5349" t="s">
        <v>21</v>
      </c>
      <c r="I5349" t="s">
        <v>20</v>
      </c>
      <c r="J5349" t="s">
        <v>20</v>
      </c>
      <c r="K5349" t="s">
        <v>41</v>
      </c>
      <c r="L5349" t="s">
        <v>45</v>
      </c>
      <c r="M5349" t="s">
        <v>49</v>
      </c>
      <c r="N5349">
        <v>40.835075000000003</v>
      </c>
      <c r="O5349">
        <v>-111.913882</v>
      </c>
      <c r="P5349">
        <v>4280.87309</v>
      </c>
      <c r="Q5349">
        <v>1384</v>
      </c>
      <c r="R5349">
        <v>0</v>
      </c>
    </row>
    <row r="5350" spans="1:18" x14ac:dyDescent="0.25">
      <c r="A5350">
        <v>5349</v>
      </c>
      <c r="B5350">
        <v>94</v>
      </c>
      <c r="C5350" t="e">
        <f>-Ip9MWwxIYer4s9Pw56aOV</f>
        <v>#NAME?</v>
      </c>
      <c r="D5350" t="s">
        <v>272</v>
      </c>
      <c r="E5350">
        <v>384.88400000000001</v>
      </c>
      <c r="F5350" t="s">
        <v>19</v>
      </c>
      <c r="G5350" t="s">
        <v>20</v>
      </c>
      <c r="H5350" t="s">
        <v>21</v>
      </c>
      <c r="I5350" t="s">
        <v>20</v>
      </c>
      <c r="J5350" t="s">
        <v>20</v>
      </c>
      <c r="K5350" t="s">
        <v>41</v>
      </c>
      <c r="L5350" t="s">
        <v>45</v>
      </c>
      <c r="M5350" t="s">
        <v>49</v>
      </c>
      <c r="N5350">
        <v>40.837282999999999</v>
      </c>
      <c r="O5350">
        <v>-111.912661</v>
      </c>
      <c r="P5350">
        <v>4292.891267</v>
      </c>
      <c r="Q5350">
        <v>1384</v>
      </c>
      <c r="R5350">
        <v>0</v>
      </c>
    </row>
    <row r="5351" spans="1:18" x14ac:dyDescent="0.25">
      <c r="A5351">
        <v>5350</v>
      </c>
      <c r="B5351">
        <v>94</v>
      </c>
      <c r="C5351" t="s">
        <v>725</v>
      </c>
      <c r="D5351" t="s">
        <v>322</v>
      </c>
      <c r="E5351">
        <v>3.5369999999999999</v>
      </c>
      <c r="F5351" t="s">
        <v>19</v>
      </c>
      <c r="G5351" t="s">
        <v>20</v>
      </c>
      <c r="H5351" t="s">
        <v>21</v>
      </c>
      <c r="I5351" t="s">
        <v>20</v>
      </c>
      <c r="J5351" t="s">
        <v>20</v>
      </c>
      <c r="K5351" t="s">
        <v>31</v>
      </c>
      <c r="L5351" t="s">
        <v>84</v>
      </c>
      <c r="M5351" t="s">
        <v>24</v>
      </c>
      <c r="N5351">
        <v>40.463200999999998</v>
      </c>
      <c r="O5351">
        <v>-111.952927</v>
      </c>
      <c r="P5351">
        <v>4725.7064620000001</v>
      </c>
      <c r="Q5351">
        <v>6660</v>
      </c>
      <c r="R5351">
        <v>0</v>
      </c>
    </row>
    <row r="5352" spans="1:18" x14ac:dyDescent="0.25">
      <c r="A5352">
        <v>5351</v>
      </c>
      <c r="B5352">
        <v>94</v>
      </c>
      <c r="C5352">
        <v>774919</v>
      </c>
      <c r="D5352" t="s">
        <v>68</v>
      </c>
      <c r="E5352">
        <v>3.5369999999999999</v>
      </c>
      <c r="F5352" t="s">
        <v>19</v>
      </c>
      <c r="G5352" t="s">
        <v>20</v>
      </c>
      <c r="H5352" t="s">
        <v>19</v>
      </c>
      <c r="I5352">
        <v>89</v>
      </c>
      <c r="J5352" t="s">
        <v>20</v>
      </c>
      <c r="K5352" t="s">
        <v>31</v>
      </c>
      <c r="L5352" t="s">
        <v>69</v>
      </c>
      <c r="M5352" t="s">
        <v>70</v>
      </c>
      <c r="N5352">
        <v>40.674348999999999</v>
      </c>
      <c r="O5352">
        <v>-111.88825900000001</v>
      </c>
      <c r="P5352">
        <v>4225.8025580000003</v>
      </c>
      <c r="Q5352">
        <v>431</v>
      </c>
      <c r="R5352">
        <v>0</v>
      </c>
    </row>
    <row r="5353" spans="1:18" x14ac:dyDescent="0.25">
      <c r="A5353">
        <v>5352</v>
      </c>
      <c r="B5353">
        <v>94</v>
      </c>
      <c r="C5353">
        <v>31489200</v>
      </c>
      <c r="D5353" t="s">
        <v>164</v>
      </c>
      <c r="E5353">
        <v>3.5390000000000001</v>
      </c>
      <c r="F5353" t="s">
        <v>21</v>
      </c>
      <c r="G5353" t="s">
        <v>26</v>
      </c>
      <c r="H5353" t="s">
        <v>21</v>
      </c>
      <c r="I5353" t="s">
        <v>20</v>
      </c>
      <c r="J5353" t="s">
        <v>20</v>
      </c>
      <c r="K5353" t="s">
        <v>27</v>
      </c>
      <c r="L5353" t="s">
        <v>165</v>
      </c>
      <c r="M5353" t="s">
        <v>166</v>
      </c>
      <c r="N5353">
        <v>38.984059000000002</v>
      </c>
      <c r="O5353">
        <v>-112.323747</v>
      </c>
      <c r="P5353">
        <v>4992.6043769999997</v>
      </c>
      <c r="Q5353">
        <v>1390</v>
      </c>
      <c r="R5353">
        <v>0</v>
      </c>
    </row>
    <row r="5354" spans="1:18" x14ac:dyDescent="0.25">
      <c r="A5354">
        <v>5353</v>
      </c>
      <c r="B5354">
        <v>94</v>
      </c>
      <c r="C5354">
        <v>31597490</v>
      </c>
      <c r="D5354" t="s">
        <v>50</v>
      </c>
      <c r="E5354">
        <v>1.96</v>
      </c>
      <c r="F5354" t="s">
        <v>21</v>
      </c>
      <c r="G5354" t="s">
        <v>26</v>
      </c>
      <c r="H5354" t="s">
        <v>21</v>
      </c>
      <c r="I5354" t="s">
        <v>20</v>
      </c>
      <c r="J5354" t="s">
        <v>20</v>
      </c>
      <c r="K5354" t="s">
        <v>27</v>
      </c>
      <c r="L5354" t="s">
        <v>51</v>
      </c>
      <c r="M5354" t="s">
        <v>52</v>
      </c>
      <c r="N5354">
        <v>37.838807000000003</v>
      </c>
      <c r="O5354">
        <v>-112.835915</v>
      </c>
      <c r="P5354">
        <v>5913.4276149999996</v>
      </c>
      <c r="Q5354">
        <v>1418</v>
      </c>
      <c r="R5354">
        <v>0</v>
      </c>
    </row>
    <row r="5355" spans="1:18" x14ac:dyDescent="0.25">
      <c r="A5355">
        <v>5354</v>
      </c>
      <c r="B5355">
        <v>94</v>
      </c>
      <c r="C5355">
        <v>536466</v>
      </c>
      <c r="D5355" t="s">
        <v>77</v>
      </c>
      <c r="E5355">
        <v>1.8129999999999999</v>
      </c>
      <c r="F5355" t="s">
        <v>21</v>
      </c>
      <c r="G5355" t="s">
        <v>26</v>
      </c>
      <c r="H5355" t="s">
        <v>21</v>
      </c>
      <c r="I5355" t="s">
        <v>20</v>
      </c>
      <c r="J5355" t="s">
        <v>20</v>
      </c>
      <c r="K5355" t="s">
        <v>31</v>
      </c>
      <c r="L5355" t="s">
        <v>78</v>
      </c>
      <c r="M5355" t="s">
        <v>79</v>
      </c>
      <c r="N5355">
        <v>40.664935999999997</v>
      </c>
      <c r="O5355">
        <v>-112.024686</v>
      </c>
      <c r="P5355">
        <v>4589.7659700000004</v>
      </c>
      <c r="Q5355">
        <v>1436</v>
      </c>
      <c r="R5355">
        <v>0</v>
      </c>
    </row>
    <row r="5356" spans="1:18" x14ac:dyDescent="0.25">
      <c r="A5356">
        <v>5355</v>
      </c>
      <c r="B5356">
        <v>94</v>
      </c>
      <c r="C5356">
        <v>31486496</v>
      </c>
      <c r="D5356" t="s">
        <v>164</v>
      </c>
      <c r="E5356">
        <v>1.8160000000000001</v>
      </c>
      <c r="F5356" t="s">
        <v>21</v>
      </c>
      <c r="G5356" t="s">
        <v>20</v>
      </c>
      <c r="H5356" t="s">
        <v>21</v>
      </c>
      <c r="I5356" t="s">
        <v>20</v>
      </c>
      <c r="J5356" t="s">
        <v>20</v>
      </c>
      <c r="K5356" t="s">
        <v>27</v>
      </c>
      <c r="L5356" t="s">
        <v>165</v>
      </c>
      <c r="M5356" t="s">
        <v>166</v>
      </c>
      <c r="N5356">
        <v>38.959201</v>
      </c>
      <c r="O5356">
        <v>-112.323694</v>
      </c>
      <c r="P5356">
        <v>5097.8945290000001</v>
      </c>
      <c r="Q5356">
        <v>1390</v>
      </c>
      <c r="R5356">
        <v>0</v>
      </c>
    </row>
    <row r="5357" spans="1:18" x14ac:dyDescent="0.25">
      <c r="A5357">
        <v>5356</v>
      </c>
      <c r="B5357">
        <v>94</v>
      </c>
      <c r="C5357">
        <v>581845</v>
      </c>
      <c r="D5357" t="s">
        <v>205</v>
      </c>
      <c r="E5357">
        <v>1.8160000000000001</v>
      </c>
      <c r="F5357" t="s">
        <v>21</v>
      </c>
      <c r="G5357" t="s">
        <v>26</v>
      </c>
      <c r="H5357" t="s">
        <v>21</v>
      </c>
      <c r="I5357" t="s">
        <v>20</v>
      </c>
      <c r="J5357" t="s">
        <v>20</v>
      </c>
      <c r="K5357" t="s">
        <v>31</v>
      </c>
      <c r="L5357" t="s">
        <v>78</v>
      </c>
      <c r="M5357" t="s">
        <v>206</v>
      </c>
      <c r="N5357">
        <v>40.746169000000002</v>
      </c>
      <c r="O5357">
        <v>-112.184432</v>
      </c>
      <c r="P5357">
        <v>4168.9223840000004</v>
      </c>
      <c r="Q5357">
        <v>353</v>
      </c>
      <c r="R5357">
        <v>0</v>
      </c>
    </row>
    <row r="5358" spans="1:18" x14ac:dyDescent="0.25">
      <c r="A5358">
        <v>5357</v>
      </c>
      <c r="B5358">
        <v>94</v>
      </c>
      <c r="C5358">
        <v>31786977</v>
      </c>
      <c r="D5358" t="s">
        <v>61</v>
      </c>
      <c r="E5358">
        <v>1.8169999999999999</v>
      </c>
      <c r="F5358" t="s">
        <v>19</v>
      </c>
      <c r="G5358" t="s">
        <v>20</v>
      </c>
      <c r="H5358" t="s">
        <v>21</v>
      </c>
      <c r="I5358" t="s">
        <v>20</v>
      </c>
      <c r="J5358" t="s">
        <v>20</v>
      </c>
      <c r="K5358" t="s">
        <v>22</v>
      </c>
      <c r="L5358" t="s">
        <v>23</v>
      </c>
      <c r="M5358" t="s">
        <v>62</v>
      </c>
      <c r="N5358">
        <v>40.232354999999998</v>
      </c>
      <c r="O5358">
        <v>-111.65869499999999</v>
      </c>
      <c r="P5358">
        <v>4489.1433319999996</v>
      </c>
      <c r="Q5358">
        <v>403</v>
      </c>
      <c r="R5358">
        <v>0</v>
      </c>
    </row>
    <row r="5359" spans="1:18" x14ac:dyDescent="0.25">
      <c r="A5359">
        <v>5358</v>
      </c>
      <c r="B5359">
        <v>94</v>
      </c>
      <c r="C5359">
        <v>1368480</v>
      </c>
      <c r="D5359" t="s">
        <v>100</v>
      </c>
      <c r="E5359">
        <v>1.8180000000000001</v>
      </c>
      <c r="F5359" t="s">
        <v>21</v>
      </c>
      <c r="G5359" t="s">
        <v>26</v>
      </c>
      <c r="H5359" t="s">
        <v>21</v>
      </c>
      <c r="I5359" t="s">
        <v>20</v>
      </c>
      <c r="J5359" t="s">
        <v>20</v>
      </c>
      <c r="K5359" t="s">
        <v>41</v>
      </c>
      <c r="L5359" t="s">
        <v>57</v>
      </c>
      <c r="M5359" t="s">
        <v>46</v>
      </c>
      <c r="N5359">
        <v>41.089210000000001</v>
      </c>
      <c r="O5359">
        <v>-112.022687</v>
      </c>
      <c r="P5359">
        <v>4337.7447990000001</v>
      </c>
      <c r="Q5359">
        <v>1396</v>
      </c>
      <c r="R5359">
        <v>0</v>
      </c>
    </row>
    <row r="5360" spans="1:18" x14ac:dyDescent="0.25">
      <c r="A5360">
        <v>5359</v>
      </c>
      <c r="B5360">
        <v>94</v>
      </c>
      <c r="C5360">
        <v>31548328</v>
      </c>
      <c r="D5360" t="s">
        <v>102</v>
      </c>
      <c r="E5360">
        <v>1.819</v>
      </c>
      <c r="F5360" t="s">
        <v>21</v>
      </c>
      <c r="G5360" t="s">
        <v>26</v>
      </c>
      <c r="H5360" t="s">
        <v>21</v>
      </c>
      <c r="I5360" t="s">
        <v>20</v>
      </c>
      <c r="J5360" t="s">
        <v>20</v>
      </c>
      <c r="K5360" t="s">
        <v>27</v>
      </c>
      <c r="L5360" t="s">
        <v>103</v>
      </c>
      <c r="M5360" t="s">
        <v>104</v>
      </c>
      <c r="N5360">
        <v>38.271487</v>
      </c>
      <c r="O5360">
        <v>-112.64119100000001</v>
      </c>
      <c r="P5360">
        <v>5808.7710889999998</v>
      </c>
      <c r="Q5360">
        <v>1430</v>
      </c>
      <c r="R5360">
        <v>0</v>
      </c>
    </row>
    <row r="5361" spans="1:18" x14ac:dyDescent="0.25">
      <c r="A5361">
        <v>5360</v>
      </c>
      <c r="B5361">
        <v>94</v>
      </c>
      <c r="C5361">
        <v>31462124</v>
      </c>
      <c r="D5361" t="s">
        <v>218</v>
      </c>
      <c r="E5361">
        <v>1.8220000000000001</v>
      </c>
      <c r="F5361" t="s">
        <v>21</v>
      </c>
      <c r="G5361" t="s">
        <v>26</v>
      </c>
      <c r="H5361" t="s">
        <v>21</v>
      </c>
      <c r="I5361" t="s">
        <v>20</v>
      </c>
      <c r="J5361" t="s">
        <v>20</v>
      </c>
      <c r="K5361" t="s">
        <v>27</v>
      </c>
      <c r="L5361" t="s">
        <v>183</v>
      </c>
      <c r="M5361" t="s">
        <v>76</v>
      </c>
      <c r="N5361">
        <v>38.999659999999999</v>
      </c>
      <c r="O5361">
        <v>-111.861464</v>
      </c>
      <c r="P5361">
        <v>5045.4403599999996</v>
      </c>
      <c r="Q5361">
        <v>360</v>
      </c>
      <c r="R5361">
        <v>0</v>
      </c>
    </row>
    <row r="5362" spans="1:18" x14ac:dyDescent="0.25">
      <c r="A5362">
        <v>5361</v>
      </c>
      <c r="B5362">
        <v>94</v>
      </c>
      <c r="C5362">
        <v>27300204</v>
      </c>
      <c r="D5362" t="s">
        <v>150</v>
      </c>
      <c r="E5362">
        <v>1.823</v>
      </c>
      <c r="F5362" t="s">
        <v>21</v>
      </c>
      <c r="G5362" t="s">
        <v>26</v>
      </c>
      <c r="H5362" t="s">
        <v>21</v>
      </c>
      <c r="I5362" t="s">
        <v>20</v>
      </c>
      <c r="J5362" t="s">
        <v>20</v>
      </c>
      <c r="K5362" t="s">
        <v>27</v>
      </c>
      <c r="L5362" t="s">
        <v>151</v>
      </c>
      <c r="M5362" t="s">
        <v>152</v>
      </c>
      <c r="N5362">
        <v>38.995514999999997</v>
      </c>
      <c r="O5362">
        <v>-110.15799800000001</v>
      </c>
      <c r="P5362">
        <v>3996.0714499999999</v>
      </c>
      <c r="Q5362">
        <v>1336</v>
      </c>
      <c r="R5362">
        <v>0</v>
      </c>
    </row>
    <row r="5363" spans="1:18" x14ac:dyDescent="0.25">
      <c r="A5363">
        <v>5362</v>
      </c>
      <c r="B5363">
        <v>94</v>
      </c>
      <c r="C5363">
        <v>1736750</v>
      </c>
      <c r="D5363" t="s">
        <v>197</v>
      </c>
      <c r="E5363">
        <v>1.8240000000000001</v>
      </c>
      <c r="F5363" t="s">
        <v>21</v>
      </c>
      <c r="G5363" t="s">
        <v>26</v>
      </c>
      <c r="H5363" t="s">
        <v>21</v>
      </c>
      <c r="I5363" t="s">
        <v>20</v>
      </c>
      <c r="J5363" t="s">
        <v>20</v>
      </c>
      <c r="K5363" t="s">
        <v>22</v>
      </c>
      <c r="L5363" t="s">
        <v>198</v>
      </c>
      <c r="M5363" t="s">
        <v>125</v>
      </c>
      <c r="N5363">
        <v>39.992753</v>
      </c>
      <c r="O5363">
        <v>-111.829595</v>
      </c>
      <c r="P5363">
        <v>4625.1471019999999</v>
      </c>
      <c r="Q5363">
        <v>1416</v>
      </c>
      <c r="R5363">
        <v>0</v>
      </c>
    </row>
    <row r="5364" spans="1:18" x14ac:dyDescent="0.25">
      <c r="A5364">
        <v>5363</v>
      </c>
      <c r="B5364">
        <v>94</v>
      </c>
      <c r="C5364" t="s">
        <v>726</v>
      </c>
      <c r="D5364" t="s">
        <v>25</v>
      </c>
      <c r="E5364">
        <v>1.8280000000000001</v>
      </c>
      <c r="F5364" t="s">
        <v>21</v>
      </c>
      <c r="G5364" t="s">
        <v>20</v>
      </c>
      <c r="H5364" t="s">
        <v>21</v>
      </c>
      <c r="I5364" t="s">
        <v>20</v>
      </c>
      <c r="J5364" t="s">
        <v>20</v>
      </c>
      <c r="K5364" t="s">
        <v>27</v>
      </c>
      <c r="L5364" t="s">
        <v>28</v>
      </c>
      <c r="M5364" t="s">
        <v>29</v>
      </c>
      <c r="N5364">
        <v>37.681016999999997</v>
      </c>
      <c r="O5364">
        <v>-112.15458599999999</v>
      </c>
      <c r="P5364">
        <v>7563.836268</v>
      </c>
      <c r="Q5364">
        <v>316</v>
      </c>
      <c r="R5364">
        <v>0</v>
      </c>
    </row>
    <row r="5365" spans="1:18" x14ac:dyDescent="0.25">
      <c r="A5365">
        <v>5364</v>
      </c>
      <c r="B5365">
        <v>94</v>
      </c>
      <c r="C5365">
        <v>733605</v>
      </c>
      <c r="D5365" t="s">
        <v>236</v>
      </c>
      <c r="E5365">
        <v>1.8280000000000001</v>
      </c>
      <c r="F5365" t="s">
        <v>19</v>
      </c>
      <c r="G5365" t="s">
        <v>20</v>
      </c>
      <c r="H5365" t="s">
        <v>21</v>
      </c>
      <c r="I5365" t="s">
        <v>20</v>
      </c>
      <c r="J5365" t="s">
        <v>20</v>
      </c>
      <c r="K5365" t="s">
        <v>31</v>
      </c>
      <c r="L5365" t="s">
        <v>48</v>
      </c>
      <c r="M5365" t="s">
        <v>79</v>
      </c>
      <c r="N5365">
        <v>40.602333000000002</v>
      </c>
      <c r="O5365">
        <v>-112.05686300000001</v>
      </c>
      <c r="P5365">
        <v>4996.3897999999999</v>
      </c>
      <c r="Q5365">
        <v>1398</v>
      </c>
      <c r="R5365">
        <v>0</v>
      </c>
    </row>
    <row r="5366" spans="1:18" x14ac:dyDescent="0.25">
      <c r="A5366">
        <v>5365</v>
      </c>
      <c r="B5366">
        <v>94</v>
      </c>
      <c r="C5366">
        <v>31729825</v>
      </c>
      <c r="D5366" t="s">
        <v>336</v>
      </c>
      <c r="E5366">
        <v>1.829</v>
      </c>
      <c r="F5366" t="s">
        <v>19</v>
      </c>
      <c r="G5366" t="s">
        <v>20</v>
      </c>
      <c r="H5366" t="s">
        <v>19</v>
      </c>
      <c r="I5366">
        <v>210</v>
      </c>
      <c r="J5366" t="s">
        <v>20</v>
      </c>
      <c r="K5366" t="s">
        <v>31</v>
      </c>
      <c r="L5366" t="s">
        <v>32</v>
      </c>
      <c r="M5366" t="s">
        <v>33</v>
      </c>
      <c r="N5366">
        <v>40.619321999999997</v>
      </c>
      <c r="O5366">
        <v>-111.78947599999999</v>
      </c>
      <c r="P5366">
        <v>4855.8102259999996</v>
      </c>
      <c r="Q5366">
        <v>404</v>
      </c>
      <c r="R5366">
        <v>0</v>
      </c>
    </row>
    <row r="5367" spans="1:18" x14ac:dyDescent="0.25">
      <c r="A5367">
        <v>5366</v>
      </c>
      <c r="B5367">
        <v>94</v>
      </c>
      <c r="C5367">
        <v>31762041</v>
      </c>
      <c r="D5367" t="s">
        <v>86</v>
      </c>
      <c r="E5367">
        <v>1.829</v>
      </c>
      <c r="F5367" t="s">
        <v>21</v>
      </c>
      <c r="G5367" t="s">
        <v>26</v>
      </c>
      <c r="H5367" t="s">
        <v>21</v>
      </c>
      <c r="I5367" t="s">
        <v>20</v>
      </c>
      <c r="J5367" t="s">
        <v>20</v>
      </c>
      <c r="K5367" t="s">
        <v>41</v>
      </c>
      <c r="L5367" t="s">
        <v>87</v>
      </c>
      <c r="M5367" t="s">
        <v>58</v>
      </c>
      <c r="N5367">
        <v>41.030304000000001</v>
      </c>
      <c r="O5367">
        <v>-111.935025</v>
      </c>
      <c r="P5367">
        <v>4305.1639800000003</v>
      </c>
      <c r="Q5367">
        <v>258</v>
      </c>
      <c r="R5367">
        <v>0</v>
      </c>
    </row>
    <row r="5368" spans="1:18" x14ac:dyDescent="0.25">
      <c r="A5368">
        <v>5367</v>
      </c>
      <c r="B5368">
        <v>94</v>
      </c>
      <c r="C5368">
        <v>969046</v>
      </c>
      <c r="D5368" t="s">
        <v>65</v>
      </c>
      <c r="E5368">
        <v>3.2570000000000001</v>
      </c>
      <c r="F5368" t="s">
        <v>19</v>
      </c>
      <c r="G5368" t="s">
        <v>20</v>
      </c>
      <c r="H5368" t="s">
        <v>21</v>
      </c>
      <c r="I5368" t="s">
        <v>20</v>
      </c>
      <c r="J5368" t="s">
        <v>20</v>
      </c>
      <c r="K5368" t="s">
        <v>31</v>
      </c>
      <c r="L5368" t="s">
        <v>66</v>
      </c>
      <c r="M5368" t="s">
        <v>67</v>
      </c>
      <c r="N5368">
        <v>40.760672999999997</v>
      </c>
      <c r="O5368">
        <v>-111.876778</v>
      </c>
      <c r="P5368">
        <v>4236.4878120000003</v>
      </c>
      <c r="Q5368">
        <v>402</v>
      </c>
      <c r="R5368">
        <v>0</v>
      </c>
    </row>
    <row r="5369" spans="1:18" x14ac:dyDescent="0.25">
      <c r="A5369">
        <v>5368</v>
      </c>
      <c r="B5369">
        <v>94</v>
      </c>
      <c r="C5369">
        <v>28335690</v>
      </c>
      <c r="D5369" t="s">
        <v>160</v>
      </c>
      <c r="E5369">
        <v>3.258</v>
      </c>
      <c r="F5369" t="s">
        <v>21</v>
      </c>
      <c r="G5369" t="s">
        <v>26</v>
      </c>
      <c r="H5369" t="s">
        <v>21</v>
      </c>
      <c r="I5369" t="s">
        <v>20</v>
      </c>
      <c r="J5369" t="s">
        <v>20</v>
      </c>
      <c r="K5369" t="s">
        <v>27</v>
      </c>
      <c r="L5369" t="s">
        <v>72</v>
      </c>
      <c r="M5369" t="s">
        <v>73</v>
      </c>
      <c r="N5369">
        <v>37.254598999999999</v>
      </c>
      <c r="O5369">
        <v>-113.285144</v>
      </c>
      <c r="P5369">
        <v>3305.9903250000002</v>
      </c>
      <c r="Q5369">
        <v>1335</v>
      </c>
      <c r="R5369">
        <v>0</v>
      </c>
    </row>
    <row r="5370" spans="1:18" x14ac:dyDescent="0.25">
      <c r="A5370">
        <v>5369</v>
      </c>
      <c r="B5370">
        <v>94</v>
      </c>
      <c r="C5370" t="s">
        <v>727</v>
      </c>
      <c r="D5370" t="s">
        <v>184</v>
      </c>
      <c r="E5370">
        <v>3.2589999999999999</v>
      </c>
      <c r="F5370" t="s">
        <v>21</v>
      </c>
      <c r="G5370" t="s">
        <v>20</v>
      </c>
      <c r="H5370" t="s">
        <v>21</v>
      </c>
      <c r="I5370" t="s">
        <v>20</v>
      </c>
      <c r="J5370" t="s">
        <v>20</v>
      </c>
      <c r="K5370" t="s">
        <v>27</v>
      </c>
      <c r="L5370" t="s">
        <v>54</v>
      </c>
      <c r="M5370" t="s">
        <v>55</v>
      </c>
      <c r="N5370">
        <v>37.691828999999998</v>
      </c>
      <c r="O5370">
        <v>-113.061964</v>
      </c>
      <c r="P5370">
        <v>5702.6843500000004</v>
      </c>
      <c r="Q5370">
        <v>1410</v>
      </c>
      <c r="R5370">
        <v>0</v>
      </c>
    </row>
    <row r="5371" spans="1:18" x14ac:dyDescent="0.25">
      <c r="A5371">
        <v>5370</v>
      </c>
      <c r="B5371">
        <v>94</v>
      </c>
      <c r="C5371">
        <v>1114598</v>
      </c>
      <c r="D5371" t="s">
        <v>101</v>
      </c>
      <c r="E5371">
        <v>3.262</v>
      </c>
      <c r="F5371" t="s">
        <v>21</v>
      </c>
      <c r="G5371" t="s">
        <v>26</v>
      </c>
      <c r="H5371" t="s">
        <v>21</v>
      </c>
      <c r="I5371" t="s">
        <v>20</v>
      </c>
      <c r="J5371" t="s">
        <v>20</v>
      </c>
      <c r="K5371" t="s">
        <v>41</v>
      </c>
      <c r="L5371" t="s">
        <v>57</v>
      </c>
      <c r="M5371" t="s">
        <v>58</v>
      </c>
      <c r="N5371">
        <v>41.118079999999999</v>
      </c>
      <c r="O5371">
        <v>-112.05009800000001</v>
      </c>
      <c r="P5371">
        <v>4342.8734969999996</v>
      </c>
      <c r="Q5371">
        <v>328</v>
      </c>
      <c r="R5371">
        <v>0</v>
      </c>
    </row>
    <row r="5372" spans="1:18" x14ac:dyDescent="0.25">
      <c r="A5372">
        <v>5371</v>
      </c>
      <c r="B5372">
        <v>94</v>
      </c>
      <c r="C5372" t="s">
        <v>728</v>
      </c>
      <c r="D5372" t="s">
        <v>272</v>
      </c>
      <c r="E5372">
        <v>306.78399999999999</v>
      </c>
      <c r="F5372" t="s">
        <v>21</v>
      </c>
      <c r="G5372" t="s">
        <v>20</v>
      </c>
      <c r="H5372" t="s">
        <v>21</v>
      </c>
      <c r="I5372" t="s">
        <v>20</v>
      </c>
      <c r="J5372" t="s">
        <v>20</v>
      </c>
      <c r="K5372" t="s">
        <v>22</v>
      </c>
      <c r="L5372" t="s">
        <v>140</v>
      </c>
      <c r="M5372" t="s">
        <v>174</v>
      </c>
      <c r="N5372">
        <v>39.943905000000001</v>
      </c>
      <c r="O5372">
        <v>-111.540306</v>
      </c>
      <c r="P5372">
        <v>5295.0862289999995</v>
      </c>
      <c r="Q5372">
        <v>1384</v>
      </c>
      <c r="R5372">
        <v>0</v>
      </c>
    </row>
    <row r="5373" spans="1:18" x14ac:dyDescent="0.25">
      <c r="A5373">
        <v>5372</v>
      </c>
      <c r="B5373">
        <v>94</v>
      </c>
      <c r="C5373" t="s">
        <v>729</v>
      </c>
      <c r="D5373" t="s">
        <v>322</v>
      </c>
      <c r="E5373">
        <v>10.262</v>
      </c>
      <c r="F5373" t="s">
        <v>19</v>
      </c>
      <c r="G5373" t="s">
        <v>20</v>
      </c>
      <c r="H5373" t="s">
        <v>21</v>
      </c>
      <c r="I5373" t="s">
        <v>20</v>
      </c>
      <c r="J5373" t="s">
        <v>20</v>
      </c>
      <c r="K5373" t="s">
        <v>31</v>
      </c>
      <c r="L5373" t="s">
        <v>84</v>
      </c>
      <c r="M5373" t="s">
        <v>24</v>
      </c>
      <c r="N5373">
        <v>40.539268999999997</v>
      </c>
      <c r="O5373">
        <v>-112.016862</v>
      </c>
      <c r="P5373">
        <v>4772.0305060000001</v>
      </c>
      <c r="Q5373">
        <v>6660</v>
      </c>
      <c r="R5373">
        <v>0</v>
      </c>
    </row>
    <row r="5374" spans="1:18" x14ac:dyDescent="0.25">
      <c r="A5374">
        <v>5373</v>
      </c>
      <c r="B5374">
        <v>94</v>
      </c>
      <c r="C5374" t="e">
        <f>-IouuOloGvXioN2Eggp9_k</f>
        <v>#NAME?</v>
      </c>
      <c r="D5374" t="s">
        <v>221</v>
      </c>
      <c r="E5374">
        <v>10.266</v>
      </c>
      <c r="F5374" t="s">
        <v>21</v>
      </c>
      <c r="G5374" t="s">
        <v>20</v>
      </c>
      <c r="H5374" t="s">
        <v>21</v>
      </c>
      <c r="I5374" t="s">
        <v>20</v>
      </c>
      <c r="J5374" t="s">
        <v>20</v>
      </c>
      <c r="K5374" t="s">
        <v>27</v>
      </c>
      <c r="L5374" t="s">
        <v>350</v>
      </c>
      <c r="M5374" t="s">
        <v>174</v>
      </c>
      <c r="N5374">
        <v>39.291851000000001</v>
      </c>
      <c r="O5374">
        <v>-111.88743700000001</v>
      </c>
      <c r="P5374">
        <v>5010.5594920000003</v>
      </c>
      <c r="Q5374">
        <v>1342</v>
      </c>
      <c r="R5374">
        <v>0</v>
      </c>
    </row>
    <row r="5375" spans="1:18" x14ac:dyDescent="0.25">
      <c r="A5375">
        <v>5374</v>
      </c>
      <c r="B5375">
        <v>94</v>
      </c>
      <c r="C5375">
        <v>27696470</v>
      </c>
      <c r="D5375" t="s">
        <v>217</v>
      </c>
      <c r="E5375">
        <v>10.273999999999999</v>
      </c>
      <c r="F5375" t="s">
        <v>21</v>
      </c>
      <c r="G5375" t="s">
        <v>26</v>
      </c>
      <c r="H5375" t="s">
        <v>21</v>
      </c>
      <c r="I5375" t="s">
        <v>20</v>
      </c>
      <c r="J5375" t="s">
        <v>20</v>
      </c>
      <c r="K5375" t="s">
        <v>27</v>
      </c>
      <c r="L5375" t="s">
        <v>72</v>
      </c>
      <c r="M5375" t="s">
        <v>163</v>
      </c>
      <c r="N5375">
        <v>37.217708000000002</v>
      </c>
      <c r="O5375">
        <v>-113.633163</v>
      </c>
      <c r="P5375">
        <v>3904.351212</v>
      </c>
      <c r="Q5375">
        <v>304</v>
      </c>
      <c r="R5375">
        <v>0</v>
      </c>
    </row>
    <row r="5376" spans="1:18" x14ac:dyDescent="0.25">
      <c r="A5376">
        <v>5375</v>
      </c>
      <c r="B5376">
        <v>94</v>
      </c>
      <c r="C5376">
        <v>31506805</v>
      </c>
      <c r="D5376" t="s">
        <v>292</v>
      </c>
      <c r="E5376">
        <v>10.275</v>
      </c>
      <c r="F5376" t="s">
        <v>21</v>
      </c>
      <c r="G5376" t="s">
        <v>20</v>
      </c>
      <c r="H5376" t="s">
        <v>21</v>
      </c>
      <c r="I5376" t="s">
        <v>20</v>
      </c>
      <c r="J5376" t="s">
        <v>20</v>
      </c>
      <c r="K5376" t="s">
        <v>22</v>
      </c>
      <c r="L5376" t="s">
        <v>253</v>
      </c>
      <c r="M5376" t="s">
        <v>134</v>
      </c>
      <c r="N5376">
        <v>40.308871000000003</v>
      </c>
      <c r="O5376">
        <v>-110.37513199999999</v>
      </c>
      <c r="P5376">
        <v>6409.3055610000001</v>
      </c>
      <c r="Q5376">
        <v>323</v>
      </c>
      <c r="R5376">
        <v>0</v>
      </c>
    </row>
    <row r="5377" spans="1:18" x14ac:dyDescent="0.25">
      <c r="A5377">
        <v>5376</v>
      </c>
      <c r="B5377">
        <v>94</v>
      </c>
      <c r="C5377">
        <v>31517101</v>
      </c>
      <c r="D5377" t="s">
        <v>494</v>
      </c>
      <c r="E5377">
        <v>10.276999999999999</v>
      </c>
      <c r="F5377" t="s">
        <v>21</v>
      </c>
      <c r="G5377" t="s">
        <v>26</v>
      </c>
      <c r="H5377" t="s">
        <v>21</v>
      </c>
      <c r="I5377" t="s">
        <v>20</v>
      </c>
      <c r="J5377" t="s">
        <v>20</v>
      </c>
      <c r="K5377" t="s">
        <v>27</v>
      </c>
      <c r="L5377" t="s">
        <v>38</v>
      </c>
      <c r="M5377" t="s">
        <v>152</v>
      </c>
      <c r="N5377">
        <v>38.583274000000003</v>
      </c>
      <c r="O5377">
        <v>-109.801075</v>
      </c>
      <c r="P5377">
        <v>5823.6718709999996</v>
      </c>
      <c r="Q5377">
        <v>1289</v>
      </c>
      <c r="R5377">
        <v>0</v>
      </c>
    </row>
    <row r="5378" spans="1:18" x14ac:dyDescent="0.25">
      <c r="A5378">
        <v>5377</v>
      </c>
      <c r="B5378">
        <v>94</v>
      </c>
      <c r="C5378">
        <v>31193922</v>
      </c>
      <c r="D5378" t="s">
        <v>339</v>
      </c>
      <c r="E5378">
        <v>10.276999999999999</v>
      </c>
      <c r="F5378" t="s">
        <v>21</v>
      </c>
      <c r="G5378" t="s">
        <v>20</v>
      </c>
      <c r="H5378" t="s">
        <v>21</v>
      </c>
      <c r="I5378" t="s">
        <v>20</v>
      </c>
      <c r="J5378" t="s">
        <v>20</v>
      </c>
      <c r="K5378" t="s">
        <v>41</v>
      </c>
      <c r="L5378" t="s">
        <v>95</v>
      </c>
      <c r="M5378" t="s">
        <v>73</v>
      </c>
      <c r="N5378">
        <v>41.917628999999998</v>
      </c>
      <c r="O5378">
        <v>-111.943167</v>
      </c>
      <c r="P5378">
        <v>4414.0771809999997</v>
      </c>
      <c r="Q5378">
        <v>1417</v>
      </c>
      <c r="R5378">
        <v>0</v>
      </c>
    </row>
    <row r="5379" spans="1:18" x14ac:dyDescent="0.25">
      <c r="A5379">
        <v>5378</v>
      </c>
      <c r="B5379">
        <v>94</v>
      </c>
      <c r="C5379">
        <v>31302342</v>
      </c>
      <c r="D5379" t="s">
        <v>116</v>
      </c>
      <c r="E5379">
        <v>10.28</v>
      </c>
      <c r="F5379" t="s">
        <v>21</v>
      </c>
      <c r="G5379" t="s">
        <v>26</v>
      </c>
      <c r="H5379" t="s">
        <v>21</v>
      </c>
      <c r="I5379" t="s">
        <v>20</v>
      </c>
      <c r="J5379" t="s">
        <v>20</v>
      </c>
      <c r="K5379" t="s">
        <v>41</v>
      </c>
      <c r="L5379" t="s">
        <v>42</v>
      </c>
      <c r="M5379" t="s">
        <v>43</v>
      </c>
      <c r="N5379">
        <v>41.553457000000002</v>
      </c>
      <c r="O5379">
        <v>-111.955427</v>
      </c>
      <c r="P5379">
        <v>5822.1473589999996</v>
      </c>
      <c r="Q5379">
        <v>324</v>
      </c>
      <c r="R5379">
        <v>0</v>
      </c>
    </row>
    <row r="5380" spans="1:18" x14ac:dyDescent="0.25">
      <c r="A5380">
        <v>5379</v>
      </c>
      <c r="B5380">
        <v>94</v>
      </c>
      <c r="C5380" t="e">
        <f>-JXgqntTHzXX_UYHulB6kk</f>
        <v>#NAME?</v>
      </c>
      <c r="D5380" t="s">
        <v>390</v>
      </c>
      <c r="E5380">
        <v>10.282</v>
      </c>
      <c r="F5380" t="s">
        <v>21</v>
      </c>
      <c r="G5380" t="s">
        <v>26</v>
      </c>
      <c r="H5380" t="s">
        <v>21</v>
      </c>
      <c r="I5380" t="s">
        <v>20</v>
      </c>
      <c r="J5380" t="s">
        <v>20</v>
      </c>
      <c r="K5380" t="s">
        <v>22</v>
      </c>
      <c r="L5380" t="s">
        <v>84</v>
      </c>
      <c r="M5380" t="s">
        <v>335</v>
      </c>
      <c r="N5380">
        <v>40.443928999999997</v>
      </c>
      <c r="O5380">
        <v>-111.70492</v>
      </c>
      <c r="P5380">
        <v>5591.0805069999997</v>
      </c>
      <c r="Q5380">
        <v>1386</v>
      </c>
      <c r="R5380">
        <v>0</v>
      </c>
    </row>
    <row r="5381" spans="1:18" x14ac:dyDescent="0.25">
      <c r="A5381">
        <v>5380</v>
      </c>
      <c r="B5381">
        <v>94</v>
      </c>
      <c r="C5381">
        <v>31314876</v>
      </c>
      <c r="D5381" t="s">
        <v>215</v>
      </c>
      <c r="E5381">
        <v>10.292</v>
      </c>
      <c r="F5381" t="s">
        <v>19</v>
      </c>
      <c r="G5381" t="s">
        <v>20</v>
      </c>
      <c r="H5381" t="s">
        <v>21</v>
      </c>
      <c r="I5381" t="s">
        <v>20</v>
      </c>
      <c r="J5381" t="s">
        <v>20</v>
      </c>
      <c r="K5381" t="s">
        <v>22</v>
      </c>
      <c r="L5381" t="s">
        <v>23</v>
      </c>
      <c r="M5381" t="s">
        <v>85</v>
      </c>
      <c r="N5381">
        <v>40.350772999999997</v>
      </c>
      <c r="O5381">
        <v>-111.740739</v>
      </c>
      <c r="P5381">
        <v>4484.981863</v>
      </c>
      <c r="Q5381">
        <v>330</v>
      </c>
      <c r="R5381">
        <v>0</v>
      </c>
    </row>
    <row r="5382" spans="1:18" x14ac:dyDescent="0.25">
      <c r="A5382">
        <v>5381</v>
      </c>
      <c r="B5382">
        <v>94</v>
      </c>
      <c r="C5382">
        <v>31192100</v>
      </c>
      <c r="D5382" t="s">
        <v>310</v>
      </c>
      <c r="E5382">
        <v>10.297000000000001</v>
      </c>
      <c r="F5382" t="s">
        <v>21</v>
      </c>
      <c r="G5382" t="s">
        <v>26</v>
      </c>
      <c r="H5382" t="s">
        <v>21</v>
      </c>
      <c r="I5382" t="s">
        <v>20</v>
      </c>
      <c r="J5382" t="s">
        <v>20</v>
      </c>
      <c r="K5382" t="s">
        <v>31</v>
      </c>
      <c r="L5382" t="s">
        <v>285</v>
      </c>
      <c r="M5382" t="s">
        <v>206</v>
      </c>
      <c r="N5382">
        <v>40.599876999999999</v>
      </c>
      <c r="O5382">
        <v>-112.462267</v>
      </c>
      <c r="P5382">
        <v>4244.7866370000002</v>
      </c>
      <c r="Q5382">
        <v>1414</v>
      </c>
      <c r="R5382">
        <v>0</v>
      </c>
    </row>
    <row r="5383" spans="1:18" x14ac:dyDescent="0.25">
      <c r="A5383">
        <v>5382</v>
      </c>
      <c r="B5383">
        <v>94</v>
      </c>
      <c r="C5383" t="e">
        <f>-JMF4cJFHuP8DtVsHfi-TF</f>
        <v>#NAME?</v>
      </c>
      <c r="D5383" t="s">
        <v>417</v>
      </c>
      <c r="E5383">
        <v>10.298</v>
      </c>
      <c r="F5383" t="s">
        <v>19</v>
      </c>
      <c r="G5383" t="s">
        <v>20</v>
      </c>
      <c r="H5383" t="s">
        <v>21</v>
      </c>
      <c r="I5383" t="s">
        <v>20</v>
      </c>
      <c r="J5383" t="s">
        <v>20</v>
      </c>
      <c r="K5383" t="s">
        <v>31</v>
      </c>
      <c r="L5383" t="s">
        <v>84</v>
      </c>
      <c r="M5383" t="s">
        <v>24</v>
      </c>
      <c r="N5383">
        <v>40.538662000000002</v>
      </c>
      <c r="O5383">
        <v>-112.017979</v>
      </c>
      <c r="P5383">
        <v>4779.8563160000003</v>
      </c>
      <c r="Q5383">
        <v>6765</v>
      </c>
      <c r="R5383">
        <v>0</v>
      </c>
    </row>
    <row r="5384" spans="1:18" x14ac:dyDescent="0.25">
      <c r="A5384">
        <v>5383</v>
      </c>
      <c r="B5384">
        <v>94</v>
      </c>
      <c r="C5384" t="e">
        <f>-Ip5TVbkG5DsogcmPN70mF</f>
        <v>#NAME?</v>
      </c>
      <c r="D5384" t="s">
        <v>208</v>
      </c>
      <c r="E5384">
        <v>10.301</v>
      </c>
      <c r="F5384" t="s">
        <v>19</v>
      </c>
      <c r="G5384" t="s">
        <v>20</v>
      </c>
      <c r="H5384" t="s">
        <v>21</v>
      </c>
      <c r="I5384" t="s">
        <v>20</v>
      </c>
      <c r="J5384" t="s">
        <v>20</v>
      </c>
      <c r="K5384" t="s">
        <v>31</v>
      </c>
      <c r="L5384" t="s">
        <v>209</v>
      </c>
      <c r="M5384" t="s">
        <v>131</v>
      </c>
      <c r="N5384">
        <v>40.709488999999998</v>
      </c>
      <c r="O5384">
        <v>-111.545709</v>
      </c>
      <c r="P5384">
        <v>6413.0698220000004</v>
      </c>
      <c r="Q5384">
        <v>357</v>
      </c>
      <c r="R5384">
        <v>0</v>
      </c>
    </row>
    <row r="5385" spans="1:18" x14ac:dyDescent="0.25">
      <c r="A5385">
        <v>5384</v>
      </c>
      <c r="B5385">
        <v>94</v>
      </c>
      <c r="C5385">
        <v>31297162</v>
      </c>
      <c r="D5385" t="s">
        <v>338</v>
      </c>
      <c r="E5385">
        <v>10.303000000000001</v>
      </c>
      <c r="F5385" t="s">
        <v>21</v>
      </c>
      <c r="G5385" t="s">
        <v>26</v>
      </c>
      <c r="H5385" t="s">
        <v>21</v>
      </c>
      <c r="I5385" t="s">
        <v>20</v>
      </c>
      <c r="J5385" t="s">
        <v>20</v>
      </c>
      <c r="K5385" t="s">
        <v>27</v>
      </c>
      <c r="L5385" t="s">
        <v>72</v>
      </c>
      <c r="M5385" t="s">
        <v>73</v>
      </c>
      <c r="N5385">
        <v>37.100341999999998</v>
      </c>
      <c r="O5385">
        <v>-113.128955</v>
      </c>
      <c r="P5385">
        <v>4682.7872159999997</v>
      </c>
      <c r="Q5385">
        <v>315</v>
      </c>
      <c r="R5385">
        <v>0</v>
      </c>
    </row>
    <row r="5386" spans="1:18" x14ac:dyDescent="0.25">
      <c r="A5386">
        <v>5385</v>
      </c>
      <c r="B5386">
        <v>94</v>
      </c>
      <c r="C5386">
        <v>31496062</v>
      </c>
      <c r="D5386" t="s">
        <v>224</v>
      </c>
      <c r="E5386">
        <v>10.303000000000001</v>
      </c>
      <c r="F5386" t="s">
        <v>21</v>
      </c>
      <c r="G5386" t="s">
        <v>26</v>
      </c>
      <c r="H5386" t="s">
        <v>21</v>
      </c>
      <c r="I5386" t="s">
        <v>20</v>
      </c>
      <c r="J5386" t="s">
        <v>20</v>
      </c>
      <c r="K5386" t="s">
        <v>22</v>
      </c>
      <c r="L5386" t="s">
        <v>198</v>
      </c>
      <c r="M5386" t="s">
        <v>194</v>
      </c>
      <c r="N5386">
        <v>40.076746</v>
      </c>
      <c r="O5386">
        <v>-111.660236</v>
      </c>
      <c r="P5386">
        <v>4585.047286</v>
      </c>
      <c r="Q5386">
        <v>408</v>
      </c>
      <c r="R5386">
        <v>0</v>
      </c>
    </row>
    <row r="5387" spans="1:18" x14ac:dyDescent="0.25">
      <c r="A5387">
        <v>5386</v>
      </c>
      <c r="B5387">
        <v>94</v>
      </c>
      <c r="C5387">
        <v>31192622</v>
      </c>
      <c r="D5387" t="s">
        <v>310</v>
      </c>
      <c r="E5387">
        <v>10.523999999999999</v>
      </c>
      <c r="F5387" t="s">
        <v>21</v>
      </c>
      <c r="G5387" t="s">
        <v>26</v>
      </c>
      <c r="H5387" t="s">
        <v>21</v>
      </c>
      <c r="I5387" t="s">
        <v>20</v>
      </c>
      <c r="J5387" t="s">
        <v>20</v>
      </c>
      <c r="K5387" t="s">
        <v>31</v>
      </c>
      <c r="L5387" t="s">
        <v>285</v>
      </c>
      <c r="M5387" t="s">
        <v>206</v>
      </c>
      <c r="N5387">
        <v>40.599837000000001</v>
      </c>
      <c r="O5387">
        <v>-112.457972</v>
      </c>
      <c r="P5387">
        <v>4241.5177480000002</v>
      </c>
      <c r="Q5387">
        <v>1414</v>
      </c>
      <c r="R5387">
        <v>0</v>
      </c>
    </row>
    <row r="5388" spans="1:18" x14ac:dyDescent="0.25">
      <c r="A5388">
        <v>5387</v>
      </c>
      <c r="B5388">
        <v>94</v>
      </c>
      <c r="C5388">
        <v>31193933</v>
      </c>
      <c r="D5388" t="s">
        <v>339</v>
      </c>
      <c r="E5388">
        <v>10.53</v>
      </c>
      <c r="F5388" t="s">
        <v>21</v>
      </c>
      <c r="G5388" t="s">
        <v>20</v>
      </c>
      <c r="H5388" t="s">
        <v>21</v>
      </c>
      <c r="I5388" t="s">
        <v>20</v>
      </c>
      <c r="J5388" t="s">
        <v>20</v>
      </c>
      <c r="K5388" t="s">
        <v>41</v>
      </c>
      <c r="L5388" t="s">
        <v>95</v>
      </c>
      <c r="M5388" t="s">
        <v>73</v>
      </c>
      <c r="N5388">
        <v>41.917503000000004</v>
      </c>
      <c r="O5388">
        <v>-111.938292</v>
      </c>
      <c r="P5388">
        <v>4406.4125729999996</v>
      </c>
      <c r="Q5388">
        <v>1417</v>
      </c>
      <c r="R5388">
        <v>0</v>
      </c>
    </row>
    <row r="5389" spans="1:18" x14ac:dyDescent="0.25">
      <c r="A5389">
        <v>5388</v>
      </c>
      <c r="B5389">
        <v>94</v>
      </c>
      <c r="C5389">
        <v>831120</v>
      </c>
      <c r="D5389" t="s">
        <v>236</v>
      </c>
      <c r="E5389">
        <v>10.536</v>
      </c>
      <c r="F5389" t="s">
        <v>19</v>
      </c>
      <c r="G5389" t="s">
        <v>20</v>
      </c>
      <c r="H5389" t="s">
        <v>19</v>
      </c>
      <c r="I5389">
        <v>201</v>
      </c>
      <c r="J5389" t="s">
        <v>20</v>
      </c>
      <c r="K5389" t="s">
        <v>31</v>
      </c>
      <c r="L5389" t="s">
        <v>78</v>
      </c>
      <c r="M5389" t="s">
        <v>79</v>
      </c>
      <c r="N5389">
        <v>40.717275999999998</v>
      </c>
      <c r="O5389">
        <v>-112.091793</v>
      </c>
      <c r="P5389">
        <v>4186.6282529999999</v>
      </c>
      <c r="Q5389">
        <v>1398</v>
      </c>
      <c r="R5389">
        <v>0</v>
      </c>
    </row>
    <row r="5390" spans="1:18" x14ac:dyDescent="0.25">
      <c r="A5390">
        <v>5389</v>
      </c>
      <c r="B5390">
        <v>94</v>
      </c>
      <c r="C5390">
        <v>31701266</v>
      </c>
      <c r="D5390" t="s">
        <v>96</v>
      </c>
      <c r="E5390">
        <v>10.538</v>
      </c>
      <c r="F5390" t="s">
        <v>21</v>
      </c>
      <c r="G5390" t="s">
        <v>26</v>
      </c>
      <c r="H5390" t="s">
        <v>21</v>
      </c>
      <c r="I5390" t="s">
        <v>20</v>
      </c>
      <c r="J5390" t="s">
        <v>20</v>
      </c>
      <c r="K5390" t="s">
        <v>22</v>
      </c>
      <c r="L5390" t="s">
        <v>97</v>
      </c>
      <c r="M5390" t="s">
        <v>98</v>
      </c>
      <c r="N5390">
        <v>40.998190999999998</v>
      </c>
      <c r="O5390">
        <v>-109.676969</v>
      </c>
      <c r="P5390">
        <v>6111.8773570000003</v>
      </c>
      <c r="Q5390">
        <v>311</v>
      </c>
      <c r="R5390">
        <v>0</v>
      </c>
    </row>
    <row r="5391" spans="1:18" x14ac:dyDescent="0.25">
      <c r="A5391">
        <v>5390</v>
      </c>
      <c r="B5391">
        <v>94</v>
      </c>
      <c r="C5391">
        <v>1474685</v>
      </c>
      <c r="D5391" t="s">
        <v>109</v>
      </c>
      <c r="E5391">
        <v>10.564</v>
      </c>
      <c r="F5391" t="s">
        <v>21</v>
      </c>
      <c r="G5391" t="s">
        <v>26</v>
      </c>
      <c r="H5391" t="s">
        <v>21</v>
      </c>
      <c r="I5391" t="s">
        <v>20</v>
      </c>
      <c r="J5391" t="s">
        <v>20</v>
      </c>
      <c r="K5391" t="s">
        <v>41</v>
      </c>
      <c r="L5391" t="s">
        <v>42</v>
      </c>
      <c r="M5391" t="s">
        <v>73</v>
      </c>
      <c r="N5391">
        <v>41.715229000000001</v>
      </c>
      <c r="O5391">
        <v>-111.834858</v>
      </c>
      <c r="P5391">
        <v>4449.8279970000003</v>
      </c>
      <c r="Q5391">
        <v>345</v>
      </c>
      <c r="R5391">
        <v>0</v>
      </c>
    </row>
    <row r="5392" spans="1:18" x14ac:dyDescent="0.25">
      <c r="A5392">
        <v>5391</v>
      </c>
      <c r="B5392">
        <v>94</v>
      </c>
      <c r="C5392">
        <v>1057180</v>
      </c>
      <c r="D5392" t="s">
        <v>171</v>
      </c>
      <c r="E5392">
        <v>10.577999999999999</v>
      </c>
      <c r="F5392" t="s">
        <v>19</v>
      </c>
      <c r="G5392" t="s">
        <v>20</v>
      </c>
      <c r="H5392" t="s">
        <v>21</v>
      </c>
      <c r="I5392" t="s">
        <v>20</v>
      </c>
      <c r="J5392" t="s">
        <v>20</v>
      </c>
      <c r="K5392" t="s">
        <v>31</v>
      </c>
      <c r="L5392" t="s">
        <v>69</v>
      </c>
      <c r="M5392" t="s">
        <v>79</v>
      </c>
      <c r="N5392">
        <v>40.699776999999997</v>
      </c>
      <c r="O5392">
        <v>-111.891153</v>
      </c>
      <c r="P5392">
        <v>4196.9778939999997</v>
      </c>
      <c r="Q5392">
        <v>346</v>
      </c>
      <c r="R5392">
        <v>0</v>
      </c>
    </row>
    <row r="5393" spans="1:18" x14ac:dyDescent="0.25">
      <c r="A5393">
        <v>5392</v>
      </c>
      <c r="B5393">
        <v>94</v>
      </c>
      <c r="C5393">
        <v>28356337</v>
      </c>
      <c r="D5393" t="s">
        <v>323</v>
      </c>
      <c r="E5393">
        <v>10.58</v>
      </c>
      <c r="F5393" t="s">
        <v>21</v>
      </c>
      <c r="G5393" t="s">
        <v>26</v>
      </c>
      <c r="H5393" t="s">
        <v>21</v>
      </c>
      <c r="I5393" t="s">
        <v>20</v>
      </c>
      <c r="J5393" t="s">
        <v>20</v>
      </c>
      <c r="K5393" t="s">
        <v>31</v>
      </c>
      <c r="L5393" t="s">
        <v>130</v>
      </c>
      <c r="M5393" t="s">
        <v>131</v>
      </c>
      <c r="N5393">
        <v>40.613027000000002</v>
      </c>
      <c r="O5393">
        <v>-111.280676</v>
      </c>
      <c r="P5393">
        <v>6506.061334</v>
      </c>
      <c r="Q5393">
        <v>1345</v>
      </c>
      <c r="R5393">
        <v>0</v>
      </c>
    </row>
    <row r="5394" spans="1:18" x14ac:dyDescent="0.25">
      <c r="A5394">
        <v>5393</v>
      </c>
      <c r="B5394">
        <v>94</v>
      </c>
      <c r="C5394">
        <v>31528614</v>
      </c>
      <c r="D5394" t="s">
        <v>231</v>
      </c>
      <c r="E5394">
        <v>10.586</v>
      </c>
      <c r="F5394" t="s">
        <v>21</v>
      </c>
      <c r="G5394" t="s">
        <v>26</v>
      </c>
      <c r="H5394" t="s">
        <v>21</v>
      </c>
      <c r="I5394" t="s">
        <v>20</v>
      </c>
      <c r="J5394" t="s">
        <v>20</v>
      </c>
      <c r="K5394" t="s">
        <v>41</v>
      </c>
      <c r="L5394" t="s">
        <v>57</v>
      </c>
      <c r="M5394" t="s">
        <v>93</v>
      </c>
      <c r="N5394">
        <v>41.188581999999997</v>
      </c>
      <c r="O5394">
        <v>-112.025874</v>
      </c>
      <c r="P5394">
        <v>4421.452972</v>
      </c>
      <c r="Q5394">
        <v>1409</v>
      </c>
      <c r="R5394">
        <v>0</v>
      </c>
    </row>
    <row r="5395" spans="1:18" x14ac:dyDescent="0.25">
      <c r="A5395">
        <v>5394</v>
      </c>
      <c r="B5395">
        <v>94</v>
      </c>
      <c r="C5395">
        <v>31495812</v>
      </c>
      <c r="D5395" t="s">
        <v>129</v>
      </c>
      <c r="E5395">
        <v>10.590999999999999</v>
      </c>
      <c r="F5395" t="s">
        <v>21</v>
      </c>
      <c r="G5395" t="s">
        <v>26</v>
      </c>
      <c r="H5395" t="s">
        <v>21</v>
      </c>
      <c r="I5395" t="s">
        <v>20</v>
      </c>
      <c r="J5395" t="s">
        <v>20</v>
      </c>
      <c r="K5395" t="s">
        <v>31</v>
      </c>
      <c r="L5395" t="s">
        <v>130</v>
      </c>
      <c r="M5395" t="s">
        <v>131</v>
      </c>
      <c r="N5395">
        <v>40.602353000000001</v>
      </c>
      <c r="O5395">
        <v>-111.116266</v>
      </c>
      <c r="P5395">
        <v>7524.8672969999998</v>
      </c>
      <c r="Q5395">
        <v>340</v>
      </c>
      <c r="R5395">
        <v>0</v>
      </c>
    </row>
    <row r="5396" spans="1:18" x14ac:dyDescent="0.25">
      <c r="A5396">
        <v>5395</v>
      </c>
      <c r="B5396">
        <v>94</v>
      </c>
      <c r="C5396">
        <v>31192633</v>
      </c>
      <c r="D5396" t="s">
        <v>310</v>
      </c>
      <c r="E5396">
        <v>10.590999999999999</v>
      </c>
      <c r="F5396" t="s">
        <v>21</v>
      </c>
      <c r="G5396" t="s">
        <v>26</v>
      </c>
      <c r="H5396" t="s">
        <v>21</v>
      </c>
      <c r="I5396" t="s">
        <v>20</v>
      </c>
      <c r="J5396" t="s">
        <v>20</v>
      </c>
      <c r="K5396" t="s">
        <v>31</v>
      </c>
      <c r="L5396" t="s">
        <v>285</v>
      </c>
      <c r="M5396" t="s">
        <v>206</v>
      </c>
      <c r="N5396">
        <v>40.599811000000003</v>
      </c>
      <c r="O5396">
        <v>-112.45668999999999</v>
      </c>
      <c r="P5396">
        <v>4240.7920819999999</v>
      </c>
      <c r="Q5396">
        <v>1414</v>
      </c>
      <c r="R5396">
        <v>0</v>
      </c>
    </row>
    <row r="5397" spans="1:18" x14ac:dyDescent="0.25">
      <c r="A5397">
        <v>5396</v>
      </c>
      <c r="B5397">
        <v>94</v>
      </c>
      <c r="C5397">
        <v>31380412</v>
      </c>
      <c r="D5397" t="s">
        <v>215</v>
      </c>
      <c r="E5397">
        <v>10.597</v>
      </c>
      <c r="F5397" t="s">
        <v>19</v>
      </c>
      <c r="G5397" t="s">
        <v>20</v>
      </c>
      <c r="H5397" t="s">
        <v>21</v>
      </c>
      <c r="I5397" t="s">
        <v>20</v>
      </c>
      <c r="J5397" t="s">
        <v>20</v>
      </c>
      <c r="K5397" t="s">
        <v>22</v>
      </c>
      <c r="L5397" t="s">
        <v>23</v>
      </c>
      <c r="M5397" t="s">
        <v>85</v>
      </c>
      <c r="N5397">
        <v>40.355201000000001</v>
      </c>
      <c r="O5397">
        <v>-111.740712</v>
      </c>
      <c r="P5397">
        <v>4497.9366319999999</v>
      </c>
      <c r="Q5397">
        <v>330</v>
      </c>
      <c r="R5397">
        <v>0</v>
      </c>
    </row>
    <row r="5398" spans="1:18" x14ac:dyDescent="0.25">
      <c r="A5398">
        <v>5397</v>
      </c>
      <c r="B5398">
        <v>94</v>
      </c>
      <c r="C5398">
        <v>31306564</v>
      </c>
      <c r="D5398" t="s">
        <v>203</v>
      </c>
      <c r="E5398">
        <v>21.934000000000001</v>
      </c>
      <c r="F5398" t="s">
        <v>21</v>
      </c>
      <c r="G5398" t="s">
        <v>26</v>
      </c>
      <c r="H5398" t="s">
        <v>21</v>
      </c>
      <c r="I5398" t="s">
        <v>20</v>
      </c>
      <c r="J5398" t="s">
        <v>20</v>
      </c>
      <c r="K5398" t="s">
        <v>41</v>
      </c>
      <c r="L5398" t="s">
        <v>255</v>
      </c>
      <c r="M5398" t="s">
        <v>204</v>
      </c>
      <c r="N5398">
        <v>41.260959999999997</v>
      </c>
      <c r="O5398">
        <v>-111.711299</v>
      </c>
      <c r="P5398">
        <v>5008.5727509999997</v>
      </c>
      <c r="Q5398">
        <v>1349</v>
      </c>
      <c r="R5398">
        <v>0</v>
      </c>
    </row>
    <row r="5399" spans="1:18" x14ac:dyDescent="0.25">
      <c r="A5399">
        <v>5398</v>
      </c>
      <c r="B5399">
        <v>94</v>
      </c>
      <c r="C5399">
        <v>31399888</v>
      </c>
      <c r="D5399" t="s">
        <v>210</v>
      </c>
      <c r="E5399">
        <v>21.943999999999999</v>
      </c>
      <c r="F5399" t="s">
        <v>21</v>
      </c>
      <c r="G5399" t="s">
        <v>26</v>
      </c>
      <c r="H5399" t="s">
        <v>21</v>
      </c>
      <c r="I5399" t="s">
        <v>20</v>
      </c>
      <c r="J5399" t="s">
        <v>20</v>
      </c>
      <c r="K5399" t="s">
        <v>27</v>
      </c>
      <c r="L5399" t="s">
        <v>211</v>
      </c>
      <c r="M5399" t="s">
        <v>212</v>
      </c>
      <c r="N5399">
        <v>37.219059999999999</v>
      </c>
      <c r="O5399">
        <v>-109.192049</v>
      </c>
      <c r="P5399">
        <v>4415.027857</v>
      </c>
      <c r="Q5399">
        <v>344</v>
      </c>
      <c r="R5399">
        <v>0</v>
      </c>
    </row>
    <row r="5400" spans="1:18" x14ac:dyDescent="0.25">
      <c r="A5400">
        <v>5399</v>
      </c>
      <c r="B5400">
        <v>94</v>
      </c>
      <c r="C5400">
        <v>31395450</v>
      </c>
      <c r="D5400" t="s">
        <v>352</v>
      </c>
      <c r="E5400">
        <v>21.954000000000001</v>
      </c>
      <c r="F5400" t="s">
        <v>21</v>
      </c>
      <c r="G5400" t="s">
        <v>26</v>
      </c>
      <c r="H5400" t="s">
        <v>19</v>
      </c>
      <c r="I5400">
        <v>36</v>
      </c>
      <c r="J5400" t="s">
        <v>20</v>
      </c>
      <c r="K5400" t="s">
        <v>31</v>
      </c>
      <c r="L5400" t="s">
        <v>282</v>
      </c>
      <c r="M5400" t="s">
        <v>206</v>
      </c>
      <c r="N5400">
        <v>40.337228000000003</v>
      </c>
      <c r="O5400">
        <v>-112.40960099999999</v>
      </c>
      <c r="P5400">
        <v>4968.4267090000003</v>
      </c>
      <c r="Q5400">
        <v>409</v>
      </c>
      <c r="R5400">
        <v>0</v>
      </c>
    </row>
    <row r="5401" spans="1:18" x14ac:dyDescent="0.25">
      <c r="A5401">
        <v>5400</v>
      </c>
      <c r="B5401">
        <v>94</v>
      </c>
      <c r="C5401" t="e">
        <f>-Ip5IHYdF41uqlC_5knrgV</f>
        <v>#NAME?</v>
      </c>
      <c r="D5401" t="s">
        <v>208</v>
      </c>
      <c r="E5401">
        <v>2.2349999999999999</v>
      </c>
      <c r="F5401" t="s">
        <v>21</v>
      </c>
      <c r="G5401" t="s">
        <v>26</v>
      </c>
      <c r="H5401" t="s">
        <v>21</v>
      </c>
      <c r="I5401" t="s">
        <v>20</v>
      </c>
      <c r="J5401" t="s">
        <v>20</v>
      </c>
      <c r="K5401" t="s">
        <v>31</v>
      </c>
      <c r="L5401" t="s">
        <v>209</v>
      </c>
      <c r="M5401" t="s">
        <v>131</v>
      </c>
      <c r="N5401">
        <v>40.623496000000003</v>
      </c>
      <c r="O5401">
        <v>-111.49886100000001</v>
      </c>
      <c r="P5401">
        <v>7999.3136940000004</v>
      </c>
      <c r="Q5401">
        <v>357</v>
      </c>
      <c r="R5401">
        <v>0</v>
      </c>
    </row>
    <row r="5402" spans="1:18" x14ac:dyDescent="0.25">
      <c r="A5402">
        <v>5401</v>
      </c>
      <c r="B5402">
        <v>94</v>
      </c>
      <c r="C5402">
        <v>1312050</v>
      </c>
      <c r="D5402" t="s">
        <v>191</v>
      </c>
      <c r="E5402">
        <v>2.2370000000000001</v>
      </c>
      <c r="F5402" t="s">
        <v>21</v>
      </c>
      <c r="G5402" t="s">
        <v>26</v>
      </c>
      <c r="H5402" t="s">
        <v>21</v>
      </c>
      <c r="I5402" t="s">
        <v>20</v>
      </c>
      <c r="J5402" t="s">
        <v>20</v>
      </c>
      <c r="K5402" t="s">
        <v>41</v>
      </c>
      <c r="L5402" t="s">
        <v>57</v>
      </c>
      <c r="M5402" t="s">
        <v>190</v>
      </c>
      <c r="N5402">
        <v>41.121637</v>
      </c>
      <c r="O5402">
        <v>-112.112585</v>
      </c>
      <c r="P5402">
        <v>4182.2044500000002</v>
      </c>
      <c r="Q5402">
        <v>329</v>
      </c>
      <c r="R5402">
        <v>0</v>
      </c>
    </row>
    <row r="5403" spans="1:18" x14ac:dyDescent="0.25">
      <c r="A5403">
        <v>5402</v>
      </c>
      <c r="B5403">
        <v>94</v>
      </c>
      <c r="C5403">
        <v>31195030</v>
      </c>
      <c r="D5403" t="s">
        <v>354</v>
      </c>
      <c r="E5403">
        <v>2.2400000000000002</v>
      </c>
      <c r="F5403" t="s">
        <v>21</v>
      </c>
      <c r="G5403" t="s">
        <v>26</v>
      </c>
      <c r="H5403" t="s">
        <v>21</v>
      </c>
      <c r="I5403" t="s">
        <v>20</v>
      </c>
      <c r="J5403" t="s">
        <v>20</v>
      </c>
      <c r="K5403" t="s">
        <v>27</v>
      </c>
      <c r="L5403" t="s">
        <v>64</v>
      </c>
      <c r="M5403" t="s">
        <v>58</v>
      </c>
      <c r="N5403">
        <v>38.115237999999998</v>
      </c>
      <c r="O5403">
        <v>-111.99772400000001</v>
      </c>
      <c r="P5403">
        <v>6382.4900029999999</v>
      </c>
      <c r="Q5403">
        <v>1338</v>
      </c>
      <c r="R5403">
        <v>0</v>
      </c>
    </row>
    <row r="5404" spans="1:18" x14ac:dyDescent="0.25">
      <c r="A5404">
        <v>5403</v>
      </c>
      <c r="B5404">
        <v>94</v>
      </c>
      <c r="C5404">
        <v>31565371</v>
      </c>
      <c r="D5404" t="s">
        <v>80</v>
      </c>
      <c r="E5404">
        <v>2.2410000000000001</v>
      </c>
      <c r="F5404" t="s">
        <v>21</v>
      </c>
      <c r="G5404" t="s">
        <v>361</v>
      </c>
      <c r="H5404" t="s">
        <v>21</v>
      </c>
      <c r="I5404" t="s">
        <v>20</v>
      </c>
      <c r="J5404" t="s">
        <v>20</v>
      </c>
      <c r="K5404" t="s">
        <v>41</v>
      </c>
      <c r="L5404" t="s">
        <v>81</v>
      </c>
      <c r="M5404" t="s">
        <v>82</v>
      </c>
      <c r="N5404">
        <v>41.229388</v>
      </c>
      <c r="O5404">
        <v>-111.983647</v>
      </c>
      <c r="P5404">
        <v>4233.7582439999996</v>
      </c>
      <c r="Q5404">
        <v>1393</v>
      </c>
      <c r="R5404">
        <v>0</v>
      </c>
    </row>
    <row r="5405" spans="1:18" x14ac:dyDescent="0.25">
      <c r="A5405">
        <v>5404</v>
      </c>
      <c r="B5405">
        <v>94</v>
      </c>
      <c r="C5405">
        <v>27866207</v>
      </c>
      <c r="D5405" t="s">
        <v>91</v>
      </c>
      <c r="E5405">
        <v>2.2429999999999999</v>
      </c>
      <c r="F5405" t="s">
        <v>21</v>
      </c>
      <c r="G5405" t="s">
        <v>26</v>
      </c>
      <c r="H5405" t="s">
        <v>21</v>
      </c>
      <c r="I5405" t="s">
        <v>20</v>
      </c>
      <c r="J5405" t="s">
        <v>20</v>
      </c>
      <c r="K5405" t="s">
        <v>41</v>
      </c>
      <c r="L5405" t="s">
        <v>42</v>
      </c>
      <c r="M5405" t="s">
        <v>73</v>
      </c>
      <c r="N5405">
        <v>41.648563000000003</v>
      </c>
      <c r="O5405">
        <v>-111.934161</v>
      </c>
      <c r="P5405">
        <v>4481.0760760000003</v>
      </c>
      <c r="Q5405">
        <v>1339</v>
      </c>
      <c r="R5405">
        <v>0</v>
      </c>
    </row>
    <row r="5406" spans="1:18" x14ac:dyDescent="0.25">
      <c r="A5406">
        <v>5405</v>
      </c>
      <c r="B5406">
        <v>94</v>
      </c>
      <c r="C5406">
        <v>1408777</v>
      </c>
      <c r="D5406" t="s">
        <v>88</v>
      </c>
      <c r="E5406">
        <v>2.2469999999999999</v>
      </c>
      <c r="F5406" t="s">
        <v>19</v>
      </c>
      <c r="G5406" t="s">
        <v>20</v>
      </c>
      <c r="H5406" t="s">
        <v>21</v>
      </c>
      <c r="I5406" t="s">
        <v>20</v>
      </c>
      <c r="J5406" t="s">
        <v>20</v>
      </c>
      <c r="K5406" t="s">
        <v>31</v>
      </c>
      <c r="L5406" t="s">
        <v>89</v>
      </c>
      <c r="M5406" t="s">
        <v>90</v>
      </c>
      <c r="N5406">
        <v>40.522289999999998</v>
      </c>
      <c r="O5406">
        <v>-111.941215</v>
      </c>
      <c r="P5406">
        <v>4387.2214759999997</v>
      </c>
      <c r="Q5406">
        <v>318</v>
      </c>
      <c r="R5406">
        <v>0</v>
      </c>
    </row>
    <row r="5407" spans="1:18" x14ac:dyDescent="0.25">
      <c r="A5407">
        <v>5406</v>
      </c>
      <c r="B5407">
        <v>94</v>
      </c>
      <c r="C5407">
        <v>31660116</v>
      </c>
      <c r="D5407" t="s">
        <v>187</v>
      </c>
      <c r="E5407">
        <v>2.25</v>
      </c>
      <c r="F5407" t="s">
        <v>19</v>
      </c>
      <c r="G5407" t="s">
        <v>20</v>
      </c>
      <c r="H5407" t="s">
        <v>21</v>
      </c>
      <c r="I5407" t="s">
        <v>20</v>
      </c>
      <c r="J5407" t="s">
        <v>20</v>
      </c>
      <c r="K5407" t="s">
        <v>31</v>
      </c>
      <c r="L5407" t="s">
        <v>188</v>
      </c>
      <c r="M5407" t="s">
        <v>90</v>
      </c>
      <c r="N5407">
        <v>40.772959999999998</v>
      </c>
      <c r="O5407">
        <v>-111.84067400000001</v>
      </c>
      <c r="P5407">
        <v>4846.6519600000001</v>
      </c>
      <c r="Q5407">
        <v>435</v>
      </c>
      <c r="R5407">
        <v>0</v>
      </c>
    </row>
    <row r="5408" spans="1:18" x14ac:dyDescent="0.25">
      <c r="A5408">
        <v>5407</v>
      </c>
      <c r="B5408">
        <v>94</v>
      </c>
      <c r="C5408">
        <v>1374074</v>
      </c>
      <c r="D5408" t="s">
        <v>437</v>
      </c>
      <c r="E5408">
        <v>2.2530000000000001</v>
      </c>
      <c r="F5408" t="s">
        <v>21</v>
      </c>
      <c r="G5408" t="s">
        <v>26</v>
      </c>
      <c r="H5408" t="s">
        <v>21</v>
      </c>
      <c r="I5408" t="s">
        <v>20</v>
      </c>
      <c r="J5408" t="s">
        <v>20</v>
      </c>
      <c r="K5408" t="s">
        <v>41</v>
      </c>
      <c r="L5408" t="s">
        <v>223</v>
      </c>
      <c r="M5408" t="s">
        <v>43</v>
      </c>
      <c r="N5408">
        <v>41.811270999999998</v>
      </c>
      <c r="O5408">
        <v>-112.11606999999999</v>
      </c>
      <c r="P5408">
        <v>4322.6779470000001</v>
      </c>
      <c r="Q5408">
        <v>1378</v>
      </c>
      <c r="R5408">
        <v>0</v>
      </c>
    </row>
    <row r="5409" spans="1:18" x14ac:dyDescent="0.25">
      <c r="A5409">
        <v>5408</v>
      </c>
      <c r="B5409">
        <v>94</v>
      </c>
      <c r="C5409">
        <v>31384242</v>
      </c>
      <c r="D5409" t="s">
        <v>184</v>
      </c>
      <c r="E5409">
        <v>2.254</v>
      </c>
      <c r="F5409" t="s">
        <v>19</v>
      </c>
      <c r="G5409" t="s">
        <v>20</v>
      </c>
      <c r="H5409" t="s">
        <v>19</v>
      </c>
      <c r="I5409">
        <v>14</v>
      </c>
      <c r="J5409">
        <v>289</v>
      </c>
      <c r="K5409" t="s">
        <v>27</v>
      </c>
      <c r="L5409" t="s">
        <v>54</v>
      </c>
      <c r="M5409" t="s">
        <v>55</v>
      </c>
      <c r="N5409">
        <v>37.677370000000003</v>
      </c>
      <c r="O5409">
        <v>-113.061761</v>
      </c>
      <c r="P5409">
        <v>5775.0607389999996</v>
      </c>
      <c r="Q5409">
        <v>1410</v>
      </c>
      <c r="R5409">
        <v>0</v>
      </c>
    </row>
    <row r="5410" spans="1:18" x14ac:dyDescent="0.25">
      <c r="A5410">
        <v>5409</v>
      </c>
      <c r="B5410">
        <v>94</v>
      </c>
      <c r="C5410" t="e">
        <f>-JXUQyMOFwmvOJBa7F6Y9V</f>
        <v>#NAME?</v>
      </c>
      <c r="D5410" t="s">
        <v>258</v>
      </c>
      <c r="E5410">
        <v>2.2570000000000001</v>
      </c>
      <c r="F5410" t="s">
        <v>21</v>
      </c>
      <c r="G5410" t="s">
        <v>20</v>
      </c>
      <c r="H5410" t="s">
        <v>21</v>
      </c>
      <c r="I5410" t="s">
        <v>20</v>
      </c>
      <c r="J5410" t="s">
        <v>20</v>
      </c>
      <c r="K5410" t="s">
        <v>27</v>
      </c>
      <c r="L5410" t="s">
        <v>259</v>
      </c>
      <c r="M5410" t="s">
        <v>29</v>
      </c>
      <c r="N5410">
        <v>37.032972000000001</v>
      </c>
      <c r="O5410">
        <v>-112.524822</v>
      </c>
      <c r="P5410">
        <v>4839.4852289999999</v>
      </c>
      <c r="Q5410">
        <v>301</v>
      </c>
      <c r="R5410">
        <v>0</v>
      </c>
    </row>
    <row r="5411" spans="1:18" x14ac:dyDescent="0.25">
      <c r="A5411">
        <v>5410</v>
      </c>
      <c r="B5411">
        <v>94</v>
      </c>
      <c r="C5411">
        <v>31908438</v>
      </c>
      <c r="D5411" t="s">
        <v>272</v>
      </c>
      <c r="E5411">
        <v>130.56100000000001</v>
      </c>
      <c r="F5411" t="s">
        <v>21</v>
      </c>
      <c r="G5411" t="s">
        <v>26</v>
      </c>
      <c r="H5411" t="s">
        <v>21</v>
      </c>
      <c r="I5411" t="s">
        <v>20</v>
      </c>
      <c r="J5411" t="s">
        <v>20</v>
      </c>
      <c r="K5411" t="s">
        <v>27</v>
      </c>
      <c r="L5411" t="s">
        <v>247</v>
      </c>
      <c r="M5411" t="s">
        <v>214</v>
      </c>
      <c r="N5411">
        <v>37.822870000000002</v>
      </c>
      <c r="O5411">
        <v>-112.425923</v>
      </c>
      <c r="P5411">
        <v>6529.6148890000004</v>
      </c>
      <c r="Q5411">
        <v>1384</v>
      </c>
      <c r="R5411">
        <v>0</v>
      </c>
    </row>
    <row r="5412" spans="1:18" x14ac:dyDescent="0.25">
      <c r="A5412">
        <v>5411</v>
      </c>
      <c r="B5412">
        <v>94</v>
      </c>
      <c r="C5412">
        <v>31536462</v>
      </c>
      <c r="D5412" t="s">
        <v>320</v>
      </c>
      <c r="E5412">
        <v>130.59200000000001</v>
      </c>
      <c r="F5412" t="s">
        <v>21</v>
      </c>
      <c r="G5412" t="s">
        <v>26</v>
      </c>
      <c r="H5412" t="s">
        <v>21</v>
      </c>
      <c r="I5412" t="s">
        <v>20</v>
      </c>
      <c r="J5412" t="s">
        <v>20</v>
      </c>
      <c r="K5412" t="s">
        <v>27</v>
      </c>
      <c r="L5412" t="s">
        <v>202</v>
      </c>
      <c r="M5412" t="s">
        <v>76</v>
      </c>
      <c r="N5412">
        <v>39.249980000000001</v>
      </c>
      <c r="O5412">
        <v>-112.103953</v>
      </c>
      <c r="P5412">
        <v>5244.4282279999998</v>
      </c>
      <c r="Q5412">
        <v>1356</v>
      </c>
      <c r="R5412">
        <v>0</v>
      </c>
    </row>
    <row r="5413" spans="1:18" x14ac:dyDescent="0.25">
      <c r="A5413">
        <v>5412</v>
      </c>
      <c r="B5413">
        <v>94</v>
      </c>
      <c r="C5413">
        <v>31908449</v>
      </c>
      <c r="D5413" t="s">
        <v>272</v>
      </c>
      <c r="E5413">
        <v>130.666</v>
      </c>
      <c r="F5413" t="s">
        <v>21</v>
      </c>
      <c r="G5413" t="s">
        <v>26</v>
      </c>
      <c r="H5413" t="s">
        <v>21</v>
      </c>
      <c r="I5413" t="s">
        <v>20</v>
      </c>
      <c r="J5413" t="s">
        <v>20</v>
      </c>
      <c r="K5413" t="s">
        <v>27</v>
      </c>
      <c r="L5413" t="s">
        <v>247</v>
      </c>
      <c r="M5413" t="s">
        <v>214</v>
      </c>
      <c r="N5413">
        <v>37.822845999999998</v>
      </c>
      <c r="O5413">
        <v>-112.42786700000001</v>
      </c>
      <c r="P5413">
        <v>6534.1083490000001</v>
      </c>
      <c r="Q5413">
        <v>1384</v>
      </c>
      <c r="R5413">
        <v>0</v>
      </c>
    </row>
    <row r="5414" spans="1:18" x14ac:dyDescent="0.25">
      <c r="A5414">
        <v>5413</v>
      </c>
      <c r="B5414">
        <v>94</v>
      </c>
      <c r="C5414">
        <v>31536473</v>
      </c>
      <c r="D5414" t="s">
        <v>320</v>
      </c>
      <c r="E5414">
        <v>130.70500000000001</v>
      </c>
      <c r="F5414" t="s">
        <v>21</v>
      </c>
      <c r="G5414" t="s">
        <v>26</v>
      </c>
      <c r="H5414" t="s">
        <v>21</v>
      </c>
      <c r="I5414" t="s">
        <v>20</v>
      </c>
      <c r="J5414" t="s">
        <v>20</v>
      </c>
      <c r="K5414" t="s">
        <v>27</v>
      </c>
      <c r="L5414" t="s">
        <v>202</v>
      </c>
      <c r="M5414" t="s">
        <v>76</v>
      </c>
      <c r="N5414">
        <v>39.248345</v>
      </c>
      <c r="O5414">
        <v>-112.103938</v>
      </c>
      <c r="P5414">
        <v>5244.7097489999996</v>
      </c>
      <c r="Q5414">
        <v>1356</v>
      </c>
      <c r="R5414">
        <v>0</v>
      </c>
    </row>
    <row r="5415" spans="1:18" x14ac:dyDescent="0.25">
      <c r="A5415">
        <v>5414</v>
      </c>
      <c r="B5415">
        <v>94</v>
      </c>
      <c r="C5415">
        <v>31909810</v>
      </c>
      <c r="D5415" t="s">
        <v>272</v>
      </c>
      <c r="E5415">
        <v>130.77000000000001</v>
      </c>
      <c r="F5415" t="s">
        <v>21</v>
      </c>
      <c r="G5415" t="s">
        <v>26</v>
      </c>
      <c r="H5415" t="s">
        <v>21</v>
      </c>
      <c r="I5415" t="s">
        <v>20</v>
      </c>
      <c r="J5415" t="s">
        <v>20</v>
      </c>
      <c r="K5415" t="s">
        <v>27</v>
      </c>
      <c r="L5415" t="s">
        <v>247</v>
      </c>
      <c r="M5415" t="s">
        <v>214</v>
      </c>
      <c r="N5415">
        <v>37.822820999999998</v>
      </c>
      <c r="O5415">
        <v>-112.42976</v>
      </c>
      <c r="P5415">
        <v>6539.5729220000003</v>
      </c>
      <c r="Q5415">
        <v>1384</v>
      </c>
      <c r="R5415">
        <v>0</v>
      </c>
    </row>
    <row r="5416" spans="1:18" x14ac:dyDescent="0.25">
      <c r="A5416">
        <v>5415</v>
      </c>
      <c r="B5416">
        <v>94</v>
      </c>
      <c r="C5416">
        <v>31536484</v>
      </c>
      <c r="D5416" t="s">
        <v>320</v>
      </c>
      <c r="E5416">
        <v>130.81899999999999</v>
      </c>
      <c r="F5416" t="s">
        <v>21</v>
      </c>
      <c r="G5416" t="s">
        <v>26</v>
      </c>
      <c r="H5416" t="s">
        <v>21</v>
      </c>
      <c r="I5416" t="s">
        <v>20</v>
      </c>
      <c r="J5416" t="s">
        <v>20</v>
      </c>
      <c r="K5416" t="s">
        <v>27</v>
      </c>
      <c r="L5416" t="s">
        <v>202</v>
      </c>
      <c r="M5416" t="s">
        <v>76</v>
      </c>
      <c r="N5416">
        <v>39.246687000000001</v>
      </c>
      <c r="O5416">
        <v>-112.10392400000001</v>
      </c>
      <c r="P5416">
        <v>5245.6595079999997</v>
      </c>
      <c r="Q5416">
        <v>1356</v>
      </c>
      <c r="R5416">
        <v>0</v>
      </c>
    </row>
    <row r="5417" spans="1:18" x14ac:dyDescent="0.25">
      <c r="A5417">
        <v>5416</v>
      </c>
      <c r="B5417">
        <v>94</v>
      </c>
      <c r="C5417">
        <v>31909821</v>
      </c>
      <c r="D5417" t="s">
        <v>272</v>
      </c>
      <c r="E5417">
        <v>130.87700000000001</v>
      </c>
      <c r="F5417" t="s">
        <v>21</v>
      </c>
      <c r="G5417" t="s">
        <v>26</v>
      </c>
      <c r="H5417" t="s">
        <v>21</v>
      </c>
      <c r="I5417" t="s">
        <v>20</v>
      </c>
      <c r="J5417" t="s">
        <v>20</v>
      </c>
      <c r="K5417" t="s">
        <v>27</v>
      </c>
      <c r="L5417" t="s">
        <v>247</v>
      </c>
      <c r="M5417" t="s">
        <v>214</v>
      </c>
      <c r="N5417">
        <v>37.822799000000003</v>
      </c>
      <c r="O5417">
        <v>-112.431718</v>
      </c>
      <c r="P5417">
        <v>6546.1472139999996</v>
      </c>
      <c r="Q5417">
        <v>1384</v>
      </c>
      <c r="R5417">
        <v>0</v>
      </c>
    </row>
    <row r="5418" spans="1:18" x14ac:dyDescent="0.25">
      <c r="A5418">
        <v>5417</v>
      </c>
      <c r="B5418">
        <v>94</v>
      </c>
      <c r="C5418">
        <v>31536495</v>
      </c>
      <c r="D5418" t="s">
        <v>320</v>
      </c>
      <c r="E5418">
        <v>130.93299999999999</v>
      </c>
      <c r="F5418" t="s">
        <v>21</v>
      </c>
      <c r="G5418" t="s">
        <v>26</v>
      </c>
      <c r="H5418" t="s">
        <v>21</v>
      </c>
      <c r="I5418" t="s">
        <v>20</v>
      </c>
      <c r="J5418" t="s">
        <v>20</v>
      </c>
      <c r="K5418" t="s">
        <v>27</v>
      </c>
      <c r="L5418" t="s">
        <v>202</v>
      </c>
      <c r="M5418" t="s">
        <v>76</v>
      </c>
      <c r="N5418">
        <v>39.245041000000001</v>
      </c>
      <c r="O5418">
        <v>-112.103926</v>
      </c>
      <c r="P5418">
        <v>5249.3792149999999</v>
      </c>
      <c r="Q5418">
        <v>1356</v>
      </c>
      <c r="R5418">
        <v>0</v>
      </c>
    </row>
    <row r="5419" spans="1:18" x14ac:dyDescent="0.25">
      <c r="A5419">
        <v>5418</v>
      </c>
      <c r="B5419">
        <v>94</v>
      </c>
      <c r="C5419">
        <v>31909832</v>
      </c>
      <c r="D5419" t="s">
        <v>272</v>
      </c>
      <c r="E5419">
        <v>130.98500000000001</v>
      </c>
      <c r="F5419" t="s">
        <v>21</v>
      </c>
      <c r="G5419" t="s">
        <v>26</v>
      </c>
      <c r="H5419" t="s">
        <v>21</v>
      </c>
      <c r="I5419" t="s">
        <v>20</v>
      </c>
      <c r="J5419" t="s">
        <v>20</v>
      </c>
      <c r="K5419" t="s">
        <v>27</v>
      </c>
      <c r="L5419" t="s">
        <v>247</v>
      </c>
      <c r="M5419" t="s">
        <v>214</v>
      </c>
      <c r="N5419">
        <v>37.822772999999998</v>
      </c>
      <c r="O5419">
        <v>-112.433708</v>
      </c>
      <c r="P5419">
        <v>6551.6079140000002</v>
      </c>
      <c r="Q5419">
        <v>1384</v>
      </c>
      <c r="R5419">
        <v>0</v>
      </c>
    </row>
    <row r="5420" spans="1:18" x14ac:dyDescent="0.25">
      <c r="A5420">
        <v>5419</v>
      </c>
      <c r="B5420">
        <v>94</v>
      </c>
      <c r="C5420">
        <v>31536756</v>
      </c>
      <c r="D5420" t="s">
        <v>320</v>
      </c>
      <c r="E5420">
        <v>131.047</v>
      </c>
      <c r="F5420" t="s">
        <v>21</v>
      </c>
      <c r="G5420" t="s">
        <v>26</v>
      </c>
      <c r="H5420" t="s">
        <v>21</v>
      </c>
      <c r="I5420" t="s">
        <v>20</v>
      </c>
      <c r="J5420" t="s">
        <v>20</v>
      </c>
      <c r="K5420" t="s">
        <v>27</v>
      </c>
      <c r="L5420" t="s">
        <v>202</v>
      </c>
      <c r="M5420" t="s">
        <v>76</v>
      </c>
      <c r="N5420">
        <v>39.243383000000001</v>
      </c>
      <c r="O5420">
        <v>-112.103925</v>
      </c>
      <c r="P5420">
        <v>5250.1775340000004</v>
      </c>
      <c r="Q5420">
        <v>1356</v>
      </c>
      <c r="R5420">
        <v>0</v>
      </c>
    </row>
    <row r="5421" spans="1:18" x14ac:dyDescent="0.25">
      <c r="A5421">
        <v>5420</v>
      </c>
      <c r="B5421">
        <v>94</v>
      </c>
      <c r="C5421" t="e">
        <f>-Ip_DDjJIoa6S9ei0zBHwk</f>
        <v>#NAME?</v>
      </c>
      <c r="D5421" t="s">
        <v>272</v>
      </c>
      <c r="E5421">
        <v>2.2210000000000001</v>
      </c>
      <c r="F5421" t="s">
        <v>21</v>
      </c>
      <c r="G5421" t="s">
        <v>26</v>
      </c>
      <c r="H5421" t="s">
        <v>21</v>
      </c>
      <c r="I5421" t="s">
        <v>20</v>
      </c>
      <c r="J5421" t="s">
        <v>20</v>
      </c>
      <c r="K5421" t="s">
        <v>27</v>
      </c>
      <c r="L5421" t="s">
        <v>259</v>
      </c>
      <c r="M5421" t="s">
        <v>214</v>
      </c>
      <c r="N5421">
        <v>37.025734999999997</v>
      </c>
      <c r="O5421">
        <v>-111.59937499999999</v>
      </c>
      <c r="P5421">
        <v>3835.9655400000001</v>
      </c>
      <c r="Q5421">
        <v>1384</v>
      </c>
      <c r="R5421">
        <v>0</v>
      </c>
    </row>
    <row r="5422" spans="1:18" x14ac:dyDescent="0.25">
      <c r="A5422">
        <v>5421</v>
      </c>
      <c r="B5422">
        <v>94</v>
      </c>
      <c r="C5422">
        <v>2542355</v>
      </c>
      <c r="D5422" t="s">
        <v>176</v>
      </c>
      <c r="E5422">
        <v>2.2210000000000001</v>
      </c>
      <c r="F5422" t="s">
        <v>21</v>
      </c>
      <c r="G5422" t="s">
        <v>26</v>
      </c>
      <c r="H5422" t="s">
        <v>21</v>
      </c>
      <c r="I5422" t="s">
        <v>20</v>
      </c>
      <c r="J5422" t="s">
        <v>20</v>
      </c>
      <c r="K5422" t="s">
        <v>41</v>
      </c>
      <c r="L5422" t="s">
        <v>177</v>
      </c>
      <c r="M5422" t="s">
        <v>178</v>
      </c>
      <c r="N5422">
        <v>41.518832000000003</v>
      </c>
      <c r="O5422">
        <v>-112.015608</v>
      </c>
      <c r="P5422">
        <v>4309.259059</v>
      </c>
      <c r="Q5422">
        <v>1329</v>
      </c>
      <c r="R5422">
        <v>0</v>
      </c>
    </row>
    <row r="5423" spans="1:18" x14ac:dyDescent="0.25">
      <c r="A5423">
        <v>5422</v>
      </c>
      <c r="B5423">
        <v>94</v>
      </c>
      <c r="C5423">
        <v>31289774</v>
      </c>
      <c r="D5423" t="s">
        <v>126</v>
      </c>
      <c r="E5423">
        <v>2.2229999999999999</v>
      </c>
      <c r="F5423" t="s">
        <v>21</v>
      </c>
      <c r="G5423" t="s">
        <v>26</v>
      </c>
      <c r="H5423" t="s">
        <v>21</v>
      </c>
      <c r="I5423" t="s">
        <v>20</v>
      </c>
      <c r="J5423" t="s">
        <v>20</v>
      </c>
      <c r="K5423" t="s">
        <v>41</v>
      </c>
      <c r="L5423" t="s">
        <v>57</v>
      </c>
      <c r="M5423" t="s">
        <v>93</v>
      </c>
      <c r="N5423">
        <v>41.223120999999999</v>
      </c>
      <c r="O5423">
        <v>-112.092849</v>
      </c>
      <c r="P5423">
        <v>4176.7323569999999</v>
      </c>
      <c r="Q5423">
        <v>1412</v>
      </c>
      <c r="R5423">
        <v>0</v>
      </c>
    </row>
    <row r="5424" spans="1:18" x14ac:dyDescent="0.25">
      <c r="A5424">
        <v>5423</v>
      </c>
      <c r="B5424">
        <v>94</v>
      </c>
      <c r="C5424">
        <v>27343934</v>
      </c>
      <c r="D5424" t="s">
        <v>185</v>
      </c>
      <c r="E5424">
        <v>2.2229999999999999</v>
      </c>
      <c r="F5424" t="s">
        <v>21</v>
      </c>
      <c r="G5424" t="s">
        <v>26</v>
      </c>
      <c r="H5424" t="s">
        <v>21</v>
      </c>
      <c r="I5424" t="s">
        <v>20</v>
      </c>
      <c r="J5424" t="s">
        <v>20</v>
      </c>
      <c r="K5424" t="s">
        <v>41</v>
      </c>
      <c r="L5424" t="s">
        <v>57</v>
      </c>
      <c r="M5424" t="s">
        <v>58</v>
      </c>
      <c r="N5424">
        <v>41.139884000000002</v>
      </c>
      <c r="O5424">
        <v>-112.06880099999999</v>
      </c>
      <c r="P5424">
        <v>4270.8803950000001</v>
      </c>
      <c r="Q5424">
        <v>309</v>
      </c>
      <c r="R5424">
        <v>0</v>
      </c>
    </row>
    <row r="5425" spans="1:18" x14ac:dyDescent="0.25">
      <c r="A5425">
        <v>5424</v>
      </c>
      <c r="B5425">
        <v>94</v>
      </c>
      <c r="C5425">
        <v>520654</v>
      </c>
      <c r="D5425" t="s">
        <v>44</v>
      </c>
      <c r="E5425">
        <v>2.2269999999999999</v>
      </c>
      <c r="F5425" t="s">
        <v>21</v>
      </c>
      <c r="G5425" t="s">
        <v>26</v>
      </c>
      <c r="H5425" t="s">
        <v>21</v>
      </c>
      <c r="I5425" t="s">
        <v>20</v>
      </c>
      <c r="J5425" t="s">
        <v>20</v>
      </c>
      <c r="K5425" t="s">
        <v>41</v>
      </c>
      <c r="L5425" t="s">
        <v>45</v>
      </c>
      <c r="M5425" t="s">
        <v>46</v>
      </c>
      <c r="N5425">
        <v>40.909671000000003</v>
      </c>
      <c r="O5425">
        <v>-111.878987</v>
      </c>
      <c r="P5425">
        <v>4234.7943750000004</v>
      </c>
      <c r="Q5425">
        <v>1395</v>
      </c>
      <c r="R5425">
        <v>0</v>
      </c>
    </row>
    <row r="5426" spans="1:18" x14ac:dyDescent="0.25">
      <c r="A5426">
        <v>5425</v>
      </c>
      <c r="B5426">
        <v>94</v>
      </c>
      <c r="C5426">
        <v>31427611</v>
      </c>
      <c r="D5426" t="s">
        <v>107</v>
      </c>
      <c r="E5426">
        <v>2.2290000000000001</v>
      </c>
      <c r="F5426" t="s">
        <v>19</v>
      </c>
      <c r="G5426" t="s">
        <v>20</v>
      </c>
      <c r="H5426" t="s">
        <v>21</v>
      </c>
      <c r="I5426" t="s">
        <v>20</v>
      </c>
      <c r="J5426" t="s">
        <v>20</v>
      </c>
      <c r="K5426" t="s">
        <v>41</v>
      </c>
      <c r="L5426" t="s">
        <v>81</v>
      </c>
      <c r="M5426" t="s">
        <v>93</v>
      </c>
      <c r="N5426">
        <v>41.224949000000002</v>
      </c>
      <c r="O5426">
        <v>-111.978793</v>
      </c>
      <c r="P5426">
        <v>4239.0385059999999</v>
      </c>
      <c r="Q5426">
        <v>413</v>
      </c>
      <c r="R5426">
        <v>0</v>
      </c>
    </row>
    <row r="5427" spans="1:18" x14ac:dyDescent="0.25">
      <c r="A5427">
        <v>5426</v>
      </c>
      <c r="B5427">
        <v>94</v>
      </c>
      <c r="C5427">
        <v>31661531</v>
      </c>
      <c r="D5427" t="s">
        <v>306</v>
      </c>
      <c r="E5427">
        <v>2.23</v>
      </c>
      <c r="F5427" t="s">
        <v>21</v>
      </c>
      <c r="G5427" t="s">
        <v>26</v>
      </c>
      <c r="H5427" t="s">
        <v>21</v>
      </c>
      <c r="I5427" t="s">
        <v>20</v>
      </c>
      <c r="J5427" t="s">
        <v>20</v>
      </c>
      <c r="K5427" t="s">
        <v>27</v>
      </c>
      <c r="L5427" t="s">
        <v>230</v>
      </c>
      <c r="M5427" t="s">
        <v>82</v>
      </c>
      <c r="N5427">
        <v>39.655437999999997</v>
      </c>
      <c r="O5427">
        <v>-111.296364</v>
      </c>
      <c r="P5427">
        <v>8716.850547</v>
      </c>
      <c r="Q5427">
        <v>430</v>
      </c>
      <c r="R5427">
        <v>0</v>
      </c>
    </row>
    <row r="5428" spans="1:18" x14ac:dyDescent="0.25">
      <c r="A5428">
        <v>5427</v>
      </c>
      <c r="B5428">
        <v>94</v>
      </c>
      <c r="C5428">
        <v>31870580</v>
      </c>
      <c r="D5428" t="s">
        <v>118</v>
      </c>
      <c r="E5428">
        <v>157.86000000000001</v>
      </c>
      <c r="F5428" t="s">
        <v>21</v>
      </c>
      <c r="G5428" t="s">
        <v>26</v>
      </c>
      <c r="H5428" t="s">
        <v>21</v>
      </c>
      <c r="I5428" t="s">
        <v>20</v>
      </c>
      <c r="J5428" t="s">
        <v>20</v>
      </c>
      <c r="K5428" t="s">
        <v>22</v>
      </c>
      <c r="L5428" t="s">
        <v>234</v>
      </c>
      <c r="M5428" t="s">
        <v>169</v>
      </c>
      <c r="N5428">
        <v>40.369573000000003</v>
      </c>
      <c r="O5428">
        <v>-109.331293</v>
      </c>
      <c r="P5428">
        <v>4705.5633449999996</v>
      </c>
      <c r="Q5428">
        <v>310</v>
      </c>
      <c r="R5428">
        <v>0</v>
      </c>
    </row>
    <row r="5429" spans="1:18" x14ac:dyDescent="0.25">
      <c r="A5429">
        <v>5428</v>
      </c>
      <c r="B5429">
        <v>94</v>
      </c>
      <c r="C5429">
        <v>31548772</v>
      </c>
      <c r="D5429" t="s">
        <v>320</v>
      </c>
      <c r="E5429">
        <v>157.90299999999999</v>
      </c>
      <c r="F5429" t="s">
        <v>21</v>
      </c>
      <c r="G5429" t="s">
        <v>20</v>
      </c>
      <c r="H5429" t="s">
        <v>21</v>
      </c>
      <c r="I5429" t="s">
        <v>20</v>
      </c>
      <c r="J5429" t="s">
        <v>20</v>
      </c>
      <c r="K5429" t="s">
        <v>27</v>
      </c>
      <c r="L5429" t="s">
        <v>183</v>
      </c>
      <c r="M5429" t="s">
        <v>76</v>
      </c>
      <c r="N5429">
        <v>38.956634999999999</v>
      </c>
      <c r="O5429">
        <v>-111.870582</v>
      </c>
      <c r="P5429">
        <v>5085.3461260000004</v>
      </c>
      <c r="Q5429">
        <v>1356</v>
      </c>
      <c r="R5429">
        <v>0</v>
      </c>
    </row>
    <row r="5430" spans="1:18" x14ac:dyDescent="0.25">
      <c r="A5430">
        <v>5429</v>
      </c>
      <c r="B5430">
        <v>94</v>
      </c>
      <c r="C5430" t="e">
        <f>-IoI4nL-Gjmi4ynkqmloyk</f>
        <v>#NAME?</v>
      </c>
      <c r="D5430" t="s">
        <v>272</v>
      </c>
      <c r="E5430">
        <v>157.90299999999999</v>
      </c>
      <c r="F5430" t="s">
        <v>21</v>
      </c>
      <c r="G5430" t="s">
        <v>26</v>
      </c>
      <c r="H5430" t="s">
        <v>21</v>
      </c>
      <c r="I5430" t="s">
        <v>20</v>
      </c>
      <c r="J5430" t="s">
        <v>20</v>
      </c>
      <c r="K5430" t="s">
        <v>27</v>
      </c>
      <c r="L5430" t="s">
        <v>64</v>
      </c>
      <c r="M5430" t="s">
        <v>214</v>
      </c>
      <c r="N5430">
        <v>38.169426999999999</v>
      </c>
      <c r="O5430">
        <v>-112.279394</v>
      </c>
      <c r="P5430">
        <v>6014.7566280000001</v>
      </c>
      <c r="Q5430">
        <v>1384</v>
      </c>
      <c r="R5430">
        <v>0</v>
      </c>
    </row>
    <row r="5431" spans="1:18" x14ac:dyDescent="0.25">
      <c r="A5431">
        <v>5430</v>
      </c>
      <c r="B5431">
        <v>94</v>
      </c>
      <c r="C5431">
        <v>31588278</v>
      </c>
      <c r="D5431" t="s">
        <v>213</v>
      </c>
      <c r="E5431">
        <v>157.94200000000001</v>
      </c>
      <c r="F5431" t="s">
        <v>21</v>
      </c>
      <c r="G5431" t="s">
        <v>26</v>
      </c>
      <c r="H5431" t="s">
        <v>21</v>
      </c>
      <c r="I5431" t="s">
        <v>20</v>
      </c>
      <c r="J5431" t="s">
        <v>20</v>
      </c>
      <c r="K5431" t="s">
        <v>22</v>
      </c>
      <c r="L5431" t="s">
        <v>198</v>
      </c>
      <c r="M5431" t="s">
        <v>214</v>
      </c>
      <c r="N5431">
        <v>39.985664999999997</v>
      </c>
      <c r="O5431">
        <v>-111.817199</v>
      </c>
      <c r="P5431">
        <v>4742.6716399999996</v>
      </c>
      <c r="Q5431">
        <v>1332</v>
      </c>
      <c r="R5431">
        <v>0</v>
      </c>
    </row>
    <row r="5432" spans="1:18" x14ac:dyDescent="0.25">
      <c r="A5432">
        <v>5431</v>
      </c>
      <c r="B5432">
        <v>94</v>
      </c>
      <c r="C5432" t="e">
        <f>-IoI4zMQFtieC3nystGxgF</f>
        <v>#NAME?</v>
      </c>
      <c r="D5432" t="s">
        <v>272</v>
      </c>
      <c r="E5432">
        <v>157.96100000000001</v>
      </c>
      <c r="F5432" t="s">
        <v>21</v>
      </c>
      <c r="G5432" t="s">
        <v>26</v>
      </c>
      <c r="H5432" t="s">
        <v>21</v>
      </c>
      <c r="I5432" t="s">
        <v>20</v>
      </c>
      <c r="J5432" t="s">
        <v>20</v>
      </c>
      <c r="K5432" t="s">
        <v>27</v>
      </c>
      <c r="L5432" t="s">
        <v>64</v>
      </c>
      <c r="M5432" t="s">
        <v>214</v>
      </c>
      <c r="N5432">
        <v>38.17022</v>
      </c>
      <c r="O5432">
        <v>-112.27903999999999</v>
      </c>
      <c r="P5432">
        <v>6013.1540050000003</v>
      </c>
      <c r="Q5432">
        <v>1384</v>
      </c>
      <c r="R5432">
        <v>0</v>
      </c>
    </row>
    <row r="5433" spans="1:18" x14ac:dyDescent="0.25">
      <c r="A5433">
        <v>5432</v>
      </c>
      <c r="B5433">
        <v>94</v>
      </c>
      <c r="C5433">
        <v>31548783</v>
      </c>
      <c r="D5433" t="s">
        <v>320</v>
      </c>
      <c r="E5433">
        <v>158.02699999999999</v>
      </c>
      <c r="F5433" t="s">
        <v>21</v>
      </c>
      <c r="G5433" t="s">
        <v>26</v>
      </c>
      <c r="H5433" t="s">
        <v>21</v>
      </c>
      <c r="I5433" t="s">
        <v>20</v>
      </c>
      <c r="J5433" t="s">
        <v>20</v>
      </c>
      <c r="K5433" t="s">
        <v>27</v>
      </c>
      <c r="L5433" t="s">
        <v>183</v>
      </c>
      <c r="M5433" t="s">
        <v>76</v>
      </c>
      <c r="N5433">
        <v>38.956950999999997</v>
      </c>
      <c r="O5433">
        <v>-111.8685</v>
      </c>
      <c r="P5433">
        <v>5088.1704499999996</v>
      </c>
      <c r="Q5433">
        <v>1356</v>
      </c>
      <c r="R5433">
        <v>0</v>
      </c>
    </row>
    <row r="5434" spans="1:18" x14ac:dyDescent="0.25">
      <c r="A5434">
        <v>5433</v>
      </c>
      <c r="B5434">
        <v>94</v>
      </c>
      <c r="C5434">
        <v>31580340</v>
      </c>
      <c r="D5434" t="s">
        <v>213</v>
      </c>
      <c r="E5434">
        <v>140.24799999999999</v>
      </c>
      <c r="F5434" t="s">
        <v>21</v>
      </c>
      <c r="G5434" t="s">
        <v>26</v>
      </c>
      <c r="H5434" t="s">
        <v>21</v>
      </c>
      <c r="I5434" t="s">
        <v>20</v>
      </c>
      <c r="J5434" t="s">
        <v>20</v>
      </c>
      <c r="K5434" t="s">
        <v>22</v>
      </c>
      <c r="L5434" t="s">
        <v>193</v>
      </c>
      <c r="M5434" t="s">
        <v>214</v>
      </c>
      <c r="N5434">
        <v>39.955384000000002</v>
      </c>
      <c r="O5434">
        <v>-112.115944</v>
      </c>
      <c r="P5434">
        <v>6413.4162219999998</v>
      </c>
      <c r="Q5434">
        <v>1332</v>
      </c>
      <c r="R5434">
        <v>0</v>
      </c>
    </row>
    <row r="5435" spans="1:18" x14ac:dyDescent="0.25">
      <c r="A5435">
        <v>5434</v>
      </c>
      <c r="B5435">
        <v>94</v>
      </c>
      <c r="C5435">
        <v>31580351</v>
      </c>
      <c r="D5435" t="s">
        <v>213</v>
      </c>
      <c r="E5435">
        <v>140.32</v>
      </c>
      <c r="F5435" t="s">
        <v>21</v>
      </c>
      <c r="G5435" t="s">
        <v>26</v>
      </c>
      <c r="H5435" t="s">
        <v>21</v>
      </c>
      <c r="I5435" t="s">
        <v>20</v>
      </c>
      <c r="J5435" t="s">
        <v>20</v>
      </c>
      <c r="K5435" t="s">
        <v>22</v>
      </c>
      <c r="L5435" t="s">
        <v>193</v>
      </c>
      <c r="M5435" t="s">
        <v>214</v>
      </c>
      <c r="N5435">
        <v>39.955433999999997</v>
      </c>
      <c r="O5435">
        <v>-112.114576</v>
      </c>
      <c r="P5435">
        <v>6429.338377</v>
      </c>
      <c r="Q5435">
        <v>1332</v>
      </c>
      <c r="R5435">
        <v>0</v>
      </c>
    </row>
    <row r="5436" spans="1:18" x14ac:dyDescent="0.25">
      <c r="A5436">
        <v>5435</v>
      </c>
      <c r="B5436">
        <v>94</v>
      </c>
      <c r="C5436">
        <v>31581080</v>
      </c>
      <c r="D5436" t="s">
        <v>213</v>
      </c>
      <c r="E5436">
        <v>140.36000000000001</v>
      </c>
      <c r="F5436" t="s">
        <v>21</v>
      </c>
      <c r="G5436" t="s">
        <v>26</v>
      </c>
      <c r="H5436" t="s">
        <v>21</v>
      </c>
      <c r="I5436" t="s">
        <v>20</v>
      </c>
      <c r="J5436" t="s">
        <v>20</v>
      </c>
      <c r="K5436" t="s">
        <v>22</v>
      </c>
      <c r="L5436" t="s">
        <v>193</v>
      </c>
      <c r="M5436" t="s">
        <v>214</v>
      </c>
      <c r="N5436">
        <v>39.955468000000003</v>
      </c>
      <c r="O5436">
        <v>-112.113828</v>
      </c>
      <c r="P5436">
        <v>6435.1765759999998</v>
      </c>
      <c r="Q5436">
        <v>1332</v>
      </c>
      <c r="R5436">
        <v>0</v>
      </c>
    </row>
    <row r="5437" spans="1:18" x14ac:dyDescent="0.25">
      <c r="A5437">
        <v>5436</v>
      </c>
      <c r="B5437">
        <v>94</v>
      </c>
      <c r="C5437">
        <v>31581091</v>
      </c>
      <c r="D5437" t="s">
        <v>213</v>
      </c>
      <c r="E5437">
        <v>140.488</v>
      </c>
      <c r="F5437" t="s">
        <v>21</v>
      </c>
      <c r="G5437" t="s">
        <v>26</v>
      </c>
      <c r="H5437" t="s">
        <v>21</v>
      </c>
      <c r="I5437" t="s">
        <v>20</v>
      </c>
      <c r="J5437" t="s">
        <v>20</v>
      </c>
      <c r="K5437" t="s">
        <v>22</v>
      </c>
      <c r="L5437" t="s">
        <v>193</v>
      </c>
      <c r="M5437" t="s">
        <v>214</v>
      </c>
      <c r="N5437">
        <v>39.955818999999998</v>
      </c>
      <c r="O5437">
        <v>-112.111476</v>
      </c>
      <c r="P5437">
        <v>6464.3443440000001</v>
      </c>
      <c r="Q5437">
        <v>1332</v>
      </c>
      <c r="R5437">
        <v>0</v>
      </c>
    </row>
    <row r="5438" spans="1:18" x14ac:dyDescent="0.25">
      <c r="A5438">
        <v>5437</v>
      </c>
      <c r="B5438">
        <v>94</v>
      </c>
      <c r="C5438" t="s">
        <v>730</v>
      </c>
      <c r="D5438" t="s">
        <v>213</v>
      </c>
      <c r="E5438">
        <v>140.61500000000001</v>
      </c>
      <c r="F5438" t="s">
        <v>21</v>
      </c>
      <c r="G5438" t="s">
        <v>20</v>
      </c>
      <c r="H5438" t="s">
        <v>21</v>
      </c>
      <c r="I5438" t="s">
        <v>20</v>
      </c>
      <c r="J5438" t="s">
        <v>20</v>
      </c>
      <c r="K5438" t="s">
        <v>22</v>
      </c>
      <c r="L5438" t="s">
        <v>193</v>
      </c>
      <c r="M5438" t="s">
        <v>214</v>
      </c>
      <c r="N5438">
        <v>39.956401</v>
      </c>
      <c r="O5438">
        <v>-112.10924199999999</v>
      </c>
      <c r="P5438">
        <v>6485.7482339999997</v>
      </c>
      <c r="Q5438">
        <v>1332</v>
      </c>
      <c r="R5438">
        <v>0</v>
      </c>
    </row>
    <row r="5439" spans="1:18" x14ac:dyDescent="0.25">
      <c r="A5439">
        <v>5438</v>
      </c>
      <c r="B5439">
        <v>94</v>
      </c>
      <c r="C5439">
        <v>31581313</v>
      </c>
      <c r="D5439" t="s">
        <v>213</v>
      </c>
      <c r="E5439">
        <v>140.72499999999999</v>
      </c>
      <c r="F5439" t="s">
        <v>21</v>
      </c>
      <c r="G5439" t="s">
        <v>26</v>
      </c>
      <c r="H5439" t="s">
        <v>21</v>
      </c>
      <c r="I5439" t="s">
        <v>20</v>
      </c>
      <c r="J5439" t="s">
        <v>20</v>
      </c>
      <c r="K5439" t="s">
        <v>22</v>
      </c>
      <c r="L5439" t="s">
        <v>193</v>
      </c>
      <c r="M5439" t="s">
        <v>214</v>
      </c>
      <c r="N5439">
        <v>39.95693</v>
      </c>
      <c r="O5439">
        <v>-112.10726</v>
      </c>
      <c r="P5439">
        <v>6508.5756080000001</v>
      </c>
      <c r="Q5439">
        <v>1332</v>
      </c>
      <c r="R5439">
        <v>0</v>
      </c>
    </row>
    <row r="5440" spans="1:18" x14ac:dyDescent="0.25">
      <c r="A5440">
        <v>5439</v>
      </c>
      <c r="B5440">
        <v>94</v>
      </c>
      <c r="C5440">
        <v>31296069</v>
      </c>
      <c r="D5440" t="s">
        <v>316</v>
      </c>
      <c r="E5440">
        <v>16.481999999999999</v>
      </c>
      <c r="F5440" t="s">
        <v>21</v>
      </c>
      <c r="G5440" t="s">
        <v>26</v>
      </c>
      <c r="H5440" t="s">
        <v>21</v>
      </c>
      <c r="I5440" t="s">
        <v>20</v>
      </c>
      <c r="J5440" t="s">
        <v>20</v>
      </c>
      <c r="K5440" t="s">
        <v>22</v>
      </c>
      <c r="L5440" t="s">
        <v>168</v>
      </c>
      <c r="M5440" t="s">
        <v>302</v>
      </c>
      <c r="N5440">
        <v>40.518385000000002</v>
      </c>
      <c r="O5440">
        <v>-111.04803200000001</v>
      </c>
      <c r="P5440">
        <v>8302.0058709999994</v>
      </c>
      <c r="Q5440">
        <v>1346</v>
      </c>
      <c r="R5440">
        <v>0</v>
      </c>
    </row>
    <row r="5441" spans="1:18" x14ac:dyDescent="0.25">
      <c r="A5441">
        <v>5440</v>
      </c>
      <c r="B5441">
        <v>94</v>
      </c>
      <c r="C5441" t="e">
        <f>-JOca8gzGxuwx55xsEMwWV</f>
        <v>#NAME?</v>
      </c>
      <c r="D5441" t="s">
        <v>37</v>
      </c>
      <c r="E5441">
        <v>16.486000000000001</v>
      </c>
      <c r="F5441" t="s">
        <v>21</v>
      </c>
      <c r="G5441" t="s">
        <v>20</v>
      </c>
      <c r="H5441" t="s">
        <v>21</v>
      </c>
      <c r="I5441" t="s">
        <v>20</v>
      </c>
      <c r="J5441" t="s">
        <v>20</v>
      </c>
      <c r="K5441" t="s">
        <v>27</v>
      </c>
      <c r="L5441" t="s">
        <v>38</v>
      </c>
      <c r="M5441" t="s">
        <v>39</v>
      </c>
      <c r="N5441">
        <v>38.692872000000001</v>
      </c>
      <c r="O5441">
        <v>-109.409525</v>
      </c>
      <c r="P5441">
        <v>4020.7014760000002</v>
      </c>
      <c r="Q5441">
        <v>1319</v>
      </c>
      <c r="R5441">
        <v>0</v>
      </c>
    </row>
    <row r="5442" spans="1:18" x14ac:dyDescent="0.25">
      <c r="A5442">
        <v>5441</v>
      </c>
      <c r="B5442">
        <v>94</v>
      </c>
      <c r="C5442">
        <v>28160884</v>
      </c>
      <c r="D5442" t="s">
        <v>239</v>
      </c>
      <c r="E5442">
        <v>16.492000000000001</v>
      </c>
      <c r="F5442" t="s">
        <v>19</v>
      </c>
      <c r="G5442" t="s">
        <v>20</v>
      </c>
      <c r="H5442" t="s">
        <v>19</v>
      </c>
      <c r="I5442">
        <v>84</v>
      </c>
      <c r="J5442" t="s">
        <v>20</v>
      </c>
      <c r="K5442" t="s">
        <v>41</v>
      </c>
      <c r="L5442" t="s">
        <v>181</v>
      </c>
      <c r="M5442" t="s">
        <v>178</v>
      </c>
      <c r="N5442">
        <v>41.711897</v>
      </c>
      <c r="O5442">
        <v>-112.161736</v>
      </c>
      <c r="P5442">
        <v>4244.3247869999996</v>
      </c>
      <c r="Q5442">
        <v>1392</v>
      </c>
      <c r="R5442">
        <v>0</v>
      </c>
    </row>
    <row r="5443" spans="1:18" x14ac:dyDescent="0.25">
      <c r="A5443">
        <v>5442</v>
      </c>
      <c r="B5443">
        <v>94</v>
      </c>
      <c r="C5443">
        <v>31430495</v>
      </c>
      <c r="D5443" t="s">
        <v>345</v>
      </c>
      <c r="E5443">
        <v>16.503</v>
      </c>
      <c r="F5443" t="s">
        <v>21</v>
      </c>
      <c r="G5443" t="s">
        <v>20</v>
      </c>
      <c r="H5443" t="s">
        <v>21</v>
      </c>
      <c r="I5443" t="s">
        <v>20</v>
      </c>
      <c r="J5443" t="s">
        <v>20</v>
      </c>
      <c r="K5443" t="s">
        <v>27</v>
      </c>
      <c r="L5443" t="s">
        <v>75</v>
      </c>
      <c r="M5443" t="s">
        <v>76</v>
      </c>
      <c r="N5443">
        <v>38.783484000000001</v>
      </c>
      <c r="O5443">
        <v>-112.057486</v>
      </c>
      <c r="P5443">
        <v>5232.1647569999996</v>
      </c>
      <c r="Q5443">
        <v>1403</v>
      </c>
      <c r="R5443">
        <v>0</v>
      </c>
    </row>
    <row r="5444" spans="1:18" x14ac:dyDescent="0.25">
      <c r="A5444">
        <v>5443</v>
      </c>
      <c r="B5444">
        <v>94</v>
      </c>
      <c r="C5444">
        <v>1539236</v>
      </c>
      <c r="D5444" t="s">
        <v>88</v>
      </c>
      <c r="E5444">
        <v>16.513000000000002</v>
      </c>
      <c r="F5444" t="s">
        <v>19</v>
      </c>
      <c r="G5444" t="s">
        <v>20</v>
      </c>
      <c r="H5444" t="s">
        <v>19</v>
      </c>
      <c r="I5444">
        <v>266</v>
      </c>
      <c r="J5444" t="s">
        <v>20</v>
      </c>
      <c r="K5444" t="s">
        <v>31</v>
      </c>
      <c r="L5444" t="s">
        <v>32</v>
      </c>
      <c r="M5444" t="s">
        <v>90</v>
      </c>
      <c r="N5444">
        <v>40.674339000000003</v>
      </c>
      <c r="O5444">
        <v>-111.871439</v>
      </c>
      <c r="P5444">
        <v>4248.4099560000004</v>
      </c>
      <c r="Q5444">
        <v>318</v>
      </c>
      <c r="R5444">
        <v>0</v>
      </c>
    </row>
    <row r="5445" spans="1:18" x14ac:dyDescent="0.25">
      <c r="A5445">
        <v>5444</v>
      </c>
      <c r="B5445">
        <v>94</v>
      </c>
      <c r="C5445">
        <v>31302448</v>
      </c>
      <c r="D5445" t="s">
        <v>268</v>
      </c>
      <c r="E5445">
        <v>16.526</v>
      </c>
      <c r="F5445" t="s">
        <v>21</v>
      </c>
      <c r="G5445" t="s">
        <v>26</v>
      </c>
      <c r="H5445" t="s">
        <v>21</v>
      </c>
      <c r="I5445" t="s">
        <v>20</v>
      </c>
      <c r="J5445" t="s">
        <v>20</v>
      </c>
      <c r="K5445" t="s">
        <v>41</v>
      </c>
      <c r="L5445" t="s">
        <v>181</v>
      </c>
      <c r="M5445" t="s">
        <v>43</v>
      </c>
      <c r="N5445">
        <v>41.636470000000003</v>
      </c>
      <c r="O5445">
        <v>-112.423745</v>
      </c>
      <c r="P5445">
        <v>4256.7917420000003</v>
      </c>
      <c r="Q5445">
        <v>1380</v>
      </c>
      <c r="R5445">
        <v>0</v>
      </c>
    </row>
    <row r="5446" spans="1:18" x14ac:dyDescent="0.25">
      <c r="A5446">
        <v>5445</v>
      </c>
      <c r="B5446">
        <v>94</v>
      </c>
      <c r="C5446">
        <v>31824911</v>
      </c>
      <c r="D5446" t="s">
        <v>61</v>
      </c>
      <c r="E5446">
        <v>16.552</v>
      </c>
      <c r="F5446" t="s">
        <v>21</v>
      </c>
      <c r="G5446" t="s">
        <v>26</v>
      </c>
      <c r="H5446" t="s">
        <v>21</v>
      </c>
      <c r="I5446" t="s">
        <v>20</v>
      </c>
      <c r="J5446" t="s">
        <v>20</v>
      </c>
      <c r="K5446" t="s">
        <v>22</v>
      </c>
      <c r="L5446" t="s">
        <v>60</v>
      </c>
      <c r="M5446" t="s">
        <v>328</v>
      </c>
      <c r="N5446">
        <v>40.393147999999997</v>
      </c>
      <c r="O5446">
        <v>-111.541718</v>
      </c>
      <c r="P5446">
        <v>5333.7808009999999</v>
      </c>
      <c r="Q5446">
        <v>403</v>
      </c>
      <c r="R5446">
        <v>0</v>
      </c>
    </row>
    <row r="5447" spans="1:18" x14ac:dyDescent="0.25">
      <c r="A5447">
        <v>5446</v>
      </c>
      <c r="B5447">
        <v>94</v>
      </c>
      <c r="C5447">
        <v>31712572</v>
      </c>
      <c r="D5447" t="s">
        <v>118</v>
      </c>
      <c r="E5447">
        <v>16.555</v>
      </c>
      <c r="F5447" t="s">
        <v>21</v>
      </c>
      <c r="G5447" t="s">
        <v>26</v>
      </c>
      <c r="H5447" t="s">
        <v>21</v>
      </c>
      <c r="I5447" t="s">
        <v>20</v>
      </c>
      <c r="J5447" t="s">
        <v>20</v>
      </c>
      <c r="K5447" t="s">
        <v>22</v>
      </c>
      <c r="L5447" t="s">
        <v>35</v>
      </c>
      <c r="M5447" t="s">
        <v>120</v>
      </c>
      <c r="N5447">
        <v>40.51294</v>
      </c>
      <c r="O5447">
        <v>-111.41340099999999</v>
      </c>
      <c r="P5447">
        <v>5536.5746360000003</v>
      </c>
      <c r="Q5447">
        <v>310</v>
      </c>
      <c r="R5447">
        <v>0</v>
      </c>
    </row>
    <row r="5448" spans="1:18" x14ac:dyDescent="0.25">
      <c r="A5448">
        <v>5447</v>
      </c>
      <c r="B5448">
        <v>94</v>
      </c>
      <c r="C5448">
        <v>31281623</v>
      </c>
      <c r="D5448" t="s">
        <v>288</v>
      </c>
      <c r="E5448">
        <v>16.559999999999999</v>
      </c>
      <c r="F5448" t="s">
        <v>21</v>
      </c>
      <c r="G5448" t="s">
        <v>20</v>
      </c>
      <c r="H5448" t="s">
        <v>21</v>
      </c>
      <c r="I5448" t="s">
        <v>20</v>
      </c>
      <c r="J5448" t="s">
        <v>20</v>
      </c>
      <c r="K5448" t="s">
        <v>27</v>
      </c>
      <c r="L5448" t="s">
        <v>211</v>
      </c>
      <c r="M5448" t="s">
        <v>318</v>
      </c>
      <c r="N5448">
        <v>37.206195999999998</v>
      </c>
      <c r="O5448">
        <v>-109.607705</v>
      </c>
      <c r="P5448">
        <v>4502.5428000000002</v>
      </c>
      <c r="Q5448">
        <v>350</v>
      </c>
      <c r="R5448">
        <v>0</v>
      </c>
    </row>
    <row r="5449" spans="1:18" x14ac:dyDescent="0.25">
      <c r="A5449">
        <v>5448</v>
      </c>
      <c r="B5449">
        <v>94</v>
      </c>
      <c r="C5449">
        <v>31305271</v>
      </c>
      <c r="D5449" t="s">
        <v>203</v>
      </c>
      <c r="E5449">
        <v>16.559999999999999</v>
      </c>
      <c r="F5449" t="s">
        <v>21</v>
      </c>
      <c r="G5449" t="s">
        <v>26</v>
      </c>
      <c r="H5449" t="s">
        <v>21</v>
      </c>
      <c r="I5449" t="s">
        <v>20</v>
      </c>
      <c r="J5449" t="s">
        <v>20</v>
      </c>
      <c r="K5449" t="s">
        <v>41</v>
      </c>
      <c r="L5449" t="s">
        <v>255</v>
      </c>
      <c r="M5449" t="s">
        <v>204</v>
      </c>
      <c r="N5449">
        <v>41.249592999999997</v>
      </c>
      <c r="O5449">
        <v>-111.79398500000001</v>
      </c>
      <c r="P5449">
        <v>4912.4472999999998</v>
      </c>
      <c r="Q5449">
        <v>1349</v>
      </c>
      <c r="R5449">
        <v>0</v>
      </c>
    </row>
    <row r="5450" spans="1:18" x14ac:dyDescent="0.25">
      <c r="A5450">
        <v>5449</v>
      </c>
      <c r="B5450">
        <v>94</v>
      </c>
      <c r="C5450">
        <v>28161973</v>
      </c>
      <c r="D5450" t="s">
        <v>239</v>
      </c>
      <c r="E5450">
        <v>16.585000000000001</v>
      </c>
      <c r="F5450" t="s">
        <v>21</v>
      </c>
      <c r="G5450" t="s">
        <v>26</v>
      </c>
      <c r="H5450" t="s">
        <v>21</v>
      </c>
      <c r="I5450" t="s">
        <v>20</v>
      </c>
      <c r="J5450" t="s">
        <v>20</v>
      </c>
      <c r="K5450" t="s">
        <v>41</v>
      </c>
      <c r="L5450" t="s">
        <v>181</v>
      </c>
      <c r="M5450" t="s">
        <v>178</v>
      </c>
      <c r="N5450">
        <v>41.711934999999997</v>
      </c>
      <c r="O5450">
        <v>-112.159943</v>
      </c>
      <c r="P5450">
        <v>4245.5629150000004</v>
      </c>
      <c r="Q5450">
        <v>1392</v>
      </c>
      <c r="R5450">
        <v>0</v>
      </c>
    </row>
    <row r="5451" spans="1:18" x14ac:dyDescent="0.25">
      <c r="A5451">
        <v>5450</v>
      </c>
      <c r="B5451">
        <v>94</v>
      </c>
      <c r="C5451">
        <v>31194201</v>
      </c>
      <c r="D5451" t="s">
        <v>339</v>
      </c>
      <c r="E5451">
        <v>16.585000000000001</v>
      </c>
      <c r="F5451" t="s">
        <v>21</v>
      </c>
      <c r="G5451" t="s">
        <v>26</v>
      </c>
      <c r="H5451" t="s">
        <v>21</v>
      </c>
      <c r="I5451" t="s">
        <v>20</v>
      </c>
      <c r="J5451" t="s">
        <v>20</v>
      </c>
      <c r="K5451" t="s">
        <v>41</v>
      </c>
      <c r="L5451" t="s">
        <v>95</v>
      </c>
      <c r="M5451" t="s">
        <v>73</v>
      </c>
      <c r="N5451">
        <v>41.922958000000001</v>
      </c>
      <c r="O5451">
        <v>-111.829168</v>
      </c>
      <c r="P5451">
        <v>4444.4994299999998</v>
      </c>
      <c r="Q5451">
        <v>1417</v>
      </c>
      <c r="R5451">
        <v>0</v>
      </c>
    </row>
    <row r="5452" spans="1:18" x14ac:dyDescent="0.25">
      <c r="A5452">
        <v>5451</v>
      </c>
      <c r="B5452">
        <v>94</v>
      </c>
      <c r="C5452" t="e">
        <f>-Ip5TMTII7TGrrnfHUd0Vk</f>
        <v>#NAME?</v>
      </c>
      <c r="D5452" t="s">
        <v>208</v>
      </c>
      <c r="E5452">
        <v>10.026999999999999</v>
      </c>
      <c r="F5452" t="s">
        <v>21</v>
      </c>
      <c r="G5452" t="s">
        <v>26</v>
      </c>
      <c r="H5452" t="s">
        <v>21</v>
      </c>
      <c r="I5452" t="s">
        <v>20</v>
      </c>
      <c r="J5452" t="s">
        <v>20</v>
      </c>
      <c r="K5452" t="s">
        <v>31</v>
      </c>
      <c r="L5452" t="s">
        <v>209</v>
      </c>
      <c r="M5452" t="s">
        <v>131</v>
      </c>
      <c r="N5452">
        <v>40.705576999999998</v>
      </c>
      <c r="O5452">
        <v>-111.54672100000001</v>
      </c>
      <c r="P5452">
        <v>6435.6834140000001</v>
      </c>
      <c r="Q5452">
        <v>357</v>
      </c>
      <c r="R5452">
        <v>0</v>
      </c>
    </row>
    <row r="5453" spans="1:18" x14ac:dyDescent="0.25">
      <c r="A5453">
        <v>5452</v>
      </c>
      <c r="B5453">
        <v>94</v>
      </c>
      <c r="C5453">
        <v>31314854</v>
      </c>
      <c r="D5453" t="s">
        <v>215</v>
      </c>
      <c r="E5453">
        <v>10.028</v>
      </c>
      <c r="F5453" t="s">
        <v>21</v>
      </c>
      <c r="G5453" t="s">
        <v>26</v>
      </c>
      <c r="H5453" t="s">
        <v>21</v>
      </c>
      <c r="I5453" t="s">
        <v>20</v>
      </c>
      <c r="J5453" t="s">
        <v>20</v>
      </c>
      <c r="K5453" t="s">
        <v>22</v>
      </c>
      <c r="L5453" t="s">
        <v>23</v>
      </c>
      <c r="M5453" t="s">
        <v>85</v>
      </c>
      <c r="N5453">
        <v>40.346936999999997</v>
      </c>
      <c r="O5453">
        <v>-111.740764</v>
      </c>
      <c r="P5453">
        <v>4479.9302790000002</v>
      </c>
      <c r="Q5453">
        <v>330</v>
      </c>
      <c r="R5453">
        <v>0</v>
      </c>
    </row>
    <row r="5454" spans="1:18" x14ac:dyDescent="0.25">
      <c r="A5454">
        <v>5453</v>
      </c>
      <c r="B5454">
        <v>94</v>
      </c>
      <c r="C5454">
        <v>31370823</v>
      </c>
      <c r="D5454" t="s">
        <v>345</v>
      </c>
      <c r="E5454">
        <v>10.037000000000001</v>
      </c>
      <c r="F5454" t="s">
        <v>21</v>
      </c>
      <c r="G5454" t="s">
        <v>26</v>
      </c>
      <c r="H5454" t="s">
        <v>19</v>
      </c>
      <c r="I5454">
        <v>258</v>
      </c>
      <c r="J5454" t="s">
        <v>20</v>
      </c>
      <c r="K5454" t="s">
        <v>27</v>
      </c>
      <c r="L5454" t="s">
        <v>75</v>
      </c>
      <c r="M5454" t="s">
        <v>76</v>
      </c>
      <c r="N5454">
        <v>38.688419000000003</v>
      </c>
      <c r="O5454">
        <v>-112.12168200000001</v>
      </c>
      <c r="P5454">
        <v>5282.4785590000001</v>
      </c>
      <c r="Q5454">
        <v>1403</v>
      </c>
      <c r="R5454">
        <v>0</v>
      </c>
    </row>
    <row r="5455" spans="1:18" x14ac:dyDescent="0.25">
      <c r="A5455">
        <v>5454</v>
      </c>
      <c r="B5455">
        <v>94</v>
      </c>
      <c r="C5455">
        <v>1441888</v>
      </c>
      <c r="D5455" t="s">
        <v>304</v>
      </c>
      <c r="E5455">
        <v>10.042999999999999</v>
      </c>
      <c r="F5455" t="s">
        <v>21</v>
      </c>
      <c r="G5455" t="s">
        <v>26</v>
      </c>
      <c r="H5455" t="s">
        <v>21</v>
      </c>
      <c r="I5455" t="s">
        <v>20</v>
      </c>
      <c r="J5455" t="s">
        <v>20</v>
      </c>
      <c r="K5455" t="s">
        <v>41</v>
      </c>
      <c r="L5455" t="s">
        <v>223</v>
      </c>
      <c r="M5455" t="s">
        <v>43</v>
      </c>
      <c r="N5455">
        <v>41.658650000000002</v>
      </c>
      <c r="O5455">
        <v>-112.086285</v>
      </c>
      <c r="P5455">
        <v>4253.6185939999996</v>
      </c>
      <c r="Q5455">
        <v>1348</v>
      </c>
      <c r="R5455">
        <v>0</v>
      </c>
    </row>
    <row r="5456" spans="1:18" x14ac:dyDescent="0.25">
      <c r="A5456">
        <v>5455</v>
      </c>
      <c r="B5456">
        <v>94</v>
      </c>
      <c r="C5456">
        <v>1508865</v>
      </c>
      <c r="D5456" t="s">
        <v>88</v>
      </c>
      <c r="E5456">
        <v>10.044</v>
      </c>
      <c r="F5456" t="s">
        <v>21</v>
      </c>
      <c r="G5456" t="s">
        <v>26</v>
      </c>
      <c r="H5456" t="s">
        <v>21</v>
      </c>
      <c r="I5456" t="s">
        <v>20</v>
      </c>
      <c r="J5456" t="s">
        <v>20</v>
      </c>
      <c r="K5456" t="s">
        <v>31</v>
      </c>
      <c r="L5456" t="s">
        <v>89</v>
      </c>
      <c r="M5456" t="s">
        <v>90</v>
      </c>
      <c r="N5456">
        <v>40.585366</v>
      </c>
      <c r="O5456">
        <v>-111.872192</v>
      </c>
      <c r="P5456">
        <v>4462.0458859999999</v>
      </c>
      <c r="Q5456">
        <v>318</v>
      </c>
      <c r="R5456">
        <v>0</v>
      </c>
    </row>
    <row r="5457" spans="1:18" x14ac:dyDescent="0.25">
      <c r="A5457">
        <v>5456</v>
      </c>
      <c r="B5457">
        <v>94</v>
      </c>
      <c r="C5457">
        <v>31890819</v>
      </c>
      <c r="D5457" t="s">
        <v>171</v>
      </c>
      <c r="E5457">
        <v>10.045999999999999</v>
      </c>
      <c r="F5457" t="s">
        <v>19</v>
      </c>
      <c r="G5457" t="s">
        <v>20</v>
      </c>
      <c r="H5457" t="s">
        <v>21</v>
      </c>
      <c r="I5457" t="s">
        <v>20</v>
      </c>
      <c r="J5457" t="s">
        <v>20</v>
      </c>
      <c r="K5457" t="s">
        <v>31</v>
      </c>
      <c r="L5457" t="s">
        <v>69</v>
      </c>
      <c r="M5457" t="s">
        <v>79</v>
      </c>
      <c r="N5457">
        <v>40.699787000000001</v>
      </c>
      <c r="O5457">
        <v>-111.901303</v>
      </c>
      <c r="P5457">
        <v>4188.0311890000003</v>
      </c>
      <c r="Q5457">
        <v>346</v>
      </c>
      <c r="R5457">
        <v>0</v>
      </c>
    </row>
    <row r="5458" spans="1:18" x14ac:dyDescent="0.25">
      <c r="A5458">
        <v>5457</v>
      </c>
      <c r="B5458">
        <v>94</v>
      </c>
      <c r="C5458">
        <v>1231983</v>
      </c>
      <c r="D5458" t="s">
        <v>189</v>
      </c>
      <c r="E5458">
        <v>1.829</v>
      </c>
      <c r="F5458" t="s">
        <v>19</v>
      </c>
      <c r="G5458" t="s">
        <v>20</v>
      </c>
      <c r="H5458" t="s">
        <v>21</v>
      </c>
      <c r="I5458" t="s">
        <v>20</v>
      </c>
      <c r="J5458" t="s">
        <v>20</v>
      </c>
      <c r="K5458" t="s">
        <v>41</v>
      </c>
      <c r="L5458" t="s">
        <v>81</v>
      </c>
      <c r="M5458" t="s">
        <v>190</v>
      </c>
      <c r="N5458">
        <v>41.179659999999998</v>
      </c>
      <c r="O5458">
        <v>-111.949195</v>
      </c>
      <c r="P5458">
        <v>4690.5343009999997</v>
      </c>
      <c r="Q5458">
        <v>412</v>
      </c>
      <c r="R5458">
        <v>0</v>
      </c>
    </row>
    <row r="5459" spans="1:18" x14ac:dyDescent="0.25">
      <c r="A5459">
        <v>5458</v>
      </c>
      <c r="B5459">
        <v>94</v>
      </c>
      <c r="C5459">
        <v>31406527</v>
      </c>
      <c r="D5459" t="s">
        <v>74</v>
      </c>
      <c r="E5459">
        <v>1.831</v>
      </c>
      <c r="F5459" t="s">
        <v>21</v>
      </c>
      <c r="G5459" t="s">
        <v>26</v>
      </c>
      <c r="H5459" t="s">
        <v>21</v>
      </c>
      <c r="I5459" t="s">
        <v>20</v>
      </c>
      <c r="J5459" t="s">
        <v>20</v>
      </c>
      <c r="K5459" t="s">
        <v>27</v>
      </c>
      <c r="L5459" t="s">
        <v>75</v>
      </c>
      <c r="M5459" t="s">
        <v>76</v>
      </c>
      <c r="N5459">
        <v>38.761136999999998</v>
      </c>
      <c r="O5459">
        <v>-112.084778</v>
      </c>
      <c r="P5459">
        <v>5239.9524819999997</v>
      </c>
      <c r="Q5459">
        <v>332</v>
      </c>
      <c r="R5459">
        <v>0</v>
      </c>
    </row>
    <row r="5460" spans="1:18" x14ac:dyDescent="0.25">
      <c r="A5460">
        <v>5459</v>
      </c>
      <c r="B5460">
        <v>94</v>
      </c>
      <c r="C5460">
        <v>31432711</v>
      </c>
      <c r="D5460" t="s">
        <v>216</v>
      </c>
      <c r="E5460">
        <v>1.831</v>
      </c>
      <c r="F5460" t="s">
        <v>21</v>
      </c>
      <c r="G5460" t="s">
        <v>26</v>
      </c>
      <c r="H5460" t="s">
        <v>21</v>
      </c>
      <c r="I5460" t="s">
        <v>20</v>
      </c>
      <c r="J5460" t="s">
        <v>20</v>
      </c>
      <c r="K5460" t="s">
        <v>27</v>
      </c>
      <c r="L5460" t="s">
        <v>158</v>
      </c>
      <c r="M5460" t="s">
        <v>159</v>
      </c>
      <c r="N5460">
        <v>39.666525</v>
      </c>
      <c r="O5460">
        <v>-110.849051</v>
      </c>
      <c r="P5460">
        <v>5778.7413500000002</v>
      </c>
      <c r="Q5460">
        <v>1428</v>
      </c>
      <c r="R5460">
        <v>0</v>
      </c>
    </row>
    <row r="5461" spans="1:18" x14ac:dyDescent="0.25">
      <c r="A5461">
        <v>5460</v>
      </c>
      <c r="B5461">
        <v>94</v>
      </c>
      <c r="C5461">
        <v>31192544</v>
      </c>
      <c r="D5461" t="s">
        <v>153</v>
      </c>
      <c r="E5461">
        <v>1.8340000000000001</v>
      </c>
      <c r="F5461" t="s">
        <v>21</v>
      </c>
      <c r="G5461" t="s">
        <v>26</v>
      </c>
      <c r="H5461" t="s">
        <v>21</v>
      </c>
      <c r="I5461" t="s">
        <v>20</v>
      </c>
      <c r="J5461" t="s">
        <v>20</v>
      </c>
      <c r="K5461" t="s">
        <v>22</v>
      </c>
      <c r="L5461" t="s">
        <v>84</v>
      </c>
      <c r="M5461" t="s">
        <v>85</v>
      </c>
      <c r="N5461">
        <v>40.384390000000003</v>
      </c>
      <c r="O5461">
        <v>-111.739806</v>
      </c>
      <c r="P5461">
        <v>4623.0494920000001</v>
      </c>
      <c r="R5461">
        <v>0</v>
      </c>
    </row>
    <row r="5462" spans="1:18" x14ac:dyDescent="0.25">
      <c r="A5462">
        <v>5461</v>
      </c>
      <c r="B5462">
        <v>94</v>
      </c>
      <c r="C5462">
        <v>1005684</v>
      </c>
      <c r="D5462" t="s">
        <v>171</v>
      </c>
      <c r="E5462">
        <v>1.8360000000000001</v>
      </c>
      <c r="F5462" t="s">
        <v>21</v>
      </c>
      <c r="G5462" t="s">
        <v>26</v>
      </c>
      <c r="H5462" t="s">
        <v>21</v>
      </c>
      <c r="I5462" t="s">
        <v>20</v>
      </c>
      <c r="J5462" t="s">
        <v>20</v>
      </c>
      <c r="K5462" t="s">
        <v>31</v>
      </c>
      <c r="L5462" t="s">
        <v>78</v>
      </c>
      <c r="M5462" t="s">
        <v>79</v>
      </c>
      <c r="N5462">
        <v>40.696511999999998</v>
      </c>
      <c r="O5462">
        <v>-112.056765</v>
      </c>
      <c r="P5462">
        <v>4257.0675440000005</v>
      </c>
      <c r="Q5462">
        <v>346</v>
      </c>
      <c r="R5462">
        <v>0</v>
      </c>
    </row>
    <row r="5463" spans="1:18" x14ac:dyDescent="0.25">
      <c r="A5463">
        <v>5462</v>
      </c>
      <c r="B5463">
        <v>94</v>
      </c>
      <c r="C5463">
        <v>31535313</v>
      </c>
      <c r="D5463" t="s">
        <v>53</v>
      </c>
      <c r="E5463">
        <v>1.8360000000000001</v>
      </c>
      <c r="F5463" t="s">
        <v>21</v>
      </c>
      <c r="G5463" t="s">
        <v>26</v>
      </c>
      <c r="H5463" t="s">
        <v>21</v>
      </c>
      <c r="I5463" t="s">
        <v>20</v>
      </c>
      <c r="J5463" t="s">
        <v>20</v>
      </c>
      <c r="K5463" t="s">
        <v>27</v>
      </c>
      <c r="L5463" t="s">
        <v>54</v>
      </c>
      <c r="M5463" t="s">
        <v>55</v>
      </c>
      <c r="N5463">
        <v>37.676119999999997</v>
      </c>
      <c r="O5463">
        <v>-113.06686500000001</v>
      </c>
      <c r="P5463">
        <v>5766.4974400000001</v>
      </c>
      <c r="Q5463">
        <v>1285</v>
      </c>
      <c r="R5463">
        <v>0</v>
      </c>
    </row>
    <row r="5464" spans="1:18" x14ac:dyDescent="0.25">
      <c r="A5464">
        <v>5463</v>
      </c>
      <c r="B5464">
        <v>94</v>
      </c>
      <c r="C5464">
        <v>31279271</v>
      </c>
      <c r="D5464" t="s">
        <v>731</v>
      </c>
      <c r="E5464">
        <v>1.837</v>
      </c>
      <c r="F5464" t="s">
        <v>21</v>
      </c>
      <c r="G5464" t="s">
        <v>20</v>
      </c>
      <c r="H5464" t="s">
        <v>21</v>
      </c>
      <c r="I5464" t="s">
        <v>20</v>
      </c>
      <c r="J5464" t="s">
        <v>20</v>
      </c>
      <c r="K5464" t="s">
        <v>27</v>
      </c>
      <c r="L5464" t="s">
        <v>501</v>
      </c>
      <c r="M5464" t="s">
        <v>200</v>
      </c>
      <c r="N5464">
        <v>37.595030999999999</v>
      </c>
      <c r="O5464">
        <v>-112.849614</v>
      </c>
      <c r="P5464">
        <v>10192.738626</v>
      </c>
      <c r="Q5464">
        <v>1421</v>
      </c>
      <c r="R5464">
        <v>0</v>
      </c>
    </row>
    <row r="5465" spans="1:18" x14ac:dyDescent="0.25">
      <c r="A5465">
        <v>5464</v>
      </c>
      <c r="B5465">
        <v>94</v>
      </c>
      <c r="C5465">
        <v>1257544</v>
      </c>
      <c r="D5465" t="s">
        <v>128</v>
      </c>
      <c r="E5465">
        <v>1.839</v>
      </c>
      <c r="F5465" t="s">
        <v>21</v>
      </c>
      <c r="G5465" t="s">
        <v>26</v>
      </c>
      <c r="H5465" t="s">
        <v>21</v>
      </c>
      <c r="I5465" t="s">
        <v>20</v>
      </c>
      <c r="J5465" t="s">
        <v>20</v>
      </c>
      <c r="K5465" t="s">
        <v>41</v>
      </c>
      <c r="L5465" t="s">
        <v>42</v>
      </c>
      <c r="M5465" t="s">
        <v>73</v>
      </c>
      <c r="N5465">
        <v>41.724207</v>
      </c>
      <c r="O5465">
        <v>-111.859996</v>
      </c>
      <c r="P5465">
        <v>4414.8223189999999</v>
      </c>
      <c r="Q5465">
        <v>5943</v>
      </c>
      <c r="R5465">
        <v>0</v>
      </c>
    </row>
    <row r="5466" spans="1:18" x14ac:dyDescent="0.25">
      <c r="A5466">
        <v>5465</v>
      </c>
      <c r="B5466">
        <v>94</v>
      </c>
      <c r="C5466" t="s">
        <v>732</v>
      </c>
      <c r="D5466" t="s">
        <v>167</v>
      </c>
      <c r="E5466">
        <v>1.839</v>
      </c>
      <c r="F5466" t="s">
        <v>21</v>
      </c>
      <c r="G5466" t="s">
        <v>20</v>
      </c>
      <c r="H5466" t="s">
        <v>21</v>
      </c>
      <c r="I5466" t="s">
        <v>20</v>
      </c>
      <c r="J5466" t="s">
        <v>20</v>
      </c>
      <c r="K5466" t="s">
        <v>22</v>
      </c>
      <c r="L5466" t="s">
        <v>168</v>
      </c>
      <c r="M5466" t="s">
        <v>169</v>
      </c>
      <c r="N5466">
        <v>40.231296999999998</v>
      </c>
      <c r="O5466">
        <v>-110.719335</v>
      </c>
      <c r="P5466">
        <v>6548.2040859999997</v>
      </c>
      <c r="Q5466">
        <v>354</v>
      </c>
      <c r="R5466">
        <v>0</v>
      </c>
    </row>
    <row r="5467" spans="1:18" x14ac:dyDescent="0.25">
      <c r="A5467">
        <v>5466</v>
      </c>
      <c r="B5467">
        <v>94</v>
      </c>
      <c r="C5467">
        <v>31462135</v>
      </c>
      <c r="D5467" t="s">
        <v>218</v>
      </c>
      <c r="E5467">
        <v>1.84</v>
      </c>
      <c r="F5467" t="s">
        <v>21</v>
      </c>
      <c r="G5467" t="s">
        <v>26</v>
      </c>
      <c r="H5467" t="s">
        <v>21</v>
      </c>
      <c r="I5467" t="s">
        <v>20</v>
      </c>
      <c r="J5467" t="s">
        <v>20</v>
      </c>
      <c r="K5467" t="s">
        <v>27</v>
      </c>
      <c r="L5467" t="s">
        <v>183</v>
      </c>
      <c r="M5467" t="s">
        <v>76</v>
      </c>
      <c r="N5467">
        <v>38.999930999999997</v>
      </c>
      <c r="O5467">
        <v>-111.861476</v>
      </c>
      <c r="P5467">
        <v>5044.7022029999998</v>
      </c>
      <c r="Q5467">
        <v>360</v>
      </c>
      <c r="R5467">
        <v>0</v>
      </c>
    </row>
    <row r="5468" spans="1:18" x14ac:dyDescent="0.25">
      <c r="A5468">
        <v>5467</v>
      </c>
      <c r="B5468">
        <v>94</v>
      </c>
      <c r="C5468" t="s">
        <v>733</v>
      </c>
      <c r="D5468" t="s">
        <v>148</v>
      </c>
      <c r="E5468">
        <v>1.8440000000000001</v>
      </c>
      <c r="F5468" t="s">
        <v>21</v>
      </c>
      <c r="G5468" t="s">
        <v>26</v>
      </c>
      <c r="H5468" t="s">
        <v>21</v>
      </c>
      <c r="I5468" t="s">
        <v>20</v>
      </c>
      <c r="J5468" t="s">
        <v>20</v>
      </c>
      <c r="K5468" t="s">
        <v>31</v>
      </c>
      <c r="L5468" t="s">
        <v>149</v>
      </c>
      <c r="M5468" t="s">
        <v>131</v>
      </c>
      <c r="N5468">
        <v>40.767578</v>
      </c>
      <c r="O5468">
        <v>-111.38563000000001</v>
      </c>
      <c r="P5468">
        <v>6037.3174099999997</v>
      </c>
      <c r="Q5468">
        <v>263</v>
      </c>
      <c r="R5468">
        <v>0</v>
      </c>
    </row>
    <row r="5469" spans="1:18" x14ac:dyDescent="0.25">
      <c r="A5469">
        <v>5468</v>
      </c>
      <c r="B5469">
        <v>94</v>
      </c>
      <c r="C5469">
        <v>1547165</v>
      </c>
      <c r="D5469" t="s">
        <v>92</v>
      </c>
      <c r="E5469">
        <v>1.845</v>
      </c>
      <c r="F5469" t="s">
        <v>21</v>
      </c>
      <c r="G5469" t="s">
        <v>26</v>
      </c>
      <c r="H5469" t="s">
        <v>21</v>
      </c>
      <c r="I5469" t="s">
        <v>20</v>
      </c>
      <c r="J5469" t="s">
        <v>20</v>
      </c>
      <c r="K5469" t="s">
        <v>41</v>
      </c>
      <c r="L5469" t="s">
        <v>87</v>
      </c>
      <c r="M5469" t="s">
        <v>93</v>
      </c>
      <c r="N5469">
        <v>41.097389999999997</v>
      </c>
      <c r="O5469">
        <v>-111.973434</v>
      </c>
      <c r="P5469">
        <v>4568.4183949999997</v>
      </c>
      <c r="Q5469">
        <v>252</v>
      </c>
      <c r="R5469">
        <v>0</v>
      </c>
    </row>
    <row r="5470" spans="1:18" x14ac:dyDescent="0.25">
      <c r="A5470">
        <v>5469</v>
      </c>
      <c r="B5470">
        <v>94</v>
      </c>
      <c r="C5470">
        <v>1404675</v>
      </c>
      <c r="D5470" t="s">
        <v>88</v>
      </c>
      <c r="E5470">
        <v>1.847</v>
      </c>
      <c r="F5470" t="s">
        <v>21</v>
      </c>
      <c r="G5470" t="s">
        <v>26</v>
      </c>
      <c r="H5470" t="s">
        <v>21</v>
      </c>
      <c r="I5470" t="s">
        <v>20</v>
      </c>
      <c r="J5470" t="s">
        <v>20</v>
      </c>
      <c r="K5470" t="s">
        <v>31</v>
      </c>
      <c r="L5470" t="s">
        <v>89</v>
      </c>
      <c r="M5470" t="s">
        <v>90</v>
      </c>
      <c r="N5470">
        <v>40.522272999999998</v>
      </c>
      <c r="O5470">
        <v>-111.94882</v>
      </c>
      <c r="P5470">
        <v>4421.6227939999999</v>
      </c>
      <c r="Q5470">
        <v>318</v>
      </c>
      <c r="R5470">
        <v>0</v>
      </c>
    </row>
    <row r="5471" spans="1:18" x14ac:dyDescent="0.25">
      <c r="A5471">
        <v>5470</v>
      </c>
      <c r="B5471">
        <v>94</v>
      </c>
      <c r="C5471">
        <v>31597479</v>
      </c>
      <c r="D5471" t="s">
        <v>50</v>
      </c>
      <c r="E5471">
        <v>1.849</v>
      </c>
      <c r="F5471" t="s">
        <v>21</v>
      </c>
      <c r="G5471" t="s">
        <v>26</v>
      </c>
      <c r="H5471" t="s">
        <v>21</v>
      </c>
      <c r="I5471" t="s">
        <v>20</v>
      </c>
      <c r="J5471" t="s">
        <v>20</v>
      </c>
      <c r="K5471" t="s">
        <v>27</v>
      </c>
      <c r="L5471" t="s">
        <v>51</v>
      </c>
      <c r="M5471" t="s">
        <v>52</v>
      </c>
      <c r="N5471">
        <v>37.838755999999997</v>
      </c>
      <c r="O5471">
        <v>-112.837898</v>
      </c>
      <c r="P5471">
        <v>5898.121744</v>
      </c>
      <c r="Q5471">
        <v>1418</v>
      </c>
      <c r="R5471">
        <v>0</v>
      </c>
    </row>
    <row r="5472" spans="1:18" x14ac:dyDescent="0.25">
      <c r="A5472">
        <v>5471</v>
      </c>
      <c r="B5472">
        <v>94</v>
      </c>
      <c r="C5472">
        <v>28377969</v>
      </c>
      <c r="D5472" t="s">
        <v>99</v>
      </c>
      <c r="E5472">
        <v>1.85</v>
      </c>
      <c r="F5472" t="s">
        <v>19</v>
      </c>
      <c r="G5472" t="s">
        <v>20</v>
      </c>
      <c r="H5472" t="s">
        <v>21</v>
      </c>
      <c r="I5472" t="s">
        <v>20</v>
      </c>
      <c r="J5472" t="s">
        <v>20</v>
      </c>
      <c r="K5472" t="s">
        <v>41</v>
      </c>
      <c r="L5472" t="s">
        <v>81</v>
      </c>
      <c r="M5472" t="s">
        <v>82</v>
      </c>
      <c r="N5472">
        <v>41.204838000000002</v>
      </c>
      <c r="O5472">
        <v>-112.00646500000001</v>
      </c>
      <c r="P5472">
        <v>4349.8861200000001</v>
      </c>
      <c r="Q5472">
        <v>1376</v>
      </c>
      <c r="R5472">
        <v>0</v>
      </c>
    </row>
    <row r="5473" spans="1:18" x14ac:dyDescent="0.25">
      <c r="A5473">
        <v>5472</v>
      </c>
      <c r="B5473">
        <v>94</v>
      </c>
      <c r="C5473" t="e">
        <f>-JN088tEHNqhpk6n0bMRKk</f>
        <v>#NAME?</v>
      </c>
      <c r="D5473" t="s">
        <v>184</v>
      </c>
      <c r="E5473">
        <v>7.3559999999999999</v>
      </c>
      <c r="F5473" t="s">
        <v>21</v>
      </c>
      <c r="G5473" t="s">
        <v>26</v>
      </c>
      <c r="H5473" t="s">
        <v>21</v>
      </c>
      <c r="I5473" t="s">
        <v>20</v>
      </c>
      <c r="J5473" t="s">
        <v>20</v>
      </c>
      <c r="K5473" t="s">
        <v>27</v>
      </c>
      <c r="L5473" t="s">
        <v>54</v>
      </c>
      <c r="M5473" t="s">
        <v>55</v>
      </c>
      <c r="N5473">
        <v>37.744598000000003</v>
      </c>
      <c r="O5473">
        <v>-113.05529900000001</v>
      </c>
      <c r="P5473">
        <v>5494.7008919999998</v>
      </c>
      <c r="Q5473">
        <v>1410</v>
      </c>
      <c r="R5473">
        <v>0</v>
      </c>
    </row>
    <row r="5474" spans="1:18" x14ac:dyDescent="0.25">
      <c r="A5474">
        <v>5473</v>
      </c>
      <c r="B5474">
        <v>94</v>
      </c>
      <c r="C5474">
        <v>31389136</v>
      </c>
      <c r="D5474" t="s">
        <v>364</v>
      </c>
      <c r="E5474">
        <v>7.3609999999999998</v>
      </c>
      <c r="F5474" t="s">
        <v>21</v>
      </c>
      <c r="G5474" t="s">
        <v>26</v>
      </c>
      <c r="H5474" t="s">
        <v>21</v>
      </c>
      <c r="I5474" t="s">
        <v>20</v>
      </c>
      <c r="J5474" t="s">
        <v>20</v>
      </c>
      <c r="K5474" t="s">
        <v>22</v>
      </c>
      <c r="L5474" t="s">
        <v>140</v>
      </c>
      <c r="M5474" t="s">
        <v>85</v>
      </c>
      <c r="N5474">
        <v>40.108015000000002</v>
      </c>
      <c r="O5474">
        <v>-111.671516</v>
      </c>
      <c r="P5474">
        <v>4513.5482309999998</v>
      </c>
      <c r="Q5474">
        <v>1401</v>
      </c>
      <c r="R5474">
        <v>0</v>
      </c>
    </row>
    <row r="5475" spans="1:18" x14ac:dyDescent="0.25">
      <c r="A5475">
        <v>5474</v>
      </c>
      <c r="B5475">
        <v>94</v>
      </c>
      <c r="C5475">
        <v>31370096</v>
      </c>
      <c r="D5475" t="s">
        <v>345</v>
      </c>
      <c r="E5475">
        <v>7.3680000000000003</v>
      </c>
      <c r="F5475" t="s">
        <v>21</v>
      </c>
      <c r="G5475" t="s">
        <v>26</v>
      </c>
      <c r="H5475" t="s">
        <v>21</v>
      </c>
      <c r="I5475" t="s">
        <v>20</v>
      </c>
      <c r="J5475" t="s">
        <v>20</v>
      </c>
      <c r="K5475" t="s">
        <v>27</v>
      </c>
      <c r="L5475" t="s">
        <v>75</v>
      </c>
      <c r="M5475" t="s">
        <v>76</v>
      </c>
      <c r="N5475">
        <v>38.649754999999999</v>
      </c>
      <c r="O5475">
        <v>-112.121493</v>
      </c>
      <c r="P5475">
        <v>5260.0677530000003</v>
      </c>
      <c r="Q5475">
        <v>1403</v>
      </c>
      <c r="R5475">
        <v>0</v>
      </c>
    </row>
    <row r="5476" spans="1:18" x14ac:dyDescent="0.25">
      <c r="A5476">
        <v>5475</v>
      </c>
      <c r="B5476">
        <v>94</v>
      </c>
      <c r="C5476" t="s">
        <v>734</v>
      </c>
      <c r="D5476" t="s">
        <v>115</v>
      </c>
      <c r="E5476">
        <v>7.3689999999999998</v>
      </c>
      <c r="F5476" t="s">
        <v>19</v>
      </c>
      <c r="G5476" t="s">
        <v>20</v>
      </c>
      <c r="H5476" t="s">
        <v>21</v>
      </c>
      <c r="I5476" t="s">
        <v>20</v>
      </c>
      <c r="J5476" t="s">
        <v>20</v>
      </c>
      <c r="K5476" t="s">
        <v>31</v>
      </c>
      <c r="L5476" t="s">
        <v>69</v>
      </c>
      <c r="M5476" t="s">
        <v>70</v>
      </c>
      <c r="N5476">
        <v>40.653086999999999</v>
      </c>
      <c r="O5476">
        <v>-111.936891</v>
      </c>
      <c r="P5476">
        <v>4271.2893969999996</v>
      </c>
      <c r="Q5476">
        <v>1437</v>
      </c>
      <c r="R5476">
        <v>0</v>
      </c>
    </row>
    <row r="5477" spans="1:18" x14ac:dyDescent="0.25">
      <c r="A5477">
        <v>5476</v>
      </c>
      <c r="B5477">
        <v>94</v>
      </c>
      <c r="C5477">
        <v>31191872</v>
      </c>
      <c r="D5477" t="s">
        <v>414</v>
      </c>
      <c r="E5477">
        <v>7.3739999999999997</v>
      </c>
      <c r="F5477" t="s">
        <v>21</v>
      </c>
      <c r="G5477" t="s">
        <v>26</v>
      </c>
      <c r="H5477" t="s">
        <v>21</v>
      </c>
      <c r="I5477" t="s">
        <v>20</v>
      </c>
      <c r="J5477" t="s">
        <v>20</v>
      </c>
      <c r="K5477" t="s">
        <v>27</v>
      </c>
      <c r="L5477" t="s">
        <v>350</v>
      </c>
      <c r="M5477" t="s">
        <v>58</v>
      </c>
      <c r="N5477">
        <v>39.115794000000001</v>
      </c>
      <c r="O5477">
        <v>-111.71065</v>
      </c>
      <c r="P5477">
        <v>5489.8736669999998</v>
      </c>
      <c r="Q5477">
        <v>336</v>
      </c>
      <c r="R5477">
        <v>0</v>
      </c>
    </row>
    <row r="5478" spans="1:18" x14ac:dyDescent="0.25">
      <c r="A5478">
        <v>5477</v>
      </c>
      <c r="B5478">
        <v>94</v>
      </c>
      <c r="C5478">
        <v>31195053</v>
      </c>
      <c r="D5478" t="s">
        <v>126</v>
      </c>
      <c r="E5478">
        <v>7.3739999999999997</v>
      </c>
      <c r="F5478" t="s">
        <v>21</v>
      </c>
      <c r="G5478" t="s">
        <v>26</v>
      </c>
      <c r="H5478" t="s">
        <v>21</v>
      </c>
      <c r="I5478" t="s">
        <v>20</v>
      </c>
      <c r="J5478" t="s">
        <v>20</v>
      </c>
      <c r="K5478" t="s">
        <v>41</v>
      </c>
      <c r="L5478" t="s">
        <v>57</v>
      </c>
      <c r="M5478" t="s">
        <v>93</v>
      </c>
      <c r="N5478">
        <v>41.298045999999999</v>
      </c>
      <c r="O5478">
        <v>-112.091944</v>
      </c>
      <c r="P5478">
        <v>4182.7096979999997</v>
      </c>
      <c r="Q5478">
        <v>1412</v>
      </c>
      <c r="R5478">
        <v>0</v>
      </c>
    </row>
    <row r="5479" spans="1:18" x14ac:dyDescent="0.25">
      <c r="A5479">
        <v>5478</v>
      </c>
      <c r="B5479">
        <v>94</v>
      </c>
      <c r="C5479">
        <v>31391631</v>
      </c>
      <c r="D5479" t="s">
        <v>203</v>
      </c>
      <c r="E5479">
        <v>7.3789999999999996</v>
      </c>
      <c r="F5479" t="s">
        <v>21</v>
      </c>
      <c r="G5479" t="s">
        <v>26</v>
      </c>
      <c r="H5479" t="s">
        <v>21</v>
      </c>
      <c r="I5479" t="s">
        <v>20</v>
      </c>
      <c r="J5479" t="s">
        <v>20</v>
      </c>
      <c r="K5479" t="s">
        <v>41</v>
      </c>
      <c r="L5479" t="s">
        <v>81</v>
      </c>
      <c r="M5479" t="s">
        <v>204</v>
      </c>
      <c r="N5479">
        <v>41.244073</v>
      </c>
      <c r="O5479">
        <v>-111.95101099999999</v>
      </c>
      <c r="P5479">
        <v>4286.541099</v>
      </c>
      <c r="Q5479">
        <v>1349</v>
      </c>
      <c r="R5479">
        <v>0</v>
      </c>
    </row>
    <row r="5480" spans="1:18" x14ac:dyDescent="0.25">
      <c r="A5480">
        <v>5479</v>
      </c>
      <c r="B5480">
        <v>94</v>
      </c>
      <c r="C5480">
        <v>1388608</v>
      </c>
      <c r="D5480" t="s">
        <v>363</v>
      </c>
      <c r="E5480">
        <v>7.3810000000000002</v>
      </c>
      <c r="F5480" t="s">
        <v>21</v>
      </c>
      <c r="G5480" t="s">
        <v>26</v>
      </c>
      <c r="H5480" t="s">
        <v>21</v>
      </c>
      <c r="I5480" t="s">
        <v>20</v>
      </c>
      <c r="J5480" t="s">
        <v>20</v>
      </c>
      <c r="K5480" t="s">
        <v>41</v>
      </c>
      <c r="L5480" t="s">
        <v>95</v>
      </c>
      <c r="M5480" t="s">
        <v>73</v>
      </c>
      <c r="N5480">
        <v>41.838650999999999</v>
      </c>
      <c r="O5480">
        <v>-111.848934</v>
      </c>
      <c r="P5480">
        <v>4477.7183400000004</v>
      </c>
      <c r="Q5480">
        <v>356</v>
      </c>
      <c r="R5480">
        <v>0</v>
      </c>
    </row>
    <row r="5481" spans="1:18" x14ac:dyDescent="0.25">
      <c r="A5481">
        <v>5480</v>
      </c>
      <c r="B5481">
        <v>94</v>
      </c>
      <c r="C5481">
        <v>1013214</v>
      </c>
      <c r="D5481" t="s">
        <v>65</v>
      </c>
      <c r="E5481">
        <v>7.3819999999999997</v>
      </c>
      <c r="F5481" t="s">
        <v>19</v>
      </c>
      <c r="G5481" t="s">
        <v>20</v>
      </c>
      <c r="H5481" t="s">
        <v>21</v>
      </c>
      <c r="I5481" t="s">
        <v>20</v>
      </c>
      <c r="J5481" t="s">
        <v>20</v>
      </c>
      <c r="K5481" t="s">
        <v>31</v>
      </c>
      <c r="L5481" t="s">
        <v>188</v>
      </c>
      <c r="M5481" t="s">
        <v>67</v>
      </c>
      <c r="N5481">
        <v>40.733567999999998</v>
      </c>
      <c r="O5481">
        <v>-111.82032599999999</v>
      </c>
      <c r="P5481">
        <v>4688.5690329999998</v>
      </c>
      <c r="Q5481">
        <v>402</v>
      </c>
      <c r="R5481">
        <v>0</v>
      </c>
    </row>
    <row r="5482" spans="1:18" x14ac:dyDescent="0.25">
      <c r="A5482">
        <v>5481</v>
      </c>
      <c r="B5482">
        <v>94</v>
      </c>
      <c r="C5482">
        <v>2490608</v>
      </c>
      <c r="D5482" t="s">
        <v>735</v>
      </c>
      <c r="E5482">
        <v>7.383</v>
      </c>
      <c r="F5482" t="s">
        <v>21</v>
      </c>
      <c r="G5482" t="s">
        <v>26</v>
      </c>
      <c r="H5482" t="s">
        <v>19</v>
      </c>
      <c r="I5482">
        <v>30</v>
      </c>
      <c r="J5482" t="s">
        <v>20</v>
      </c>
      <c r="K5482" t="s">
        <v>41</v>
      </c>
      <c r="L5482" t="s">
        <v>291</v>
      </c>
      <c r="M5482" t="s">
        <v>238</v>
      </c>
      <c r="N5482">
        <v>41.965518000000003</v>
      </c>
      <c r="O5482">
        <v>-113.06064000000001</v>
      </c>
      <c r="P5482">
        <v>4798.401151</v>
      </c>
      <c r="Q5482">
        <v>1352</v>
      </c>
      <c r="R5482">
        <v>0</v>
      </c>
    </row>
    <row r="5483" spans="1:18" x14ac:dyDescent="0.25">
      <c r="A5483">
        <v>5482</v>
      </c>
      <c r="B5483">
        <v>94</v>
      </c>
      <c r="C5483">
        <v>28587850</v>
      </c>
      <c r="D5483" t="s">
        <v>142</v>
      </c>
      <c r="E5483">
        <v>5.9580000000000002</v>
      </c>
      <c r="F5483" t="s">
        <v>21</v>
      </c>
      <c r="G5483" t="s">
        <v>26</v>
      </c>
      <c r="H5483" t="s">
        <v>21</v>
      </c>
      <c r="I5483" t="s">
        <v>20</v>
      </c>
      <c r="J5483" t="s">
        <v>20</v>
      </c>
      <c r="K5483" t="s">
        <v>27</v>
      </c>
      <c r="L5483" t="s">
        <v>143</v>
      </c>
      <c r="M5483" t="s">
        <v>106</v>
      </c>
      <c r="N5483">
        <v>38.874721000000001</v>
      </c>
      <c r="O5483">
        <v>-114.003636</v>
      </c>
      <c r="P5483">
        <v>5308.4085750000004</v>
      </c>
      <c r="Q5483">
        <v>305</v>
      </c>
      <c r="R5483">
        <v>0</v>
      </c>
    </row>
    <row r="5484" spans="1:18" x14ac:dyDescent="0.25">
      <c r="A5484">
        <v>5483</v>
      </c>
      <c r="B5484">
        <v>94</v>
      </c>
      <c r="C5484">
        <v>31299014</v>
      </c>
      <c r="D5484" t="s">
        <v>203</v>
      </c>
      <c r="E5484">
        <v>5.96</v>
      </c>
      <c r="F5484" t="s">
        <v>19</v>
      </c>
      <c r="G5484" t="s">
        <v>20</v>
      </c>
      <c r="H5484" t="s">
        <v>19</v>
      </c>
      <c r="I5484">
        <v>204</v>
      </c>
      <c r="J5484" t="s">
        <v>20</v>
      </c>
      <c r="K5484" t="s">
        <v>41</v>
      </c>
      <c r="L5484" t="s">
        <v>81</v>
      </c>
      <c r="M5484" t="s">
        <v>204</v>
      </c>
      <c r="N5484">
        <v>41.244191000000001</v>
      </c>
      <c r="O5484">
        <v>-111.97832</v>
      </c>
      <c r="P5484">
        <v>4228.9553489999998</v>
      </c>
      <c r="Q5484">
        <v>1349</v>
      </c>
      <c r="R5484">
        <v>0</v>
      </c>
    </row>
    <row r="5485" spans="1:18" x14ac:dyDescent="0.25">
      <c r="A5485">
        <v>5484</v>
      </c>
      <c r="B5485">
        <v>94</v>
      </c>
      <c r="C5485">
        <v>27524902</v>
      </c>
      <c r="D5485" t="s">
        <v>383</v>
      </c>
      <c r="E5485">
        <v>4.4119999999999999</v>
      </c>
      <c r="F5485" t="s">
        <v>21</v>
      </c>
      <c r="G5485" t="s">
        <v>26</v>
      </c>
      <c r="H5485" t="s">
        <v>21</v>
      </c>
      <c r="I5485" t="s">
        <v>20</v>
      </c>
      <c r="J5485" t="s">
        <v>20</v>
      </c>
      <c r="K5485" t="s">
        <v>31</v>
      </c>
      <c r="L5485" t="s">
        <v>48</v>
      </c>
      <c r="M5485" t="s">
        <v>335</v>
      </c>
      <c r="N5485">
        <v>40.586601000000002</v>
      </c>
      <c r="O5485">
        <v>-112.039125</v>
      </c>
      <c r="P5485">
        <v>4896.482</v>
      </c>
      <c r="Q5485">
        <v>414</v>
      </c>
      <c r="R5485">
        <v>0</v>
      </c>
    </row>
    <row r="5486" spans="1:18" x14ac:dyDescent="0.25">
      <c r="A5486">
        <v>5485</v>
      </c>
      <c r="B5486">
        <v>94</v>
      </c>
      <c r="C5486">
        <v>27524933</v>
      </c>
      <c r="D5486" t="s">
        <v>383</v>
      </c>
      <c r="E5486">
        <v>4.6429999999999998</v>
      </c>
      <c r="F5486" t="s">
        <v>21</v>
      </c>
      <c r="G5486" t="s">
        <v>26</v>
      </c>
      <c r="H5486" t="s">
        <v>21</v>
      </c>
      <c r="I5486" t="s">
        <v>20</v>
      </c>
      <c r="J5486" t="s">
        <v>20</v>
      </c>
      <c r="K5486" t="s">
        <v>31</v>
      </c>
      <c r="L5486" t="s">
        <v>48</v>
      </c>
      <c r="M5486" t="s">
        <v>335</v>
      </c>
      <c r="N5486">
        <v>40.587797999999999</v>
      </c>
      <c r="O5486">
        <v>-112.03508100000001</v>
      </c>
      <c r="P5486">
        <v>4866.5569999999998</v>
      </c>
      <c r="Q5486">
        <v>414</v>
      </c>
      <c r="R5486">
        <v>0</v>
      </c>
    </row>
    <row r="5487" spans="1:18" x14ac:dyDescent="0.25">
      <c r="A5487">
        <v>5486</v>
      </c>
      <c r="B5487">
        <v>94</v>
      </c>
      <c r="C5487">
        <v>31633105</v>
      </c>
      <c r="D5487" t="s">
        <v>383</v>
      </c>
      <c r="E5487">
        <v>9.6959999999999997</v>
      </c>
      <c r="F5487" t="s">
        <v>19</v>
      </c>
      <c r="G5487" t="s">
        <v>20</v>
      </c>
      <c r="H5487" t="s">
        <v>19</v>
      </c>
      <c r="I5487">
        <v>68</v>
      </c>
      <c r="J5487" t="s">
        <v>20</v>
      </c>
      <c r="K5487" t="s">
        <v>31</v>
      </c>
      <c r="L5487" t="s">
        <v>48</v>
      </c>
      <c r="M5487" t="s">
        <v>384</v>
      </c>
      <c r="N5487">
        <v>40.587657999999998</v>
      </c>
      <c r="O5487">
        <v>-111.938695</v>
      </c>
      <c r="P5487">
        <v>4345.12</v>
      </c>
      <c r="Q5487">
        <v>414</v>
      </c>
      <c r="R5487">
        <v>0</v>
      </c>
    </row>
    <row r="5488" spans="1:18" x14ac:dyDescent="0.25">
      <c r="A5488">
        <v>5487</v>
      </c>
      <c r="B5488">
        <v>94</v>
      </c>
      <c r="C5488">
        <v>31635492</v>
      </c>
      <c r="D5488" t="s">
        <v>227</v>
      </c>
      <c r="E5488">
        <v>10.602</v>
      </c>
      <c r="F5488" t="s">
        <v>21</v>
      </c>
      <c r="G5488" t="s">
        <v>26</v>
      </c>
      <c r="H5488" t="s">
        <v>21</v>
      </c>
      <c r="I5488" t="s">
        <v>20</v>
      </c>
      <c r="J5488" t="s">
        <v>20</v>
      </c>
      <c r="K5488" t="s">
        <v>27</v>
      </c>
      <c r="L5488" t="s">
        <v>158</v>
      </c>
      <c r="M5488" t="s">
        <v>190</v>
      </c>
      <c r="N5488">
        <v>39.553137</v>
      </c>
      <c r="O5488">
        <v>-110.38311</v>
      </c>
      <c r="P5488">
        <v>6505.4723839999997</v>
      </c>
      <c r="Q5488">
        <v>1407</v>
      </c>
      <c r="R5488">
        <v>0</v>
      </c>
    </row>
    <row r="5489" spans="1:18" x14ac:dyDescent="0.25">
      <c r="A5489">
        <v>5488</v>
      </c>
      <c r="B5489">
        <v>94</v>
      </c>
      <c r="C5489">
        <v>31274540</v>
      </c>
      <c r="D5489" t="s">
        <v>303</v>
      </c>
      <c r="E5489">
        <v>10.613</v>
      </c>
      <c r="F5489" t="s">
        <v>21</v>
      </c>
      <c r="G5489" t="s">
        <v>26</v>
      </c>
      <c r="H5489" t="s">
        <v>21</v>
      </c>
      <c r="I5489" t="s">
        <v>20</v>
      </c>
      <c r="J5489" t="s">
        <v>20</v>
      </c>
      <c r="K5489" t="s">
        <v>27</v>
      </c>
      <c r="L5489" t="s">
        <v>72</v>
      </c>
      <c r="M5489" t="s">
        <v>73</v>
      </c>
      <c r="N5489">
        <v>37.185549999999999</v>
      </c>
      <c r="O5489">
        <v>-113.280861</v>
      </c>
      <c r="P5489">
        <v>3173.131875</v>
      </c>
      <c r="Q5489">
        <v>1326</v>
      </c>
      <c r="R5489">
        <v>0</v>
      </c>
    </row>
    <row r="5490" spans="1:18" x14ac:dyDescent="0.25">
      <c r="A5490">
        <v>5489</v>
      </c>
      <c r="B5490">
        <v>94</v>
      </c>
      <c r="C5490">
        <v>31608687</v>
      </c>
      <c r="D5490" t="s">
        <v>232</v>
      </c>
      <c r="E5490">
        <v>10.62</v>
      </c>
      <c r="F5490" t="s">
        <v>21</v>
      </c>
      <c r="G5490" t="s">
        <v>26</v>
      </c>
      <c r="H5490" t="s">
        <v>21</v>
      </c>
      <c r="I5490" t="s">
        <v>20</v>
      </c>
      <c r="J5490" t="s">
        <v>20</v>
      </c>
      <c r="K5490" t="s">
        <v>31</v>
      </c>
      <c r="L5490" t="s">
        <v>130</v>
      </c>
      <c r="M5490" t="s">
        <v>131</v>
      </c>
      <c r="N5490">
        <v>40.634224000000003</v>
      </c>
      <c r="O5490">
        <v>-111.353087</v>
      </c>
      <c r="P5490">
        <v>6752.5135449999998</v>
      </c>
      <c r="Q5490">
        <v>1279</v>
      </c>
      <c r="R5490">
        <v>0</v>
      </c>
    </row>
    <row r="5491" spans="1:18" x14ac:dyDescent="0.25">
      <c r="A5491">
        <v>5490</v>
      </c>
      <c r="B5491">
        <v>94</v>
      </c>
      <c r="C5491">
        <v>1514116</v>
      </c>
      <c r="D5491" t="s">
        <v>88</v>
      </c>
      <c r="E5491">
        <v>10.622</v>
      </c>
      <c r="F5491" t="s">
        <v>21</v>
      </c>
      <c r="G5491" t="s">
        <v>26</v>
      </c>
      <c r="H5491" t="s">
        <v>21</v>
      </c>
      <c r="I5491" t="s">
        <v>20</v>
      </c>
      <c r="J5491" t="s">
        <v>20</v>
      </c>
      <c r="K5491" t="s">
        <v>31</v>
      </c>
      <c r="L5491" t="s">
        <v>32</v>
      </c>
      <c r="M5491" t="s">
        <v>90</v>
      </c>
      <c r="N5491">
        <v>40.593752000000002</v>
      </c>
      <c r="O5491">
        <v>-111.872201</v>
      </c>
      <c r="P5491">
        <v>4453.7570029999997</v>
      </c>
      <c r="Q5491">
        <v>318</v>
      </c>
      <c r="R5491">
        <v>0</v>
      </c>
    </row>
    <row r="5492" spans="1:18" x14ac:dyDescent="0.25">
      <c r="A5492">
        <v>5491</v>
      </c>
      <c r="B5492">
        <v>94</v>
      </c>
      <c r="C5492">
        <v>31804094</v>
      </c>
      <c r="D5492" t="s">
        <v>61</v>
      </c>
      <c r="E5492">
        <v>4.5990000000000002</v>
      </c>
      <c r="F5492" t="s">
        <v>21</v>
      </c>
      <c r="G5492" t="s">
        <v>26</v>
      </c>
      <c r="H5492" t="s">
        <v>21</v>
      </c>
      <c r="I5492" t="s">
        <v>20</v>
      </c>
      <c r="J5492" t="s">
        <v>20</v>
      </c>
      <c r="K5492" t="s">
        <v>22</v>
      </c>
      <c r="L5492" t="s">
        <v>60</v>
      </c>
      <c r="M5492" t="s">
        <v>62</v>
      </c>
      <c r="N5492">
        <v>40.272502000000003</v>
      </c>
      <c r="O5492">
        <v>-111.657133</v>
      </c>
      <c r="P5492">
        <v>4611.2278100000003</v>
      </c>
      <c r="Q5492">
        <v>403</v>
      </c>
      <c r="R5492">
        <v>0</v>
      </c>
    </row>
    <row r="5493" spans="1:18" x14ac:dyDescent="0.25">
      <c r="A5493">
        <v>5492</v>
      </c>
      <c r="B5493">
        <v>94</v>
      </c>
      <c r="C5493">
        <v>532469</v>
      </c>
      <c r="D5493" t="s">
        <v>44</v>
      </c>
      <c r="E5493">
        <v>4.6020000000000003</v>
      </c>
      <c r="F5493" t="s">
        <v>21</v>
      </c>
      <c r="G5493" t="s">
        <v>26</v>
      </c>
      <c r="H5493" t="s">
        <v>21</v>
      </c>
      <c r="I5493" t="s">
        <v>20</v>
      </c>
      <c r="J5493" t="s">
        <v>20</v>
      </c>
      <c r="K5493" t="s">
        <v>41</v>
      </c>
      <c r="L5493" t="s">
        <v>45</v>
      </c>
      <c r="M5493" t="s">
        <v>46</v>
      </c>
      <c r="N5493">
        <v>40.943930000000002</v>
      </c>
      <c r="O5493">
        <v>-111.880674</v>
      </c>
      <c r="P5493">
        <v>4257.9774710000002</v>
      </c>
      <c r="Q5493">
        <v>1395</v>
      </c>
      <c r="R5493">
        <v>0</v>
      </c>
    </row>
    <row r="5494" spans="1:18" x14ac:dyDescent="0.25">
      <c r="A5494">
        <v>5493</v>
      </c>
      <c r="B5494">
        <v>94</v>
      </c>
      <c r="C5494">
        <v>31584365</v>
      </c>
      <c r="D5494" t="s">
        <v>271</v>
      </c>
      <c r="E5494">
        <v>4.6050000000000004</v>
      </c>
      <c r="F5494" t="s">
        <v>21</v>
      </c>
      <c r="G5494" t="s">
        <v>26</v>
      </c>
      <c r="H5494" t="s">
        <v>21</v>
      </c>
      <c r="I5494" t="s">
        <v>20</v>
      </c>
      <c r="J5494" t="s">
        <v>20</v>
      </c>
      <c r="K5494" t="s">
        <v>31</v>
      </c>
      <c r="L5494" t="s">
        <v>282</v>
      </c>
      <c r="M5494" t="s">
        <v>24</v>
      </c>
      <c r="N5494">
        <v>40.350650999999999</v>
      </c>
      <c r="O5494">
        <v>-112.310112</v>
      </c>
      <c r="P5494">
        <v>5599.138919</v>
      </c>
      <c r="Q5494">
        <v>1372</v>
      </c>
      <c r="R5494">
        <v>0</v>
      </c>
    </row>
    <row r="5495" spans="1:18" x14ac:dyDescent="0.25">
      <c r="A5495">
        <v>5494</v>
      </c>
      <c r="B5495">
        <v>94</v>
      </c>
      <c r="C5495">
        <v>28158926</v>
      </c>
      <c r="D5495" t="s">
        <v>233</v>
      </c>
      <c r="E5495">
        <v>4.6050000000000004</v>
      </c>
      <c r="F5495" t="s">
        <v>21</v>
      </c>
      <c r="G5495" t="s">
        <v>26</v>
      </c>
      <c r="H5495" t="s">
        <v>21</v>
      </c>
      <c r="I5495" t="s">
        <v>20</v>
      </c>
      <c r="J5495" t="s">
        <v>20</v>
      </c>
      <c r="K5495" t="s">
        <v>22</v>
      </c>
      <c r="L5495" t="s">
        <v>234</v>
      </c>
      <c r="M5495" t="s">
        <v>235</v>
      </c>
      <c r="N5495">
        <v>40.015591999999998</v>
      </c>
      <c r="O5495">
        <v>-109.17144399999999</v>
      </c>
      <c r="P5495">
        <v>5432.4309659999999</v>
      </c>
      <c r="Q5495">
        <v>1354</v>
      </c>
      <c r="R5495">
        <v>0</v>
      </c>
    </row>
    <row r="5496" spans="1:18" x14ac:dyDescent="0.25">
      <c r="A5496">
        <v>5495</v>
      </c>
      <c r="B5496">
        <v>94</v>
      </c>
      <c r="C5496" t="e">
        <f>-IpTuiI9GuXvBy78rWhOQk</f>
        <v>#NAME?</v>
      </c>
      <c r="D5496" t="s">
        <v>272</v>
      </c>
      <c r="E5496">
        <v>412.65499999999997</v>
      </c>
      <c r="F5496" t="s">
        <v>21</v>
      </c>
      <c r="G5496" t="s">
        <v>26</v>
      </c>
      <c r="H5496" t="s">
        <v>21</v>
      </c>
      <c r="I5496" t="s">
        <v>20</v>
      </c>
      <c r="J5496" t="s">
        <v>20</v>
      </c>
      <c r="K5496" t="s">
        <v>41</v>
      </c>
      <c r="L5496" t="s">
        <v>81</v>
      </c>
      <c r="M5496" t="s">
        <v>46</v>
      </c>
      <c r="N5496">
        <v>41.204582000000002</v>
      </c>
      <c r="O5496">
        <v>-111.970834</v>
      </c>
      <c r="P5496">
        <v>4275.0065800000002</v>
      </c>
      <c r="Q5496">
        <v>1384</v>
      </c>
      <c r="R5496">
        <v>0</v>
      </c>
    </row>
    <row r="5497" spans="1:18" x14ac:dyDescent="0.25">
      <c r="A5497">
        <v>5496</v>
      </c>
      <c r="B5497">
        <v>94</v>
      </c>
      <c r="C5497" t="s">
        <v>736</v>
      </c>
      <c r="D5497" t="s">
        <v>272</v>
      </c>
      <c r="E5497">
        <v>412.76100000000002</v>
      </c>
      <c r="F5497" t="s">
        <v>19</v>
      </c>
      <c r="G5497" t="s">
        <v>20</v>
      </c>
      <c r="H5497" t="s">
        <v>21</v>
      </c>
      <c r="I5497" t="s">
        <v>20</v>
      </c>
      <c r="J5497" t="s">
        <v>20</v>
      </c>
      <c r="K5497" t="s">
        <v>41</v>
      </c>
      <c r="L5497" t="s">
        <v>81</v>
      </c>
      <c r="M5497" t="s">
        <v>46</v>
      </c>
      <c r="N5497">
        <v>41.206071999999999</v>
      </c>
      <c r="O5497">
        <v>-111.97080699999999</v>
      </c>
      <c r="P5497">
        <v>4273.7601439999999</v>
      </c>
      <c r="Q5497">
        <v>1384</v>
      </c>
      <c r="R5497">
        <v>0</v>
      </c>
    </row>
    <row r="5498" spans="1:18" x14ac:dyDescent="0.25">
      <c r="A5498">
        <v>5497</v>
      </c>
      <c r="B5498">
        <v>94</v>
      </c>
      <c r="C5498" t="e">
        <f>-IpTyL9RGpmbACSAf7TSCk</f>
        <v>#NAME?</v>
      </c>
      <c r="D5498" t="s">
        <v>272</v>
      </c>
      <c r="E5498">
        <v>412.85700000000003</v>
      </c>
      <c r="F5498" t="s">
        <v>21</v>
      </c>
      <c r="G5498" t="s">
        <v>26</v>
      </c>
      <c r="H5498" t="s">
        <v>21</v>
      </c>
      <c r="I5498" t="s">
        <v>20</v>
      </c>
      <c r="J5498" t="s">
        <v>20</v>
      </c>
      <c r="K5498" t="s">
        <v>41</v>
      </c>
      <c r="L5498" t="s">
        <v>81</v>
      </c>
      <c r="M5498" t="s">
        <v>46</v>
      </c>
      <c r="N5498">
        <v>41.207420999999997</v>
      </c>
      <c r="O5498">
        <v>-111.97077</v>
      </c>
      <c r="P5498">
        <v>4272.9323249999998</v>
      </c>
      <c r="Q5498">
        <v>1384</v>
      </c>
      <c r="R5498">
        <v>0</v>
      </c>
    </row>
    <row r="5499" spans="1:18" x14ac:dyDescent="0.25">
      <c r="A5499">
        <v>5498</v>
      </c>
      <c r="B5499">
        <v>94</v>
      </c>
      <c r="C5499" t="e">
        <f>-IpU0ynkHLTg8r1Y3EnW6V</f>
        <v>#NAME?</v>
      </c>
      <c r="D5499" t="s">
        <v>272</v>
      </c>
      <c r="E5499">
        <v>412.90800000000002</v>
      </c>
      <c r="F5499" t="s">
        <v>19</v>
      </c>
      <c r="G5499" t="s">
        <v>20</v>
      </c>
      <c r="H5499" t="s">
        <v>19</v>
      </c>
      <c r="I5499">
        <v>79</v>
      </c>
      <c r="J5499" t="s">
        <v>20</v>
      </c>
      <c r="K5499" t="s">
        <v>41</v>
      </c>
      <c r="L5499" t="s">
        <v>81</v>
      </c>
      <c r="M5499" t="s">
        <v>46</v>
      </c>
      <c r="N5499">
        <v>41.208145000000002</v>
      </c>
      <c r="O5499">
        <v>-111.970753</v>
      </c>
      <c r="P5499">
        <v>4271.6668970000001</v>
      </c>
      <c r="Q5499">
        <v>1384</v>
      </c>
      <c r="R5499">
        <v>0</v>
      </c>
    </row>
    <row r="5500" spans="1:18" x14ac:dyDescent="0.25">
      <c r="A5500">
        <v>5499</v>
      </c>
      <c r="B5500">
        <v>94</v>
      </c>
      <c r="C5500" t="s">
        <v>737</v>
      </c>
      <c r="D5500" t="s">
        <v>233</v>
      </c>
      <c r="E5500">
        <v>4.9580000000000002</v>
      </c>
      <c r="F5500" t="s">
        <v>21</v>
      </c>
      <c r="G5500" t="s">
        <v>20</v>
      </c>
      <c r="H5500" t="s">
        <v>21</v>
      </c>
      <c r="I5500" t="s">
        <v>20</v>
      </c>
      <c r="J5500" t="s">
        <v>20</v>
      </c>
      <c r="K5500" t="s">
        <v>22</v>
      </c>
      <c r="L5500" t="s">
        <v>234</v>
      </c>
      <c r="M5500" t="s">
        <v>235</v>
      </c>
      <c r="N5500">
        <v>40.020440000000001</v>
      </c>
      <c r="O5500">
        <v>-109.173635</v>
      </c>
      <c r="P5500">
        <v>5395.6119239999998</v>
      </c>
      <c r="Q5500">
        <v>1354</v>
      </c>
      <c r="R5500">
        <v>0</v>
      </c>
    </row>
    <row r="5501" spans="1:18" x14ac:dyDescent="0.25">
      <c r="A5501">
        <v>5500</v>
      </c>
      <c r="B5501">
        <v>94</v>
      </c>
      <c r="C5501">
        <v>31509813</v>
      </c>
      <c r="D5501" t="s">
        <v>132</v>
      </c>
      <c r="E5501">
        <v>4.9619999999999997</v>
      </c>
      <c r="F5501" t="s">
        <v>21</v>
      </c>
      <c r="G5501" t="s">
        <v>26</v>
      </c>
      <c r="H5501" t="s">
        <v>21</v>
      </c>
      <c r="I5501" t="s">
        <v>20</v>
      </c>
      <c r="J5501" t="s">
        <v>20</v>
      </c>
      <c r="K5501" t="s">
        <v>22</v>
      </c>
      <c r="L5501" t="s">
        <v>133</v>
      </c>
      <c r="M5501" t="s">
        <v>134</v>
      </c>
      <c r="N5501">
        <v>40.360101999999998</v>
      </c>
      <c r="O5501">
        <v>-110.029644</v>
      </c>
      <c r="P5501">
        <v>5418.3792009999997</v>
      </c>
      <c r="Q5501">
        <v>1405</v>
      </c>
      <c r="R5501">
        <v>0</v>
      </c>
    </row>
    <row r="5502" spans="1:18" x14ac:dyDescent="0.25">
      <c r="A5502">
        <v>5501</v>
      </c>
      <c r="B5502">
        <v>94</v>
      </c>
      <c r="C5502">
        <v>31269442</v>
      </c>
      <c r="D5502" t="s">
        <v>278</v>
      </c>
      <c r="E5502">
        <v>4.9630000000000001</v>
      </c>
      <c r="F5502" t="s">
        <v>21</v>
      </c>
      <c r="G5502" t="s">
        <v>26</v>
      </c>
      <c r="H5502" t="s">
        <v>21</v>
      </c>
      <c r="I5502" t="s">
        <v>20</v>
      </c>
      <c r="J5502" t="s">
        <v>20</v>
      </c>
      <c r="K5502" t="s">
        <v>27</v>
      </c>
      <c r="L5502" t="s">
        <v>501</v>
      </c>
      <c r="M5502" t="s">
        <v>280</v>
      </c>
      <c r="N5502">
        <v>37.653266000000002</v>
      </c>
      <c r="O5502">
        <v>-112.986412</v>
      </c>
      <c r="P5502">
        <v>6442.6627390000003</v>
      </c>
      <c r="Q5502">
        <v>1330</v>
      </c>
      <c r="R5502">
        <v>0</v>
      </c>
    </row>
    <row r="5503" spans="1:18" x14ac:dyDescent="0.25">
      <c r="A5503">
        <v>5502</v>
      </c>
      <c r="B5503">
        <v>94</v>
      </c>
      <c r="C5503" t="s">
        <v>738</v>
      </c>
      <c r="D5503" t="s">
        <v>208</v>
      </c>
      <c r="E5503">
        <v>4.9640000000000004</v>
      </c>
      <c r="F5503" t="s">
        <v>21</v>
      </c>
      <c r="G5503" t="s">
        <v>26</v>
      </c>
      <c r="H5503" t="s">
        <v>21</v>
      </c>
      <c r="I5503" t="s">
        <v>20</v>
      </c>
      <c r="J5503" t="s">
        <v>20</v>
      </c>
      <c r="K5503" t="s">
        <v>31</v>
      </c>
      <c r="L5503" t="s">
        <v>209</v>
      </c>
      <c r="M5503" t="s">
        <v>131</v>
      </c>
      <c r="N5503">
        <v>40.649022000000002</v>
      </c>
      <c r="O5503">
        <v>-111.49811</v>
      </c>
      <c r="P5503">
        <v>6930.8787110000003</v>
      </c>
      <c r="Q5503">
        <v>357</v>
      </c>
      <c r="R5503">
        <v>0</v>
      </c>
    </row>
    <row r="5504" spans="1:18" x14ac:dyDescent="0.25">
      <c r="A5504">
        <v>5503</v>
      </c>
      <c r="B5504">
        <v>94</v>
      </c>
      <c r="C5504">
        <v>31378836</v>
      </c>
      <c r="D5504" t="s">
        <v>221</v>
      </c>
      <c r="E5504">
        <v>4.9660000000000002</v>
      </c>
      <c r="F5504" t="s">
        <v>21</v>
      </c>
      <c r="G5504" t="s">
        <v>26</v>
      </c>
      <c r="H5504" t="s">
        <v>21</v>
      </c>
      <c r="I5504" t="s">
        <v>20</v>
      </c>
      <c r="J5504" t="s">
        <v>20</v>
      </c>
      <c r="K5504" t="s">
        <v>27</v>
      </c>
      <c r="L5504" t="s">
        <v>350</v>
      </c>
      <c r="M5504" t="s">
        <v>174</v>
      </c>
      <c r="N5504">
        <v>39.222869000000003</v>
      </c>
      <c r="O5504">
        <v>-111.848073</v>
      </c>
      <c r="P5504">
        <v>5063.3054190000003</v>
      </c>
      <c r="Q5504">
        <v>1342</v>
      </c>
      <c r="R5504">
        <v>0</v>
      </c>
    </row>
    <row r="5505" spans="1:18" x14ac:dyDescent="0.25">
      <c r="A5505">
        <v>5504</v>
      </c>
      <c r="B5505">
        <v>94</v>
      </c>
      <c r="C5505">
        <v>31311484</v>
      </c>
      <c r="D5505" t="s">
        <v>215</v>
      </c>
      <c r="E5505">
        <v>4.9669999999999996</v>
      </c>
      <c r="F5505" t="s">
        <v>19</v>
      </c>
      <c r="G5505" t="s">
        <v>20</v>
      </c>
      <c r="H5505" t="s">
        <v>19</v>
      </c>
      <c r="I5505">
        <v>265</v>
      </c>
      <c r="J5505" t="s">
        <v>20</v>
      </c>
      <c r="K5505" t="s">
        <v>22</v>
      </c>
      <c r="L5505" t="s">
        <v>23</v>
      </c>
      <c r="M5505" t="s">
        <v>85</v>
      </c>
      <c r="N5505">
        <v>40.275118999999997</v>
      </c>
      <c r="O5505">
        <v>-111.72725199999999</v>
      </c>
      <c r="P5505">
        <v>4480.5543580000003</v>
      </c>
      <c r="Q5505">
        <v>330</v>
      </c>
      <c r="R5505">
        <v>0</v>
      </c>
    </row>
    <row r="5506" spans="1:18" x14ac:dyDescent="0.25">
      <c r="A5506">
        <v>5505</v>
      </c>
      <c r="B5506">
        <v>94</v>
      </c>
      <c r="C5506">
        <v>1373476</v>
      </c>
      <c r="D5506" t="s">
        <v>363</v>
      </c>
      <c r="E5506">
        <v>4.9669999999999996</v>
      </c>
      <c r="F5506" t="s">
        <v>21</v>
      </c>
      <c r="G5506" t="s">
        <v>26</v>
      </c>
      <c r="H5506" t="s">
        <v>21</v>
      </c>
      <c r="I5506" t="s">
        <v>20</v>
      </c>
      <c r="J5506" t="s">
        <v>20</v>
      </c>
      <c r="K5506" t="s">
        <v>41</v>
      </c>
      <c r="L5506" t="s">
        <v>95</v>
      </c>
      <c r="M5506" t="s">
        <v>73</v>
      </c>
      <c r="N5506">
        <v>41.845294000000003</v>
      </c>
      <c r="O5506">
        <v>-111.893647</v>
      </c>
      <c r="P5506">
        <v>4393.1644219999998</v>
      </c>
      <c r="Q5506">
        <v>356</v>
      </c>
      <c r="R5506">
        <v>0</v>
      </c>
    </row>
    <row r="5507" spans="1:18" x14ac:dyDescent="0.25">
      <c r="A5507">
        <v>5506</v>
      </c>
      <c r="B5507">
        <v>94</v>
      </c>
      <c r="C5507">
        <v>1154317</v>
      </c>
      <c r="D5507" t="s">
        <v>56</v>
      </c>
      <c r="E5507">
        <v>4.97</v>
      </c>
      <c r="F5507" t="s">
        <v>21</v>
      </c>
      <c r="G5507" t="s">
        <v>26</v>
      </c>
      <c r="H5507" t="s">
        <v>21</v>
      </c>
      <c r="I5507" t="s">
        <v>20</v>
      </c>
      <c r="J5507" t="s">
        <v>20</v>
      </c>
      <c r="K5507" t="s">
        <v>41</v>
      </c>
      <c r="L5507" t="s">
        <v>57</v>
      </c>
      <c r="M5507" t="s">
        <v>58</v>
      </c>
      <c r="N5507">
        <v>41.161686000000003</v>
      </c>
      <c r="O5507">
        <v>-112.028425</v>
      </c>
      <c r="P5507">
        <v>4478.3514349999996</v>
      </c>
      <c r="Q5507">
        <v>1459</v>
      </c>
      <c r="R5507">
        <v>0</v>
      </c>
    </row>
    <row r="5508" spans="1:18" x14ac:dyDescent="0.25">
      <c r="A5508">
        <v>5507</v>
      </c>
      <c r="B5508">
        <v>94</v>
      </c>
      <c r="C5508">
        <v>31393713</v>
      </c>
      <c r="D5508" t="s">
        <v>114</v>
      </c>
      <c r="E5508">
        <v>4.9729999999999999</v>
      </c>
      <c r="F5508" t="s">
        <v>19</v>
      </c>
      <c r="G5508" t="s">
        <v>20</v>
      </c>
      <c r="H5508" t="s">
        <v>19</v>
      </c>
      <c r="I5508">
        <v>232</v>
      </c>
      <c r="J5508" t="s">
        <v>20</v>
      </c>
      <c r="K5508" t="s">
        <v>41</v>
      </c>
      <c r="L5508" t="s">
        <v>87</v>
      </c>
      <c r="M5508" t="s">
        <v>82</v>
      </c>
      <c r="N5508">
        <v>41.103493999999998</v>
      </c>
      <c r="O5508">
        <v>-111.97329499999999</v>
      </c>
      <c r="P5508">
        <v>4693.4453249999997</v>
      </c>
      <c r="Q5508">
        <v>405</v>
      </c>
      <c r="R5508">
        <v>0</v>
      </c>
    </row>
    <row r="5509" spans="1:18" x14ac:dyDescent="0.25">
      <c r="A5509">
        <v>5508</v>
      </c>
      <c r="B5509">
        <v>94</v>
      </c>
      <c r="C5509">
        <v>27952117</v>
      </c>
      <c r="D5509" t="s">
        <v>265</v>
      </c>
      <c r="E5509">
        <v>4.9749999999999996</v>
      </c>
      <c r="F5509" t="s">
        <v>21</v>
      </c>
      <c r="G5509" t="s">
        <v>26</v>
      </c>
      <c r="H5509" t="s">
        <v>21</v>
      </c>
      <c r="I5509" t="s">
        <v>20</v>
      </c>
      <c r="J5509" t="s">
        <v>20</v>
      </c>
      <c r="K5509" t="s">
        <v>27</v>
      </c>
      <c r="L5509" t="s">
        <v>266</v>
      </c>
      <c r="M5509" t="s">
        <v>267</v>
      </c>
      <c r="N5509">
        <v>38.461663999999999</v>
      </c>
      <c r="O5509">
        <v>-111.608993</v>
      </c>
      <c r="P5509">
        <v>7184.9015429999999</v>
      </c>
      <c r="Q5509">
        <v>1371</v>
      </c>
      <c r="R5509">
        <v>0</v>
      </c>
    </row>
    <row r="5510" spans="1:18" x14ac:dyDescent="0.25">
      <c r="A5510">
        <v>5509</v>
      </c>
      <c r="B5510">
        <v>94</v>
      </c>
      <c r="C5510">
        <v>31391319</v>
      </c>
      <c r="D5510" t="s">
        <v>203</v>
      </c>
      <c r="E5510">
        <v>4.9800000000000004</v>
      </c>
      <c r="F5510" t="s">
        <v>21</v>
      </c>
      <c r="G5510" t="s">
        <v>26</v>
      </c>
      <c r="H5510" t="s">
        <v>21</v>
      </c>
      <c r="I5510" t="s">
        <v>20</v>
      </c>
      <c r="J5510" t="s">
        <v>20</v>
      </c>
      <c r="K5510" t="s">
        <v>41</v>
      </c>
      <c r="L5510" t="s">
        <v>81</v>
      </c>
      <c r="M5510" t="s">
        <v>204</v>
      </c>
      <c r="N5510">
        <v>41.244472999999999</v>
      </c>
      <c r="O5510">
        <v>-111.99722800000001</v>
      </c>
      <c r="P5510">
        <v>4215.9016739999997</v>
      </c>
      <c r="Q5510">
        <v>1349</v>
      </c>
      <c r="R5510">
        <v>0</v>
      </c>
    </row>
    <row r="5511" spans="1:18" x14ac:dyDescent="0.25">
      <c r="A5511">
        <v>5510</v>
      </c>
      <c r="B5511">
        <v>94</v>
      </c>
      <c r="C5511">
        <v>31643204</v>
      </c>
      <c r="D5511" t="s">
        <v>88</v>
      </c>
      <c r="E5511">
        <v>4.9809999999999999</v>
      </c>
      <c r="F5511" t="s">
        <v>19</v>
      </c>
      <c r="G5511" t="s">
        <v>20</v>
      </c>
      <c r="H5511" t="s">
        <v>21</v>
      </c>
      <c r="I5511" t="s">
        <v>20</v>
      </c>
      <c r="J5511" t="s">
        <v>20</v>
      </c>
      <c r="K5511" t="s">
        <v>31</v>
      </c>
      <c r="L5511" t="s">
        <v>89</v>
      </c>
      <c r="M5511" t="s">
        <v>90</v>
      </c>
      <c r="N5511">
        <v>40.526755000000001</v>
      </c>
      <c r="O5511">
        <v>-111.890777</v>
      </c>
      <c r="P5511">
        <v>4368.1992389999996</v>
      </c>
      <c r="Q5511">
        <v>318</v>
      </c>
      <c r="R5511">
        <v>0</v>
      </c>
    </row>
    <row r="5512" spans="1:18" x14ac:dyDescent="0.25">
      <c r="A5512">
        <v>5511</v>
      </c>
      <c r="B5512">
        <v>94</v>
      </c>
      <c r="C5512">
        <v>31191812</v>
      </c>
      <c r="D5512" t="s">
        <v>339</v>
      </c>
      <c r="E5512">
        <v>4.9889999999999999</v>
      </c>
      <c r="F5512" t="s">
        <v>21</v>
      </c>
      <c r="G5512" t="s">
        <v>26</v>
      </c>
      <c r="H5512" t="s">
        <v>21</v>
      </c>
      <c r="I5512" t="s">
        <v>20</v>
      </c>
      <c r="J5512" t="s">
        <v>20</v>
      </c>
      <c r="K5512" t="s">
        <v>41</v>
      </c>
      <c r="L5512" t="s">
        <v>95</v>
      </c>
      <c r="M5512" t="s">
        <v>73</v>
      </c>
      <c r="N5512">
        <v>41.920006999999998</v>
      </c>
      <c r="O5512">
        <v>-112.045008</v>
      </c>
      <c r="P5512">
        <v>4775.8900640000002</v>
      </c>
      <c r="Q5512">
        <v>1417</v>
      </c>
      <c r="R5512">
        <v>0</v>
      </c>
    </row>
    <row r="5513" spans="1:18" x14ac:dyDescent="0.25">
      <c r="A5513">
        <v>5512</v>
      </c>
      <c r="B5513">
        <v>94</v>
      </c>
      <c r="C5513">
        <v>2361758</v>
      </c>
      <c r="D5513" t="s">
        <v>113</v>
      </c>
      <c r="E5513">
        <v>4.992</v>
      </c>
      <c r="F5513" t="s">
        <v>21</v>
      </c>
      <c r="G5513" t="s">
        <v>26</v>
      </c>
      <c r="H5513" t="s">
        <v>21</v>
      </c>
      <c r="I5513" t="s">
        <v>20</v>
      </c>
      <c r="J5513" t="s">
        <v>20</v>
      </c>
      <c r="K5513" t="s">
        <v>41</v>
      </c>
      <c r="L5513" t="s">
        <v>87</v>
      </c>
      <c r="M5513" t="s">
        <v>58</v>
      </c>
      <c r="N5513">
        <v>41.134445999999997</v>
      </c>
      <c r="O5513">
        <v>-111.94819</v>
      </c>
      <c r="P5513">
        <v>4445.7231009999996</v>
      </c>
      <c r="Q5513">
        <v>1363</v>
      </c>
      <c r="R5513">
        <v>0</v>
      </c>
    </row>
    <row r="5514" spans="1:18" x14ac:dyDescent="0.25">
      <c r="A5514">
        <v>5513</v>
      </c>
      <c r="B5514">
        <v>94</v>
      </c>
      <c r="C5514">
        <v>31401885</v>
      </c>
      <c r="D5514" t="s">
        <v>224</v>
      </c>
      <c r="E5514">
        <v>4.9960000000000004</v>
      </c>
      <c r="F5514" t="s">
        <v>21</v>
      </c>
      <c r="G5514" t="s">
        <v>26</v>
      </c>
      <c r="H5514" t="s">
        <v>21</v>
      </c>
      <c r="I5514" t="s">
        <v>20</v>
      </c>
      <c r="J5514" t="s">
        <v>20</v>
      </c>
      <c r="K5514" t="s">
        <v>22</v>
      </c>
      <c r="L5514" t="s">
        <v>198</v>
      </c>
      <c r="M5514" t="s">
        <v>194</v>
      </c>
      <c r="N5514">
        <v>40.039774000000001</v>
      </c>
      <c r="O5514">
        <v>-111.733841</v>
      </c>
      <c r="P5514">
        <v>4618.7242530000003</v>
      </c>
      <c r="Q5514">
        <v>408</v>
      </c>
      <c r="R5514">
        <v>0</v>
      </c>
    </row>
    <row r="5515" spans="1:18" x14ac:dyDescent="0.25">
      <c r="A5515">
        <v>5514</v>
      </c>
      <c r="B5515">
        <v>94</v>
      </c>
      <c r="C5515" t="s">
        <v>739</v>
      </c>
      <c r="D5515" t="s">
        <v>272</v>
      </c>
      <c r="E5515">
        <v>427.87400000000002</v>
      </c>
      <c r="F5515" t="s">
        <v>21</v>
      </c>
      <c r="G5515" t="s">
        <v>26</v>
      </c>
      <c r="H5515" t="s">
        <v>21</v>
      </c>
      <c r="I5515" t="s">
        <v>20</v>
      </c>
      <c r="J5515" t="s">
        <v>20</v>
      </c>
      <c r="K5515" t="s">
        <v>41</v>
      </c>
      <c r="L5515" t="s">
        <v>177</v>
      </c>
      <c r="M5515" t="s">
        <v>46</v>
      </c>
      <c r="N5515">
        <v>41.409416</v>
      </c>
      <c r="O5515">
        <v>-112.036281</v>
      </c>
      <c r="P5515">
        <v>4295.9299639999999</v>
      </c>
      <c r="Q5515">
        <v>1384</v>
      </c>
      <c r="R5515">
        <v>0</v>
      </c>
    </row>
    <row r="5516" spans="1:18" x14ac:dyDescent="0.25">
      <c r="A5516">
        <v>5515</v>
      </c>
      <c r="B5516">
        <v>94</v>
      </c>
      <c r="C5516" t="e">
        <f>-IpVG1bEFuP6rbjx-S_EPF</f>
        <v>#NAME?</v>
      </c>
      <c r="D5516" t="s">
        <v>272</v>
      </c>
      <c r="E5516">
        <v>427.988</v>
      </c>
      <c r="F5516" t="s">
        <v>21</v>
      </c>
      <c r="G5516" t="s">
        <v>26</v>
      </c>
      <c r="H5516" t="s">
        <v>21</v>
      </c>
      <c r="I5516" t="s">
        <v>20</v>
      </c>
      <c r="J5516" t="s">
        <v>20</v>
      </c>
      <c r="K5516" t="s">
        <v>41</v>
      </c>
      <c r="L5516" t="s">
        <v>177</v>
      </c>
      <c r="M5516" t="s">
        <v>46</v>
      </c>
      <c r="N5516">
        <v>41.411050000000003</v>
      </c>
      <c r="O5516">
        <v>-112.036255</v>
      </c>
      <c r="P5516">
        <v>4302.3929459999999</v>
      </c>
      <c r="Q5516">
        <v>1384</v>
      </c>
      <c r="R5516">
        <v>0</v>
      </c>
    </row>
    <row r="5517" spans="1:18" x14ac:dyDescent="0.25">
      <c r="A5517">
        <v>5516</v>
      </c>
      <c r="B5517">
        <v>94</v>
      </c>
      <c r="C5517">
        <v>27685241</v>
      </c>
      <c r="D5517" t="s">
        <v>217</v>
      </c>
      <c r="E5517">
        <v>2.2309999999999999</v>
      </c>
      <c r="F5517" t="s">
        <v>21</v>
      </c>
      <c r="G5517" t="s">
        <v>26</v>
      </c>
      <c r="H5517" t="s">
        <v>21</v>
      </c>
      <c r="I5517" t="s">
        <v>20</v>
      </c>
      <c r="J5517" t="s">
        <v>20</v>
      </c>
      <c r="K5517" t="s">
        <v>27</v>
      </c>
      <c r="L5517" t="s">
        <v>72</v>
      </c>
      <c r="M5517" t="s">
        <v>163</v>
      </c>
      <c r="N5517">
        <v>37.111620000000002</v>
      </c>
      <c r="O5517">
        <v>-113.59457999999999</v>
      </c>
      <c r="P5517">
        <v>2706.6931209999998</v>
      </c>
      <c r="Q5517">
        <v>304</v>
      </c>
      <c r="R5517">
        <v>0</v>
      </c>
    </row>
    <row r="5518" spans="1:18" x14ac:dyDescent="0.25">
      <c r="A5518">
        <v>5517</v>
      </c>
      <c r="B5518">
        <v>94</v>
      </c>
      <c r="C5518">
        <v>31740544</v>
      </c>
      <c r="D5518" t="s">
        <v>336</v>
      </c>
      <c r="E5518">
        <v>14.156000000000001</v>
      </c>
      <c r="F5518" t="s">
        <v>21</v>
      </c>
      <c r="G5518" t="s">
        <v>26</v>
      </c>
      <c r="H5518" t="s">
        <v>21</v>
      </c>
      <c r="I5518" t="s">
        <v>20</v>
      </c>
      <c r="J5518" t="s">
        <v>20</v>
      </c>
      <c r="K5518" t="s">
        <v>31</v>
      </c>
      <c r="L5518" t="s">
        <v>32</v>
      </c>
      <c r="M5518" t="s">
        <v>33</v>
      </c>
      <c r="N5518">
        <v>40.624887000000001</v>
      </c>
      <c r="O5518">
        <v>-111.596811</v>
      </c>
      <c r="P5518">
        <v>8030.87453</v>
      </c>
      <c r="Q5518">
        <v>404</v>
      </c>
      <c r="R5518">
        <v>0</v>
      </c>
    </row>
    <row r="5519" spans="1:18" x14ac:dyDescent="0.25">
      <c r="A5519">
        <v>5518</v>
      </c>
      <c r="B5519">
        <v>94</v>
      </c>
      <c r="C5519">
        <v>31489156</v>
      </c>
      <c r="D5519" t="s">
        <v>164</v>
      </c>
      <c r="E5519">
        <v>3.093</v>
      </c>
      <c r="F5519" t="s">
        <v>21</v>
      </c>
      <c r="G5519" t="s">
        <v>26</v>
      </c>
      <c r="H5519" t="s">
        <v>19</v>
      </c>
      <c r="I5519">
        <v>100</v>
      </c>
      <c r="J5519" t="s">
        <v>20</v>
      </c>
      <c r="K5519" t="s">
        <v>27</v>
      </c>
      <c r="L5519" t="s">
        <v>165</v>
      </c>
      <c r="M5519" t="s">
        <v>166</v>
      </c>
      <c r="N5519">
        <v>38.977654000000001</v>
      </c>
      <c r="O5519">
        <v>-112.323724</v>
      </c>
      <c r="P5519">
        <v>5011.604523</v>
      </c>
      <c r="Q5519">
        <v>1390</v>
      </c>
      <c r="R5519">
        <v>0</v>
      </c>
    </row>
    <row r="5520" spans="1:18" x14ac:dyDescent="0.25">
      <c r="A5520">
        <v>5519</v>
      </c>
      <c r="B5520">
        <v>94</v>
      </c>
      <c r="C5520">
        <v>27311378</v>
      </c>
      <c r="D5520" t="s">
        <v>150</v>
      </c>
      <c r="E5520">
        <v>3.0960000000000001</v>
      </c>
      <c r="F5520" t="s">
        <v>21</v>
      </c>
      <c r="G5520" t="s">
        <v>26</v>
      </c>
      <c r="H5520" t="s">
        <v>21</v>
      </c>
      <c r="I5520" t="s">
        <v>20</v>
      </c>
      <c r="J5520" t="s">
        <v>20</v>
      </c>
      <c r="K5520" t="s">
        <v>27</v>
      </c>
      <c r="L5520" t="s">
        <v>151</v>
      </c>
      <c r="M5520" t="s">
        <v>152</v>
      </c>
      <c r="N5520">
        <v>38.991723999999998</v>
      </c>
      <c r="O5520">
        <v>-110.134846</v>
      </c>
      <c r="P5520">
        <v>4044.9539540000001</v>
      </c>
      <c r="Q5520">
        <v>1336</v>
      </c>
      <c r="R5520">
        <v>0</v>
      </c>
    </row>
    <row r="5521" spans="1:18" x14ac:dyDescent="0.25">
      <c r="A5521">
        <v>5520</v>
      </c>
      <c r="B5521">
        <v>94</v>
      </c>
      <c r="C5521">
        <v>31519204</v>
      </c>
      <c r="D5521" t="s">
        <v>231</v>
      </c>
      <c r="E5521">
        <v>3.101</v>
      </c>
      <c r="F5521" t="s">
        <v>21</v>
      </c>
      <c r="G5521" t="s">
        <v>26</v>
      </c>
      <c r="H5521" t="s">
        <v>21</v>
      </c>
      <c r="I5521" t="s">
        <v>20</v>
      </c>
      <c r="J5521" t="s">
        <v>20</v>
      </c>
      <c r="K5521" t="s">
        <v>41</v>
      </c>
      <c r="L5521" t="s">
        <v>57</v>
      </c>
      <c r="M5521" t="s">
        <v>93</v>
      </c>
      <c r="N5521">
        <v>41.086523999999997</v>
      </c>
      <c r="O5521">
        <v>-111.998486</v>
      </c>
      <c r="P5521">
        <v>4397.7506729999996</v>
      </c>
      <c r="Q5521">
        <v>1409</v>
      </c>
      <c r="R5521">
        <v>0</v>
      </c>
    </row>
    <row r="5522" spans="1:18" x14ac:dyDescent="0.25">
      <c r="A5522">
        <v>5521</v>
      </c>
      <c r="B5522">
        <v>94</v>
      </c>
      <c r="C5522" t="e">
        <f>-Ip9wD6IFBed1R3ZdzGldV</f>
        <v>#NAME?</v>
      </c>
      <c r="D5522" t="s">
        <v>37</v>
      </c>
      <c r="E5522">
        <v>3.105</v>
      </c>
      <c r="F5522" t="s">
        <v>21</v>
      </c>
      <c r="G5522" t="s">
        <v>26</v>
      </c>
      <c r="H5522" t="s">
        <v>21</v>
      </c>
      <c r="I5522" t="s">
        <v>20</v>
      </c>
      <c r="J5522" t="s">
        <v>20</v>
      </c>
      <c r="K5522" t="s">
        <v>27</v>
      </c>
      <c r="L5522" t="s">
        <v>38</v>
      </c>
      <c r="M5522" t="s">
        <v>39</v>
      </c>
      <c r="N5522">
        <v>38.610250000000001</v>
      </c>
      <c r="O5522">
        <v>-109.533935</v>
      </c>
      <c r="P5522">
        <v>3921.9334829999998</v>
      </c>
      <c r="Q5522">
        <v>1319</v>
      </c>
      <c r="R5522">
        <v>0</v>
      </c>
    </row>
    <row r="5523" spans="1:18" x14ac:dyDescent="0.25">
      <c r="A5523">
        <v>5522</v>
      </c>
      <c r="B5523">
        <v>94</v>
      </c>
      <c r="C5523" t="e">
        <f>-JLpwQ-PFOL1E6UgJIwrXV</f>
        <v>#NAME?</v>
      </c>
      <c r="D5523" t="s">
        <v>47</v>
      </c>
      <c r="E5523">
        <v>3.9820000000000002</v>
      </c>
      <c r="F5523" t="s">
        <v>21</v>
      </c>
      <c r="G5523" t="s">
        <v>26</v>
      </c>
      <c r="H5523" t="s">
        <v>21</v>
      </c>
      <c r="I5523" t="s">
        <v>20</v>
      </c>
      <c r="J5523" t="s">
        <v>20</v>
      </c>
      <c r="K5523" t="s">
        <v>31</v>
      </c>
      <c r="L5523" t="s">
        <v>89</v>
      </c>
      <c r="M5523" t="s">
        <v>49</v>
      </c>
      <c r="N5523">
        <v>40.544046999999999</v>
      </c>
      <c r="O5523">
        <v>-111.90801500000001</v>
      </c>
      <c r="P5523">
        <v>4327.8339589999996</v>
      </c>
      <c r="Q5523">
        <v>6715</v>
      </c>
      <c r="R5523">
        <v>0</v>
      </c>
    </row>
    <row r="5524" spans="1:18" x14ac:dyDescent="0.25">
      <c r="A5524">
        <v>5523</v>
      </c>
      <c r="B5524">
        <v>94</v>
      </c>
      <c r="C5524">
        <v>31759527</v>
      </c>
      <c r="D5524" t="s">
        <v>105</v>
      </c>
      <c r="E5524">
        <v>3.984</v>
      </c>
      <c r="F5524" t="s">
        <v>21</v>
      </c>
      <c r="G5524" t="s">
        <v>26</v>
      </c>
      <c r="H5524" t="s">
        <v>21</v>
      </c>
      <c r="I5524" t="s">
        <v>20</v>
      </c>
      <c r="J5524" t="s">
        <v>20</v>
      </c>
      <c r="K5524" t="s">
        <v>27</v>
      </c>
      <c r="L5524" t="s">
        <v>51</v>
      </c>
      <c r="M5524" t="s">
        <v>106</v>
      </c>
      <c r="N5524">
        <v>37.887324</v>
      </c>
      <c r="O5524">
        <v>-112.775058</v>
      </c>
      <c r="P5524">
        <v>5806.7666689999996</v>
      </c>
      <c r="Q5524">
        <v>432</v>
      </c>
      <c r="R5524">
        <v>0</v>
      </c>
    </row>
    <row r="5525" spans="1:18" x14ac:dyDescent="0.25">
      <c r="A5525">
        <v>5524</v>
      </c>
      <c r="B5525">
        <v>94</v>
      </c>
      <c r="C5525">
        <v>31192743</v>
      </c>
      <c r="D5525" t="s">
        <v>153</v>
      </c>
      <c r="E5525">
        <v>3.9860000000000002</v>
      </c>
      <c r="F5525" t="s">
        <v>21</v>
      </c>
      <c r="G5525" t="s">
        <v>26</v>
      </c>
      <c r="H5525" t="s">
        <v>21</v>
      </c>
      <c r="I5525" t="s">
        <v>20</v>
      </c>
      <c r="J5525" t="s">
        <v>20</v>
      </c>
      <c r="K5525" t="s">
        <v>22</v>
      </c>
      <c r="L5525" t="s">
        <v>84</v>
      </c>
      <c r="M5525" t="s">
        <v>85</v>
      </c>
      <c r="N5525">
        <v>40.413361999999999</v>
      </c>
      <c r="O5525">
        <v>-111.751915</v>
      </c>
      <c r="P5525">
        <v>4937.9546490000002</v>
      </c>
      <c r="R5525">
        <v>0</v>
      </c>
    </row>
    <row r="5526" spans="1:18" x14ac:dyDescent="0.25">
      <c r="A5526">
        <v>5525</v>
      </c>
      <c r="B5526">
        <v>94</v>
      </c>
      <c r="C5526">
        <v>27508504</v>
      </c>
      <c r="D5526" t="s">
        <v>96</v>
      </c>
      <c r="E5526">
        <v>8.4700000000000006</v>
      </c>
      <c r="F5526" t="s">
        <v>21</v>
      </c>
      <c r="G5526" t="s">
        <v>26</v>
      </c>
      <c r="H5526" t="s">
        <v>21</v>
      </c>
      <c r="I5526" t="s">
        <v>20</v>
      </c>
      <c r="J5526" t="s">
        <v>20</v>
      </c>
      <c r="K5526" t="s">
        <v>22</v>
      </c>
      <c r="L5526" t="s">
        <v>97</v>
      </c>
      <c r="M5526" t="s">
        <v>98</v>
      </c>
      <c r="N5526">
        <v>40.988348999999999</v>
      </c>
      <c r="O5526">
        <v>-109.71240400000001</v>
      </c>
      <c r="P5526">
        <v>6223.129132</v>
      </c>
      <c r="Q5526">
        <v>311</v>
      </c>
      <c r="R5526">
        <v>0</v>
      </c>
    </row>
    <row r="5527" spans="1:18" x14ac:dyDescent="0.25">
      <c r="A5527">
        <v>5526</v>
      </c>
      <c r="B5527">
        <v>94</v>
      </c>
      <c r="C5527">
        <v>31278585</v>
      </c>
      <c r="D5527" t="s">
        <v>288</v>
      </c>
      <c r="E5527">
        <v>8.4740000000000002</v>
      </c>
      <c r="F5527" t="s">
        <v>21</v>
      </c>
      <c r="G5527" t="s">
        <v>26</v>
      </c>
      <c r="H5527" t="s">
        <v>21</v>
      </c>
      <c r="I5527" t="s">
        <v>20</v>
      </c>
      <c r="J5527" t="s">
        <v>20</v>
      </c>
      <c r="K5527" t="s">
        <v>27</v>
      </c>
      <c r="L5527" t="s">
        <v>211</v>
      </c>
      <c r="M5527" t="s">
        <v>318</v>
      </c>
      <c r="N5527">
        <v>37.102628000000003</v>
      </c>
      <c r="O5527">
        <v>-109.546941</v>
      </c>
      <c r="P5527">
        <v>4670.6778910000003</v>
      </c>
      <c r="Q5527">
        <v>350</v>
      </c>
      <c r="R5527">
        <v>0</v>
      </c>
    </row>
    <row r="5528" spans="1:18" x14ac:dyDescent="0.25">
      <c r="A5528">
        <v>5527</v>
      </c>
      <c r="B5528">
        <v>94</v>
      </c>
      <c r="C5528">
        <v>31409741</v>
      </c>
      <c r="D5528" t="s">
        <v>224</v>
      </c>
      <c r="E5528">
        <v>8.4740000000000002</v>
      </c>
      <c r="F5528" t="s">
        <v>21</v>
      </c>
      <c r="G5528" t="s">
        <v>26</v>
      </c>
      <c r="H5528" t="s">
        <v>21</v>
      </c>
      <c r="I5528" t="s">
        <v>20</v>
      </c>
      <c r="J5528" t="s">
        <v>20</v>
      </c>
      <c r="K5528" t="s">
        <v>22</v>
      </c>
      <c r="L5528" t="s">
        <v>198</v>
      </c>
      <c r="M5528" t="s">
        <v>194</v>
      </c>
      <c r="N5528">
        <v>40.054676999999998</v>
      </c>
      <c r="O5528">
        <v>-111.677092</v>
      </c>
      <c r="P5528">
        <v>4527.8093529999996</v>
      </c>
      <c r="Q5528">
        <v>408</v>
      </c>
      <c r="R5528">
        <v>0</v>
      </c>
    </row>
    <row r="5529" spans="1:18" x14ac:dyDescent="0.25">
      <c r="A5529">
        <v>5528</v>
      </c>
      <c r="B5529">
        <v>94</v>
      </c>
      <c r="C5529">
        <v>31757910</v>
      </c>
      <c r="D5529" t="s">
        <v>65</v>
      </c>
      <c r="E5529">
        <v>8.49</v>
      </c>
      <c r="F5529" t="s">
        <v>21</v>
      </c>
      <c r="G5529" t="s">
        <v>20</v>
      </c>
      <c r="H5529" t="s">
        <v>21</v>
      </c>
      <c r="I5529" t="s">
        <v>20</v>
      </c>
      <c r="J5529" t="s">
        <v>20</v>
      </c>
      <c r="K5529" t="s">
        <v>31</v>
      </c>
      <c r="L5529" t="s">
        <v>188</v>
      </c>
      <c r="M5529" t="s">
        <v>67</v>
      </c>
      <c r="N5529">
        <v>40.719312000000002</v>
      </c>
      <c r="O5529">
        <v>-111.81021200000001</v>
      </c>
      <c r="P5529">
        <v>4780.2809569999999</v>
      </c>
      <c r="Q5529">
        <v>402</v>
      </c>
      <c r="R5529">
        <v>0</v>
      </c>
    </row>
    <row r="5530" spans="1:18" x14ac:dyDescent="0.25">
      <c r="A5530">
        <v>5529</v>
      </c>
      <c r="B5530">
        <v>94</v>
      </c>
      <c r="C5530">
        <v>31263280</v>
      </c>
      <c r="D5530" t="s">
        <v>303</v>
      </c>
      <c r="E5530">
        <v>8.4969999999999999</v>
      </c>
      <c r="F5530" t="s">
        <v>21</v>
      </c>
      <c r="G5530" t="s">
        <v>26</v>
      </c>
      <c r="H5530" t="s">
        <v>21</v>
      </c>
      <c r="I5530" t="s">
        <v>20</v>
      </c>
      <c r="J5530" t="s">
        <v>20</v>
      </c>
      <c r="K5530" t="s">
        <v>27</v>
      </c>
      <c r="L5530" t="s">
        <v>72</v>
      </c>
      <c r="M5530" t="s">
        <v>73</v>
      </c>
      <c r="N5530">
        <v>37.176411000000002</v>
      </c>
      <c r="O5530">
        <v>-113.311302</v>
      </c>
      <c r="P5530">
        <v>3120.7315050000002</v>
      </c>
      <c r="Q5530">
        <v>1326</v>
      </c>
      <c r="R5530">
        <v>0</v>
      </c>
    </row>
    <row r="5531" spans="1:18" x14ac:dyDescent="0.25">
      <c r="A5531">
        <v>5530</v>
      </c>
      <c r="B5531">
        <v>94</v>
      </c>
      <c r="C5531">
        <v>28355581</v>
      </c>
      <c r="D5531" t="s">
        <v>323</v>
      </c>
      <c r="E5531">
        <v>8.5050000000000008</v>
      </c>
      <c r="F5531" t="s">
        <v>21</v>
      </c>
      <c r="G5531" t="s">
        <v>26</v>
      </c>
      <c r="H5531" t="s">
        <v>21</v>
      </c>
      <c r="I5531" t="s">
        <v>20</v>
      </c>
      <c r="J5531" t="s">
        <v>20</v>
      </c>
      <c r="K5531" t="s">
        <v>31</v>
      </c>
      <c r="L5531" t="s">
        <v>130</v>
      </c>
      <c r="M5531" t="s">
        <v>131</v>
      </c>
      <c r="N5531">
        <v>40.606490999999998</v>
      </c>
      <c r="O5531">
        <v>-111.314762</v>
      </c>
      <c r="P5531">
        <v>6242.2709349999996</v>
      </c>
      <c r="Q5531">
        <v>1345</v>
      </c>
      <c r="R5531">
        <v>0</v>
      </c>
    </row>
    <row r="5532" spans="1:18" x14ac:dyDescent="0.25">
      <c r="A5532">
        <v>5531</v>
      </c>
      <c r="B5532">
        <v>94</v>
      </c>
      <c r="C5532" t="e">
        <f>-Ip5v7ZoInuOHHTYhX07CF</f>
        <v>#NAME?</v>
      </c>
      <c r="D5532" t="s">
        <v>239</v>
      </c>
      <c r="E5532">
        <v>8.5060000000000002</v>
      </c>
      <c r="F5532" t="s">
        <v>21</v>
      </c>
      <c r="G5532" t="s">
        <v>26</v>
      </c>
      <c r="H5532" t="s">
        <v>21</v>
      </c>
      <c r="I5532" t="s">
        <v>20</v>
      </c>
      <c r="J5532" t="s">
        <v>20</v>
      </c>
      <c r="K5532" t="s">
        <v>41</v>
      </c>
      <c r="L5532" t="s">
        <v>181</v>
      </c>
      <c r="M5532" t="s">
        <v>178</v>
      </c>
      <c r="N5532">
        <v>41.692838999999999</v>
      </c>
      <c r="O5532">
        <v>-112.295196</v>
      </c>
      <c r="P5532">
        <v>4281.6176059999998</v>
      </c>
      <c r="Q5532">
        <v>1392</v>
      </c>
      <c r="R5532">
        <v>0</v>
      </c>
    </row>
    <row r="5533" spans="1:18" x14ac:dyDescent="0.25">
      <c r="A5533">
        <v>5532</v>
      </c>
      <c r="B5533">
        <v>94</v>
      </c>
      <c r="C5533">
        <v>31633172</v>
      </c>
      <c r="D5533" t="s">
        <v>227</v>
      </c>
      <c r="E5533">
        <v>8.5090000000000003</v>
      </c>
      <c r="F5533" t="s">
        <v>21</v>
      </c>
      <c r="G5533" t="s">
        <v>26</v>
      </c>
      <c r="H5533" t="s">
        <v>21</v>
      </c>
      <c r="I5533" t="s">
        <v>20</v>
      </c>
      <c r="J5533" t="s">
        <v>20</v>
      </c>
      <c r="K5533" t="s">
        <v>27</v>
      </c>
      <c r="L5533" t="s">
        <v>158</v>
      </c>
      <c r="M5533" t="s">
        <v>190</v>
      </c>
      <c r="N5533">
        <v>39.542650999999999</v>
      </c>
      <c r="O5533">
        <v>-110.417901</v>
      </c>
      <c r="P5533">
        <v>6223.3335669999997</v>
      </c>
      <c r="Q5533">
        <v>1407</v>
      </c>
      <c r="R5533">
        <v>0</v>
      </c>
    </row>
    <row r="5534" spans="1:18" x14ac:dyDescent="0.25">
      <c r="A5534">
        <v>5533</v>
      </c>
      <c r="B5534">
        <v>94</v>
      </c>
      <c r="C5534">
        <v>1467846</v>
      </c>
      <c r="D5534" t="s">
        <v>109</v>
      </c>
      <c r="E5534">
        <v>8.51</v>
      </c>
      <c r="F5534" t="s">
        <v>21</v>
      </c>
      <c r="G5534" t="s">
        <v>26</v>
      </c>
      <c r="H5534" t="s">
        <v>21</v>
      </c>
      <c r="I5534" t="s">
        <v>20</v>
      </c>
      <c r="J5534" t="s">
        <v>20</v>
      </c>
      <c r="K5534" t="s">
        <v>41</v>
      </c>
      <c r="L5534" t="s">
        <v>42</v>
      </c>
      <c r="M5534" t="s">
        <v>73</v>
      </c>
      <c r="N5534">
        <v>41.685512000000003</v>
      </c>
      <c r="O5534">
        <v>-111.833868</v>
      </c>
      <c r="P5534">
        <v>4474.0294629999999</v>
      </c>
      <c r="Q5534">
        <v>345</v>
      </c>
      <c r="R5534">
        <v>0</v>
      </c>
    </row>
    <row r="5535" spans="1:18" x14ac:dyDescent="0.25">
      <c r="A5535">
        <v>5534</v>
      </c>
      <c r="B5535">
        <v>94</v>
      </c>
      <c r="C5535">
        <v>1385586</v>
      </c>
      <c r="D5535" t="s">
        <v>100</v>
      </c>
      <c r="E5535">
        <v>8.5120000000000005</v>
      </c>
      <c r="F5535" t="s">
        <v>19</v>
      </c>
      <c r="G5535" t="s">
        <v>20</v>
      </c>
      <c r="H5535" t="s">
        <v>21</v>
      </c>
      <c r="I5535" t="s">
        <v>20</v>
      </c>
      <c r="J5535" t="s">
        <v>20</v>
      </c>
      <c r="K5535" t="s">
        <v>41</v>
      </c>
      <c r="L5535" t="s">
        <v>57</v>
      </c>
      <c r="M5535" t="s">
        <v>46</v>
      </c>
      <c r="N5535">
        <v>41.154378999999999</v>
      </c>
      <c r="O5535">
        <v>-112.06445100000001</v>
      </c>
      <c r="P5535">
        <v>4258.5348860000004</v>
      </c>
      <c r="Q5535">
        <v>1396</v>
      </c>
      <c r="R5535">
        <v>0</v>
      </c>
    </row>
    <row r="5536" spans="1:18" x14ac:dyDescent="0.25">
      <c r="A5536">
        <v>5535</v>
      </c>
      <c r="B5536">
        <v>94</v>
      </c>
      <c r="C5536">
        <v>31273827</v>
      </c>
      <c r="D5536" t="s">
        <v>241</v>
      </c>
      <c r="E5536">
        <v>8.5139999999999993</v>
      </c>
      <c r="F5536" t="s">
        <v>21</v>
      </c>
      <c r="G5536" t="s">
        <v>26</v>
      </c>
      <c r="H5536" t="s">
        <v>21</v>
      </c>
      <c r="I5536" t="s">
        <v>20</v>
      </c>
      <c r="J5536" t="s">
        <v>20</v>
      </c>
      <c r="K5536" t="s">
        <v>27</v>
      </c>
      <c r="L5536" t="s">
        <v>242</v>
      </c>
      <c r="M5536" t="s">
        <v>243</v>
      </c>
      <c r="N5536">
        <v>38.876615999999999</v>
      </c>
      <c r="O5536">
        <v>-111.29070299999999</v>
      </c>
      <c r="P5536">
        <v>5967.4781679999996</v>
      </c>
      <c r="Q5536">
        <v>1327</v>
      </c>
      <c r="R5536">
        <v>0</v>
      </c>
    </row>
    <row r="5537" spans="1:18" x14ac:dyDescent="0.25">
      <c r="A5537">
        <v>5536</v>
      </c>
      <c r="B5537">
        <v>94</v>
      </c>
      <c r="C5537">
        <v>28162125</v>
      </c>
      <c r="D5537" t="s">
        <v>233</v>
      </c>
      <c r="E5537">
        <v>8.5180000000000007</v>
      </c>
      <c r="F5537" t="s">
        <v>21</v>
      </c>
      <c r="G5537" t="s">
        <v>26</v>
      </c>
      <c r="H5537" t="s">
        <v>21</v>
      </c>
      <c r="I5537" t="s">
        <v>20</v>
      </c>
      <c r="J5537" t="s">
        <v>20</v>
      </c>
      <c r="K5537" t="s">
        <v>22</v>
      </c>
      <c r="L5537" t="s">
        <v>234</v>
      </c>
      <c r="M5537" t="s">
        <v>235</v>
      </c>
      <c r="N5537">
        <v>40.067421000000003</v>
      </c>
      <c r="O5537">
        <v>-109.200681</v>
      </c>
      <c r="P5537">
        <v>5178.809346</v>
      </c>
      <c r="Q5537">
        <v>1354</v>
      </c>
      <c r="R5537">
        <v>0</v>
      </c>
    </row>
    <row r="5538" spans="1:18" x14ac:dyDescent="0.25">
      <c r="A5538">
        <v>5537</v>
      </c>
      <c r="B5538">
        <v>94</v>
      </c>
      <c r="C5538">
        <v>31192124</v>
      </c>
      <c r="D5538" t="s">
        <v>339</v>
      </c>
      <c r="E5538">
        <v>8.5239999999999991</v>
      </c>
      <c r="F5538" t="s">
        <v>21</v>
      </c>
      <c r="G5538" t="s">
        <v>26</v>
      </c>
      <c r="H5538" t="s">
        <v>21</v>
      </c>
      <c r="I5538" t="s">
        <v>20</v>
      </c>
      <c r="J5538" t="s">
        <v>20</v>
      </c>
      <c r="K5538" t="s">
        <v>41</v>
      </c>
      <c r="L5538" t="s">
        <v>95</v>
      </c>
      <c r="M5538" t="s">
        <v>73</v>
      </c>
      <c r="N5538">
        <v>41.917470999999999</v>
      </c>
      <c r="O5538">
        <v>-111.977143</v>
      </c>
      <c r="P5538">
        <v>4740.0339560000002</v>
      </c>
      <c r="Q5538">
        <v>1417</v>
      </c>
      <c r="R5538">
        <v>0</v>
      </c>
    </row>
    <row r="5539" spans="1:18" x14ac:dyDescent="0.25">
      <c r="A5539">
        <v>5538</v>
      </c>
      <c r="B5539">
        <v>94</v>
      </c>
      <c r="C5539">
        <v>552630</v>
      </c>
      <c r="D5539" t="s">
        <v>77</v>
      </c>
      <c r="E5539">
        <v>8.5250000000000004</v>
      </c>
      <c r="F5539" t="s">
        <v>19</v>
      </c>
      <c r="G5539" t="s">
        <v>20</v>
      </c>
      <c r="H5539" t="s">
        <v>21</v>
      </c>
      <c r="I5539" t="s">
        <v>20</v>
      </c>
      <c r="J5539" t="s">
        <v>20</v>
      </c>
      <c r="K5539" t="s">
        <v>31</v>
      </c>
      <c r="L5539" t="s">
        <v>78</v>
      </c>
      <c r="M5539" t="s">
        <v>79</v>
      </c>
      <c r="N5539">
        <v>40.762149000000001</v>
      </c>
      <c r="O5539">
        <v>-112.02498900000001</v>
      </c>
      <c r="P5539">
        <v>4175.9789119999996</v>
      </c>
      <c r="Q5539">
        <v>1436</v>
      </c>
      <c r="R5539">
        <v>0</v>
      </c>
    </row>
    <row r="5540" spans="1:18" x14ac:dyDescent="0.25">
      <c r="A5540">
        <v>5539</v>
      </c>
      <c r="B5540">
        <v>94</v>
      </c>
      <c r="C5540">
        <v>1500768</v>
      </c>
      <c r="D5540" t="s">
        <v>88</v>
      </c>
      <c r="E5540">
        <v>8.5299999999999994</v>
      </c>
      <c r="F5540" t="s">
        <v>21</v>
      </c>
      <c r="G5540" t="s">
        <v>26</v>
      </c>
      <c r="H5540" t="s">
        <v>21</v>
      </c>
      <c r="I5540" t="s">
        <v>20</v>
      </c>
      <c r="J5540" t="s">
        <v>20</v>
      </c>
      <c r="K5540" t="s">
        <v>31</v>
      </c>
      <c r="L5540" t="s">
        <v>89</v>
      </c>
      <c r="M5540" t="s">
        <v>90</v>
      </c>
      <c r="N5540">
        <v>40.563397999999999</v>
      </c>
      <c r="O5540">
        <v>-111.872146</v>
      </c>
      <c r="P5540">
        <v>4473.4001440000002</v>
      </c>
      <c r="Q5540">
        <v>318</v>
      </c>
      <c r="R5540">
        <v>0</v>
      </c>
    </row>
    <row r="5541" spans="1:18" x14ac:dyDescent="0.25">
      <c r="A5541">
        <v>5540</v>
      </c>
      <c r="B5541">
        <v>94</v>
      </c>
      <c r="C5541">
        <v>31529224</v>
      </c>
      <c r="D5541" t="s">
        <v>236</v>
      </c>
      <c r="E5541">
        <v>8.532</v>
      </c>
      <c r="F5541" t="s">
        <v>21</v>
      </c>
      <c r="G5541" t="s">
        <v>20</v>
      </c>
      <c r="H5541" t="s">
        <v>21</v>
      </c>
      <c r="I5541" t="s">
        <v>20</v>
      </c>
      <c r="J5541" t="s">
        <v>20</v>
      </c>
      <c r="K5541" t="s">
        <v>31</v>
      </c>
      <c r="L5541" t="s">
        <v>78</v>
      </c>
      <c r="M5541" t="s">
        <v>79</v>
      </c>
      <c r="N5541">
        <v>40.688203999999999</v>
      </c>
      <c r="O5541">
        <v>-112.091841</v>
      </c>
      <c r="P5541">
        <v>4444.0996070000001</v>
      </c>
      <c r="Q5541">
        <v>1398</v>
      </c>
      <c r="R5541">
        <v>0</v>
      </c>
    </row>
    <row r="5542" spans="1:18" x14ac:dyDescent="0.25">
      <c r="A5542">
        <v>5541</v>
      </c>
      <c r="B5542">
        <v>94</v>
      </c>
      <c r="C5542">
        <v>28708234</v>
      </c>
      <c r="D5542" t="s">
        <v>192</v>
      </c>
      <c r="E5542">
        <v>8.5380000000000003</v>
      </c>
      <c r="F5542" t="s">
        <v>21</v>
      </c>
      <c r="G5542" t="s">
        <v>26</v>
      </c>
      <c r="H5542" t="s">
        <v>21</v>
      </c>
      <c r="I5542" t="s">
        <v>20</v>
      </c>
      <c r="J5542" t="s">
        <v>20</v>
      </c>
      <c r="K5542" t="s">
        <v>22</v>
      </c>
      <c r="L5542" t="s">
        <v>140</v>
      </c>
      <c r="M5542" t="s">
        <v>125</v>
      </c>
      <c r="N5542">
        <v>40.161101000000002</v>
      </c>
      <c r="O5542">
        <v>-111.620845</v>
      </c>
      <c r="P5542">
        <v>4501.7252820000003</v>
      </c>
      <c r="Q5542">
        <v>1375</v>
      </c>
      <c r="R5542">
        <v>0</v>
      </c>
    </row>
    <row r="5543" spans="1:18" x14ac:dyDescent="0.25">
      <c r="A5543">
        <v>5542</v>
      </c>
      <c r="B5543">
        <v>94</v>
      </c>
      <c r="C5543">
        <v>31817062</v>
      </c>
      <c r="D5543" t="s">
        <v>61</v>
      </c>
      <c r="E5543">
        <v>9.2729999999999997</v>
      </c>
      <c r="F5543" t="s">
        <v>21</v>
      </c>
      <c r="G5543" t="s">
        <v>26</v>
      </c>
      <c r="H5543" t="s">
        <v>21</v>
      </c>
      <c r="I5543" t="s">
        <v>20</v>
      </c>
      <c r="J5543" t="s">
        <v>20</v>
      </c>
      <c r="K5543" t="s">
        <v>22</v>
      </c>
      <c r="L5543" t="s">
        <v>60</v>
      </c>
      <c r="M5543" t="s">
        <v>62</v>
      </c>
      <c r="N5543">
        <v>40.327624</v>
      </c>
      <c r="O5543">
        <v>-111.632295</v>
      </c>
      <c r="P5543">
        <v>4893.8092880000004</v>
      </c>
      <c r="Q5543">
        <v>403</v>
      </c>
      <c r="R5543">
        <v>0</v>
      </c>
    </row>
    <row r="5544" spans="1:18" x14ac:dyDescent="0.25">
      <c r="A5544">
        <v>5543</v>
      </c>
      <c r="B5544">
        <v>94</v>
      </c>
      <c r="C5544">
        <v>31192135</v>
      </c>
      <c r="D5544" t="s">
        <v>339</v>
      </c>
      <c r="E5544">
        <v>9.2729999999999997</v>
      </c>
      <c r="F5544" t="s">
        <v>21</v>
      </c>
      <c r="G5544" t="s">
        <v>20</v>
      </c>
      <c r="H5544" t="s">
        <v>21</v>
      </c>
      <c r="I5544" t="s">
        <v>20</v>
      </c>
      <c r="J5544" t="s">
        <v>20</v>
      </c>
      <c r="K5544" t="s">
        <v>41</v>
      </c>
      <c r="L5544" t="s">
        <v>95</v>
      </c>
      <c r="M5544" t="s">
        <v>73</v>
      </c>
      <c r="N5544">
        <v>41.917538</v>
      </c>
      <c r="O5544">
        <v>-111.962608</v>
      </c>
      <c r="P5544">
        <v>4502.7181229999997</v>
      </c>
      <c r="Q5544">
        <v>1417</v>
      </c>
      <c r="R5544">
        <v>0</v>
      </c>
    </row>
    <row r="5545" spans="1:18" x14ac:dyDescent="0.25">
      <c r="A5545">
        <v>5544</v>
      </c>
      <c r="B5545">
        <v>94</v>
      </c>
      <c r="C5545" t="e">
        <f>-IpV4boJGDyGxKsynxbStF</f>
        <v>#NAME?</v>
      </c>
      <c r="D5545" t="s">
        <v>115</v>
      </c>
      <c r="E5545">
        <v>9.2769999999999992</v>
      </c>
      <c r="F5545" t="s">
        <v>19</v>
      </c>
      <c r="G5545" t="s">
        <v>20</v>
      </c>
      <c r="H5545" t="s">
        <v>21</v>
      </c>
      <c r="I5545" t="s">
        <v>20</v>
      </c>
      <c r="J5545" t="s">
        <v>20</v>
      </c>
      <c r="K5545" t="s">
        <v>31</v>
      </c>
      <c r="L5545" t="s">
        <v>69</v>
      </c>
      <c r="M5545" t="s">
        <v>70</v>
      </c>
      <c r="N5545">
        <v>40.654733999999998</v>
      </c>
      <c r="O5545">
        <v>-111.900882</v>
      </c>
      <c r="P5545">
        <v>4254.1359929999999</v>
      </c>
      <c r="Q5545">
        <v>1437</v>
      </c>
      <c r="R5545">
        <v>0</v>
      </c>
    </row>
    <row r="5546" spans="1:18" x14ac:dyDescent="0.25">
      <c r="A5546">
        <v>5545</v>
      </c>
      <c r="B5546">
        <v>94</v>
      </c>
      <c r="C5546">
        <v>27873997</v>
      </c>
      <c r="D5546" t="s">
        <v>136</v>
      </c>
      <c r="E5546">
        <v>9.2799999999999994</v>
      </c>
      <c r="F5546" t="s">
        <v>21</v>
      </c>
      <c r="G5546" t="s">
        <v>26</v>
      </c>
      <c r="H5546" t="s">
        <v>21</v>
      </c>
      <c r="I5546" t="s">
        <v>20</v>
      </c>
      <c r="J5546" t="s">
        <v>20</v>
      </c>
      <c r="K5546" t="s">
        <v>41</v>
      </c>
      <c r="L5546" t="s">
        <v>137</v>
      </c>
      <c r="M5546" t="s">
        <v>138</v>
      </c>
      <c r="N5546">
        <v>40.988926999999997</v>
      </c>
      <c r="O5546">
        <v>-111.67935199999999</v>
      </c>
      <c r="P5546">
        <v>5110.3423220000004</v>
      </c>
      <c r="Q5546">
        <v>317</v>
      </c>
      <c r="R5546">
        <v>0</v>
      </c>
    </row>
    <row r="5547" spans="1:18" x14ac:dyDescent="0.25">
      <c r="A5547">
        <v>5546</v>
      </c>
      <c r="B5547">
        <v>94</v>
      </c>
      <c r="C5547">
        <v>31192060</v>
      </c>
      <c r="D5547" t="s">
        <v>310</v>
      </c>
      <c r="E5547">
        <v>10.045999999999999</v>
      </c>
      <c r="F5547" t="s">
        <v>21</v>
      </c>
      <c r="G5547" t="s">
        <v>26</v>
      </c>
      <c r="H5547" t="s">
        <v>21</v>
      </c>
      <c r="I5547" t="s">
        <v>20</v>
      </c>
      <c r="J5547" t="s">
        <v>20</v>
      </c>
      <c r="K5547" t="s">
        <v>31</v>
      </c>
      <c r="L5547" t="s">
        <v>285</v>
      </c>
      <c r="M5547" t="s">
        <v>206</v>
      </c>
      <c r="N5547">
        <v>40.599926000000004</v>
      </c>
      <c r="O5547">
        <v>-112.467043</v>
      </c>
      <c r="P5547">
        <v>4256.0493660000002</v>
      </c>
      <c r="Q5547">
        <v>1414</v>
      </c>
      <c r="R5547">
        <v>0</v>
      </c>
    </row>
    <row r="5548" spans="1:18" x14ac:dyDescent="0.25">
      <c r="A5548">
        <v>5547</v>
      </c>
      <c r="B5548">
        <v>94</v>
      </c>
      <c r="C5548">
        <v>31274035</v>
      </c>
      <c r="D5548" t="s">
        <v>303</v>
      </c>
      <c r="E5548">
        <v>10.047000000000001</v>
      </c>
      <c r="F5548" t="s">
        <v>21</v>
      </c>
      <c r="G5548" t="s">
        <v>26</v>
      </c>
      <c r="H5548" t="s">
        <v>21</v>
      </c>
      <c r="I5548" t="s">
        <v>20</v>
      </c>
      <c r="J5548" t="s">
        <v>20</v>
      </c>
      <c r="K5548" t="s">
        <v>27</v>
      </c>
      <c r="L5548" t="s">
        <v>72</v>
      </c>
      <c r="M5548" t="s">
        <v>73</v>
      </c>
      <c r="N5548">
        <v>37.178082000000003</v>
      </c>
      <c r="O5548">
        <v>-113.28434</v>
      </c>
      <c r="P5548">
        <v>3173.4704230000002</v>
      </c>
      <c r="Q5548">
        <v>1326</v>
      </c>
      <c r="R5548">
        <v>0</v>
      </c>
    </row>
    <row r="5549" spans="1:18" x14ac:dyDescent="0.25">
      <c r="A5549">
        <v>5548</v>
      </c>
      <c r="B5549">
        <v>94</v>
      </c>
      <c r="C5549">
        <v>31634876</v>
      </c>
      <c r="D5549" t="s">
        <v>227</v>
      </c>
      <c r="E5549">
        <v>10.057</v>
      </c>
      <c r="F5549" t="s">
        <v>21</v>
      </c>
      <c r="G5549" t="s">
        <v>26</v>
      </c>
      <c r="H5549" t="s">
        <v>21</v>
      </c>
      <c r="I5549" t="s">
        <v>20</v>
      </c>
      <c r="J5549" t="s">
        <v>20</v>
      </c>
      <c r="K5549" t="s">
        <v>27</v>
      </c>
      <c r="L5549" t="s">
        <v>158</v>
      </c>
      <c r="M5549" t="s">
        <v>190</v>
      </c>
      <c r="N5549">
        <v>39.549680000000002</v>
      </c>
      <c r="O5549">
        <v>-110.391806</v>
      </c>
      <c r="P5549">
        <v>6409.4792340000004</v>
      </c>
      <c r="Q5549">
        <v>1407</v>
      </c>
      <c r="R5549">
        <v>0</v>
      </c>
    </row>
    <row r="5550" spans="1:18" x14ac:dyDescent="0.25">
      <c r="A5550">
        <v>5549</v>
      </c>
      <c r="B5550">
        <v>94</v>
      </c>
      <c r="C5550">
        <v>27869850</v>
      </c>
      <c r="D5550" t="s">
        <v>91</v>
      </c>
      <c r="E5550">
        <v>10.065</v>
      </c>
      <c r="F5550" t="s">
        <v>21</v>
      </c>
      <c r="G5550" t="s">
        <v>26</v>
      </c>
      <c r="H5550" t="s">
        <v>19</v>
      </c>
      <c r="I5550">
        <v>30</v>
      </c>
      <c r="J5550" t="s">
        <v>20</v>
      </c>
      <c r="K5550" t="s">
        <v>41</v>
      </c>
      <c r="L5550" t="s">
        <v>42</v>
      </c>
      <c r="M5550" t="s">
        <v>73</v>
      </c>
      <c r="N5550">
        <v>41.750742000000002</v>
      </c>
      <c r="O5550">
        <v>-111.97943100000001</v>
      </c>
      <c r="P5550">
        <v>4445.7417740000001</v>
      </c>
      <c r="Q5550">
        <v>1339</v>
      </c>
      <c r="R5550">
        <v>0</v>
      </c>
    </row>
    <row r="5551" spans="1:18" x14ac:dyDescent="0.25">
      <c r="A5551">
        <v>5550</v>
      </c>
      <c r="B5551">
        <v>94</v>
      </c>
      <c r="C5551" t="e">
        <f>-JOV9_C3G398Q-Gd6QrmIF</f>
        <v>#NAME?</v>
      </c>
      <c r="D5551" t="s">
        <v>241</v>
      </c>
      <c r="E5551">
        <v>10.073</v>
      </c>
      <c r="F5551" t="s">
        <v>21</v>
      </c>
      <c r="G5551" t="s">
        <v>20</v>
      </c>
      <c r="H5551" t="s">
        <v>21</v>
      </c>
      <c r="I5551" t="s">
        <v>20</v>
      </c>
      <c r="J5551" t="s">
        <v>20</v>
      </c>
      <c r="K5551" t="s">
        <v>27</v>
      </c>
      <c r="L5551" t="s">
        <v>242</v>
      </c>
      <c r="M5551" t="s">
        <v>243</v>
      </c>
      <c r="N5551">
        <v>38.896659</v>
      </c>
      <c r="O5551">
        <v>-111.27726</v>
      </c>
      <c r="P5551">
        <v>6230.4215329999997</v>
      </c>
      <c r="Q5551">
        <v>1327</v>
      </c>
      <c r="R5551">
        <v>0</v>
      </c>
    </row>
    <row r="5552" spans="1:18" x14ac:dyDescent="0.25">
      <c r="A5552">
        <v>5551</v>
      </c>
      <c r="B5552">
        <v>94</v>
      </c>
      <c r="C5552">
        <v>31604852</v>
      </c>
      <c r="D5552" t="s">
        <v>50</v>
      </c>
      <c r="E5552">
        <v>10.082000000000001</v>
      </c>
      <c r="F5552" t="s">
        <v>21</v>
      </c>
      <c r="G5552" t="s">
        <v>26</v>
      </c>
      <c r="H5552" t="s">
        <v>21</v>
      </c>
      <c r="I5552" t="s">
        <v>20</v>
      </c>
      <c r="J5552" t="s">
        <v>20</v>
      </c>
      <c r="K5552" t="s">
        <v>27</v>
      </c>
      <c r="L5552" t="s">
        <v>51</v>
      </c>
      <c r="M5552" t="s">
        <v>52</v>
      </c>
      <c r="N5552">
        <v>37.757196</v>
      </c>
      <c r="O5552">
        <v>-112.84416899999999</v>
      </c>
      <c r="P5552">
        <v>7607.9354210000001</v>
      </c>
      <c r="Q5552">
        <v>1418</v>
      </c>
      <c r="R5552">
        <v>0</v>
      </c>
    </row>
    <row r="5553" spans="1:18" x14ac:dyDescent="0.25">
      <c r="A5553">
        <v>5552</v>
      </c>
      <c r="B5553">
        <v>94</v>
      </c>
      <c r="C5553">
        <v>31528088</v>
      </c>
      <c r="D5553" t="s">
        <v>231</v>
      </c>
      <c r="E5553">
        <v>10.083</v>
      </c>
      <c r="F5553" t="s">
        <v>21</v>
      </c>
      <c r="G5553" t="s">
        <v>26</v>
      </c>
      <c r="H5553" t="s">
        <v>21</v>
      </c>
      <c r="I5553" t="s">
        <v>20</v>
      </c>
      <c r="J5553" t="s">
        <v>20</v>
      </c>
      <c r="K5553" t="s">
        <v>41</v>
      </c>
      <c r="L5553" t="s">
        <v>57</v>
      </c>
      <c r="M5553" t="s">
        <v>93</v>
      </c>
      <c r="N5553">
        <v>41.181300999999998</v>
      </c>
      <c r="O5553">
        <v>-112.025947</v>
      </c>
      <c r="P5553">
        <v>4435.2963030000001</v>
      </c>
      <c r="Q5553">
        <v>1409</v>
      </c>
      <c r="R5553">
        <v>0</v>
      </c>
    </row>
    <row r="5554" spans="1:18" x14ac:dyDescent="0.25">
      <c r="A5554">
        <v>5553</v>
      </c>
      <c r="B5554">
        <v>94</v>
      </c>
      <c r="C5554" t="s">
        <v>740</v>
      </c>
      <c r="D5554" t="s">
        <v>312</v>
      </c>
      <c r="E5554">
        <v>10.087</v>
      </c>
      <c r="F5554" t="s">
        <v>21</v>
      </c>
      <c r="G5554" t="s">
        <v>20</v>
      </c>
      <c r="H5554" t="s">
        <v>21</v>
      </c>
      <c r="I5554" t="s">
        <v>20</v>
      </c>
      <c r="J5554" t="s">
        <v>20</v>
      </c>
      <c r="K5554" t="s">
        <v>27</v>
      </c>
      <c r="L5554" t="s">
        <v>143</v>
      </c>
      <c r="M5554" t="s">
        <v>313</v>
      </c>
      <c r="N5554">
        <v>38.540100000000002</v>
      </c>
      <c r="O5554">
        <v>-112.991201</v>
      </c>
      <c r="P5554">
        <v>4845.702378</v>
      </c>
      <c r="Q5554">
        <v>255</v>
      </c>
      <c r="R5554">
        <v>0</v>
      </c>
    </row>
    <row r="5555" spans="1:18" x14ac:dyDescent="0.25">
      <c r="A5555">
        <v>5554</v>
      </c>
      <c r="B5555">
        <v>94</v>
      </c>
      <c r="C5555">
        <v>31302331</v>
      </c>
      <c r="D5555" t="s">
        <v>116</v>
      </c>
      <c r="E5555">
        <v>10.106</v>
      </c>
      <c r="F5555" t="s">
        <v>21</v>
      </c>
      <c r="G5555" t="s">
        <v>26</v>
      </c>
      <c r="H5555" t="s">
        <v>21</v>
      </c>
      <c r="I5555" t="s">
        <v>20</v>
      </c>
      <c r="J5555" t="s">
        <v>20</v>
      </c>
      <c r="K5555" t="s">
        <v>41</v>
      </c>
      <c r="L5555" t="s">
        <v>177</v>
      </c>
      <c r="M5555" t="s">
        <v>43</v>
      </c>
      <c r="N5555">
        <v>41.551214999999999</v>
      </c>
      <c r="O5555">
        <v>-111.95396100000001</v>
      </c>
      <c r="P5555">
        <v>5835.0177190000004</v>
      </c>
      <c r="Q5555">
        <v>324</v>
      </c>
      <c r="R5555">
        <v>0</v>
      </c>
    </row>
    <row r="5556" spans="1:18" x14ac:dyDescent="0.25">
      <c r="A5556">
        <v>5555</v>
      </c>
      <c r="B5556">
        <v>94</v>
      </c>
      <c r="C5556">
        <v>31470868</v>
      </c>
      <c r="D5556" t="s">
        <v>348</v>
      </c>
      <c r="E5556">
        <v>10.115</v>
      </c>
      <c r="F5556" t="s">
        <v>21</v>
      </c>
      <c r="G5556" t="s">
        <v>26</v>
      </c>
      <c r="H5556" t="s">
        <v>21</v>
      </c>
      <c r="I5556" t="s">
        <v>20</v>
      </c>
      <c r="J5556" t="s">
        <v>20</v>
      </c>
      <c r="K5556" t="s">
        <v>27</v>
      </c>
      <c r="L5556" t="s">
        <v>122</v>
      </c>
      <c r="M5556" t="s">
        <v>123</v>
      </c>
      <c r="N5556">
        <v>38.236035000000001</v>
      </c>
      <c r="O5556">
        <v>-110.647869</v>
      </c>
      <c r="P5556">
        <v>4741.6766019999995</v>
      </c>
      <c r="Q5556">
        <v>1388</v>
      </c>
      <c r="R5556">
        <v>0</v>
      </c>
    </row>
    <row r="5557" spans="1:18" x14ac:dyDescent="0.25">
      <c r="A5557">
        <v>5556</v>
      </c>
      <c r="B5557">
        <v>94</v>
      </c>
      <c r="C5557">
        <v>823597</v>
      </c>
      <c r="D5557" t="s">
        <v>236</v>
      </c>
      <c r="E5557">
        <v>10.119</v>
      </c>
      <c r="F5557" t="s">
        <v>19</v>
      </c>
      <c r="G5557" t="s">
        <v>20</v>
      </c>
      <c r="H5557" t="s">
        <v>21</v>
      </c>
      <c r="I5557" t="s">
        <v>20</v>
      </c>
      <c r="J5557" t="s">
        <v>20</v>
      </c>
      <c r="K5557" t="s">
        <v>31</v>
      </c>
      <c r="L5557" t="s">
        <v>78</v>
      </c>
      <c r="M5557" t="s">
        <v>79</v>
      </c>
      <c r="N5557">
        <v>40.711219999999997</v>
      </c>
      <c r="O5557">
        <v>-112.091814</v>
      </c>
      <c r="P5557">
        <v>4207.6080570000004</v>
      </c>
      <c r="Q5557">
        <v>1398</v>
      </c>
      <c r="R5557">
        <v>0</v>
      </c>
    </row>
    <row r="5558" spans="1:18" x14ac:dyDescent="0.25">
      <c r="A5558">
        <v>5557</v>
      </c>
      <c r="B5558">
        <v>94</v>
      </c>
      <c r="C5558">
        <v>31280499</v>
      </c>
      <c r="D5558" t="s">
        <v>347</v>
      </c>
      <c r="E5558">
        <v>10.119</v>
      </c>
      <c r="F5558" t="s">
        <v>21</v>
      </c>
      <c r="G5558" t="s">
        <v>26</v>
      </c>
      <c r="H5558" t="s">
        <v>21</v>
      </c>
      <c r="I5558" t="s">
        <v>20</v>
      </c>
      <c r="J5558" t="s">
        <v>20</v>
      </c>
      <c r="K5558" t="s">
        <v>41</v>
      </c>
      <c r="L5558" t="s">
        <v>325</v>
      </c>
      <c r="M5558" t="s">
        <v>204</v>
      </c>
      <c r="N5558">
        <v>41.518562000000003</v>
      </c>
      <c r="O5558">
        <v>-111.16282</v>
      </c>
      <c r="P5558">
        <v>6292.4408100000001</v>
      </c>
      <c r="Q5558">
        <v>1334</v>
      </c>
      <c r="R5558">
        <v>0</v>
      </c>
    </row>
    <row r="5559" spans="1:18" x14ac:dyDescent="0.25">
      <c r="A5559">
        <v>5558</v>
      </c>
      <c r="B5559">
        <v>94</v>
      </c>
      <c r="C5559">
        <v>31279607</v>
      </c>
      <c r="D5559" t="s">
        <v>288</v>
      </c>
      <c r="E5559">
        <v>10.119999999999999</v>
      </c>
      <c r="F5559" t="s">
        <v>21</v>
      </c>
      <c r="G5559" t="s">
        <v>20</v>
      </c>
      <c r="H5559" t="s">
        <v>21</v>
      </c>
      <c r="I5559" t="s">
        <v>20</v>
      </c>
      <c r="J5559" t="s">
        <v>20</v>
      </c>
      <c r="K5559" t="s">
        <v>27</v>
      </c>
      <c r="L5559" t="s">
        <v>211</v>
      </c>
      <c r="M5559" t="s">
        <v>318</v>
      </c>
      <c r="N5559">
        <v>37.126054000000003</v>
      </c>
      <c r="O5559">
        <v>-109.54725999999999</v>
      </c>
      <c r="P5559">
        <v>4649.9006449999997</v>
      </c>
      <c r="Q5559">
        <v>350</v>
      </c>
      <c r="R5559">
        <v>0</v>
      </c>
    </row>
    <row r="5560" spans="1:18" x14ac:dyDescent="0.25">
      <c r="A5560">
        <v>5559</v>
      </c>
      <c r="B5560">
        <v>94</v>
      </c>
      <c r="C5560">
        <v>31656083</v>
      </c>
      <c r="D5560" t="s">
        <v>109</v>
      </c>
      <c r="E5560">
        <v>10.122999999999999</v>
      </c>
      <c r="F5560" t="s">
        <v>21</v>
      </c>
      <c r="G5560" t="s">
        <v>26</v>
      </c>
      <c r="H5560" t="s">
        <v>21</v>
      </c>
      <c r="I5560" t="s">
        <v>20</v>
      </c>
      <c r="J5560" t="s">
        <v>20</v>
      </c>
      <c r="K5560" t="s">
        <v>41</v>
      </c>
      <c r="L5560" t="s">
        <v>42</v>
      </c>
      <c r="M5560" t="s">
        <v>73</v>
      </c>
      <c r="N5560">
        <v>41.708849999999998</v>
      </c>
      <c r="O5560">
        <v>-111.83466</v>
      </c>
      <c r="P5560">
        <v>4447.3405039999998</v>
      </c>
      <c r="Q5560">
        <v>345</v>
      </c>
      <c r="R5560">
        <v>0</v>
      </c>
    </row>
    <row r="5561" spans="1:18" x14ac:dyDescent="0.25">
      <c r="A5561">
        <v>5560</v>
      </c>
      <c r="B5561">
        <v>94</v>
      </c>
      <c r="C5561">
        <v>1508896</v>
      </c>
      <c r="D5561" t="s">
        <v>88</v>
      </c>
      <c r="E5561">
        <v>10.125999999999999</v>
      </c>
      <c r="F5561" t="s">
        <v>21</v>
      </c>
      <c r="G5561" t="s">
        <v>26</v>
      </c>
      <c r="H5561" t="s">
        <v>21</v>
      </c>
      <c r="I5561" t="s">
        <v>20</v>
      </c>
      <c r="J5561" t="s">
        <v>20</v>
      </c>
      <c r="K5561" t="s">
        <v>31</v>
      </c>
      <c r="L5561" t="s">
        <v>89</v>
      </c>
      <c r="M5561" t="s">
        <v>90</v>
      </c>
      <c r="N5561">
        <v>40.586559999999999</v>
      </c>
      <c r="O5561">
        <v>-111.872112</v>
      </c>
      <c r="P5561">
        <v>4460.0759509999998</v>
      </c>
      <c r="Q5561">
        <v>318</v>
      </c>
      <c r="R5561">
        <v>0</v>
      </c>
    </row>
    <row r="5562" spans="1:18" x14ac:dyDescent="0.25">
      <c r="A5562">
        <v>5561</v>
      </c>
      <c r="B5562">
        <v>94</v>
      </c>
      <c r="C5562">
        <v>1525452</v>
      </c>
      <c r="D5562" t="s">
        <v>88</v>
      </c>
      <c r="E5562">
        <v>10.964</v>
      </c>
      <c r="F5562" t="s">
        <v>21</v>
      </c>
      <c r="G5562" t="s">
        <v>26</v>
      </c>
      <c r="H5562" t="s">
        <v>21</v>
      </c>
      <c r="I5562" t="s">
        <v>20</v>
      </c>
      <c r="J5562" t="s">
        <v>20</v>
      </c>
      <c r="K5562" t="s">
        <v>31</v>
      </c>
      <c r="L5562" t="s">
        <v>32</v>
      </c>
      <c r="M5562" t="s">
        <v>90</v>
      </c>
      <c r="N5562">
        <v>40.598697999999999</v>
      </c>
      <c r="O5562">
        <v>-111.87219899999999</v>
      </c>
      <c r="P5562">
        <v>4441.7593100000004</v>
      </c>
      <c r="Q5562">
        <v>318</v>
      </c>
      <c r="R5562">
        <v>0</v>
      </c>
    </row>
    <row r="5563" spans="1:18" x14ac:dyDescent="0.25">
      <c r="A5563">
        <v>5562</v>
      </c>
      <c r="B5563">
        <v>94</v>
      </c>
      <c r="C5563">
        <v>31192991</v>
      </c>
      <c r="D5563" t="s">
        <v>310</v>
      </c>
      <c r="E5563">
        <v>10.983000000000001</v>
      </c>
      <c r="F5563" t="s">
        <v>21</v>
      </c>
      <c r="G5563" t="s">
        <v>26</v>
      </c>
      <c r="H5563" t="s">
        <v>21</v>
      </c>
      <c r="I5563" t="s">
        <v>20</v>
      </c>
      <c r="J5563" t="s">
        <v>20</v>
      </c>
      <c r="K5563" t="s">
        <v>31</v>
      </c>
      <c r="L5563" t="s">
        <v>285</v>
      </c>
      <c r="M5563" t="s">
        <v>206</v>
      </c>
      <c r="N5563">
        <v>40.599784</v>
      </c>
      <c r="O5563">
        <v>-112.449265</v>
      </c>
      <c r="P5563">
        <v>4235.8928610000003</v>
      </c>
      <c r="Q5563">
        <v>1414</v>
      </c>
      <c r="R5563">
        <v>0</v>
      </c>
    </row>
    <row r="5564" spans="1:18" x14ac:dyDescent="0.25">
      <c r="A5564">
        <v>5563</v>
      </c>
      <c r="B5564">
        <v>94</v>
      </c>
      <c r="C5564">
        <v>31514873</v>
      </c>
      <c r="D5564" t="s">
        <v>132</v>
      </c>
      <c r="E5564">
        <v>10.999000000000001</v>
      </c>
      <c r="F5564" t="s">
        <v>21</v>
      </c>
      <c r="G5564" t="s">
        <v>26</v>
      </c>
      <c r="H5564" t="s">
        <v>21</v>
      </c>
      <c r="I5564" t="s">
        <v>20</v>
      </c>
      <c r="J5564" t="s">
        <v>20</v>
      </c>
      <c r="K5564" t="s">
        <v>22</v>
      </c>
      <c r="L5564" t="s">
        <v>133</v>
      </c>
      <c r="M5564" t="s">
        <v>134</v>
      </c>
      <c r="N5564">
        <v>40.432957000000002</v>
      </c>
      <c r="O5564">
        <v>-110.011117</v>
      </c>
      <c r="P5564">
        <v>5935.8887880000002</v>
      </c>
      <c r="Q5564">
        <v>1405</v>
      </c>
      <c r="R5564">
        <v>0</v>
      </c>
    </row>
    <row r="5565" spans="1:18" x14ac:dyDescent="0.25">
      <c r="A5565">
        <v>5564</v>
      </c>
      <c r="B5565">
        <v>94</v>
      </c>
      <c r="C5565">
        <v>31433545</v>
      </c>
      <c r="D5565" t="s">
        <v>288</v>
      </c>
      <c r="E5565">
        <v>100.495</v>
      </c>
      <c r="F5565" t="s">
        <v>21</v>
      </c>
      <c r="G5565" t="s">
        <v>20</v>
      </c>
      <c r="H5565" t="s">
        <v>21</v>
      </c>
      <c r="I5565" t="s">
        <v>20</v>
      </c>
      <c r="J5565" t="s">
        <v>20</v>
      </c>
      <c r="K5565" t="s">
        <v>27</v>
      </c>
      <c r="L5565" t="s">
        <v>146</v>
      </c>
      <c r="M5565" t="s">
        <v>147</v>
      </c>
      <c r="N5565">
        <v>38.276083</v>
      </c>
      <c r="O5565">
        <v>-109.37200799999999</v>
      </c>
      <c r="P5565">
        <v>6001.9331549999997</v>
      </c>
      <c r="Q5565">
        <v>350</v>
      </c>
      <c r="R5565">
        <v>0</v>
      </c>
    </row>
    <row r="5566" spans="1:18" x14ac:dyDescent="0.25">
      <c r="A5566">
        <v>5565</v>
      </c>
      <c r="B5566">
        <v>94</v>
      </c>
      <c r="C5566">
        <v>31777342</v>
      </c>
      <c r="D5566" t="s">
        <v>290</v>
      </c>
      <c r="E5566">
        <v>100.499</v>
      </c>
      <c r="F5566" t="s">
        <v>21</v>
      </c>
      <c r="G5566" t="s">
        <v>26</v>
      </c>
      <c r="H5566" t="s">
        <v>21</v>
      </c>
      <c r="I5566" t="s">
        <v>20</v>
      </c>
      <c r="J5566" t="s">
        <v>20</v>
      </c>
      <c r="K5566" t="s">
        <v>41</v>
      </c>
      <c r="L5566" t="s">
        <v>95</v>
      </c>
      <c r="M5566" t="s">
        <v>152</v>
      </c>
      <c r="N5566">
        <v>41.763421999999998</v>
      </c>
      <c r="O5566">
        <v>-112.009327</v>
      </c>
      <c r="P5566">
        <v>4731.9021069999999</v>
      </c>
      <c r="Q5566">
        <v>1343</v>
      </c>
      <c r="R5566">
        <v>0</v>
      </c>
    </row>
    <row r="5567" spans="1:18" x14ac:dyDescent="0.25">
      <c r="A5567">
        <v>5566</v>
      </c>
      <c r="B5567">
        <v>94</v>
      </c>
      <c r="C5567">
        <v>31727628</v>
      </c>
      <c r="D5567" t="s">
        <v>244</v>
      </c>
      <c r="E5567">
        <v>100.52500000000001</v>
      </c>
      <c r="F5567" t="s">
        <v>21</v>
      </c>
      <c r="G5567" t="s">
        <v>20</v>
      </c>
      <c r="H5567" t="s">
        <v>21</v>
      </c>
      <c r="I5567" t="s">
        <v>20</v>
      </c>
      <c r="J5567" t="s">
        <v>20</v>
      </c>
      <c r="K5567" t="s">
        <v>27</v>
      </c>
      <c r="L5567" t="s">
        <v>122</v>
      </c>
      <c r="M5567" t="s">
        <v>270</v>
      </c>
      <c r="N5567">
        <v>38.347378999999997</v>
      </c>
      <c r="O5567">
        <v>-110.97809100000001</v>
      </c>
      <c r="P5567">
        <v>4495.3255239999999</v>
      </c>
      <c r="Q5567">
        <v>1340</v>
      </c>
      <c r="R5567">
        <v>0</v>
      </c>
    </row>
    <row r="5568" spans="1:18" x14ac:dyDescent="0.25">
      <c r="A5568">
        <v>5567</v>
      </c>
      <c r="B5568">
        <v>94</v>
      </c>
      <c r="C5568">
        <v>31561678</v>
      </c>
      <c r="D5568" t="s">
        <v>213</v>
      </c>
      <c r="E5568">
        <v>100.58199999999999</v>
      </c>
      <c r="F5568" t="s">
        <v>21</v>
      </c>
      <c r="G5568" t="s">
        <v>26</v>
      </c>
      <c r="H5568" t="s">
        <v>21</v>
      </c>
      <c r="I5568" t="s">
        <v>20</v>
      </c>
      <c r="J5568" t="s">
        <v>20</v>
      </c>
      <c r="K5568" t="s">
        <v>27</v>
      </c>
      <c r="L5568" t="s">
        <v>173</v>
      </c>
      <c r="M5568" t="s">
        <v>214</v>
      </c>
      <c r="N5568">
        <v>39.471434000000002</v>
      </c>
      <c r="O5568">
        <v>-112.42298099999999</v>
      </c>
      <c r="P5568">
        <v>4724.6409219999996</v>
      </c>
      <c r="Q5568">
        <v>1332</v>
      </c>
      <c r="R5568">
        <v>0</v>
      </c>
    </row>
    <row r="5569" spans="1:18" x14ac:dyDescent="0.25">
      <c r="A5569">
        <v>5568</v>
      </c>
      <c r="B5569">
        <v>94</v>
      </c>
      <c r="C5569">
        <v>31375424</v>
      </c>
      <c r="D5569" t="s">
        <v>142</v>
      </c>
      <c r="E5569">
        <v>100.726</v>
      </c>
      <c r="F5569" t="s">
        <v>21</v>
      </c>
      <c r="G5569" t="s">
        <v>26</v>
      </c>
      <c r="H5569" t="s">
        <v>21</v>
      </c>
      <c r="I5569" t="s">
        <v>20</v>
      </c>
      <c r="J5569" t="s">
        <v>20</v>
      </c>
      <c r="K5569" t="s">
        <v>27</v>
      </c>
      <c r="L5569" t="s">
        <v>103</v>
      </c>
      <c r="M5569" t="s">
        <v>106</v>
      </c>
      <c r="N5569">
        <v>38.256017</v>
      </c>
      <c r="O5569">
        <v>-112.760362</v>
      </c>
      <c r="P5569">
        <v>5513.5607650000002</v>
      </c>
      <c r="Q5569">
        <v>305</v>
      </c>
      <c r="R5569">
        <v>0</v>
      </c>
    </row>
    <row r="5570" spans="1:18" x14ac:dyDescent="0.25">
      <c r="A5570">
        <v>5569</v>
      </c>
      <c r="B5570">
        <v>94</v>
      </c>
      <c r="C5570" t="e">
        <f>-Ip0_4puHUXPVApDPleXZF</f>
        <v>#NAME?</v>
      </c>
      <c r="D5570" t="s">
        <v>272</v>
      </c>
      <c r="E5570">
        <v>375.916</v>
      </c>
      <c r="F5570" t="s">
        <v>21</v>
      </c>
      <c r="G5570" t="s">
        <v>26</v>
      </c>
      <c r="H5570" t="s">
        <v>21</v>
      </c>
      <c r="I5570" t="s">
        <v>20</v>
      </c>
      <c r="J5570" t="s">
        <v>20</v>
      </c>
      <c r="K5570" t="s">
        <v>31</v>
      </c>
      <c r="L5570" t="s">
        <v>66</v>
      </c>
      <c r="M5570" t="s">
        <v>49</v>
      </c>
      <c r="N5570">
        <v>40.721003000000003</v>
      </c>
      <c r="O5570">
        <v>-111.888255</v>
      </c>
      <c r="P5570">
        <v>4198.1413590000002</v>
      </c>
      <c r="Q5570">
        <v>1384</v>
      </c>
      <c r="R5570">
        <v>0</v>
      </c>
    </row>
    <row r="5571" spans="1:18" x14ac:dyDescent="0.25">
      <c r="A5571">
        <v>5570</v>
      </c>
      <c r="B5571">
        <v>94</v>
      </c>
      <c r="C5571">
        <v>31588145</v>
      </c>
      <c r="D5571" t="s">
        <v>288</v>
      </c>
      <c r="E5571">
        <v>375.96300000000002</v>
      </c>
      <c r="F5571" t="s">
        <v>21</v>
      </c>
      <c r="G5571" t="s">
        <v>20</v>
      </c>
      <c r="H5571" t="s">
        <v>21</v>
      </c>
      <c r="I5571" t="s">
        <v>20</v>
      </c>
      <c r="J5571" t="s">
        <v>20</v>
      </c>
      <c r="K5571" t="s">
        <v>22</v>
      </c>
      <c r="L5571" t="s">
        <v>234</v>
      </c>
      <c r="M5571" t="s">
        <v>98</v>
      </c>
      <c r="N5571">
        <v>40.715926000000003</v>
      </c>
      <c r="O5571">
        <v>-109.47630599999999</v>
      </c>
      <c r="P5571">
        <v>8380.9947429999993</v>
      </c>
      <c r="Q5571">
        <v>350</v>
      </c>
      <c r="R5571">
        <v>0</v>
      </c>
    </row>
    <row r="5572" spans="1:18" x14ac:dyDescent="0.25">
      <c r="A5572">
        <v>5571</v>
      </c>
      <c r="B5572">
        <v>94</v>
      </c>
      <c r="C5572">
        <v>31286112</v>
      </c>
      <c r="D5572" t="s">
        <v>305</v>
      </c>
      <c r="E5572">
        <v>8.4559999999999995</v>
      </c>
      <c r="F5572" t="s">
        <v>21</v>
      </c>
      <c r="G5572" t="s">
        <v>26</v>
      </c>
      <c r="H5572" t="s">
        <v>21</v>
      </c>
      <c r="I5572" t="s">
        <v>20</v>
      </c>
      <c r="J5572" t="s">
        <v>20</v>
      </c>
      <c r="K5572" t="s">
        <v>22</v>
      </c>
      <c r="L5572" t="s">
        <v>133</v>
      </c>
      <c r="M5572" t="s">
        <v>235</v>
      </c>
      <c r="N5572">
        <v>40.203682000000001</v>
      </c>
      <c r="O5572">
        <v>-109.66491499999999</v>
      </c>
      <c r="P5572">
        <v>4768.9350910000003</v>
      </c>
      <c r="Q5572">
        <v>1383</v>
      </c>
      <c r="R5572">
        <v>0</v>
      </c>
    </row>
    <row r="5573" spans="1:18" x14ac:dyDescent="0.25">
      <c r="A5573">
        <v>5572</v>
      </c>
      <c r="B5573">
        <v>94</v>
      </c>
      <c r="C5573">
        <v>31482003</v>
      </c>
      <c r="D5573" t="s">
        <v>244</v>
      </c>
      <c r="E5573">
        <v>8.4689999999999994</v>
      </c>
      <c r="F5573" t="s">
        <v>21</v>
      </c>
      <c r="G5573" t="s">
        <v>26</v>
      </c>
      <c r="H5573" t="s">
        <v>21</v>
      </c>
      <c r="I5573" t="s">
        <v>20</v>
      </c>
      <c r="J5573" t="s">
        <v>20</v>
      </c>
      <c r="K5573" t="s">
        <v>27</v>
      </c>
      <c r="L5573" t="s">
        <v>75</v>
      </c>
      <c r="M5573" t="s">
        <v>58</v>
      </c>
      <c r="N5573">
        <v>38.860813999999998</v>
      </c>
      <c r="O5573">
        <v>-111.96538099999999</v>
      </c>
      <c r="P5573">
        <v>5179.7993509999997</v>
      </c>
      <c r="Q5573">
        <v>1340</v>
      </c>
      <c r="R5573">
        <v>0</v>
      </c>
    </row>
    <row r="5574" spans="1:18" x14ac:dyDescent="0.25">
      <c r="A5574">
        <v>5573</v>
      </c>
      <c r="B5574">
        <v>94</v>
      </c>
      <c r="C5574">
        <v>31509846</v>
      </c>
      <c r="D5574" t="s">
        <v>132</v>
      </c>
      <c r="E5574">
        <v>8.4689999999999994</v>
      </c>
      <c r="F5574" t="s">
        <v>21</v>
      </c>
      <c r="G5574" t="s">
        <v>20</v>
      </c>
      <c r="H5574" t="s">
        <v>21</v>
      </c>
      <c r="I5574" t="s">
        <v>20</v>
      </c>
      <c r="J5574" t="s">
        <v>20</v>
      </c>
      <c r="K5574" t="s">
        <v>22</v>
      </c>
      <c r="L5574" t="s">
        <v>133</v>
      </c>
      <c r="M5574" t="s">
        <v>134</v>
      </c>
      <c r="N5574">
        <v>40.410856000000003</v>
      </c>
      <c r="O5574">
        <v>-110.029894</v>
      </c>
      <c r="P5574">
        <v>5781.6996209999998</v>
      </c>
      <c r="Q5574">
        <v>1405</v>
      </c>
      <c r="R5574">
        <v>0</v>
      </c>
    </row>
    <row r="5575" spans="1:18" x14ac:dyDescent="0.25">
      <c r="A5575">
        <v>5574</v>
      </c>
      <c r="B5575">
        <v>94</v>
      </c>
      <c r="C5575">
        <v>31646060</v>
      </c>
      <c r="D5575" t="s">
        <v>233</v>
      </c>
      <c r="E5575">
        <v>35.875</v>
      </c>
      <c r="F5575" t="s">
        <v>21</v>
      </c>
      <c r="G5575" t="s">
        <v>20</v>
      </c>
      <c r="H5575" t="s">
        <v>21</v>
      </c>
      <c r="I5575" t="s">
        <v>20</v>
      </c>
      <c r="J5575" t="s">
        <v>20</v>
      </c>
      <c r="K5575" t="s">
        <v>22</v>
      </c>
      <c r="L5575" t="s">
        <v>234</v>
      </c>
      <c r="M5575" t="s">
        <v>235</v>
      </c>
      <c r="N5575">
        <v>40.354894000000002</v>
      </c>
      <c r="O5575">
        <v>-109.496251</v>
      </c>
      <c r="P5575">
        <v>5274.608956</v>
      </c>
      <c r="Q5575">
        <v>1354</v>
      </c>
      <c r="R5575">
        <v>0</v>
      </c>
    </row>
    <row r="5576" spans="1:18" x14ac:dyDescent="0.25">
      <c r="A5576">
        <v>5575</v>
      </c>
      <c r="B5576">
        <v>94</v>
      </c>
      <c r="C5576" t="s">
        <v>741</v>
      </c>
      <c r="D5576" t="s">
        <v>221</v>
      </c>
      <c r="E5576">
        <v>43.031999999999996</v>
      </c>
      <c r="F5576" t="s">
        <v>21</v>
      </c>
      <c r="G5576" t="s">
        <v>20</v>
      </c>
      <c r="H5576" t="s">
        <v>21</v>
      </c>
      <c r="I5576" t="s">
        <v>20</v>
      </c>
      <c r="J5576" t="s">
        <v>20</v>
      </c>
      <c r="K5576" t="s">
        <v>22</v>
      </c>
      <c r="L5576" t="s">
        <v>155</v>
      </c>
      <c r="M5576" t="s">
        <v>174</v>
      </c>
      <c r="N5576">
        <v>39.743000000000002</v>
      </c>
      <c r="O5576">
        <v>-111.838774</v>
      </c>
      <c r="P5576">
        <v>5023.8869670000004</v>
      </c>
      <c r="Q5576">
        <v>1342</v>
      </c>
      <c r="R5576">
        <v>0</v>
      </c>
    </row>
    <row r="5577" spans="1:18" x14ac:dyDescent="0.25">
      <c r="A5577">
        <v>5576</v>
      </c>
      <c r="B5577">
        <v>94</v>
      </c>
      <c r="C5577">
        <v>31635254</v>
      </c>
      <c r="D5577" t="s">
        <v>383</v>
      </c>
      <c r="E5577">
        <v>10.327999999999999</v>
      </c>
      <c r="F5577" t="s">
        <v>21</v>
      </c>
      <c r="G5577" t="s">
        <v>26</v>
      </c>
      <c r="H5577" t="s">
        <v>21</v>
      </c>
      <c r="I5577" t="s">
        <v>20</v>
      </c>
      <c r="J5577" t="s">
        <v>20</v>
      </c>
      <c r="K5577" t="s">
        <v>31</v>
      </c>
      <c r="L5577" t="s">
        <v>48</v>
      </c>
      <c r="M5577" t="s">
        <v>384</v>
      </c>
      <c r="N5577">
        <v>40.587792</v>
      </c>
      <c r="O5577">
        <v>-111.92634200000001</v>
      </c>
      <c r="P5577">
        <v>4306.4809999999998</v>
      </c>
      <c r="Q5577">
        <v>414</v>
      </c>
      <c r="R5577">
        <v>0</v>
      </c>
    </row>
    <row r="5578" spans="1:18" x14ac:dyDescent="0.25">
      <c r="A5578">
        <v>5577</v>
      </c>
      <c r="B5578">
        <v>94</v>
      </c>
      <c r="C5578">
        <v>31636285</v>
      </c>
      <c r="D5578" t="s">
        <v>383</v>
      </c>
      <c r="E5578">
        <v>11.727</v>
      </c>
      <c r="F5578" t="s">
        <v>19</v>
      </c>
      <c r="G5578" t="s">
        <v>20</v>
      </c>
      <c r="H5578" t="s">
        <v>21</v>
      </c>
      <c r="I5578" t="s">
        <v>20</v>
      </c>
      <c r="J5578" t="s">
        <v>20</v>
      </c>
      <c r="K5578" t="s">
        <v>31</v>
      </c>
      <c r="L5578" t="s">
        <v>89</v>
      </c>
      <c r="M5578" t="s">
        <v>384</v>
      </c>
      <c r="N5578">
        <v>40.587887000000002</v>
      </c>
      <c r="O5578">
        <v>-111.899565</v>
      </c>
      <c r="P5578">
        <v>4310.5169999999998</v>
      </c>
      <c r="Q5578">
        <v>414</v>
      </c>
      <c r="R5578">
        <v>0</v>
      </c>
    </row>
    <row r="5579" spans="1:18" x14ac:dyDescent="0.25">
      <c r="A5579">
        <v>5578</v>
      </c>
      <c r="B5579">
        <v>94</v>
      </c>
      <c r="C5579">
        <v>31638102</v>
      </c>
      <c r="D5579" t="s">
        <v>383</v>
      </c>
      <c r="E5579">
        <v>12.749000000000001</v>
      </c>
      <c r="F5579" t="s">
        <v>21</v>
      </c>
      <c r="G5579" t="s">
        <v>26</v>
      </c>
      <c r="H5579" t="s">
        <v>21</v>
      </c>
      <c r="I5579" t="s">
        <v>20</v>
      </c>
      <c r="J5579" t="s">
        <v>20</v>
      </c>
      <c r="K5579" t="s">
        <v>31</v>
      </c>
      <c r="L5579" t="s">
        <v>89</v>
      </c>
      <c r="M5579" t="s">
        <v>384</v>
      </c>
      <c r="N5579">
        <v>40.588154000000003</v>
      </c>
      <c r="O5579">
        <v>-111.87988300000001</v>
      </c>
      <c r="P5579">
        <v>4440.7420000000002</v>
      </c>
      <c r="Q5579">
        <v>414</v>
      </c>
      <c r="R5579">
        <v>0</v>
      </c>
    </row>
    <row r="5580" spans="1:18" x14ac:dyDescent="0.25">
      <c r="A5580">
        <v>5579</v>
      </c>
      <c r="B5580">
        <v>94</v>
      </c>
      <c r="C5580">
        <v>31639986</v>
      </c>
      <c r="D5580" t="s">
        <v>383</v>
      </c>
      <c r="E5580">
        <v>14.547000000000001</v>
      </c>
      <c r="F5580" t="s">
        <v>21</v>
      </c>
      <c r="G5580" t="s">
        <v>20</v>
      </c>
      <c r="H5580" t="s">
        <v>21</v>
      </c>
      <c r="I5580" t="s">
        <v>20</v>
      </c>
      <c r="J5580" t="s">
        <v>20</v>
      </c>
      <c r="K5580" t="s">
        <v>31</v>
      </c>
      <c r="L5580" t="s">
        <v>32</v>
      </c>
      <c r="M5580" t="s">
        <v>384</v>
      </c>
      <c r="N5580">
        <v>40.580370000000002</v>
      </c>
      <c r="O5580">
        <v>-111.852041</v>
      </c>
      <c r="P5580">
        <v>4704.7650000000003</v>
      </c>
      <c r="Q5580">
        <v>414</v>
      </c>
      <c r="R5580">
        <v>0</v>
      </c>
    </row>
    <row r="5581" spans="1:18" x14ac:dyDescent="0.25">
      <c r="A5581">
        <v>5580</v>
      </c>
      <c r="B5581">
        <v>94</v>
      </c>
      <c r="C5581">
        <v>31641400</v>
      </c>
      <c r="D5581" t="s">
        <v>383</v>
      </c>
      <c r="E5581">
        <v>18.837</v>
      </c>
      <c r="F5581" t="s">
        <v>21</v>
      </c>
      <c r="G5581" t="s">
        <v>26</v>
      </c>
      <c r="H5581" t="s">
        <v>19</v>
      </c>
      <c r="I5581">
        <v>210</v>
      </c>
      <c r="J5581" t="s">
        <v>20</v>
      </c>
      <c r="K5581" t="s">
        <v>31</v>
      </c>
      <c r="L5581" t="s">
        <v>32</v>
      </c>
      <c r="M5581" t="s">
        <v>384</v>
      </c>
      <c r="N5581">
        <v>40.572668</v>
      </c>
      <c r="O5581">
        <v>-111.77647399999999</v>
      </c>
      <c r="P5581">
        <v>5338.4549999999999</v>
      </c>
      <c r="Q5581">
        <v>414</v>
      </c>
      <c r="R5581">
        <v>0</v>
      </c>
    </row>
    <row r="5582" spans="1:18" x14ac:dyDescent="0.25">
      <c r="A5582">
        <v>5581</v>
      </c>
      <c r="B5582">
        <v>94</v>
      </c>
      <c r="C5582">
        <v>31716187</v>
      </c>
      <c r="D5582" t="s">
        <v>383</v>
      </c>
      <c r="E5582">
        <v>4.9459999999999997</v>
      </c>
      <c r="F5582" t="s">
        <v>19</v>
      </c>
      <c r="G5582" t="s">
        <v>20</v>
      </c>
      <c r="H5582" t="s">
        <v>19</v>
      </c>
      <c r="I5582" t="s">
        <v>742</v>
      </c>
      <c r="J5582" t="s">
        <v>20</v>
      </c>
      <c r="K5582" t="s">
        <v>31</v>
      </c>
      <c r="L5582" t="s">
        <v>48</v>
      </c>
      <c r="M5582" t="s">
        <v>335</v>
      </c>
      <c r="N5582">
        <v>40.587826999999997</v>
      </c>
      <c r="O5582">
        <v>-112.02930600000001</v>
      </c>
      <c r="P5582">
        <v>4844.59</v>
      </c>
      <c r="Q5582">
        <v>414</v>
      </c>
      <c r="R5582">
        <v>0</v>
      </c>
    </row>
    <row r="5583" spans="1:18" x14ac:dyDescent="0.25">
      <c r="A5583">
        <v>5582</v>
      </c>
      <c r="B5583">
        <v>94</v>
      </c>
      <c r="C5583">
        <v>31530784</v>
      </c>
      <c r="D5583" t="s">
        <v>228</v>
      </c>
      <c r="E5583">
        <v>5.3869999999999996</v>
      </c>
      <c r="F5583" t="s">
        <v>21</v>
      </c>
      <c r="G5583" t="s">
        <v>20</v>
      </c>
      <c r="H5583" t="s">
        <v>21</v>
      </c>
      <c r="I5583" t="s">
        <v>20</v>
      </c>
      <c r="J5583" t="s">
        <v>20</v>
      </c>
      <c r="K5583" t="s">
        <v>22</v>
      </c>
      <c r="L5583" t="s">
        <v>155</v>
      </c>
      <c r="M5583" t="s">
        <v>76</v>
      </c>
      <c r="N5583">
        <v>39.542937000000002</v>
      </c>
      <c r="O5583">
        <v>-111.926998</v>
      </c>
      <c r="P5583">
        <v>5064.6620039999998</v>
      </c>
      <c r="Q5583">
        <v>320</v>
      </c>
      <c r="R5583">
        <v>0</v>
      </c>
    </row>
    <row r="5584" spans="1:18" x14ac:dyDescent="0.25">
      <c r="A5584">
        <v>5583</v>
      </c>
      <c r="B5584">
        <v>94</v>
      </c>
      <c r="C5584">
        <v>31402540</v>
      </c>
      <c r="D5584" t="s">
        <v>224</v>
      </c>
      <c r="E5584">
        <v>5.39</v>
      </c>
      <c r="F5584" t="s">
        <v>19</v>
      </c>
      <c r="G5584" t="s">
        <v>20</v>
      </c>
      <c r="H5584" t="s">
        <v>19</v>
      </c>
      <c r="I5584">
        <v>115</v>
      </c>
      <c r="J5584">
        <v>147</v>
      </c>
      <c r="K5584" t="s">
        <v>22</v>
      </c>
      <c r="L5584" t="s">
        <v>198</v>
      </c>
      <c r="M5584" t="s">
        <v>194</v>
      </c>
      <c r="N5584">
        <v>40.044544999999999</v>
      </c>
      <c r="O5584">
        <v>-111.73229000000001</v>
      </c>
      <c r="P5584">
        <v>4596.3120929999995</v>
      </c>
      <c r="Q5584">
        <v>408</v>
      </c>
      <c r="R5584">
        <v>0</v>
      </c>
    </row>
    <row r="5585" spans="1:18" x14ac:dyDescent="0.25">
      <c r="A5585">
        <v>5584</v>
      </c>
      <c r="B5585">
        <v>94</v>
      </c>
      <c r="C5585">
        <v>31448060</v>
      </c>
      <c r="D5585" t="s">
        <v>107</v>
      </c>
      <c r="E5585">
        <v>5.4029999999999996</v>
      </c>
      <c r="F5585" t="s">
        <v>19</v>
      </c>
      <c r="G5585" t="s">
        <v>20</v>
      </c>
      <c r="H5585" t="s">
        <v>19</v>
      </c>
      <c r="I5585">
        <v>89</v>
      </c>
      <c r="J5585" t="s">
        <v>20</v>
      </c>
      <c r="K5585" t="s">
        <v>41</v>
      </c>
      <c r="L5585" t="s">
        <v>81</v>
      </c>
      <c r="M5585" t="s">
        <v>93</v>
      </c>
      <c r="N5585">
        <v>41.271191000000002</v>
      </c>
      <c r="O5585">
        <v>-111.977583</v>
      </c>
      <c r="P5585">
        <v>4228.3243350000002</v>
      </c>
      <c r="Q5585">
        <v>413</v>
      </c>
      <c r="R5585">
        <v>0</v>
      </c>
    </row>
    <row r="5586" spans="1:18" x14ac:dyDescent="0.25">
      <c r="A5586">
        <v>5585</v>
      </c>
      <c r="B5586">
        <v>94</v>
      </c>
      <c r="C5586">
        <v>544576</v>
      </c>
      <c r="D5586" t="s">
        <v>77</v>
      </c>
      <c r="E5586">
        <v>5.4050000000000002</v>
      </c>
      <c r="F5586" t="s">
        <v>19</v>
      </c>
      <c r="G5586" t="s">
        <v>20</v>
      </c>
      <c r="H5586" t="s">
        <v>21</v>
      </c>
      <c r="I5586" t="s">
        <v>20</v>
      </c>
      <c r="J5586" t="s">
        <v>20</v>
      </c>
      <c r="K5586" t="s">
        <v>31</v>
      </c>
      <c r="L5586" t="s">
        <v>78</v>
      </c>
      <c r="M5586" t="s">
        <v>79</v>
      </c>
      <c r="N5586">
        <v>40.716982000000002</v>
      </c>
      <c r="O5586">
        <v>-112.02489300000001</v>
      </c>
      <c r="P5586">
        <v>4191.4154900000003</v>
      </c>
      <c r="Q5586">
        <v>1436</v>
      </c>
      <c r="R5586">
        <v>0</v>
      </c>
    </row>
    <row r="5587" spans="1:18" x14ac:dyDescent="0.25">
      <c r="A5587">
        <v>5586</v>
      </c>
      <c r="B5587">
        <v>94</v>
      </c>
      <c r="C5587">
        <v>2558478</v>
      </c>
      <c r="D5587" t="s">
        <v>176</v>
      </c>
      <c r="E5587">
        <v>5.41</v>
      </c>
      <c r="F5587" t="s">
        <v>21</v>
      </c>
      <c r="G5587" t="s">
        <v>26</v>
      </c>
      <c r="H5587" t="s">
        <v>21</v>
      </c>
      <c r="I5587" t="s">
        <v>20</v>
      </c>
      <c r="J5587" t="s">
        <v>20</v>
      </c>
      <c r="K5587" t="s">
        <v>41</v>
      </c>
      <c r="L5587" t="s">
        <v>177</v>
      </c>
      <c r="M5587" t="s">
        <v>178</v>
      </c>
      <c r="N5587">
        <v>41.534914999999998</v>
      </c>
      <c r="O5587">
        <v>-112.06299</v>
      </c>
      <c r="P5587">
        <v>4173.3776989999997</v>
      </c>
      <c r="Q5587">
        <v>1329</v>
      </c>
      <c r="R5587">
        <v>0</v>
      </c>
    </row>
    <row r="5588" spans="1:18" x14ac:dyDescent="0.25">
      <c r="A5588">
        <v>5587</v>
      </c>
      <c r="B5588">
        <v>94</v>
      </c>
      <c r="C5588">
        <v>31388970</v>
      </c>
      <c r="D5588" t="s">
        <v>364</v>
      </c>
      <c r="E5588">
        <v>5.415</v>
      </c>
      <c r="F5588" t="s">
        <v>21</v>
      </c>
      <c r="G5588" t="s">
        <v>26</v>
      </c>
      <c r="H5588" t="s">
        <v>21</v>
      </c>
      <c r="I5588" t="s">
        <v>20</v>
      </c>
      <c r="J5588" t="s">
        <v>20</v>
      </c>
      <c r="K5588" t="s">
        <v>22</v>
      </c>
      <c r="L5588" t="s">
        <v>140</v>
      </c>
      <c r="M5588" t="s">
        <v>85</v>
      </c>
      <c r="N5588">
        <v>40.098331000000002</v>
      </c>
      <c r="O5588">
        <v>-111.698384</v>
      </c>
      <c r="P5588">
        <v>4496.6929380000001</v>
      </c>
      <c r="Q5588">
        <v>1401</v>
      </c>
      <c r="R5588">
        <v>0</v>
      </c>
    </row>
    <row r="5589" spans="1:18" x14ac:dyDescent="0.25">
      <c r="A5589">
        <v>5588</v>
      </c>
      <c r="B5589">
        <v>94</v>
      </c>
      <c r="C5589">
        <v>31192423</v>
      </c>
      <c r="D5589" t="s">
        <v>309</v>
      </c>
      <c r="E5589">
        <v>5.4169999999999998</v>
      </c>
      <c r="F5589" t="s">
        <v>21</v>
      </c>
      <c r="G5589" t="s">
        <v>26</v>
      </c>
      <c r="H5589" t="s">
        <v>21</v>
      </c>
      <c r="I5589" t="s">
        <v>20</v>
      </c>
      <c r="J5589" t="s">
        <v>20</v>
      </c>
      <c r="K5589" t="s">
        <v>22</v>
      </c>
      <c r="L5589" t="s">
        <v>198</v>
      </c>
      <c r="M5589" t="s">
        <v>125</v>
      </c>
      <c r="N5589">
        <v>40.097878999999999</v>
      </c>
      <c r="O5589">
        <v>-111.759708</v>
      </c>
      <c r="P5589">
        <v>4447.3698789999999</v>
      </c>
      <c r="Q5589">
        <v>339</v>
      </c>
      <c r="R5589">
        <v>0</v>
      </c>
    </row>
    <row r="5590" spans="1:18" x14ac:dyDescent="0.25">
      <c r="A5590">
        <v>5589</v>
      </c>
      <c r="B5590">
        <v>94</v>
      </c>
      <c r="C5590">
        <v>31305747</v>
      </c>
      <c r="D5590" t="s">
        <v>251</v>
      </c>
      <c r="E5590">
        <v>5.4219999999999997</v>
      </c>
      <c r="F5590" t="s">
        <v>21</v>
      </c>
      <c r="G5590" t="s">
        <v>26</v>
      </c>
      <c r="H5590" t="s">
        <v>21</v>
      </c>
      <c r="I5590" t="s">
        <v>20</v>
      </c>
      <c r="J5590" t="s">
        <v>20</v>
      </c>
      <c r="K5590" t="s">
        <v>27</v>
      </c>
      <c r="L5590" t="s">
        <v>165</v>
      </c>
      <c r="M5590" t="s">
        <v>166</v>
      </c>
      <c r="N5590">
        <v>38.990180000000002</v>
      </c>
      <c r="O5590">
        <v>-112.411511</v>
      </c>
      <c r="P5590">
        <v>4704.7379330000003</v>
      </c>
      <c r="Q5590">
        <v>326</v>
      </c>
      <c r="R5590">
        <v>0</v>
      </c>
    </row>
    <row r="5591" spans="1:18" x14ac:dyDescent="0.25">
      <c r="A5591">
        <v>5590</v>
      </c>
      <c r="B5591">
        <v>94</v>
      </c>
      <c r="C5591" t="s">
        <v>743</v>
      </c>
      <c r="D5591" t="s">
        <v>80</v>
      </c>
      <c r="E5591">
        <v>2.6880000000000002</v>
      </c>
      <c r="F5591" t="s">
        <v>21</v>
      </c>
      <c r="G5591" t="s">
        <v>26</v>
      </c>
      <c r="H5591" t="s">
        <v>21</v>
      </c>
      <c r="I5591" t="s">
        <v>20</v>
      </c>
      <c r="J5591" t="s">
        <v>20</v>
      </c>
      <c r="K5591" t="s">
        <v>41</v>
      </c>
      <c r="L5591" t="s">
        <v>81</v>
      </c>
      <c r="M5591" t="s">
        <v>46</v>
      </c>
      <c r="N5591">
        <v>41.230989999999998</v>
      </c>
      <c r="O5591">
        <v>-111.982528</v>
      </c>
      <c r="P5591">
        <v>4233.1143060000004</v>
      </c>
      <c r="Q5591">
        <v>1393</v>
      </c>
      <c r="R5591">
        <v>0</v>
      </c>
    </row>
    <row r="5592" spans="1:18" x14ac:dyDescent="0.25">
      <c r="A5592">
        <v>5591</v>
      </c>
      <c r="B5592">
        <v>94</v>
      </c>
      <c r="C5592">
        <v>1419158</v>
      </c>
      <c r="D5592" t="s">
        <v>88</v>
      </c>
      <c r="E5592">
        <v>2.6890000000000001</v>
      </c>
      <c r="F5592" t="s">
        <v>21</v>
      </c>
      <c r="G5592" t="s">
        <v>26</v>
      </c>
      <c r="H5592" t="s">
        <v>21</v>
      </c>
      <c r="I5592" t="s">
        <v>20</v>
      </c>
      <c r="J5592" t="s">
        <v>20</v>
      </c>
      <c r="K5592" t="s">
        <v>31</v>
      </c>
      <c r="L5592" t="s">
        <v>89</v>
      </c>
      <c r="M5592" t="s">
        <v>90</v>
      </c>
      <c r="N5592">
        <v>40.522289999999998</v>
      </c>
      <c r="O5592">
        <v>-111.932796</v>
      </c>
      <c r="P5592">
        <v>4360.1068869999999</v>
      </c>
      <c r="Q5592">
        <v>318</v>
      </c>
      <c r="R5592">
        <v>0</v>
      </c>
    </row>
    <row r="5593" spans="1:18" x14ac:dyDescent="0.25">
      <c r="A5593">
        <v>5592</v>
      </c>
      <c r="B5593">
        <v>94</v>
      </c>
      <c r="C5593">
        <v>31408217</v>
      </c>
      <c r="D5593" t="s">
        <v>74</v>
      </c>
      <c r="E5593">
        <v>2.6930000000000001</v>
      </c>
      <c r="F5593" t="s">
        <v>21</v>
      </c>
      <c r="G5593" t="s">
        <v>26</v>
      </c>
      <c r="H5593" t="s">
        <v>21</v>
      </c>
      <c r="I5593" t="s">
        <v>20</v>
      </c>
      <c r="J5593" t="s">
        <v>20</v>
      </c>
      <c r="K5593" t="s">
        <v>27</v>
      </c>
      <c r="L5593" t="s">
        <v>75</v>
      </c>
      <c r="M5593" t="s">
        <v>76</v>
      </c>
      <c r="N5593">
        <v>38.773654000000001</v>
      </c>
      <c r="O5593">
        <v>-112.08479</v>
      </c>
      <c r="P5593">
        <v>5300.9692969999996</v>
      </c>
      <c r="Q5593">
        <v>332</v>
      </c>
      <c r="R5593">
        <v>0</v>
      </c>
    </row>
    <row r="5594" spans="1:18" x14ac:dyDescent="0.25">
      <c r="A5594">
        <v>5593</v>
      </c>
      <c r="B5594">
        <v>94</v>
      </c>
      <c r="C5594">
        <v>27599541</v>
      </c>
      <c r="D5594" t="s">
        <v>110</v>
      </c>
      <c r="E5594">
        <v>2.6989999999999998</v>
      </c>
      <c r="F5594" t="s">
        <v>21</v>
      </c>
      <c r="G5594" t="s">
        <v>26</v>
      </c>
      <c r="H5594" t="s">
        <v>21</v>
      </c>
      <c r="I5594" t="s">
        <v>20</v>
      </c>
      <c r="J5594" t="s">
        <v>20</v>
      </c>
      <c r="K5594" t="s">
        <v>27</v>
      </c>
      <c r="L5594" t="s">
        <v>111</v>
      </c>
      <c r="M5594" t="s">
        <v>112</v>
      </c>
      <c r="N5594">
        <v>39.212617000000002</v>
      </c>
      <c r="O5594">
        <v>-111.05325499999999</v>
      </c>
      <c r="P5594">
        <v>5748.2666060000001</v>
      </c>
      <c r="Q5594">
        <v>1361</v>
      </c>
      <c r="R5594">
        <v>0</v>
      </c>
    </row>
    <row r="5595" spans="1:18" x14ac:dyDescent="0.25">
      <c r="A5595">
        <v>5594</v>
      </c>
      <c r="B5595">
        <v>94</v>
      </c>
      <c r="C5595">
        <v>31754748</v>
      </c>
      <c r="D5595" t="s">
        <v>262</v>
      </c>
      <c r="E5595">
        <v>2.7029999999999998</v>
      </c>
      <c r="F5595" t="s">
        <v>21</v>
      </c>
      <c r="G5595" t="s">
        <v>26</v>
      </c>
      <c r="H5595" t="s">
        <v>21</v>
      </c>
      <c r="I5595" t="s">
        <v>20</v>
      </c>
      <c r="J5595" t="s">
        <v>20</v>
      </c>
      <c r="K5595" t="s">
        <v>22</v>
      </c>
      <c r="L5595" t="s">
        <v>263</v>
      </c>
      <c r="M5595" t="s">
        <v>24</v>
      </c>
      <c r="N5595">
        <v>40.375211999999998</v>
      </c>
      <c r="O5595">
        <v>-111.867051</v>
      </c>
      <c r="P5595">
        <v>4463.3246730000001</v>
      </c>
      <c r="Q5595">
        <v>1419</v>
      </c>
      <c r="R5595">
        <v>0</v>
      </c>
    </row>
    <row r="5596" spans="1:18" x14ac:dyDescent="0.25">
      <c r="A5596">
        <v>5595</v>
      </c>
      <c r="B5596">
        <v>94</v>
      </c>
      <c r="C5596">
        <v>31310666</v>
      </c>
      <c r="D5596" t="s">
        <v>40</v>
      </c>
      <c r="E5596">
        <v>2.7029999999999998</v>
      </c>
      <c r="F5596" t="s">
        <v>21</v>
      </c>
      <c r="G5596" t="s">
        <v>26</v>
      </c>
      <c r="H5596" t="s">
        <v>21</v>
      </c>
      <c r="I5596" t="s">
        <v>20</v>
      </c>
      <c r="J5596" t="s">
        <v>20</v>
      </c>
      <c r="K5596" t="s">
        <v>41</v>
      </c>
      <c r="L5596" t="s">
        <v>42</v>
      </c>
      <c r="M5596" t="s">
        <v>43</v>
      </c>
      <c r="N5596">
        <v>41.640991</v>
      </c>
      <c r="O5596">
        <v>-111.886038</v>
      </c>
      <c r="P5596">
        <v>4540.7175420000003</v>
      </c>
      <c r="Q5596">
        <v>1391</v>
      </c>
      <c r="R5596">
        <v>0</v>
      </c>
    </row>
    <row r="5597" spans="1:18" x14ac:dyDescent="0.25">
      <c r="A5597">
        <v>5596</v>
      </c>
      <c r="B5597">
        <v>94</v>
      </c>
      <c r="C5597">
        <v>31399220</v>
      </c>
      <c r="D5597" t="s">
        <v>224</v>
      </c>
      <c r="E5597">
        <v>2.7029999999999998</v>
      </c>
      <c r="F5597" t="s">
        <v>21</v>
      </c>
      <c r="G5597" t="s">
        <v>26</v>
      </c>
      <c r="H5597" t="s">
        <v>21</v>
      </c>
      <c r="I5597" t="s">
        <v>20</v>
      </c>
      <c r="J5597" t="s">
        <v>20</v>
      </c>
      <c r="K5597" t="s">
        <v>22</v>
      </c>
      <c r="L5597" t="s">
        <v>198</v>
      </c>
      <c r="M5597" t="s">
        <v>194</v>
      </c>
      <c r="N5597">
        <v>40.008803999999998</v>
      </c>
      <c r="O5597">
        <v>-111.746666</v>
      </c>
      <c r="P5597">
        <v>4680.283152</v>
      </c>
      <c r="Q5597">
        <v>408</v>
      </c>
      <c r="R5597">
        <v>0</v>
      </c>
    </row>
    <row r="5598" spans="1:18" x14ac:dyDescent="0.25">
      <c r="A5598">
        <v>5597</v>
      </c>
      <c r="B5598">
        <v>94</v>
      </c>
      <c r="C5598">
        <v>1192410</v>
      </c>
      <c r="D5598" t="s">
        <v>108</v>
      </c>
      <c r="E5598">
        <v>2.7090000000000001</v>
      </c>
      <c r="F5598" t="s">
        <v>19</v>
      </c>
      <c r="G5598" t="s">
        <v>20</v>
      </c>
      <c r="H5598" t="s">
        <v>21</v>
      </c>
      <c r="I5598" t="s">
        <v>20</v>
      </c>
      <c r="J5598" t="s">
        <v>20</v>
      </c>
      <c r="K5598" t="s">
        <v>41</v>
      </c>
      <c r="L5598" t="s">
        <v>81</v>
      </c>
      <c r="M5598" t="s">
        <v>93</v>
      </c>
      <c r="N5598">
        <v>41.188702999999997</v>
      </c>
      <c r="O5598">
        <v>-111.983153</v>
      </c>
      <c r="P5598">
        <v>4303.1969499999996</v>
      </c>
      <c r="Q5598">
        <v>1341</v>
      </c>
      <c r="R5598">
        <v>0</v>
      </c>
    </row>
    <row r="5599" spans="1:18" x14ac:dyDescent="0.25">
      <c r="A5599">
        <v>5598</v>
      </c>
      <c r="B5599">
        <v>94</v>
      </c>
      <c r="C5599">
        <v>1007390</v>
      </c>
      <c r="D5599" t="s">
        <v>171</v>
      </c>
      <c r="E5599">
        <v>2.7149999999999999</v>
      </c>
      <c r="F5599" t="s">
        <v>21</v>
      </c>
      <c r="G5599" t="s">
        <v>26</v>
      </c>
      <c r="H5599" t="s">
        <v>21</v>
      </c>
      <c r="I5599" t="s">
        <v>20</v>
      </c>
      <c r="J5599" t="s">
        <v>20</v>
      </c>
      <c r="K5599" t="s">
        <v>31</v>
      </c>
      <c r="L5599" t="s">
        <v>78</v>
      </c>
      <c r="M5599" t="s">
        <v>79</v>
      </c>
      <c r="N5599">
        <v>40.696537999999997</v>
      </c>
      <c r="O5599">
        <v>-112.039973</v>
      </c>
      <c r="P5599">
        <v>4257.3368460000002</v>
      </c>
      <c r="Q5599">
        <v>346</v>
      </c>
      <c r="R5599">
        <v>0</v>
      </c>
    </row>
    <row r="5600" spans="1:18" x14ac:dyDescent="0.25">
      <c r="A5600">
        <v>5599</v>
      </c>
      <c r="B5600">
        <v>94</v>
      </c>
      <c r="C5600" t="e">
        <f>-Ip5DBkkGJHU4g0ldpPRqF</f>
        <v>#NAME?</v>
      </c>
      <c r="D5600" t="s">
        <v>348</v>
      </c>
      <c r="E5600">
        <v>2.7149999999999999</v>
      </c>
      <c r="F5600" t="s">
        <v>21</v>
      </c>
      <c r="G5600" t="s">
        <v>26</v>
      </c>
      <c r="H5600" t="s">
        <v>21</v>
      </c>
      <c r="I5600" t="s">
        <v>20</v>
      </c>
      <c r="J5600" t="s">
        <v>20</v>
      </c>
      <c r="K5600" t="s">
        <v>27</v>
      </c>
      <c r="L5600" t="s">
        <v>122</v>
      </c>
      <c r="M5600" t="s">
        <v>123</v>
      </c>
      <c r="N5600">
        <v>38.337612999999997</v>
      </c>
      <c r="O5600">
        <v>-110.68789099999999</v>
      </c>
      <c r="P5600">
        <v>4503.3357990000004</v>
      </c>
      <c r="Q5600">
        <v>1388</v>
      </c>
      <c r="R5600">
        <v>0</v>
      </c>
    </row>
    <row r="5601" spans="1:18" x14ac:dyDescent="0.25">
      <c r="A5601">
        <v>5600</v>
      </c>
      <c r="B5601">
        <v>94</v>
      </c>
      <c r="C5601">
        <v>31647894</v>
      </c>
      <c r="D5601" t="s">
        <v>434</v>
      </c>
      <c r="E5601">
        <v>2.7170000000000001</v>
      </c>
      <c r="F5601" t="s">
        <v>21</v>
      </c>
      <c r="G5601" t="s">
        <v>20</v>
      </c>
      <c r="H5601" t="s">
        <v>21</v>
      </c>
      <c r="I5601" t="s">
        <v>20</v>
      </c>
      <c r="J5601" t="s">
        <v>20</v>
      </c>
      <c r="K5601" t="s">
        <v>31</v>
      </c>
      <c r="L5601" t="s">
        <v>32</v>
      </c>
      <c r="M5601" t="s">
        <v>70</v>
      </c>
      <c r="N5601">
        <v>40.636156</v>
      </c>
      <c r="O5601">
        <v>-111.83427500000001</v>
      </c>
      <c r="P5601">
        <v>4394.1635480000004</v>
      </c>
      <c r="Q5601">
        <v>1424</v>
      </c>
      <c r="R5601">
        <v>0</v>
      </c>
    </row>
    <row r="5602" spans="1:18" x14ac:dyDescent="0.25">
      <c r="A5602">
        <v>5601</v>
      </c>
      <c r="B5602">
        <v>94</v>
      </c>
      <c r="C5602">
        <v>524025</v>
      </c>
      <c r="D5602" t="s">
        <v>44</v>
      </c>
      <c r="E5602">
        <v>2.7189999999999999</v>
      </c>
      <c r="F5602" t="s">
        <v>21</v>
      </c>
      <c r="G5602" t="s">
        <v>26</v>
      </c>
      <c r="H5602" t="s">
        <v>21</v>
      </c>
      <c r="I5602" t="s">
        <v>20</v>
      </c>
      <c r="J5602" t="s">
        <v>20</v>
      </c>
      <c r="K5602" t="s">
        <v>41</v>
      </c>
      <c r="L5602" t="s">
        <v>45</v>
      </c>
      <c r="M5602" t="s">
        <v>46</v>
      </c>
      <c r="N5602">
        <v>40.916789999999999</v>
      </c>
      <c r="O5602">
        <v>-111.87896499999999</v>
      </c>
      <c r="P5602">
        <v>4238.0440209999997</v>
      </c>
      <c r="Q5602">
        <v>1395</v>
      </c>
      <c r="R5602">
        <v>0</v>
      </c>
    </row>
    <row r="5603" spans="1:18" x14ac:dyDescent="0.25">
      <c r="A5603">
        <v>5602</v>
      </c>
      <c r="B5603">
        <v>94</v>
      </c>
      <c r="C5603" t="e">
        <f>-JN2CcbjHnPSoi517C_Onk</f>
        <v>#NAME?</v>
      </c>
      <c r="D5603" t="s">
        <v>68</v>
      </c>
      <c r="E5603">
        <v>2.7210000000000001</v>
      </c>
      <c r="F5603" t="s">
        <v>21</v>
      </c>
      <c r="G5603" t="s">
        <v>26</v>
      </c>
      <c r="H5603" t="s">
        <v>21</v>
      </c>
      <c r="I5603" t="s">
        <v>20</v>
      </c>
      <c r="J5603" t="s">
        <v>20</v>
      </c>
      <c r="K5603" t="s">
        <v>31</v>
      </c>
      <c r="L5603" t="s">
        <v>69</v>
      </c>
      <c r="M5603" t="s">
        <v>70</v>
      </c>
      <c r="N5603">
        <v>40.674554999999998</v>
      </c>
      <c r="O5603">
        <v>-111.903772</v>
      </c>
      <c r="P5603">
        <v>4196.4783180000004</v>
      </c>
      <c r="Q5603">
        <v>431</v>
      </c>
      <c r="R5603">
        <v>0</v>
      </c>
    </row>
    <row r="5604" spans="1:18" x14ac:dyDescent="0.25">
      <c r="A5604">
        <v>5603</v>
      </c>
      <c r="B5604">
        <v>94</v>
      </c>
      <c r="C5604">
        <v>538228</v>
      </c>
      <c r="D5604" t="s">
        <v>77</v>
      </c>
      <c r="E5604">
        <v>2.722</v>
      </c>
      <c r="F5604" t="s">
        <v>21</v>
      </c>
      <c r="G5604" t="s">
        <v>26</v>
      </c>
      <c r="H5604" t="s">
        <v>21</v>
      </c>
      <c r="I5604" t="s">
        <v>20</v>
      </c>
      <c r="J5604" t="s">
        <v>20</v>
      </c>
      <c r="K5604" t="s">
        <v>31</v>
      </c>
      <c r="L5604" t="s">
        <v>78</v>
      </c>
      <c r="M5604" t="s">
        <v>79</v>
      </c>
      <c r="N5604">
        <v>40.678113000000003</v>
      </c>
      <c r="O5604">
        <v>-112.024733</v>
      </c>
      <c r="P5604">
        <v>4421.1158109999997</v>
      </c>
      <c r="Q5604">
        <v>1436</v>
      </c>
      <c r="R5604">
        <v>0</v>
      </c>
    </row>
    <row r="5605" spans="1:18" x14ac:dyDescent="0.25">
      <c r="A5605">
        <v>5604</v>
      </c>
      <c r="B5605">
        <v>94</v>
      </c>
      <c r="C5605">
        <v>31798028</v>
      </c>
      <c r="D5605" t="s">
        <v>180</v>
      </c>
      <c r="E5605">
        <v>2.722</v>
      </c>
      <c r="F5605" t="s">
        <v>21</v>
      </c>
      <c r="G5605" t="s">
        <v>26</v>
      </c>
      <c r="H5605" t="s">
        <v>21</v>
      </c>
      <c r="I5605" t="s">
        <v>20</v>
      </c>
      <c r="J5605" t="s">
        <v>20</v>
      </c>
      <c r="K5605" t="s">
        <v>41</v>
      </c>
      <c r="L5605" t="s">
        <v>181</v>
      </c>
      <c r="M5605" t="s">
        <v>117</v>
      </c>
      <c r="N5605">
        <v>41.741537000000001</v>
      </c>
      <c r="O5605">
        <v>-112.14839600000001</v>
      </c>
      <c r="P5605">
        <v>4290.3056980000001</v>
      </c>
      <c r="Q5605">
        <v>1379</v>
      </c>
      <c r="R5605">
        <v>0</v>
      </c>
    </row>
    <row r="5606" spans="1:18" x14ac:dyDescent="0.25">
      <c r="A5606">
        <v>5605</v>
      </c>
      <c r="B5606">
        <v>94</v>
      </c>
      <c r="C5606">
        <v>28008317</v>
      </c>
      <c r="D5606" t="s">
        <v>59</v>
      </c>
      <c r="E5606">
        <v>2.7280000000000002</v>
      </c>
      <c r="F5606" t="s">
        <v>21</v>
      </c>
      <c r="G5606" t="s">
        <v>26</v>
      </c>
      <c r="H5606" t="s">
        <v>21</v>
      </c>
      <c r="I5606" t="s">
        <v>20</v>
      </c>
      <c r="J5606" t="s">
        <v>20</v>
      </c>
      <c r="K5606" t="s">
        <v>22</v>
      </c>
      <c r="L5606" t="s">
        <v>60</v>
      </c>
      <c r="M5606" t="s">
        <v>24</v>
      </c>
      <c r="N5606">
        <v>40.311891000000003</v>
      </c>
      <c r="O5606">
        <v>-111.683105</v>
      </c>
      <c r="P5606">
        <v>4767.7179390000001</v>
      </c>
      <c r="Q5606">
        <v>313</v>
      </c>
      <c r="R5606">
        <v>0</v>
      </c>
    </row>
    <row r="5607" spans="1:18" x14ac:dyDescent="0.25">
      <c r="A5607">
        <v>5606</v>
      </c>
      <c r="B5607">
        <v>94</v>
      </c>
      <c r="C5607" t="e">
        <f>-IpVGYCiIreOySbCKoZmgF</f>
        <v>#NAME?</v>
      </c>
      <c r="D5607" t="s">
        <v>272</v>
      </c>
      <c r="E5607">
        <v>428.096</v>
      </c>
      <c r="F5607" t="s">
        <v>21</v>
      </c>
      <c r="G5607" t="s">
        <v>26</v>
      </c>
      <c r="H5607" t="s">
        <v>21</v>
      </c>
      <c r="I5607" t="s">
        <v>20</v>
      </c>
      <c r="J5607" t="s">
        <v>20</v>
      </c>
      <c r="K5607" t="s">
        <v>41</v>
      </c>
      <c r="L5607" t="s">
        <v>177</v>
      </c>
      <c r="M5607" t="s">
        <v>46</v>
      </c>
      <c r="N5607">
        <v>41.412618000000002</v>
      </c>
      <c r="O5607">
        <v>-112.036258</v>
      </c>
      <c r="P5607">
        <v>4302.0700479999996</v>
      </c>
      <c r="Q5607">
        <v>1384</v>
      </c>
      <c r="R5607">
        <v>0</v>
      </c>
    </row>
    <row r="5608" spans="1:18" x14ac:dyDescent="0.25">
      <c r="A5608">
        <v>5607</v>
      </c>
      <c r="B5608">
        <v>94</v>
      </c>
      <c r="C5608" t="e">
        <f>-IpVGdOZIUXQ1bF1sRY4AV</f>
        <v>#NAME?</v>
      </c>
      <c r="D5608" t="s">
        <v>272</v>
      </c>
      <c r="E5608">
        <v>428.19200000000001</v>
      </c>
      <c r="F5608" t="s">
        <v>21</v>
      </c>
      <c r="G5608" t="s">
        <v>26</v>
      </c>
      <c r="H5608" t="s">
        <v>21</v>
      </c>
      <c r="I5608" t="s">
        <v>20</v>
      </c>
      <c r="J5608" t="s">
        <v>20</v>
      </c>
      <c r="K5608" t="s">
        <v>41</v>
      </c>
      <c r="L5608" t="s">
        <v>177</v>
      </c>
      <c r="M5608" t="s">
        <v>46</v>
      </c>
      <c r="N5608">
        <v>41.414019000000003</v>
      </c>
      <c r="O5608">
        <v>-112.03621099999999</v>
      </c>
      <c r="P5608">
        <v>4301.5115379999997</v>
      </c>
      <c r="Q5608">
        <v>1384</v>
      </c>
      <c r="R5608">
        <v>0</v>
      </c>
    </row>
    <row r="5609" spans="1:18" x14ac:dyDescent="0.25">
      <c r="A5609">
        <v>5608</v>
      </c>
      <c r="B5609">
        <v>94</v>
      </c>
      <c r="C5609" t="e">
        <f>-IpVHcC2HRarx8llEMMkaV</f>
        <v>#NAME?</v>
      </c>
      <c r="D5609" t="s">
        <v>272</v>
      </c>
      <c r="E5609">
        <v>428.33699999999999</v>
      </c>
      <c r="F5609" t="s">
        <v>21</v>
      </c>
      <c r="G5609" t="s">
        <v>26</v>
      </c>
      <c r="H5609" t="s">
        <v>21</v>
      </c>
      <c r="I5609" t="s">
        <v>20</v>
      </c>
      <c r="J5609" t="s">
        <v>20</v>
      </c>
      <c r="K5609" t="s">
        <v>41</v>
      </c>
      <c r="L5609" t="s">
        <v>177</v>
      </c>
      <c r="M5609" t="s">
        <v>46</v>
      </c>
      <c r="N5609">
        <v>41.416099000000003</v>
      </c>
      <c r="O5609">
        <v>-112.036073</v>
      </c>
      <c r="P5609">
        <v>4300.8544339999999</v>
      </c>
      <c r="Q5609">
        <v>1384</v>
      </c>
      <c r="R5609">
        <v>0</v>
      </c>
    </row>
    <row r="5610" spans="1:18" x14ac:dyDescent="0.25">
      <c r="A5610">
        <v>5609</v>
      </c>
      <c r="B5610">
        <v>94</v>
      </c>
      <c r="C5610" t="e">
        <f>-Iowc32pFi52X-bbu6LJXk</f>
        <v>#NAME?</v>
      </c>
      <c r="D5610" t="s">
        <v>203</v>
      </c>
      <c r="E5610">
        <v>25.829000000000001</v>
      </c>
      <c r="F5610" t="s">
        <v>21</v>
      </c>
      <c r="G5610" t="s">
        <v>504</v>
      </c>
      <c r="H5610" t="s">
        <v>21</v>
      </c>
      <c r="I5610" t="s">
        <v>20</v>
      </c>
      <c r="J5610" t="s">
        <v>20</v>
      </c>
      <c r="K5610" t="s">
        <v>41</v>
      </c>
      <c r="L5610" t="s">
        <v>255</v>
      </c>
      <c r="M5610" t="s">
        <v>204</v>
      </c>
      <c r="N5610">
        <v>41.284143999999998</v>
      </c>
      <c r="O5610">
        <v>-111.651303</v>
      </c>
      <c r="P5610">
        <v>5252.3326489999999</v>
      </c>
      <c r="Q5610">
        <v>1349</v>
      </c>
      <c r="R5610">
        <v>0</v>
      </c>
    </row>
    <row r="5611" spans="1:18" x14ac:dyDescent="0.25">
      <c r="A5611">
        <v>5610</v>
      </c>
      <c r="B5611">
        <v>94</v>
      </c>
      <c r="C5611">
        <v>31307860</v>
      </c>
      <c r="D5611" t="s">
        <v>116</v>
      </c>
      <c r="E5611">
        <v>25.844000000000001</v>
      </c>
      <c r="F5611" t="s">
        <v>21</v>
      </c>
      <c r="G5611" t="s">
        <v>26</v>
      </c>
      <c r="H5611" t="s">
        <v>21</v>
      </c>
      <c r="I5611" t="s">
        <v>20</v>
      </c>
      <c r="J5611" t="s">
        <v>20</v>
      </c>
      <c r="K5611" t="s">
        <v>41</v>
      </c>
      <c r="L5611" t="s">
        <v>42</v>
      </c>
      <c r="M5611" t="s">
        <v>43</v>
      </c>
      <c r="N5611">
        <v>41.720255999999999</v>
      </c>
      <c r="O5611">
        <v>-111.83529</v>
      </c>
      <c r="P5611">
        <v>4459.6291659999997</v>
      </c>
      <c r="Q5611">
        <v>324</v>
      </c>
      <c r="R5611">
        <v>0</v>
      </c>
    </row>
    <row r="5612" spans="1:18" x14ac:dyDescent="0.25">
      <c r="A5612">
        <v>5611</v>
      </c>
      <c r="B5612">
        <v>94</v>
      </c>
      <c r="C5612" t="s">
        <v>744</v>
      </c>
      <c r="D5612" t="s">
        <v>284</v>
      </c>
      <c r="E5612">
        <v>25.879000000000001</v>
      </c>
      <c r="F5612" t="s">
        <v>21</v>
      </c>
      <c r="G5612" t="s">
        <v>20</v>
      </c>
      <c r="H5612" t="s">
        <v>21</v>
      </c>
      <c r="I5612" t="s">
        <v>20</v>
      </c>
      <c r="J5612" t="s">
        <v>20</v>
      </c>
      <c r="K5612" t="s">
        <v>31</v>
      </c>
      <c r="L5612" t="s">
        <v>285</v>
      </c>
      <c r="M5612" t="s">
        <v>206</v>
      </c>
      <c r="N5612">
        <v>40.595382000000001</v>
      </c>
      <c r="O5612">
        <v>-112.717236</v>
      </c>
      <c r="P5612">
        <v>4399.9111169999996</v>
      </c>
      <c r="Q5612">
        <v>407</v>
      </c>
      <c r="R5612">
        <v>0</v>
      </c>
    </row>
    <row r="5613" spans="1:18" x14ac:dyDescent="0.25">
      <c r="A5613">
        <v>5612</v>
      </c>
      <c r="B5613">
        <v>94</v>
      </c>
      <c r="C5613">
        <v>31741456</v>
      </c>
      <c r="D5613" t="s">
        <v>290</v>
      </c>
      <c r="E5613">
        <v>25.885000000000002</v>
      </c>
      <c r="F5613" t="s">
        <v>21</v>
      </c>
      <c r="G5613" t="s">
        <v>20</v>
      </c>
      <c r="H5613" t="s">
        <v>21</v>
      </c>
      <c r="I5613" t="s">
        <v>20</v>
      </c>
      <c r="J5613" t="s">
        <v>20</v>
      </c>
      <c r="K5613" t="s">
        <v>41</v>
      </c>
      <c r="L5613" t="s">
        <v>291</v>
      </c>
      <c r="M5613" t="s">
        <v>238</v>
      </c>
      <c r="N5613">
        <v>41.510176999999999</v>
      </c>
      <c r="O5613">
        <v>-113.601052</v>
      </c>
      <c r="P5613">
        <v>4665.6044110000003</v>
      </c>
      <c r="Q5613">
        <v>1343</v>
      </c>
      <c r="R5613">
        <v>0</v>
      </c>
    </row>
    <row r="5614" spans="1:18" x14ac:dyDescent="0.25">
      <c r="A5614">
        <v>5613</v>
      </c>
      <c r="B5614">
        <v>94</v>
      </c>
      <c r="C5614">
        <v>31307871</v>
      </c>
      <c r="D5614" t="s">
        <v>116</v>
      </c>
      <c r="E5614">
        <v>25.905999999999999</v>
      </c>
      <c r="F5614" t="s">
        <v>21</v>
      </c>
      <c r="G5614" t="s">
        <v>26</v>
      </c>
      <c r="H5614" t="s">
        <v>21</v>
      </c>
      <c r="I5614" t="s">
        <v>20</v>
      </c>
      <c r="J5614" t="s">
        <v>20</v>
      </c>
      <c r="K5614" t="s">
        <v>41</v>
      </c>
      <c r="L5614" t="s">
        <v>42</v>
      </c>
      <c r="M5614" t="s">
        <v>43</v>
      </c>
      <c r="N5614">
        <v>41.721141000000003</v>
      </c>
      <c r="O5614">
        <v>-111.83527599999999</v>
      </c>
      <c r="P5614">
        <v>4462.6393150000004</v>
      </c>
      <c r="Q5614">
        <v>324</v>
      </c>
      <c r="R5614">
        <v>0</v>
      </c>
    </row>
    <row r="5615" spans="1:18" x14ac:dyDescent="0.25">
      <c r="A5615">
        <v>5614</v>
      </c>
      <c r="B5615">
        <v>94</v>
      </c>
      <c r="C5615">
        <v>31317549</v>
      </c>
      <c r="D5615" t="s">
        <v>347</v>
      </c>
      <c r="E5615">
        <v>25.914999999999999</v>
      </c>
      <c r="F5615" t="s">
        <v>21</v>
      </c>
      <c r="G5615" t="s">
        <v>20</v>
      </c>
      <c r="H5615" t="s">
        <v>21</v>
      </c>
      <c r="I5615" t="s">
        <v>20</v>
      </c>
      <c r="J5615" t="s">
        <v>20</v>
      </c>
      <c r="K5615" t="s">
        <v>41</v>
      </c>
      <c r="L5615" t="s">
        <v>325</v>
      </c>
      <c r="M5615" t="s">
        <v>204</v>
      </c>
      <c r="N5615">
        <v>41.732576000000002</v>
      </c>
      <c r="O5615">
        <v>-111.15935</v>
      </c>
      <c r="P5615">
        <v>6244.2955679999995</v>
      </c>
      <c r="Q5615">
        <v>1334</v>
      </c>
      <c r="R5615">
        <v>0</v>
      </c>
    </row>
    <row r="5616" spans="1:18" x14ac:dyDescent="0.25">
      <c r="A5616">
        <v>5615</v>
      </c>
      <c r="B5616">
        <v>94</v>
      </c>
      <c r="C5616">
        <v>31436088</v>
      </c>
      <c r="D5616" t="s">
        <v>319</v>
      </c>
      <c r="E5616">
        <v>25.916</v>
      </c>
      <c r="F5616" t="s">
        <v>21</v>
      </c>
      <c r="G5616" t="s">
        <v>26</v>
      </c>
      <c r="H5616" t="s">
        <v>21</v>
      </c>
      <c r="I5616" t="s">
        <v>20</v>
      </c>
      <c r="J5616" t="s">
        <v>20</v>
      </c>
      <c r="K5616" t="s">
        <v>27</v>
      </c>
      <c r="L5616" t="s">
        <v>162</v>
      </c>
      <c r="M5616" t="s">
        <v>55</v>
      </c>
      <c r="N5616">
        <v>37.704653999999998</v>
      </c>
      <c r="O5616">
        <v>-113.642792</v>
      </c>
      <c r="P5616">
        <v>5103.4259009999996</v>
      </c>
      <c r="Q5616">
        <v>314</v>
      </c>
      <c r="R5616">
        <v>0</v>
      </c>
    </row>
    <row r="5617" spans="1:18" x14ac:dyDescent="0.25">
      <c r="A5617">
        <v>5616</v>
      </c>
      <c r="B5617">
        <v>94</v>
      </c>
      <c r="C5617">
        <v>31472995</v>
      </c>
      <c r="D5617" t="s">
        <v>348</v>
      </c>
      <c r="E5617">
        <v>25.937000000000001</v>
      </c>
      <c r="F5617" t="s">
        <v>21</v>
      </c>
      <c r="G5617" t="s">
        <v>26</v>
      </c>
      <c r="H5617" t="s">
        <v>21</v>
      </c>
      <c r="I5617" t="s">
        <v>20</v>
      </c>
      <c r="J5617" t="s">
        <v>20</v>
      </c>
      <c r="K5617" t="s">
        <v>27</v>
      </c>
      <c r="L5617" t="s">
        <v>122</v>
      </c>
      <c r="M5617" t="s">
        <v>123</v>
      </c>
      <c r="N5617">
        <v>38.026977000000002</v>
      </c>
      <c r="O5617">
        <v>-110.572051</v>
      </c>
      <c r="P5617">
        <v>4546.526844</v>
      </c>
      <c r="Q5617">
        <v>1388</v>
      </c>
      <c r="R5617">
        <v>0</v>
      </c>
    </row>
    <row r="5618" spans="1:18" x14ac:dyDescent="0.25">
      <c r="A5618">
        <v>5617</v>
      </c>
      <c r="B5618">
        <v>94</v>
      </c>
      <c r="C5618">
        <v>31568489</v>
      </c>
      <c r="D5618" t="s">
        <v>172</v>
      </c>
      <c r="E5618">
        <v>25.95</v>
      </c>
      <c r="F5618" t="s">
        <v>21</v>
      </c>
      <c r="G5618" t="s">
        <v>26</v>
      </c>
      <c r="H5618" t="s">
        <v>21</v>
      </c>
      <c r="I5618" t="s">
        <v>20</v>
      </c>
      <c r="J5618" t="s">
        <v>20</v>
      </c>
      <c r="K5618" t="s">
        <v>22</v>
      </c>
      <c r="L5618" t="s">
        <v>155</v>
      </c>
      <c r="M5618" t="s">
        <v>174</v>
      </c>
      <c r="N5618">
        <v>39.697342999999996</v>
      </c>
      <c r="O5618">
        <v>-111.96963599999999</v>
      </c>
      <c r="P5618">
        <v>5426.6834429999999</v>
      </c>
      <c r="Q5618">
        <v>1411</v>
      </c>
      <c r="R5618">
        <v>0</v>
      </c>
    </row>
    <row r="5619" spans="1:18" x14ac:dyDescent="0.25">
      <c r="A5619">
        <v>5618</v>
      </c>
      <c r="B5619">
        <v>94</v>
      </c>
      <c r="C5619">
        <v>31643559</v>
      </c>
      <c r="D5619" t="s">
        <v>393</v>
      </c>
      <c r="E5619">
        <v>2.258</v>
      </c>
      <c r="F5619" t="s">
        <v>21</v>
      </c>
      <c r="G5619" t="s">
        <v>20</v>
      </c>
      <c r="H5619" t="s">
        <v>21</v>
      </c>
      <c r="I5619" t="s">
        <v>20</v>
      </c>
      <c r="J5619" t="s">
        <v>20</v>
      </c>
      <c r="K5619" t="s">
        <v>27</v>
      </c>
      <c r="L5619" t="s">
        <v>158</v>
      </c>
      <c r="M5619" t="s">
        <v>190</v>
      </c>
      <c r="N5619">
        <v>39.474772999999999</v>
      </c>
      <c r="O5619">
        <v>-110.397942</v>
      </c>
      <c r="P5619">
        <v>5775.0240309999999</v>
      </c>
      <c r="Q5619">
        <v>333</v>
      </c>
      <c r="R5619">
        <v>0</v>
      </c>
    </row>
    <row r="5620" spans="1:18" x14ac:dyDescent="0.25">
      <c r="A5620">
        <v>5619</v>
      </c>
      <c r="B5620">
        <v>94</v>
      </c>
      <c r="C5620" t="e">
        <f>-JXV7fWiIhP8Fl97CnmBXV</f>
        <v>#NAME?</v>
      </c>
      <c r="D5620" t="s">
        <v>239</v>
      </c>
      <c r="E5620">
        <v>2.262</v>
      </c>
      <c r="F5620" t="s">
        <v>21</v>
      </c>
      <c r="G5620" t="s">
        <v>20</v>
      </c>
      <c r="H5620" t="s">
        <v>21</v>
      </c>
      <c r="I5620" t="s">
        <v>20</v>
      </c>
      <c r="J5620" t="s">
        <v>20</v>
      </c>
      <c r="K5620" t="s">
        <v>41</v>
      </c>
      <c r="L5620" t="s">
        <v>181</v>
      </c>
      <c r="M5620" t="s">
        <v>178</v>
      </c>
      <c r="N5620">
        <v>41.627057999999998</v>
      </c>
      <c r="O5620">
        <v>-112.33189400000001</v>
      </c>
      <c r="P5620">
        <v>4203.5679309999996</v>
      </c>
      <c r="Q5620">
        <v>1392</v>
      </c>
      <c r="R5620">
        <v>0</v>
      </c>
    </row>
    <row r="5621" spans="1:18" x14ac:dyDescent="0.25">
      <c r="A5621">
        <v>5620</v>
      </c>
      <c r="B5621">
        <v>94</v>
      </c>
      <c r="C5621">
        <v>1137837</v>
      </c>
      <c r="D5621" t="s">
        <v>56</v>
      </c>
      <c r="E5621">
        <v>2.262</v>
      </c>
      <c r="F5621" t="s">
        <v>21</v>
      </c>
      <c r="G5621" t="s">
        <v>26</v>
      </c>
      <c r="H5621" t="s">
        <v>21</v>
      </c>
      <c r="I5621" t="s">
        <v>20</v>
      </c>
      <c r="J5621" t="s">
        <v>20</v>
      </c>
      <c r="K5621" t="s">
        <v>41</v>
      </c>
      <c r="L5621" t="s">
        <v>57</v>
      </c>
      <c r="M5621" t="s">
        <v>58</v>
      </c>
      <c r="N5621">
        <v>41.163746000000003</v>
      </c>
      <c r="O5621">
        <v>-112.079415</v>
      </c>
      <c r="P5621">
        <v>4197.8471840000002</v>
      </c>
      <c r="Q5621">
        <v>1459</v>
      </c>
      <c r="R5621">
        <v>0</v>
      </c>
    </row>
    <row r="5622" spans="1:18" x14ac:dyDescent="0.25">
      <c r="A5622">
        <v>5621</v>
      </c>
      <c r="B5622">
        <v>94</v>
      </c>
      <c r="C5622">
        <v>31654527</v>
      </c>
      <c r="D5622" t="s">
        <v>65</v>
      </c>
      <c r="E5622">
        <v>2.262</v>
      </c>
      <c r="F5622" t="s">
        <v>21</v>
      </c>
      <c r="G5622" t="s">
        <v>26</v>
      </c>
      <c r="H5622" t="s">
        <v>21</v>
      </c>
      <c r="I5622" t="s">
        <v>20</v>
      </c>
      <c r="J5622" t="s">
        <v>20</v>
      </c>
      <c r="K5622" t="s">
        <v>31</v>
      </c>
      <c r="L5622" t="s">
        <v>66</v>
      </c>
      <c r="M5622" t="s">
        <v>67</v>
      </c>
      <c r="N5622">
        <v>40.766468000000003</v>
      </c>
      <c r="O5622">
        <v>-111.88823600000001</v>
      </c>
      <c r="P5622">
        <v>4249.9745089999997</v>
      </c>
      <c r="Q5622">
        <v>402</v>
      </c>
      <c r="R5622">
        <v>0</v>
      </c>
    </row>
    <row r="5623" spans="1:18" x14ac:dyDescent="0.25">
      <c r="A5623">
        <v>5622</v>
      </c>
      <c r="B5623">
        <v>94</v>
      </c>
      <c r="C5623">
        <v>31464651</v>
      </c>
      <c r="D5623" t="s">
        <v>218</v>
      </c>
      <c r="E5623">
        <v>2.2629999999999999</v>
      </c>
      <c r="F5623" t="s">
        <v>21</v>
      </c>
      <c r="G5623" t="s">
        <v>26</v>
      </c>
      <c r="H5623" t="s">
        <v>21</v>
      </c>
      <c r="I5623" t="s">
        <v>20</v>
      </c>
      <c r="J5623" t="s">
        <v>20</v>
      </c>
      <c r="K5623" t="s">
        <v>27</v>
      </c>
      <c r="L5623" t="s">
        <v>183</v>
      </c>
      <c r="M5623" t="s">
        <v>76</v>
      </c>
      <c r="N5623">
        <v>39.006079</v>
      </c>
      <c r="O5623">
        <v>-111.86165699999999</v>
      </c>
      <c r="P5623">
        <v>5044.4424950000002</v>
      </c>
      <c r="Q5623">
        <v>360</v>
      </c>
      <c r="R5623">
        <v>0</v>
      </c>
    </row>
    <row r="5624" spans="1:18" x14ac:dyDescent="0.25">
      <c r="A5624">
        <v>5623</v>
      </c>
      <c r="B5624">
        <v>94</v>
      </c>
      <c r="C5624">
        <v>31421945</v>
      </c>
      <c r="D5624" t="s">
        <v>221</v>
      </c>
      <c r="E5624">
        <v>26.527999999999999</v>
      </c>
      <c r="F5624" t="s">
        <v>21</v>
      </c>
      <c r="G5624" t="s">
        <v>26</v>
      </c>
      <c r="H5624" t="s">
        <v>21</v>
      </c>
      <c r="I5624" t="s">
        <v>20</v>
      </c>
      <c r="J5624" t="s">
        <v>20</v>
      </c>
      <c r="K5624" t="s">
        <v>22</v>
      </c>
      <c r="L5624" t="s">
        <v>155</v>
      </c>
      <c r="M5624" t="s">
        <v>174</v>
      </c>
      <c r="N5624">
        <v>39.509596999999999</v>
      </c>
      <c r="O5624">
        <v>-111.869862</v>
      </c>
      <c r="P5624">
        <v>5321.6068670000004</v>
      </c>
      <c r="Q5624">
        <v>1342</v>
      </c>
      <c r="R5624">
        <v>0</v>
      </c>
    </row>
    <row r="5625" spans="1:18" x14ac:dyDescent="0.25">
      <c r="A5625">
        <v>5624</v>
      </c>
      <c r="B5625">
        <v>94</v>
      </c>
      <c r="C5625">
        <v>31308198</v>
      </c>
      <c r="D5625" t="s">
        <v>116</v>
      </c>
      <c r="E5625">
        <v>26.529</v>
      </c>
      <c r="F5625" t="s">
        <v>19</v>
      </c>
      <c r="G5625" t="s">
        <v>20</v>
      </c>
      <c r="H5625" t="s">
        <v>21</v>
      </c>
      <c r="I5625" t="s">
        <v>20</v>
      </c>
      <c r="J5625" t="s">
        <v>20</v>
      </c>
      <c r="K5625" t="s">
        <v>41</v>
      </c>
      <c r="L5625" t="s">
        <v>95</v>
      </c>
      <c r="M5625" t="s">
        <v>43</v>
      </c>
      <c r="N5625">
        <v>41.730092999999997</v>
      </c>
      <c r="O5625">
        <v>-111.835036</v>
      </c>
      <c r="P5625">
        <v>4486.7722540000004</v>
      </c>
      <c r="Q5625">
        <v>324</v>
      </c>
      <c r="R5625">
        <v>0</v>
      </c>
    </row>
    <row r="5626" spans="1:18" x14ac:dyDescent="0.25">
      <c r="A5626">
        <v>5625</v>
      </c>
      <c r="B5626">
        <v>94</v>
      </c>
      <c r="C5626">
        <v>31499516</v>
      </c>
      <c r="D5626" t="s">
        <v>129</v>
      </c>
      <c r="E5626">
        <v>26.532</v>
      </c>
      <c r="F5626" t="s">
        <v>21</v>
      </c>
      <c r="G5626" t="s">
        <v>26</v>
      </c>
      <c r="H5626" t="s">
        <v>21</v>
      </c>
      <c r="I5626" t="s">
        <v>20</v>
      </c>
      <c r="J5626" t="s">
        <v>20</v>
      </c>
      <c r="K5626" t="s">
        <v>31</v>
      </c>
      <c r="L5626" t="s">
        <v>130</v>
      </c>
      <c r="M5626" t="s">
        <v>328</v>
      </c>
      <c r="N5626">
        <v>40.680439</v>
      </c>
      <c r="O5626">
        <v>-110.938474</v>
      </c>
      <c r="P5626">
        <v>9876.3749499999994</v>
      </c>
      <c r="Q5626">
        <v>340</v>
      </c>
      <c r="R5626">
        <v>0</v>
      </c>
    </row>
    <row r="5627" spans="1:18" x14ac:dyDescent="0.25">
      <c r="A5627">
        <v>5626</v>
      </c>
      <c r="B5627">
        <v>94</v>
      </c>
      <c r="C5627">
        <v>31894442</v>
      </c>
      <c r="D5627" t="s">
        <v>61</v>
      </c>
      <c r="E5627">
        <v>26.536000000000001</v>
      </c>
      <c r="F5627" t="s">
        <v>21</v>
      </c>
      <c r="G5627" t="s">
        <v>26</v>
      </c>
      <c r="H5627" t="s">
        <v>21</v>
      </c>
      <c r="I5627" t="s">
        <v>20</v>
      </c>
      <c r="J5627" t="s">
        <v>20</v>
      </c>
      <c r="K5627" t="s">
        <v>22</v>
      </c>
      <c r="L5627" t="s">
        <v>35</v>
      </c>
      <c r="M5627" t="s">
        <v>328</v>
      </c>
      <c r="N5627">
        <v>40.471063999999998</v>
      </c>
      <c r="O5627">
        <v>-111.447571</v>
      </c>
      <c r="P5627">
        <v>5493.6728780000003</v>
      </c>
      <c r="Q5627">
        <v>403</v>
      </c>
      <c r="R5627">
        <v>0</v>
      </c>
    </row>
    <row r="5628" spans="1:18" x14ac:dyDescent="0.25">
      <c r="A5628">
        <v>5627</v>
      </c>
      <c r="B5628">
        <v>94</v>
      </c>
      <c r="C5628" t="e">
        <f>-JNOV1kbGbu1va2XntrMHk</f>
        <v>#NAME?</v>
      </c>
      <c r="D5628" t="s">
        <v>124</v>
      </c>
      <c r="E5628">
        <v>26.538</v>
      </c>
      <c r="F5628" t="s">
        <v>21</v>
      </c>
      <c r="G5628" t="s">
        <v>20</v>
      </c>
      <c r="H5628" t="s">
        <v>21</v>
      </c>
      <c r="I5628" t="s">
        <v>20</v>
      </c>
      <c r="J5628" t="s">
        <v>20</v>
      </c>
      <c r="K5628" t="s">
        <v>22</v>
      </c>
      <c r="L5628" t="s">
        <v>84</v>
      </c>
      <c r="M5628" t="s">
        <v>194</v>
      </c>
      <c r="N5628">
        <v>40.305309999999999</v>
      </c>
      <c r="O5628">
        <v>-111.886591</v>
      </c>
      <c r="P5628">
        <v>4534.7808729999997</v>
      </c>
      <c r="Q5628">
        <v>1368</v>
      </c>
      <c r="R5628">
        <v>0</v>
      </c>
    </row>
    <row r="5629" spans="1:18" x14ac:dyDescent="0.25">
      <c r="A5629">
        <v>5628</v>
      </c>
      <c r="B5629">
        <v>94</v>
      </c>
      <c r="C5629">
        <v>31191317</v>
      </c>
      <c r="D5629" t="s">
        <v>414</v>
      </c>
      <c r="E5629">
        <v>2.3540000000000001</v>
      </c>
      <c r="F5629" t="s">
        <v>21</v>
      </c>
      <c r="G5629" t="s">
        <v>26</v>
      </c>
      <c r="H5629" t="s">
        <v>21</v>
      </c>
      <c r="I5629" t="s">
        <v>20</v>
      </c>
      <c r="J5629" t="s">
        <v>20</v>
      </c>
      <c r="K5629" t="s">
        <v>27</v>
      </c>
      <c r="L5629" t="s">
        <v>350</v>
      </c>
      <c r="M5629" t="s">
        <v>58</v>
      </c>
      <c r="N5629">
        <v>39.135452999999998</v>
      </c>
      <c r="O5629">
        <v>-111.777013</v>
      </c>
      <c r="P5629">
        <v>5123.895399</v>
      </c>
      <c r="Q5629">
        <v>336</v>
      </c>
      <c r="R5629">
        <v>0</v>
      </c>
    </row>
    <row r="5630" spans="1:18" x14ac:dyDescent="0.25">
      <c r="A5630">
        <v>5629</v>
      </c>
      <c r="B5630">
        <v>94</v>
      </c>
      <c r="C5630">
        <v>28386408</v>
      </c>
      <c r="D5630" t="s">
        <v>99</v>
      </c>
      <c r="E5630">
        <v>2.3540000000000001</v>
      </c>
      <c r="F5630" t="s">
        <v>19</v>
      </c>
      <c r="G5630" t="s">
        <v>20</v>
      </c>
      <c r="H5630" t="s">
        <v>21</v>
      </c>
      <c r="I5630" t="s">
        <v>20</v>
      </c>
      <c r="J5630" t="s">
        <v>20</v>
      </c>
      <c r="K5630" t="s">
        <v>41</v>
      </c>
      <c r="L5630" t="s">
        <v>81</v>
      </c>
      <c r="M5630" t="s">
        <v>82</v>
      </c>
      <c r="N5630">
        <v>41.205227999999998</v>
      </c>
      <c r="O5630">
        <v>-111.996779</v>
      </c>
      <c r="P5630">
        <v>4328.2541529999999</v>
      </c>
      <c r="Q5630">
        <v>1376</v>
      </c>
      <c r="R5630">
        <v>0</v>
      </c>
    </row>
    <row r="5631" spans="1:18" x14ac:dyDescent="0.25">
      <c r="A5631">
        <v>5630</v>
      </c>
      <c r="B5631">
        <v>94</v>
      </c>
      <c r="C5631" t="s">
        <v>745</v>
      </c>
      <c r="D5631" t="s">
        <v>239</v>
      </c>
      <c r="E5631">
        <v>2.355</v>
      </c>
      <c r="F5631" t="s">
        <v>21</v>
      </c>
      <c r="G5631" t="s">
        <v>20</v>
      </c>
      <c r="H5631" t="s">
        <v>21</v>
      </c>
      <c r="I5631" t="s">
        <v>20</v>
      </c>
      <c r="J5631" t="s">
        <v>20</v>
      </c>
      <c r="K5631" t="s">
        <v>41</v>
      </c>
      <c r="L5631" t="s">
        <v>181</v>
      </c>
      <c r="M5631" t="s">
        <v>178</v>
      </c>
      <c r="N5631">
        <v>41.628113999999997</v>
      </c>
      <c r="O5631">
        <v>-112.330929</v>
      </c>
      <c r="P5631">
        <v>4204.8014279999998</v>
      </c>
      <c r="Q5631">
        <v>1392</v>
      </c>
      <c r="R5631">
        <v>0</v>
      </c>
    </row>
    <row r="5632" spans="1:18" x14ac:dyDescent="0.25">
      <c r="A5632">
        <v>5631</v>
      </c>
      <c r="B5632">
        <v>94</v>
      </c>
      <c r="C5632">
        <v>28623421</v>
      </c>
      <c r="D5632" t="s">
        <v>192</v>
      </c>
      <c r="E5632">
        <v>2.3559999999999999</v>
      </c>
      <c r="F5632" t="s">
        <v>21</v>
      </c>
      <c r="G5632" t="s">
        <v>26</v>
      </c>
      <c r="H5632" t="s">
        <v>21</v>
      </c>
      <c r="I5632" t="s">
        <v>20</v>
      </c>
      <c r="J5632" t="s">
        <v>20</v>
      </c>
      <c r="K5632" t="s">
        <v>22</v>
      </c>
      <c r="L5632" t="s">
        <v>140</v>
      </c>
      <c r="M5632" t="s">
        <v>125</v>
      </c>
      <c r="N5632">
        <v>40.148924999999998</v>
      </c>
      <c r="O5632">
        <v>-111.73039</v>
      </c>
      <c r="P5632">
        <v>4442.8445810000003</v>
      </c>
      <c r="Q5632">
        <v>1375</v>
      </c>
      <c r="R5632">
        <v>0</v>
      </c>
    </row>
    <row r="5633" spans="1:18" x14ac:dyDescent="0.25">
      <c r="A5633">
        <v>5632</v>
      </c>
      <c r="B5633">
        <v>94</v>
      </c>
      <c r="C5633">
        <v>31773264</v>
      </c>
      <c r="D5633" t="s">
        <v>59</v>
      </c>
      <c r="E5633">
        <v>2.3559999999999999</v>
      </c>
      <c r="F5633" t="s">
        <v>21</v>
      </c>
      <c r="G5633" t="s">
        <v>26</v>
      </c>
      <c r="H5633" t="s">
        <v>21</v>
      </c>
      <c r="I5633" t="s">
        <v>20</v>
      </c>
      <c r="J5633" t="s">
        <v>20</v>
      </c>
      <c r="K5633" t="s">
        <v>22</v>
      </c>
      <c r="L5633" t="s">
        <v>60</v>
      </c>
      <c r="M5633" t="s">
        <v>24</v>
      </c>
      <c r="N5633">
        <v>40.312043000000003</v>
      </c>
      <c r="O5633">
        <v>-111.69012600000001</v>
      </c>
      <c r="P5633">
        <v>4744.8094549999996</v>
      </c>
      <c r="Q5633">
        <v>313</v>
      </c>
      <c r="R5633">
        <v>0</v>
      </c>
    </row>
    <row r="5634" spans="1:18" x14ac:dyDescent="0.25">
      <c r="A5634">
        <v>5633</v>
      </c>
      <c r="B5634">
        <v>94</v>
      </c>
      <c r="C5634">
        <v>31514631</v>
      </c>
      <c r="D5634" t="s">
        <v>231</v>
      </c>
      <c r="E5634">
        <v>2.3559999999999999</v>
      </c>
      <c r="F5634" t="s">
        <v>19</v>
      </c>
      <c r="G5634" t="s">
        <v>20</v>
      </c>
      <c r="H5634" t="s">
        <v>21</v>
      </c>
      <c r="I5634" t="s">
        <v>20</v>
      </c>
      <c r="J5634" t="s">
        <v>20</v>
      </c>
      <c r="K5634" t="s">
        <v>41</v>
      </c>
      <c r="L5634" t="s">
        <v>57</v>
      </c>
      <c r="M5634" t="s">
        <v>93</v>
      </c>
      <c r="N5634">
        <v>41.079360000000001</v>
      </c>
      <c r="O5634">
        <v>-111.98782199999999</v>
      </c>
      <c r="P5634">
        <v>4370.1661510000004</v>
      </c>
      <c r="Q5634">
        <v>1409</v>
      </c>
      <c r="R5634">
        <v>0</v>
      </c>
    </row>
    <row r="5635" spans="1:18" x14ac:dyDescent="0.25">
      <c r="A5635">
        <v>5634</v>
      </c>
      <c r="B5635">
        <v>94</v>
      </c>
      <c r="C5635">
        <v>31763762</v>
      </c>
      <c r="D5635" t="s">
        <v>268</v>
      </c>
      <c r="E5635">
        <v>2.3559999999999999</v>
      </c>
      <c r="F5635" t="s">
        <v>21</v>
      </c>
      <c r="G5635" t="s">
        <v>20</v>
      </c>
      <c r="H5635" t="s">
        <v>21</v>
      </c>
      <c r="I5635" t="s">
        <v>20</v>
      </c>
      <c r="J5635" t="s">
        <v>20</v>
      </c>
      <c r="K5635" t="s">
        <v>41</v>
      </c>
      <c r="L5635" t="s">
        <v>177</v>
      </c>
      <c r="M5635" t="s">
        <v>43</v>
      </c>
      <c r="N5635">
        <v>41.564287999999998</v>
      </c>
      <c r="O5635">
        <v>-112.17335799999999</v>
      </c>
      <c r="P5635">
        <v>4191.5410730000003</v>
      </c>
      <c r="Q5635">
        <v>1380</v>
      </c>
      <c r="R5635">
        <v>0</v>
      </c>
    </row>
    <row r="5636" spans="1:18" x14ac:dyDescent="0.25">
      <c r="A5636">
        <v>5635</v>
      </c>
      <c r="B5636">
        <v>94</v>
      </c>
      <c r="C5636">
        <v>31194006</v>
      </c>
      <c r="D5636" t="s">
        <v>374</v>
      </c>
      <c r="E5636">
        <v>2.3570000000000002</v>
      </c>
      <c r="F5636" t="s">
        <v>21</v>
      </c>
      <c r="G5636" t="s">
        <v>20</v>
      </c>
      <c r="H5636" t="s">
        <v>21</v>
      </c>
      <c r="I5636" t="s">
        <v>20</v>
      </c>
      <c r="J5636" t="s">
        <v>20</v>
      </c>
      <c r="K5636" t="s">
        <v>22</v>
      </c>
      <c r="L5636" t="s">
        <v>234</v>
      </c>
      <c r="M5636" t="s">
        <v>169</v>
      </c>
      <c r="N5636">
        <v>40.403551999999998</v>
      </c>
      <c r="O5636">
        <v>-109.343647</v>
      </c>
      <c r="P5636">
        <v>4779.602648</v>
      </c>
      <c r="Q5636">
        <v>1422</v>
      </c>
      <c r="R5636">
        <v>0</v>
      </c>
    </row>
    <row r="5637" spans="1:18" x14ac:dyDescent="0.25">
      <c r="A5637">
        <v>5636</v>
      </c>
      <c r="B5637">
        <v>94</v>
      </c>
      <c r="C5637">
        <v>31534260</v>
      </c>
      <c r="D5637" t="s">
        <v>412</v>
      </c>
      <c r="E5637">
        <v>9.2889999999999997</v>
      </c>
      <c r="F5637" t="s">
        <v>21</v>
      </c>
      <c r="G5637" t="s">
        <v>26</v>
      </c>
      <c r="H5637" t="s">
        <v>21</v>
      </c>
      <c r="I5637" t="s">
        <v>20</v>
      </c>
      <c r="J5637" t="s">
        <v>20</v>
      </c>
      <c r="K5637" t="s">
        <v>27</v>
      </c>
      <c r="L5637" t="s">
        <v>173</v>
      </c>
      <c r="M5637" t="s">
        <v>267</v>
      </c>
      <c r="N5637">
        <v>39.374983</v>
      </c>
      <c r="O5637">
        <v>-112.336063</v>
      </c>
      <c r="P5637">
        <v>5048.2801360000003</v>
      </c>
      <c r="Q5637">
        <v>1408</v>
      </c>
      <c r="R5637">
        <v>0</v>
      </c>
    </row>
    <row r="5638" spans="1:18" x14ac:dyDescent="0.25">
      <c r="A5638">
        <v>5637</v>
      </c>
      <c r="B5638">
        <v>94</v>
      </c>
      <c r="C5638">
        <v>31310932</v>
      </c>
      <c r="D5638" t="s">
        <v>215</v>
      </c>
      <c r="E5638">
        <v>3.0259999999999998</v>
      </c>
      <c r="F5638" t="s">
        <v>19</v>
      </c>
      <c r="G5638" t="s">
        <v>20</v>
      </c>
      <c r="H5638" t="s">
        <v>21</v>
      </c>
      <c r="I5638" t="s">
        <v>20</v>
      </c>
      <c r="J5638" t="s">
        <v>20</v>
      </c>
      <c r="K5638" t="s">
        <v>22</v>
      </c>
      <c r="L5638" t="s">
        <v>23</v>
      </c>
      <c r="M5638" t="s">
        <v>85</v>
      </c>
      <c r="N5638">
        <v>40.252296000000001</v>
      </c>
      <c r="O5638">
        <v>-111.705978</v>
      </c>
      <c r="P5638">
        <v>4477.8324890000004</v>
      </c>
      <c r="Q5638">
        <v>330</v>
      </c>
      <c r="R5638">
        <v>0</v>
      </c>
    </row>
    <row r="5639" spans="1:18" x14ac:dyDescent="0.25">
      <c r="A5639">
        <v>5638</v>
      </c>
      <c r="B5639">
        <v>94</v>
      </c>
      <c r="C5639">
        <v>27866675</v>
      </c>
      <c r="D5639" t="s">
        <v>91</v>
      </c>
      <c r="E5639">
        <v>3.0270000000000001</v>
      </c>
      <c r="F5639" t="s">
        <v>21</v>
      </c>
      <c r="G5639" t="s">
        <v>26</v>
      </c>
      <c r="H5639" t="s">
        <v>21</v>
      </c>
      <c r="I5639" t="s">
        <v>20</v>
      </c>
      <c r="J5639" t="s">
        <v>20</v>
      </c>
      <c r="K5639" t="s">
        <v>41</v>
      </c>
      <c r="L5639" t="s">
        <v>42</v>
      </c>
      <c r="M5639" t="s">
        <v>73</v>
      </c>
      <c r="N5639">
        <v>41.656036999999998</v>
      </c>
      <c r="O5639">
        <v>-111.943479</v>
      </c>
      <c r="P5639">
        <v>4523.401554</v>
      </c>
      <c r="Q5639">
        <v>1339</v>
      </c>
      <c r="R5639">
        <v>0</v>
      </c>
    </row>
    <row r="5640" spans="1:18" x14ac:dyDescent="0.25">
      <c r="A5640">
        <v>5639</v>
      </c>
      <c r="B5640">
        <v>94</v>
      </c>
      <c r="C5640">
        <v>31391972</v>
      </c>
      <c r="D5640" t="s">
        <v>114</v>
      </c>
      <c r="E5640">
        <v>3.0310000000000001</v>
      </c>
      <c r="F5640" t="s">
        <v>21</v>
      </c>
      <c r="G5640" t="s">
        <v>26</v>
      </c>
      <c r="H5640" t="s">
        <v>21</v>
      </c>
      <c r="I5640" t="s">
        <v>20</v>
      </c>
      <c r="J5640" t="s">
        <v>20</v>
      </c>
      <c r="K5640" t="s">
        <v>41</v>
      </c>
      <c r="L5640" t="s">
        <v>87</v>
      </c>
      <c r="M5640" t="s">
        <v>82</v>
      </c>
      <c r="N5640">
        <v>41.103530999999997</v>
      </c>
      <c r="O5640">
        <v>-112.010631</v>
      </c>
      <c r="P5640">
        <v>4450.0051110000004</v>
      </c>
      <c r="Q5640">
        <v>405</v>
      </c>
      <c r="R5640">
        <v>0</v>
      </c>
    </row>
    <row r="5641" spans="1:18" x14ac:dyDescent="0.25">
      <c r="A5641">
        <v>5640</v>
      </c>
      <c r="B5641">
        <v>94</v>
      </c>
      <c r="C5641">
        <v>1221605</v>
      </c>
      <c r="D5641" t="s">
        <v>108</v>
      </c>
      <c r="E5641">
        <v>3.0409999999999999</v>
      </c>
      <c r="F5641" t="s">
        <v>19</v>
      </c>
      <c r="G5641" t="s">
        <v>20</v>
      </c>
      <c r="H5641" t="s">
        <v>19</v>
      </c>
      <c r="I5641">
        <v>204</v>
      </c>
      <c r="J5641" t="s">
        <v>20</v>
      </c>
      <c r="K5641" t="s">
        <v>41</v>
      </c>
      <c r="L5641" t="s">
        <v>81</v>
      </c>
      <c r="M5641" t="s">
        <v>93</v>
      </c>
      <c r="N5641">
        <v>41.192506000000002</v>
      </c>
      <c r="O5641">
        <v>-111.97929999999999</v>
      </c>
      <c r="P5641">
        <v>4321.4297919999999</v>
      </c>
      <c r="Q5641">
        <v>1341</v>
      </c>
      <c r="R5641">
        <v>0</v>
      </c>
    </row>
    <row r="5642" spans="1:18" x14ac:dyDescent="0.25">
      <c r="A5642">
        <v>5641</v>
      </c>
      <c r="B5642">
        <v>94</v>
      </c>
      <c r="C5642">
        <v>525076</v>
      </c>
      <c r="D5642" t="s">
        <v>44</v>
      </c>
      <c r="E5642">
        <v>3.0449999999999999</v>
      </c>
      <c r="F5642" t="s">
        <v>19</v>
      </c>
      <c r="G5642" t="s">
        <v>20</v>
      </c>
      <c r="H5642" t="s">
        <v>19</v>
      </c>
      <c r="I5642">
        <v>150</v>
      </c>
      <c r="J5642" t="s">
        <v>20</v>
      </c>
      <c r="K5642" t="s">
        <v>41</v>
      </c>
      <c r="L5642" t="s">
        <v>45</v>
      </c>
      <c r="M5642" t="s">
        <v>46</v>
      </c>
      <c r="N5642">
        <v>40.921495999999998</v>
      </c>
      <c r="O5642">
        <v>-111.87898</v>
      </c>
      <c r="P5642">
        <v>4233.2873790000003</v>
      </c>
      <c r="Q5642">
        <v>1395</v>
      </c>
      <c r="R5642">
        <v>0</v>
      </c>
    </row>
    <row r="5643" spans="1:18" x14ac:dyDescent="0.25">
      <c r="A5643">
        <v>5642</v>
      </c>
      <c r="B5643">
        <v>94</v>
      </c>
      <c r="C5643">
        <v>31433293</v>
      </c>
      <c r="D5643" t="s">
        <v>107</v>
      </c>
      <c r="E5643">
        <v>3.05</v>
      </c>
      <c r="F5643" t="s">
        <v>19</v>
      </c>
      <c r="G5643" t="s">
        <v>20</v>
      </c>
      <c r="H5643" t="s">
        <v>21</v>
      </c>
      <c r="I5643" t="s">
        <v>20</v>
      </c>
      <c r="J5643" t="s">
        <v>20</v>
      </c>
      <c r="K5643" t="s">
        <v>41</v>
      </c>
      <c r="L5643" t="s">
        <v>81</v>
      </c>
      <c r="M5643" t="s">
        <v>93</v>
      </c>
      <c r="N5643">
        <v>41.236834000000002</v>
      </c>
      <c r="O5643">
        <v>-111.978525</v>
      </c>
      <c r="P5643">
        <v>4234.8074790000001</v>
      </c>
      <c r="Q5643">
        <v>413</v>
      </c>
      <c r="R5643">
        <v>0</v>
      </c>
    </row>
    <row r="5644" spans="1:18" x14ac:dyDescent="0.25">
      <c r="A5644">
        <v>5643</v>
      </c>
      <c r="B5644">
        <v>94</v>
      </c>
      <c r="C5644">
        <v>31190135</v>
      </c>
      <c r="D5644" t="s">
        <v>470</v>
      </c>
      <c r="E5644">
        <v>3.0529999999999999</v>
      </c>
      <c r="F5644" t="s">
        <v>21</v>
      </c>
      <c r="G5644" t="s">
        <v>26</v>
      </c>
      <c r="H5644" t="s">
        <v>19</v>
      </c>
      <c r="I5644">
        <v>6</v>
      </c>
      <c r="J5644" t="s">
        <v>20</v>
      </c>
      <c r="K5644" t="s">
        <v>27</v>
      </c>
      <c r="L5644" t="s">
        <v>173</v>
      </c>
      <c r="M5644" t="s">
        <v>392</v>
      </c>
      <c r="N5644">
        <v>39.396545000000003</v>
      </c>
      <c r="O5644">
        <v>-112.503873</v>
      </c>
      <c r="P5644">
        <v>4652.9901600000003</v>
      </c>
      <c r="Q5644">
        <v>1413</v>
      </c>
      <c r="R5644">
        <v>0</v>
      </c>
    </row>
    <row r="5645" spans="1:18" x14ac:dyDescent="0.25">
      <c r="A5645">
        <v>5644</v>
      </c>
      <c r="B5645">
        <v>94</v>
      </c>
      <c r="C5645">
        <v>31310699</v>
      </c>
      <c r="D5645" t="s">
        <v>40</v>
      </c>
      <c r="E5645">
        <v>3.0529999999999999</v>
      </c>
      <c r="F5645" t="s">
        <v>21</v>
      </c>
      <c r="G5645" t="s">
        <v>26</v>
      </c>
      <c r="H5645" t="s">
        <v>21</v>
      </c>
      <c r="I5645" t="s">
        <v>20</v>
      </c>
      <c r="J5645" t="s">
        <v>20</v>
      </c>
      <c r="K5645" t="s">
        <v>41</v>
      </c>
      <c r="L5645" t="s">
        <v>42</v>
      </c>
      <c r="M5645" t="s">
        <v>43</v>
      </c>
      <c r="N5645">
        <v>41.640886000000002</v>
      </c>
      <c r="O5645">
        <v>-111.87929200000001</v>
      </c>
      <c r="P5645">
        <v>4547.3706599999996</v>
      </c>
      <c r="Q5645">
        <v>1391</v>
      </c>
      <c r="R5645">
        <v>0</v>
      </c>
    </row>
    <row r="5646" spans="1:18" x14ac:dyDescent="0.25">
      <c r="A5646">
        <v>5645</v>
      </c>
      <c r="B5646">
        <v>94</v>
      </c>
      <c r="C5646">
        <v>31191090</v>
      </c>
      <c r="D5646" t="s">
        <v>309</v>
      </c>
      <c r="E5646">
        <v>3.0529999999999999</v>
      </c>
      <c r="F5646" t="s">
        <v>21</v>
      </c>
      <c r="G5646" t="s">
        <v>26</v>
      </c>
      <c r="H5646" t="s">
        <v>21</v>
      </c>
      <c r="I5646" t="s">
        <v>20</v>
      </c>
      <c r="J5646" t="s">
        <v>20</v>
      </c>
      <c r="K5646" t="s">
        <v>22</v>
      </c>
      <c r="L5646" t="s">
        <v>198</v>
      </c>
      <c r="M5646" t="s">
        <v>125</v>
      </c>
      <c r="N5646">
        <v>40.085130999999997</v>
      </c>
      <c r="O5646">
        <v>-111.78792300000001</v>
      </c>
      <c r="P5646">
        <v>4458.739947</v>
      </c>
      <c r="Q5646">
        <v>339</v>
      </c>
      <c r="R5646">
        <v>0</v>
      </c>
    </row>
    <row r="5647" spans="1:18" x14ac:dyDescent="0.25">
      <c r="A5647">
        <v>5646</v>
      </c>
      <c r="B5647">
        <v>94</v>
      </c>
      <c r="C5647">
        <v>31385523</v>
      </c>
      <c r="D5647" t="s">
        <v>184</v>
      </c>
      <c r="E5647">
        <v>3.0569999999999999</v>
      </c>
      <c r="F5647" t="s">
        <v>21</v>
      </c>
      <c r="G5647" t="s">
        <v>26</v>
      </c>
      <c r="H5647" t="s">
        <v>21</v>
      </c>
      <c r="I5647" t="s">
        <v>20</v>
      </c>
      <c r="J5647" t="s">
        <v>20</v>
      </c>
      <c r="K5647" t="s">
        <v>27</v>
      </c>
      <c r="L5647" t="s">
        <v>54</v>
      </c>
      <c r="M5647" t="s">
        <v>55</v>
      </c>
      <c r="N5647">
        <v>37.688934000000003</v>
      </c>
      <c r="O5647">
        <v>-113.061931</v>
      </c>
      <c r="P5647">
        <v>5713.1915069999995</v>
      </c>
      <c r="Q5647">
        <v>1410</v>
      </c>
      <c r="R5647">
        <v>0</v>
      </c>
    </row>
    <row r="5648" spans="1:18" x14ac:dyDescent="0.25">
      <c r="A5648">
        <v>5647</v>
      </c>
      <c r="B5648">
        <v>94</v>
      </c>
      <c r="C5648" t="s">
        <v>746</v>
      </c>
      <c r="D5648" t="s">
        <v>354</v>
      </c>
      <c r="E5648">
        <v>3.9209999999999998</v>
      </c>
      <c r="F5648" t="s">
        <v>21</v>
      </c>
      <c r="G5648" t="s">
        <v>20</v>
      </c>
      <c r="H5648" t="s">
        <v>21</v>
      </c>
      <c r="I5648" t="s">
        <v>20</v>
      </c>
      <c r="J5648" t="s">
        <v>20</v>
      </c>
      <c r="K5648" t="s">
        <v>27</v>
      </c>
      <c r="L5648" t="s">
        <v>64</v>
      </c>
      <c r="M5648" t="s">
        <v>58</v>
      </c>
      <c r="N5648">
        <v>38.137695999999998</v>
      </c>
      <c r="O5648">
        <v>-111.997668</v>
      </c>
      <c r="P5648">
        <v>6339.0704820000001</v>
      </c>
      <c r="Q5648">
        <v>1338</v>
      </c>
      <c r="R5648">
        <v>0</v>
      </c>
    </row>
    <row r="5649" spans="1:18" x14ac:dyDescent="0.25">
      <c r="A5649">
        <v>5648</v>
      </c>
      <c r="B5649">
        <v>94</v>
      </c>
      <c r="C5649">
        <v>31490461</v>
      </c>
      <c r="D5649" t="s">
        <v>164</v>
      </c>
      <c r="E5649">
        <v>3.923</v>
      </c>
      <c r="F5649" t="s">
        <v>21</v>
      </c>
      <c r="G5649" t="s">
        <v>26</v>
      </c>
      <c r="H5649" t="s">
        <v>21</v>
      </c>
      <c r="I5649" t="s">
        <v>20</v>
      </c>
      <c r="J5649" t="s">
        <v>20</v>
      </c>
      <c r="K5649" t="s">
        <v>27</v>
      </c>
      <c r="L5649" t="s">
        <v>165</v>
      </c>
      <c r="M5649" t="s">
        <v>166</v>
      </c>
      <c r="N5649">
        <v>38.989528999999997</v>
      </c>
      <c r="O5649">
        <v>-112.323008</v>
      </c>
      <c r="P5649">
        <v>5000.6026890000003</v>
      </c>
      <c r="Q5649">
        <v>1390</v>
      </c>
      <c r="R5649">
        <v>0</v>
      </c>
    </row>
    <row r="5650" spans="1:18" x14ac:dyDescent="0.25">
      <c r="A5650">
        <v>5649</v>
      </c>
      <c r="B5650">
        <v>94</v>
      </c>
      <c r="C5650">
        <v>1141273</v>
      </c>
      <c r="D5650" t="s">
        <v>56</v>
      </c>
      <c r="E5650">
        <v>3.927</v>
      </c>
      <c r="F5650" t="s">
        <v>21</v>
      </c>
      <c r="G5650" t="s">
        <v>26</v>
      </c>
      <c r="H5650" t="s">
        <v>21</v>
      </c>
      <c r="I5650" t="s">
        <v>20</v>
      </c>
      <c r="J5650" t="s">
        <v>20</v>
      </c>
      <c r="K5650" t="s">
        <v>41</v>
      </c>
      <c r="L5650" t="s">
        <v>57</v>
      </c>
      <c r="M5650" t="s">
        <v>58</v>
      </c>
      <c r="N5650">
        <v>41.161655000000003</v>
      </c>
      <c r="O5650">
        <v>-112.048332</v>
      </c>
      <c r="P5650">
        <v>4325.928304</v>
      </c>
      <c r="Q5650">
        <v>1459</v>
      </c>
      <c r="R5650">
        <v>0</v>
      </c>
    </row>
    <row r="5651" spans="1:18" x14ac:dyDescent="0.25">
      <c r="A5651">
        <v>5650</v>
      </c>
      <c r="B5651">
        <v>94</v>
      </c>
      <c r="C5651" t="e">
        <f>-Ip-vPQTFBqS_98mUA_VWF</f>
        <v>#NAME?</v>
      </c>
      <c r="D5651" t="s">
        <v>272</v>
      </c>
      <c r="E5651">
        <v>373.71</v>
      </c>
      <c r="F5651" t="s">
        <v>21</v>
      </c>
      <c r="G5651" t="s">
        <v>26</v>
      </c>
      <c r="H5651" t="s">
        <v>21</v>
      </c>
      <c r="I5651" t="s">
        <v>20</v>
      </c>
      <c r="J5651" t="s">
        <v>20</v>
      </c>
      <c r="K5651" t="s">
        <v>31</v>
      </c>
      <c r="L5651" t="s">
        <v>69</v>
      </c>
      <c r="M5651" t="s">
        <v>49</v>
      </c>
      <c r="N5651">
        <v>40.688769000000001</v>
      </c>
      <c r="O5651">
        <v>-111.888273</v>
      </c>
      <c r="P5651">
        <v>4211.3243320000001</v>
      </c>
      <c r="Q5651">
        <v>1384</v>
      </c>
      <c r="R5651">
        <v>0</v>
      </c>
    </row>
    <row r="5652" spans="1:18" x14ac:dyDescent="0.25">
      <c r="A5652">
        <v>5651</v>
      </c>
      <c r="B5652">
        <v>94</v>
      </c>
      <c r="C5652" t="s">
        <v>747</v>
      </c>
      <c r="D5652" t="s">
        <v>272</v>
      </c>
      <c r="E5652">
        <v>373.77800000000002</v>
      </c>
      <c r="F5652" t="s">
        <v>21</v>
      </c>
      <c r="G5652" t="s">
        <v>26</v>
      </c>
      <c r="H5652" t="s">
        <v>21</v>
      </c>
      <c r="I5652" t="s">
        <v>20</v>
      </c>
      <c r="J5652" t="s">
        <v>20</v>
      </c>
      <c r="K5652" t="s">
        <v>31</v>
      </c>
      <c r="L5652" t="s">
        <v>69</v>
      </c>
      <c r="M5652" t="s">
        <v>49</v>
      </c>
      <c r="N5652">
        <v>40.689759000000002</v>
      </c>
      <c r="O5652">
        <v>-111.88828599999999</v>
      </c>
      <c r="P5652">
        <v>4209.8481970000003</v>
      </c>
      <c r="Q5652">
        <v>1384</v>
      </c>
      <c r="R5652">
        <v>0</v>
      </c>
    </row>
    <row r="5653" spans="1:18" x14ac:dyDescent="0.25">
      <c r="A5653">
        <v>5652</v>
      </c>
      <c r="B5653">
        <v>94</v>
      </c>
      <c r="C5653" t="e">
        <f>-JScuyV-GTaIUnDiAUaOdV</f>
        <v>#NAME?</v>
      </c>
      <c r="D5653" t="s">
        <v>288</v>
      </c>
      <c r="E5653">
        <v>373.79199999999997</v>
      </c>
      <c r="F5653" t="s">
        <v>21</v>
      </c>
      <c r="G5653" t="s">
        <v>26</v>
      </c>
      <c r="H5653" t="s">
        <v>21</v>
      </c>
      <c r="I5653" t="s">
        <v>20</v>
      </c>
      <c r="J5653" t="s">
        <v>20</v>
      </c>
      <c r="K5653" t="s">
        <v>22</v>
      </c>
      <c r="L5653" t="s">
        <v>234</v>
      </c>
      <c r="M5653" t="s">
        <v>98</v>
      </c>
      <c r="N5653">
        <v>40.696668000000003</v>
      </c>
      <c r="O5653">
        <v>-109.49265699999999</v>
      </c>
      <c r="P5653">
        <v>8257.2793099999999</v>
      </c>
      <c r="Q5653">
        <v>350</v>
      </c>
      <c r="R5653">
        <v>0</v>
      </c>
    </row>
    <row r="5654" spans="1:18" x14ac:dyDescent="0.25">
      <c r="A5654">
        <v>5653</v>
      </c>
      <c r="B5654">
        <v>94</v>
      </c>
      <c r="C5654" t="e">
        <f>-Ip-wLrEHIHmQh8BpVSlTF</f>
        <v>#NAME?</v>
      </c>
      <c r="D5654" t="s">
        <v>272</v>
      </c>
      <c r="E5654">
        <v>373.93099999999998</v>
      </c>
      <c r="F5654" t="s">
        <v>21</v>
      </c>
      <c r="G5654" t="s">
        <v>26</v>
      </c>
      <c r="H5654" t="s">
        <v>21</v>
      </c>
      <c r="I5654" t="s">
        <v>20</v>
      </c>
      <c r="J5654" t="s">
        <v>20</v>
      </c>
      <c r="K5654" t="s">
        <v>31</v>
      </c>
      <c r="L5654" t="s">
        <v>69</v>
      </c>
      <c r="M5654" t="s">
        <v>49</v>
      </c>
      <c r="N5654">
        <v>40.691992999999997</v>
      </c>
      <c r="O5654">
        <v>-111.88826</v>
      </c>
      <c r="P5654">
        <v>4208.2021649999997</v>
      </c>
      <c r="Q5654">
        <v>1384</v>
      </c>
      <c r="R5654">
        <v>0</v>
      </c>
    </row>
    <row r="5655" spans="1:18" x14ac:dyDescent="0.25">
      <c r="A5655">
        <v>5654</v>
      </c>
      <c r="B5655">
        <v>94</v>
      </c>
      <c r="C5655" t="e">
        <f>-Ip-wn7kHbe-Ws5iFVD1Vk</f>
        <v>#NAME?</v>
      </c>
      <c r="D5655" t="s">
        <v>272</v>
      </c>
      <c r="E5655">
        <v>373.99700000000001</v>
      </c>
      <c r="F5655" t="s">
        <v>21</v>
      </c>
      <c r="G5655" t="s">
        <v>26</v>
      </c>
      <c r="H5655" t="s">
        <v>21</v>
      </c>
      <c r="I5655" t="s">
        <v>20</v>
      </c>
      <c r="J5655" t="s">
        <v>20</v>
      </c>
      <c r="K5655" t="s">
        <v>31</v>
      </c>
      <c r="L5655" t="s">
        <v>69</v>
      </c>
      <c r="M5655" t="s">
        <v>49</v>
      </c>
      <c r="N5655">
        <v>40.692948000000001</v>
      </c>
      <c r="O5655">
        <v>-111.88824099999999</v>
      </c>
      <c r="P5655">
        <v>4206.9260670000003</v>
      </c>
      <c r="Q5655">
        <v>1384</v>
      </c>
      <c r="R5655">
        <v>0</v>
      </c>
    </row>
    <row r="5656" spans="1:18" x14ac:dyDescent="0.25">
      <c r="A5656">
        <v>5655</v>
      </c>
      <c r="B5656">
        <v>94</v>
      </c>
      <c r="C5656" t="e">
        <f>-Ip-xDcOFIyJBMZhrCOJ2V</f>
        <v>#NAME?</v>
      </c>
      <c r="D5656" t="s">
        <v>272</v>
      </c>
      <c r="E5656">
        <v>374.11200000000002</v>
      </c>
      <c r="F5656" t="s">
        <v>21</v>
      </c>
      <c r="G5656" t="s">
        <v>26</v>
      </c>
      <c r="H5656" t="s">
        <v>21</v>
      </c>
      <c r="I5656" t="s">
        <v>20</v>
      </c>
      <c r="J5656" t="s">
        <v>20</v>
      </c>
      <c r="K5656" t="s">
        <v>31</v>
      </c>
      <c r="L5656" t="s">
        <v>69</v>
      </c>
      <c r="M5656" t="s">
        <v>49</v>
      </c>
      <c r="N5656">
        <v>40.694639000000002</v>
      </c>
      <c r="O5656">
        <v>-111.888293</v>
      </c>
      <c r="P5656">
        <v>4205.2476850000003</v>
      </c>
      <c r="Q5656">
        <v>1384</v>
      </c>
      <c r="R5656">
        <v>0</v>
      </c>
    </row>
    <row r="5657" spans="1:18" x14ac:dyDescent="0.25">
      <c r="A5657">
        <v>5656</v>
      </c>
      <c r="B5657">
        <v>94</v>
      </c>
      <c r="C5657" t="e">
        <f>-Ip-xIY3IHq2E7I3_hwf9V</f>
        <v>#NAME?</v>
      </c>
      <c r="D5657" t="s">
        <v>272</v>
      </c>
      <c r="E5657">
        <v>374.12099999999998</v>
      </c>
      <c r="F5657" t="s">
        <v>21</v>
      </c>
      <c r="G5657" t="s">
        <v>26</v>
      </c>
      <c r="H5657" t="s">
        <v>21</v>
      </c>
      <c r="I5657" t="s">
        <v>20</v>
      </c>
      <c r="J5657" t="s">
        <v>20</v>
      </c>
      <c r="K5657" t="s">
        <v>31</v>
      </c>
      <c r="L5657" t="s">
        <v>69</v>
      </c>
      <c r="M5657" t="s">
        <v>49</v>
      </c>
      <c r="N5657">
        <v>40.694766999999999</v>
      </c>
      <c r="O5657">
        <v>-111.888261</v>
      </c>
      <c r="P5657">
        <v>4205.1519470000003</v>
      </c>
      <c r="Q5657">
        <v>1384</v>
      </c>
      <c r="R5657">
        <v>0</v>
      </c>
    </row>
    <row r="5658" spans="1:18" x14ac:dyDescent="0.25">
      <c r="A5658">
        <v>5657</v>
      </c>
      <c r="B5658">
        <v>94</v>
      </c>
      <c r="C5658" t="e">
        <f>-Ip-zJ9pIPH30ANFWzHNgV</f>
        <v>#NAME?</v>
      </c>
      <c r="D5658" t="s">
        <v>272</v>
      </c>
      <c r="E5658">
        <v>374.28500000000003</v>
      </c>
      <c r="F5658" t="s">
        <v>21</v>
      </c>
      <c r="G5658" t="s">
        <v>26</v>
      </c>
      <c r="H5658" t="s">
        <v>21</v>
      </c>
      <c r="I5658" t="s">
        <v>20</v>
      </c>
      <c r="J5658" t="s">
        <v>20</v>
      </c>
      <c r="K5658" t="s">
        <v>31</v>
      </c>
      <c r="L5658" t="s">
        <v>66</v>
      </c>
      <c r="M5658" t="s">
        <v>49</v>
      </c>
      <c r="N5658">
        <v>40.697163000000003</v>
      </c>
      <c r="O5658">
        <v>-111.888194</v>
      </c>
      <c r="P5658">
        <v>4203.2120830000003</v>
      </c>
      <c r="Q5658">
        <v>1384</v>
      </c>
      <c r="R5658">
        <v>0</v>
      </c>
    </row>
    <row r="5659" spans="1:18" x14ac:dyDescent="0.25">
      <c r="A5659">
        <v>5658</v>
      </c>
      <c r="B5659">
        <v>94</v>
      </c>
      <c r="C5659">
        <v>31588123</v>
      </c>
      <c r="D5659" t="s">
        <v>288</v>
      </c>
      <c r="E5659">
        <v>374.32799999999997</v>
      </c>
      <c r="F5659" t="s">
        <v>21</v>
      </c>
      <c r="G5659" t="s">
        <v>26</v>
      </c>
      <c r="H5659" t="s">
        <v>21</v>
      </c>
      <c r="I5659" t="s">
        <v>20</v>
      </c>
      <c r="J5659" t="s">
        <v>20</v>
      </c>
      <c r="K5659" t="s">
        <v>22</v>
      </c>
      <c r="L5659" t="s">
        <v>234</v>
      </c>
      <c r="M5659" t="s">
        <v>98</v>
      </c>
      <c r="N5659">
        <v>40.704261000000002</v>
      </c>
      <c r="O5659">
        <v>-109.493326</v>
      </c>
      <c r="P5659">
        <v>8137.2400580000003</v>
      </c>
      <c r="Q5659">
        <v>350</v>
      </c>
      <c r="R5659">
        <v>0</v>
      </c>
    </row>
    <row r="5660" spans="1:18" x14ac:dyDescent="0.25">
      <c r="A5660">
        <v>5659</v>
      </c>
      <c r="B5660">
        <v>94</v>
      </c>
      <c r="C5660" t="s">
        <v>748</v>
      </c>
      <c r="D5660" t="s">
        <v>272</v>
      </c>
      <c r="E5660">
        <v>374.38400000000001</v>
      </c>
      <c r="F5660" t="s">
        <v>21</v>
      </c>
      <c r="G5660" t="s">
        <v>26</v>
      </c>
      <c r="H5660" t="s">
        <v>21</v>
      </c>
      <c r="I5660" t="s">
        <v>20</v>
      </c>
      <c r="J5660" t="s">
        <v>20</v>
      </c>
      <c r="K5660" t="s">
        <v>31</v>
      </c>
      <c r="L5660" t="s">
        <v>66</v>
      </c>
      <c r="M5660" t="s">
        <v>49</v>
      </c>
      <c r="N5660">
        <v>40.698610000000002</v>
      </c>
      <c r="O5660">
        <v>-111.888192</v>
      </c>
      <c r="P5660">
        <v>4201.6271919999999</v>
      </c>
      <c r="Q5660">
        <v>1384</v>
      </c>
      <c r="R5660">
        <v>0</v>
      </c>
    </row>
    <row r="5661" spans="1:18" x14ac:dyDescent="0.25">
      <c r="A5661">
        <v>5660</v>
      </c>
      <c r="B5661">
        <v>94</v>
      </c>
      <c r="C5661" t="e">
        <f>-Ip0-raHFMXiLatITV1nDk</f>
        <v>#NAME?</v>
      </c>
      <c r="D5661" t="s">
        <v>272</v>
      </c>
      <c r="E5661">
        <v>374.42599999999999</v>
      </c>
      <c r="F5661" t="s">
        <v>21</v>
      </c>
      <c r="G5661" t="s">
        <v>26</v>
      </c>
      <c r="H5661" t="s">
        <v>21</v>
      </c>
      <c r="I5661" t="s">
        <v>20</v>
      </c>
      <c r="J5661" t="s">
        <v>20</v>
      </c>
      <c r="K5661" t="s">
        <v>31</v>
      </c>
      <c r="L5661" t="s">
        <v>66</v>
      </c>
      <c r="M5661" t="s">
        <v>49</v>
      </c>
      <c r="N5661">
        <v>40.699216</v>
      </c>
      <c r="O5661">
        <v>-111.888192</v>
      </c>
      <c r="P5661">
        <v>4200.824055</v>
      </c>
      <c r="Q5661">
        <v>1384</v>
      </c>
      <c r="R5661">
        <v>0</v>
      </c>
    </row>
    <row r="5662" spans="1:18" x14ac:dyDescent="0.25">
      <c r="A5662">
        <v>5661</v>
      </c>
      <c r="B5662">
        <v>94</v>
      </c>
      <c r="C5662" t="s">
        <v>749</v>
      </c>
      <c r="D5662" t="s">
        <v>272</v>
      </c>
      <c r="E5662">
        <v>374.46800000000002</v>
      </c>
      <c r="F5662" t="s">
        <v>19</v>
      </c>
      <c r="G5662" t="s">
        <v>20</v>
      </c>
      <c r="H5662" t="s">
        <v>19</v>
      </c>
      <c r="I5662">
        <v>171</v>
      </c>
      <c r="J5662" t="s">
        <v>20</v>
      </c>
      <c r="K5662" t="s">
        <v>31</v>
      </c>
      <c r="L5662" t="s">
        <v>66</v>
      </c>
      <c r="M5662" t="s">
        <v>49</v>
      </c>
      <c r="N5662">
        <v>40.699834000000003</v>
      </c>
      <c r="O5662">
        <v>-111.888254</v>
      </c>
      <c r="P5662">
        <v>4200.3702730000005</v>
      </c>
      <c r="Q5662">
        <v>1384</v>
      </c>
      <c r="R5662">
        <v>0</v>
      </c>
    </row>
    <row r="5663" spans="1:18" x14ac:dyDescent="0.25">
      <c r="A5663">
        <v>5662</v>
      </c>
      <c r="B5663">
        <v>94</v>
      </c>
      <c r="C5663">
        <v>31588134</v>
      </c>
      <c r="D5663" t="s">
        <v>288</v>
      </c>
      <c r="E5663">
        <v>374.536</v>
      </c>
      <c r="F5663" t="s">
        <v>21</v>
      </c>
      <c r="G5663" t="s">
        <v>20</v>
      </c>
      <c r="H5663" t="s">
        <v>21</v>
      </c>
      <c r="I5663" t="s">
        <v>20</v>
      </c>
      <c r="J5663" t="s">
        <v>20</v>
      </c>
      <c r="K5663" t="s">
        <v>22</v>
      </c>
      <c r="L5663" t="s">
        <v>234</v>
      </c>
      <c r="M5663" t="s">
        <v>98</v>
      </c>
      <c r="N5663">
        <v>40.707169</v>
      </c>
      <c r="O5663">
        <v>-109.494371</v>
      </c>
      <c r="P5663">
        <v>8070.2669669999996</v>
      </c>
      <c r="Q5663">
        <v>350</v>
      </c>
      <c r="R5663">
        <v>0</v>
      </c>
    </row>
    <row r="5664" spans="1:18" x14ac:dyDescent="0.25">
      <c r="A5664">
        <v>5663</v>
      </c>
      <c r="B5664">
        <v>94</v>
      </c>
      <c r="C5664" t="e">
        <f>-Ip07oWhH3u3huDMoI7ZyF</f>
        <v>#NAME?</v>
      </c>
      <c r="D5664" t="s">
        <v>272</v>
      </c>
      <c r="E5664">
        <v>374.59100000000001</v>
      </c>
      <c r="F5664" t="s">
        <v>21</v>
      </c>
      <c r="G5664" t="s">
        <v>26</v>
      </c>
      <c r="H5664" t="s">
        <v>21</v>
      </c>
      <c r="I5664" t="s">
        <v>20</v>
      </c>
      <c r="J5664" t="s">
        <v>20</v>
      </c>
      <c r="K5664" t="s">
        <v>31</v>
      </c>
      <c r="L5664" t="s">
        <v>66</v>
      </c>
      <c r="M5664" t="s">
        <v>49</v>
      </c>
      <c r="N5664">
        <v>40.701635000000003</v>
      </c>
      <c r="O5664">
        <v>-111.888276</v>
      </c>
      <c r="P5664">
        <v>4198.1171039999999</v>
      </c>
      <c r="Q5664">
        <v>1384</v>
      </c>
      <c r="R5664">
        <v>0</v>
      </c>
    </row>
    <row r="5665" spans="1:18" x14ac:dyDescent="0.25">
      <c r="A5665">
        <v>5664</v>
      </c>
      <c r="B5665">
        <v>94</v>
      </c>
      <c r="C5665">
        <v>27729647</v>
      </c>
      <c r="D5665" t="s">
        <v>217</v>
      </c>
      <c r="E5665">
        <v>43.042000000000002</v>
      </c>
      <c r="F5665" t="s">
        <v>21</v>
      </c>
      <c r="G5665" t="s">
        <v>26</v>
      </c>
      <c r="H5665" t="s">
        <v>21</v>
      </c>
      <c r="I5665" t="s">
        <v>20</v>
      </c>
      <c r="J5665" t="s">
        <v>20</v>
      </c>
      <c r="K5665" t="s">
        <v>27</v>
      </c>
      <c r="L5665" t="s">
        <v>162</v>
      </c>
      <c r="M5665" t="s">
        <v>163</v>
      </c>
      <c r="N5665">
        <v>37.595196999999999</v>
      </c>
      <c r="O5665">
        <v>-113.66390800000001</v>
      </c>
      <c r="P5665">
        <v>5235.5602760000002</v>
      </c>
      <c r="Q5665">
        <v>304</v>
      </c>
      <c r="R5665">
        <v>0</v>
      </c>
    </row>
    <row r="5666" spans="1:18" x14ac:dyDescent="0.25">
      <c r="A5666">
        <v>5665</v>
      </c>
      <c r="B5666">
        <v>94</v>
      </c>
      <c r="C5666">
        <v>31400963</v>
      </c>
      <c r="D5666" t="s">
        <v>124</v>
      </c>
      <c r="E5666">
        <v>43.043999999999997</v>
      </c>
      <c r="F5666" t="s">
        <v>21</v>
      </c>
      <c r="G5666" t="s">
        <v>26</v>
      </c>
      <c r="H5666" t="s">
        <v>21</v>
      </c>
      <c r="I5666" t="s">
        <v>20</v>
      </c>
      <c r="J5666" t="s">
        <v>20</v>
      </c>
      <c r="K5666" t="s">
        <v>31</v>
      </c>
      <c r="L5666" t="s">
        <v>48</v>
      </c>
      <c r="M5666" t="s">
        <v>125</v>
      </c>
      <c r="N5666">
        <v>40.532958000000001</v>
      </c>
      <c r="O5666">
        <v>-111.938712</v>
      </c>
      <c r="P5666">
        <v>4384.3729759999997</v>
      </c>
      <c r="Q5666">
        <v>1368</v>
      </c>
      <c r="R5666">
        <v>0</v>
      </c>
    </row>
    <row r="5667" spans="1:18" x14ac:dyDescent="0.25">
      <c r="A5667">
        <v>5666</v>
      </c>
      <c r="B5667">
        <v>94</v>
      </c>
      <c r="C5667">
        <v>31438469</v>
      </c>
      <c r="D5667" t="s">
        <v>221</v>
      </c>
      <c r="E5667">
        <v>43.058</v>
      </c>
      <c r="F5667" t="s">
        <v>21</v>
      </c>
      <c r="G5667" t="s">
        <v>26</v>
      </c>
      <c r="H5667" t="s">
        <v>21</v>
      </c>
      <c r="I5667" t="s">
        <v>20</v>
      </c>
      <c r="J5667" t="s">
        <v>20</v>
      </c>
      <c r="K5667" t="s">
        <v>22</v>
      </c>
      <c r="L5667" t="s">
        <v>155</v>
      </c>
      <c r="M5667" t="s">
        <v>174</v>
      </c>
      <c r="N5667">
        <v>39.743333</v>
      </c>
      <c r="O5667">
        <v>-111.838624</v>
      </c>
      <c r="P5667">
        <v>5028.2564339999999</v>
      </c>
      <c r="Q5667">
        <v>1342</v>
      </c>
      <c r="R5667">
        <v>0</v>
      </c>
    </row>
    <row r="5668" spans="1:18" x14ac:dyDescent="0.25">
      <c r="A5668">
        <v>5667</v>
      </c>
      <c r="B5668">
        <v>94</v>
      </c>
      <c r="C5668">
        <v>31400974</v>
      </c>
      <c r="D5668" t="s">
        <v>124</v>
      </c>
      <c r="E5668">
        <v>43.061999999999998</v>
      </c>
      <c r="F5668" t="s">
        <v>21</v>
      </c>
      <c r="G5668" t="s">
        <v>20</v>
      </c>
      <c r="H5668" t="s">
        <v>21</v>
      </c>
      <c r="I5668" t="s">
        <v>20</v>
      </c>
      <c r="J5668" t="s">
        <v>20</v>
      </c>
      <c r="K5668" t="s">
        <v>31</v>
      </c>
      <c r="L5668" t="s">
        <v>48</v>
      </c>
      <c r="M5668" t="s">
        <v>125</v>
      </c>
      <c r="N5668">
        <v>40.533208000000002</v>
      </c>
      <c r="O5668">
        <v>-111.938714</v>
      </c>
      <c r="P5668">
        <v>4383.2564140000004</v>
      </c>
      <c r="Q5668">
        <v>1368</v>
      </c>
      <c r="R5668">
        <v>0</v>
      </c>
    </row>
    <row r="5669" spans="1:18" x14ac:dyDescent="0.25">
      <c r="A5669">
        <v>5668</v>
      </c>
      <c r="B5669">
        <v>94</v>
      </c>
      <c r="C5669">
        <v>31397277</v>
      </c>
      <c r="D5669" t="s">
        <v>184</v>
      </c>
      <c r="E5669">
        <v>43.069000000000003</v>
      </c>
      <c r="F5669" t="s">
        <v>21</v>
      </c>
      <c r="G5669" t="s">
        <v>26</v>
      </c>
      <c r="H5669" t="s">
        <v>19</v>
      </c>
      <c r="I5669">
        <v>21</v>
      </c>
      <c r="J5669" t="s">
        <v>20</v>
      </c>
      <c r="K5669" t="s">
        <v>27</v>
      </c>
      <c r="L5669" t="s">
        <v>143</v>
      </c>
      <c r="M5669" t="s">
        <v>55</v>
      </c>
      <c r="N5669">
        <v>38.220275000000001</v>
      </c>
      <c r="O5669">
        <v>-112.924064</v>
      </c>
      <c r="P5669">
        <v>5208.1556039999996</v>
      </c>
      <c r="Q5669">
        <v>1410</v>
      </c>
      <c r="R5669">
        <v>0</v>
      </c>
    </row>
    <row r="5670" spans="1:18" x14ac:dyDescent="0.25">
      <c r="A5670">
        <v>5669</v>
      </c>
      <c r="B5670">
        <v>94</v>
      </c>
      <c r="C5670">
        <v>31303616</v>
      </c>
      <c r="D5670" t="s">
        <v>316</v>
      </c>
      <c r="E5670">
        <v>43.116</v>
      </c>
      <c r="F5670" t="s">
        <v>21</v>
      </c>
      <c r="G5670" t="s">
        <v>20</v>
      </c>
      <c r="H5670" t="s">
        <v>21</v>
      </c>
      <c r="I5670" t="s">
        <v>20</v>
      </c>
      <c r="J5670" t="s">
        <v>20</v>
      </c>
      <c r="K5670" t="s">
        <v>22</v>
      </c>
      <c r="L5670" t="s">
        <v>168</v>
      </c>
      <c r="M5670" t="s">
        <v>302</v>
      </c>
      <c r="N5670">
        <v>40.345675999999997</v>
      </c>
      <c r="O5670">
        <v>-110.699991</v>
      </c>
      <c r="P5670">
        <v>6426.5591189999996</v>
      </c>
      <c r="Q5670">
        <v>1346</v>
      </c>
      <c r="R5670">
        <v>0</v>
      </c>
    </row>
    <row r="5671" spans="1:18" x14ac:dyDescent="0.25">
      <c r="A5671">
        <v>5670</v>
      </c>
      <c r="B5671">
        <v>94</v>
      </c>
      <c r="C5671">
        <v>31328093</v>
      </c>
      <c r="D5671" t="s">
        <v>288</v>
      </c>
      <c r="E5671">
        <v>43.145000000000003</v>
      </c>
      <c r="F5671" t="s">
        <v>21</v>
      </c>
      <c r="G5671" t="s">
        <v>26</v>
      </c>
      <c r="H5671" t="s">
        <v>21</v>
      </c>
      <c r="I5671" t="s">
        <v>20</v>
      </c>
      <c r="J5671" t="s">
        <v>20</v>
      </c>
      <c r="K5671" t="s">
        <v>27</v>
      </c>
      <c r="L5671" t="s">
        <v>327</v>
      </c>
      <c r="M5671" t="s">
        <v>212</v>
      </c>
      <c r="N5671">
        <v>37.514102999999999</v>
      </c>
      <c r="O5671">
        <v>-109.493747</v>
      </c>
      <c r="P5671">
        <v>5474.5943010000001</v>
      </c>
      <c r="Q5671">
        <v>350</v>
      </c>
      <c r="R5671">
        <v>0</v>
      </c>
    </row>
    <row r="5672" spans="1:18" x14ac:dyDescent="0.25">
      <c r="A5672">
        <v>5671</v>
      </c>
      <c r="B5672">
        <v>94</v>
      </c>
      <c r="C5672">
        <v>31629523</v>
      </c>
      <c r="D5672" t="s">
        <v>244</v>
      </c>
      <c r="E5672">
        <v>49.371000000000002</v>
      </c>
      <c r="F5672" t="s">
        <v>21</v>
      </c>
      <c r="G5672" t="s">
        <v>26</v>
      </c>
      <c r="H5672" t="s">
        <v>21</v>
      </c>
      <c r="I5672" t="s">
        <v>20</v>
      </c>
      <c r="J5672" t="s">
        <v>20</v>
      </c>
      <c r="K5672" t="s">
        <v>27</v>
      </c>
      <c r="L5672" t="s">
        <v>266</v>
      </c>
      <c r="M5672" t="s">
        <v>58</v>
      </c>
      <c r="N5672">
        <v>38.420065000000001</v>
      </c>
      <c r="O5672">
        <v>-111.67927400000001</v>
      </c>
      <c r="P5672">
        <v>7145.9281080000001</v>
      </c>
      <c r="Q5672">
        <v>1340</v>
      </c>
      <c r="R5672">
        <v>0</v>
      </c>
    </row>
    <row r="5673" spans="1:18" x14ac:dyDescent="0.25">
      <c r="A5673">
        <v>5672</v>
      </c>
      <c r="B5673">
        <v>94</v>
      </c>
      <c r="C5673">
        <v>31321262</v>
      </c>
      <c r="D5673" t="s">
        <v>241</v>
      </c>
      <c r="E5673">
        <v>49.378999999999998</v>
      </c>
      <c r="F5673" t="s">
        <v>21</v>
      </c>
      <c r="G5673" t="s">
        <v>26</v>
      </c>
      <c r="H5673" t="s">
        <v>19</v>
      </c>
      <c r="I5673">
        <v>155</v>
      </c>
      <c r="J5673" t="s">
        <v>20</v>
      </c>
      <c r="K5673" t="s">
        <v>27</v>
      </c>
      <c r="L5673" t="s">
        <v>111</v>
      </c>
      <c r="M5673" t="s">
        <v>243</v>
      </c>
      <c r="N5673">
        <v>39.345033000000001</v>
      </c>
      <c r="O5673">
        <v>-110.938723</v>
      </c>
      <c r="P5673">
        <v>5761.8174060000001</v>
      </c>
      <c r="Q5673">
        <v>1327</v>
      </c>
      <c r="R5673">
        <v>0</v>
      </c>
    </row>
    <row r="5674" spans="1:18" x14ac:dyDescent="0.25">
      <c r="A5674">
        <v>5673</v>
      </c>
      <c r="B5674">
        <v>94</v>
      </c>
      <c r="C5674">
        <v>31336258</v>
      </c>
      <c r="D5674" t="s">
        <v>288</v>
      </c>
      <c r="E5674">
        <v>49.414999999999999</v>
      </c>
      <c r="F5674" t="s">
        <v>21</v>
      </c>
      <c r="G5674" t="s">
        <v>26</v>
      </c>
      <c r="H5674" t="s">
        <v>21</v>
      </c>
      <c r="I5674" t="s">
        <v>20</v>
      </c>
      <c r="J5674" t="s">
        <v>20</v>
      </c>
      <c r="K5674" t="s">
        <v>27</v>
      </c>
      <c r="L5674" t="s">
        <v>327</v>
      </c>
      <c r="M5674" t="s">
        <v>147</v>
      </c>
      <c r="N5674">
        <v>37.599249</v>
      </c>
      <c r="O5674">
        <v>-109.47860900000001</v>
      </c>
      <c r="P5674">
        <v>5852.694109</v>
      </c>
      <c r="Q5674">
        <v>350</v>
      </c>
      <c r="R5674">
        <v>0</v>
      </c>
    </row>
    <row r="5675" spans="1:18" x14ac:dyDescent="0.25">
      <c r="A5675">
        <v>5674</v>
      </c>
      <c r="B5675">
        <v>94</v>
      </c>
      <c r="C5675">
        <v>31408566</v>
      </c>
      <c r="D5675" t="s">
        <v>124</v>
      </c>
      <c r="E5675">
        <v>49.445</v>
      </c>
      <c r="F5675" t="s">
        <v>21</v>
      </c>
      <c r="G5675" t="s">
        <v>26</v>
      </c>
      <c r="H5675" t="s">
        <v>21</v>
      </c>
      <c r="I5675" t="s">
        <v>20</v>
      </c>
      <c r="J5675" t="s">
        <v>20</v>
      </c>
      <c r="K5675" t="s">
        <v>31</v>
      </c>
      <c r="L5675" t="s">
        <v>48</v>
      </c>
      <c r="M5675" t="s">
        <v>125</v>
      </c>
      <c r="N5675">
        <v>40.626002</v>
      </c>
      <c r="O5675">
        <v>-111.93879800000001</v>
      </c>
      <c r="P5675">
        <v>4319.5578830000004</v>
      </c>
      <c r="Q5675">
        <v>1368</v>
      </c>
      <c r="R5675">
        <v>0</v>
      </c>
    </row>
    <row r="5676" spans="1:18" x14ac:dyDescent="0.25">
      <c r="A5676">
        <v>5675</v>
      </c>
      <c r="B5676">
        <v>94</v>
      </c>
      <c r="C5676" t="e">
        <f>-JYlUrNOGlL97smq2XEyxV</f>
        <v>#NAME?</v>
      </c>
      <c r="D5676" t="s">
        <v>129</v>
      </c>
      <c r="E5676">
        <v>49.521999999999998</v>
      </c>
      <c r="F5676" t="s">
        <v>21</v>
      </c>
      <c r="G5676" t="s">
        <v>20</v>
      </c>
      <c r="H5676" t="s">
        <v>21</v>
      </c>
      <c r="I5676" t="s">
        <v>20</v>
      </c>
      <c r="J5676" t="s">
        <v>20</v>
      </c>
      <c r="K5676" t="s">
        <v>31</v>
      </c>
      <c r="L5676" t="s">
        <v>130</v>
      </c>
      <c r="M5676" t="s">
        <v>328</v>
      </c>
      <c r="N5676">
        <v>40.927115999999998</v>
      </c>
      <c r="O5676">
        <v>-110.828594</v>
      </c>
      <c r="P5676">
        <v>8253.1908050000002</v>
      </c>
      <c r="Q5676">
        <v>340</v>
      </c>
      <c r="R5676">
        <v>0</v>
      </c>
    </row>
    <row r="5677" spans="1:18" x14ac:dyDescent="0.25">
      <c r="A5677">
        <v>5676</v>
      </c>
      <c r="B5677">
        <v>94</v>
      </c>
      <c r="C5677">
        <v>31731982</v>
      </c>
      <c r="D5677" t="s">
        <v>118</v>
      </c>
      <c r="E5677">
        <v>49.527999999999999</v>
      </c>
      <c r="F5677" t="s">
        <v>21</v>
      </c>
      <c r="G5677" t="s">
        <v>26</v>
      </c>
      <c r="H5677" t="s">
        <v>21</v>
      </c>
      <c r="I5677" t="s">
        <v>20</v>
      </c>
      <c r="J5677" t="s">
        <v>20</v>
      </c>
      <c r="K5677" t="s">
        <v>22</v>
      </c>
      <c r="L5677" t="s">
        <v>119</v>
      </c>
      <c r="M5677" t="s">
        <v>120</v>
      </c>
      <c r="N5677">
        <v>40.182943000000002</v>
      </c>
      <c r="O5677">
        <v>-111.050506</v>
      </c>
      <c r="P5677">
        <v>7678.3854099999999</v>
      </c>
      <c r="Q5677">
        <v>310</v>
      </c>
      <c r="R5677">
        <v>0</v>
      </c>
    </row>
    <row r="5678" spans="1:18" x14ac:dyDescent="0.25">
      <c r="A5678">
        <v>5677</v>
      </c>
      <c r="B5678">
        <v>94</v>
      </c>
      <c r="C5678">
        <v>27732016</v>
      </c>
      <c r="D5678" t="s">
        <v>217</v>
      </c>
      <c r="E5678">
        <v>49.567</v>
      </c>
      <c r="F5678" t="s">
        <v>21</v>
      </c>
      <c r="G5678" t="s">
        <v>20</v>
      </c>
      <c r="H5678" t="s">
        <v>21</v>
      </c>
      <c r="I5678" t="s">
        <v>20</v>
      </c>
      <c r="J5678" t="s">
        <v>20</v>
      </c>
      <c r="K5678" t="s">
        <v>27</v>
      </c>
      <c r="L5678" t="s">
        <v>162</v>
      </c>
      <c r="M5678" t="s">
        <v>163</v>
      </c>
      <c r="N5678">
        <v>37.688536999999997</v>
      </c>
      <c r="O5678">
        <v>-113.656492</v>
      </c>
      <c r="P5678">
        <v>5119.2049450000004</v>
      </c>
      <c r="Q5678">
        <v>304</v>
      </c>
      <c r="R5678">
        <v>0</v>
      </c>
    </row>
    <row r="5679" spans="1:18" x14ac:dyDescent="0.25">
      <c r="A5679">
        <v>5678</v>
      </c>
      <c r="B5679">
        <v>94</v>
      </c>
      <c r="C5679" t="e">
        <f>-IpP58gOHdiyQn-gdTRa3V</f>
        <v>#NAME?</v>
      </c>
      <c r="D5679" t="s">
        <v>272</v>
      </c>
      <c r="E5679">
        <v>400.75200000000001</v>
      </c>
      <c r="F5679" t="s">
        <v>21</v>
      </c>
      <c r="G5679" t="s">
        <v>26</v>
      </c>
      <c r="H5679" t="s">
        <v>21</v>
      </c>
      <c r="I5679" t="s">
        <v>20</v>
      </c>
      <c r="J5679" t="s">
        <v>20</v>
      </c>
      <c r="K5679" t="s">
        <v>41</v>
      </c>
      <c r="L5679" t="s">
        <v>87</v>
      </c>
      <c r="M5679" t="s">
        <v>46</v>
      </c>
      <c r="N5679">
        <v>41.056727000000002</v>
      </c>
      <c r="O5679">
        <v>-111.91038399999999</v>
      </c>
      <c r="P5679">
        <v>4747.8855009999997</v>
      </c>
      <c r="Q5679">
        <v>1384</v>
      </c>
      <c r="R5679">
        <v>0</v>
      </c>
    </row>
    <row r="5680" spans="1:18" x14ac:dyDescent="0.25">
      <c r="A5680">
        <v>5679</v>
      </c>
      <c r="B5680">
        <v>94</v>
      </c>
      <c r="C5680" t="e">
        <f>-IpP5DiqFjaVcjUzep4CaV</f>
        <v>#NAME?</v>
      </c>
      <c r="D5680" t="s">
        <v>272</v>
      </c>
      <c r="E5680">
        <v>400.80599999999998</v>
      </c>
      <c r="F5680" t="s">
        <v>21</v>
      </c>
      <c r="G5680" t="s">
        <v>26</v>
      </c>
      <c r="H5680" t="s">
        <v>21</v>
      </c>
      <c r="I5680" t="s">
        <v>20</v>
      </c>
      <c r="J5680" t="s">
        <v>20</v>
      </c>
      <c r="K5680" t="s">
        <v>41</v>
      </c>
      <c r="L5680" t="s">
        <v>87</v>
      </c>
      <c r="M5680" t="s">
        <v>46</v>
      </c>
      <c r="N5680">
        <v>41.057479999999998</v>
      </c>
      <c r="O5680">
        <v>-111.910483</v>
      </c>
      <c r="P5680">
        <v>4746.5873519999996</v>
      </c>
      <c r="Q5680">
        <v>1384</v>
      </c>
      <c r="R5680">
        <v>0</v>
      </c>
    </row>
    <row r="5681" spans="1:18" x14ac:dyDescent="0.25">
      <c r="A5681">
        <v>5680</v>
      </c>
      <c r="B5681">
        <v>94</v>
      </c>
      <c r="C5681" t="e">
        <f>-IpP5OJ1F-qe2095LuaH2V</f>
        <v>#NAME?</v>
      </c>
      <c r="D5681" t="s">
        <v>272</v>
      </c>
      <c r="E5681">
        <v>400.91300000000001</v>
      </c>
      <c r="F5681" t="s">
        <v>21</v>
      </c>
      <c r="G5681" t="s">
        <v>26</v>
      </c>
      <c r="H5681" t="s">
        <v>21</v>
      </c>
      <c r="I5681" t="s">
        <v>20</v>
      </c>
      <c r="J5681" t="s">
        <v>20</v>
      </c>
      <c r="K5681" t="s">
        <v>41</v>
      </c>
      <c r="L5681" t="s">
        <v>87</v>
      </c>
      <c r="M5681" t="s">
        <v>46</v>
      </c>
      <c r="N5681">
        <v>41.059021000000001</v>
      </c>
      <c r="O5681">
        <v>-111.91050300000001</v>
      </c>
      <c r="P5681">
        <v>4742.166322</v>
      </c>
      <c r="Q5681">
        <v>1384</v>
      </c>
      <c r="R5681">
        <v>0</v>
      </c>
    </row>
    <row r="5682" spans="1:18" x14ac:dyDescent="0.25">
      <c r="A5682">
        <v>5681</v>
      </c>
      <c r="B5682">
        <v>94</v>
      </c>
      <c r="C5682" t="s">
        <v>750</v>
      </c>
      <c r="D5682" t="s">
        <v>272</v>
      </c>
      <c r="E5682">
        <v>401.03399999999999</v>
      </c>
      <c r="F5682" t="s">
        <v>21</v>
      </c>
      <c r="G5682" t="s">
        <v>26</v>
      </c>
      <c r="H5682" t="s">
        <v>21</v>
      </c>
      <c r="I5682" t="s">
        <v>20</v>
      </c>
      <c r="J5682" t="s">
        <v>20</v>
      </c>
      <c r="K5682" t="s">
        <v>41</v>
      </c>
      <c r="L5682" t="s">
        <v>87</v>
      </c>
      <c r="M5682" t="s">
        <v>46</v>
      </c>
      <c r="N5682">
        <v>41.060757000000002</v>
      </c>
      <c r="O5682">
        <v>-111.910533</v>
      </c>
      <c r="P5682">
        <v>4742.4791999999998</v>
      </c>
      <c r="Q5682">
        <v>1384</v>
      </c>
      <c r="R5682">
        <v>0</v>
      </c>
    </row>
    <row r="5683" spans="1:18" x14ac:dyDescent="0.25">
      <c r="A5683">
        <v>5682</v>
      </c>
      <c r="B5683">
        <v>94</v>
      </c>
      <c r="C5683">
        <v>31594699</v>
      </c>
      <c r="D5683" t="s">
        <v>288</v>
      </c>
      <c r="E5683">
        <v>401.06700000000001</v>
      </c>
      <c r="F5683" t="s">
        <v>21</v>
      </c>
      <c r="G5683" t="s">
        <v>20</v>
      </c>
      <c r="H5683" t="s">
        <v>21</v>
      </c>
      <c r="I5683" t="s">
        <v>20</v>
      </c>
      <c r="J5683" t="s">
        <v>20</v>
      </c>
      <c r="K5683" t="s">
        <v>22</v>
      </c>
      <c r="L5683" t="s">
        <v>97</v>
      </c>
      <c r="M5683" t="s">
        <v>98</v>
      </c>
      <c r="N5683">
        <v>40.967027000000002</v>
      </c>
      <c r="O5683">
        <v>-109.466044</v>
      </c>
      <c r="P5683">
        <v>6420.0934669999997</v>
      </c>
      <c r="Q5683">
        <v>350</v>
      </c>
      <c r="R5683">
        <v>0</v>
      </c>
    </row>
    <row r="5684" spans="1:18" x14ac:dyDescent="0.25">
      <c r="A5684">
        <v>5683</v>
      </c>
      <c r="B5684">
        <v>94</v>
      </c>
      <c r="C5684" t="e">
        <f>-IpP5rLnGRieq0VegGoTCk</f>
        <v>#NAME?</v>
      </c>
      <c r="D5684" t="s">
        <v>272</v>
      </c>
      <c r="E5684">
        <v>401.12799999999999</v>
      </c>
      <c r="F5684" t="s">
        <v>21</v>
      </c>
      <c r="G5684" t="s">
        <v>26</v>
      </c>
      <c r="H5684" t="s">
        <v>21</v>
      </c>
      <c r="I5684" t="s">
        <v>20</v>
      </c>
      <c r="J5684" t="s">
        <v>20</v>
      </c>
      <c r="K5684" t="s">
        <v>41</v>
      </c>
      <c r="L5684" t="s">
        <v>87</v>
      </c>
      <c r="M5684" t="s">
        <v>46</v>
      </c>
      <c r="N5684">
        <v>41.062103999999998</v>
      </c>
      <c r="O5684">
        <v>-111.910535</v>
      </c>
      <c r="P5684">
        <v>4744.3836259999998</v>
      </c>
      <c r="Q5684">
        <v>1384</v>
      </c>
      <c r="R5684">
        <v>0</v>
      </c>
    </row>
    <row r="5685" spans="1:18" x14ac:dyDescent="0.25">
      <c r="A5685">
        <v>5684</v>
      </c>
      <c r="B5685">
        <v>94</v>
      </c>
      <c r="C5685">
        <v>31596560</v>
      </c>
      <c r="D5685" t="s">
        <v>288</v>
      </c>
      <c r="E5685">
        <v>401.137</v>
      </c>
      <c r="F5685" t="s">
        <v>21</v>
      </c>
      <c r="G5685" t="s">
        <v>26</v>
      </c>
      <c r="H5685" t="s">
        <v>21</v>
      </c>
      <c r="I5685" t="s">
        <v>20</v>
      </c>
      <c r="J5685" t="s">
        <v>20</v>
      </c>
      <c r="K5685" t="s">
        <v>22</v>
      </c>
      <c r="L5685" t="s">
        <v>97</v>
      </c>
      <c r="M5685" t="s">
        <v>98</v>
      </c>
      <c r="N5685">
        <v>40.967903</v>
      </c>
      <c r="O5685">
        <v>-109.465391</v>
      </c>
      <c r="P5685">
        <v>6407.0048210000004</v>
      </c>
      <c r="Q5685">
        <v>350</v>
      </c>
      <c r="R5685">
        <v>0</v>
      </c>
    </row>
    <row r="5686" spans="1:18" x14ac:dyDescent="0.25">
      <c r="A5686">
        <v>5685</v>
      </c>
      <c r="B5686">
        <v>94</v>
      </c>
      <c r="C5686" t="e">
        <f>-IpP6Jj_IMaBurITetVaPk</f>
        <v>#NAME?</v>
      </c>
      <c r="D5686" t="s">
        <v>272</v>
      </c>
      <c r="E5686">
        <v>401.41399999999999</v>
      </c>
      <c r="F5686" t="s">
        <v>19</v>
      </c>
      <c r="G5686" t="s">
        <v>20</v>
      </c>
      <c r="H5686" t="s">
        <v>19</v>
      </c>
      <c r="I5686">
        <v>109</v>
      </c>
      <c r="J5686" t="s">
        <v>20</v>
      </c>
      <c r="K5686" t="s">
        <v>41</v>
      </c>
      <c r="L5686" t="s">
        <v>87</v>
      </c>
      <c r="M5686" t="s">
        <v>46</v>
      </c>
      <c r="N5686">
        <v>41.066198</v>
      </c>
      <c r="O5686">
        <v>-111.91054699999999</v>
      </c>
      <c r="P5686">
        <v>4748.7905819999996</v>
      </c>
      <c r="Q5686">
        <v>1384</v>
      </c>
      <c r="R5686">
        <v>0</v>
      </c>
    </row>
    <row r="5687" spans="1:18" x14ac:dyDescent="0.25">
      <c r="A5687">
        <v>5686</v>
      </c>
      <c r="B5687">
        <v>94</v>
      </c>
      <c r="C5687">
        <v>31754820</v>
      </c>
      <c r="D5687" t="s">
        <v>128</v>
      </c>
      <c r="E5687">
        <v>2.3679999999999999</v>
      </c>
      <c r="F5687" t="s">
        <v>21</v>
      </c>
      <c r="G5687" t="s">
        <v>26</v>
      </c>
      <c r="H5687" t="s">
        <v>21</v>
      </c>
      <c r="I5687" t="s">
        <v>20</v>
      </c>
      <c r="J5687" t="s">
        <v>20</v>
      </c>
      <c r="K5687" t="s">
        <v>41</v>
      </c>
      <c r="L5687" t="s">
        <v>42</v>
      </c>
      <c r="M5687" t="s">
        <v>73</v>
      </c>
      <c r="N5687">
        <v>41.731900000000003</v>
      </c>
      <c r="O5687">
        <v>-111.85975999999999</v>
      </c>
      <c r="P5687">
        <v>4404.9764269999996</v>
      </c>
      <c r="Q5687">
        <v>5943</v>
      </c>
      <c r="R5687">
        <v>0</v>
      </c>
    </row>
    <row r="5688" spans="1:18" x14ac:dyDescent="0.25">
      <c r="A5688">
        <v>5687</v>
      </c>
      <c r="B5688">
        <v>94</v>
      </c>
      <c r="C5688">
        <v>502761</v>
      </c>
      <c r="D5688" t="s">
        <v>249</v>
      </c>
      <c r="E5688">
        <v>2.3719999999999999</v>
      </c>
      <c r="F5688" t="s">
        <v>21</v>
      </c>
      <c r="G5688" t="s">
        <v>26</v>
      </c>
      <c r="H5688" t="s">
        <v>21</v>
      </c>
      <c r="I5688" t="s">
        <v>20</v>
      </c>
      <c r="J5688" t="s">
        <v>20</v>
      </c>
      <c r="K5688" t="s">
        <v>31</v>
      </c>
      <c r="L5688" t="s">
        <v>89</v>
      </c>
      <c r="M5688" t="s">
        <v>24</v>
      </c>
      <c r="N5688">
        <v>40.485413999999999</v>
      </c>
      <c r="O5688">
        <v>-111.900603</v>
      </c>
      <c r="P5688">
        <v>4498.6177879999996</v>
      </c>
      <c r="Q5688">
        <v>337</v>
      </c>
      <c r="R5688">
        <v>0</v>
      </c>
    </row>
    <row r="5689" spans="1:18" x14ac:dyDescent="0.25">
      <c r="A5689">
        <v>5688</v>
      </c>
      <c r="B5689">
        <v>94</v>
      </c>
      <c r="C5689" t="e">
        <f>-Ip5INC3GcmzT1fk11VmQk</f>
        <v>#NAME?</v>
      </c>
      <c r="D5689" t="s">
        <v>208</v>
      </c>
      <c r="E5689">
        <v>2.3719999999999999</v>
      </c>
      <c r="F5689" t="s">
        <v>21</v>
      </c>
      <c r="G5689" t="s">
        <v>26</v>
      </c>
      <c r="H5689" t="s">
        <v>21</v>
      </c>
      <c r="I5689" t="s">
        <v>20</v>
      </c>
      <c r="J5689" t="s">
        <v>20</v>
      </c>
      <c r="K5689" t="s">
        <v>31</v>
      </c>
      <c r="L5689" t="s">
        <v>209</v>
      </c>
      <c r="M5689" t="s">
        <v>131</v>
      </c>
      <c r="N5689">
        <v>40.621817</v>
      </c>
      <c r="O5689">
        <v>-111.497466</v>
      </c>
      <c r="P5689">
        <v>8041.9669860000004</v>
      </c>
      <c r="Q5689">
        <v>357</v>
      </c>
      <c r="R5689">
        <v>0</v>
      </c>
    </row>
    <row r="5690" spans="1:18" x14ac:dyDescent="0.25">
      <c r="A5690">
        <v>5689</v>
      </c>
      <c r="B5690">
        <v>94</v>
      </c>
      <c r="C5690">
        <v>31791016</v>
      </c>
      <c r="D5690" t="s">
        <v>61</v>
      </c>
      <c r="E5690">
        <v>2.3719999999999999</v>
      </c>
      <c r="F5690" t="s">
        <v>19</v>
      </c>
      <c r="G5690" t="s">
        <v>20</v>
      </c>
      <c r="H5690" t="s">
        <v>21</v>
      </c>
      <c r="I5690" t="s">
        <v>20</v>
      </c>
      <c r="J5690" t="s">
        <v>20</v>
      </c>
      <c r="K5690" t="s">
        <v>22</v>
      </c>
      <c r="L5690" t="s">
        <v>23</v>
      </c>
      <c r="M5690" t="s">
        <v>62</v>
      </c>
      <c r="N5690">
        <v>40.240403000000001</v>
      </c>
      <c r="O5690">
        <v>-111.658664</v>
      </c>
      <c r="P5690">
        <v>4505.9771719999999</v>
      </c>
      <c r="Q5690">
        <v>403</v>
      </c>
      <c r="R5690">
        <v>0</v>
      </c>
    </row>
    <row r="5691" spans="1:18" x14ac:dyDescent="0.25">
      <c r="A5691">
        <v>5690</v>
      </c>
      <c r="B5691">
        <v>94</v>
      </c>
      <c r="C5691">
        <v>31309802</v>
      </c>
      <c r="D5691" t="s">
        <v>116</v>
      </c>
      <c r="E5691">
        <v>27.146999999999998</v>
      </c>
      <c r="F5691" t="s">
        <v>19</v>
      </c>
      <c r="G5691" t="s">
        <v>20</v>
      </c>
      <c r="H5691" t="s">
        <v>19</v>
      </c>
      <c r="I5691">
        <v>30</v>
      </c>
      <c r="J5691" t="s">
        <v>20</v>
      </c>
      <c r="K5691" t="s">
        <v>41</v>
      </c>
      <c r="L5691" t="s">
        <v>95</v>
      </c>
      <c r="M5691" t="s">
        <v>43</v>
      </c>
      <c r="N5691">
        <v>41.739052999999998</v>
      </c>
      <c r="O5691">
        <v>-111.83477000000001</v>
      </c>
      <c r="P5691">
        <v>4474.2148159999997</v>
      </c>
      <c r="Q5691">
        <v>324</v>
      </c>
      <c r="R5691">
        <v>0</v>
      </c>
    </row>
    <row r="5692" spans="1:18" x14ac:dyDescent="0.25">
      <c r="A5692">
        <v>5691</v>
      </c>
      <c r="B5692">
        <v>94</v>
      </c>
      <c r="C5692">
        <v>27973409</v>
      </c>
      <c r="D5692" t="s">
        <v>281</v>
      </c>
      <c r="E5692">
        <v>27.161999999999999</v>
      </c>
      <c r="F5692" t="s">
        <v>21</v>
      </c>
      <c r="G5692" t="s">
        <v>26</v>
      </c>
      <c r="H5692" t="s">
        <v>21</v>
      </c>
      <c r="I5692" t="s">
        <v>20</v>
      </c>
      <c r="J5692" t="s">
        <v>20</v>
      </c>
      <c r="K5692" t="s">
        <v>31</v>
      </c>
      <c r="L5692" t="s">
        <v>282</v>
      </c>
      <c r="M5692" t="s">
        <v>174</v>
      </c>
      <c r="N5692">
        <v>40.173898000000001</v>
      </c>
      <c r="O5692">
        <v>-112.42730899999999</v>
      </c>
      <c r="P5692">
        <v>5196.9473340000004</v>
      </c>
      <c r="Q5692">
        <v>1347</v>
      </c>
      <c r="R5692">
        <v>0</v>
      </c>
    </row>
    <row r="5693" spans="1:18" x14ac:dyDescent="0.25">
      <c r="A5693">
        <v>5692</v>
      </c>
      <c r="B5693">
        <v>94</v>
      </c>
      <c r="C5693">
        <v>31285269</v>
      </c>
      <c r="D5693" t="s">
        <v>288</v>
      </c>
      <c r="E5693">
        <v>27.161999999999999</v>
      </c>
      <c r="F5693" t="s">
        <v>21</v>
      </c>
      <c r="G5693" t="s">
        <v>20</v>
      </c>
      <c r="H5693" t="s">
        <v>21</v>
      </c>
      <c r="I5693" t="s">
        <v>20</v>
      </c>
      <c r="J5693" t="s">
        <v>20</v>
      </c>
      <c r="K5693" t="s">
        <v>27</v>
      </c>
      <c r="L5693" t="s">
        <v>211</v>
      </c>
      <c r="M5693" t="s">
        <v>318</v>
      </c>
      <c r="N5693">
        <v>37.300162</v>
      </c>
      <c r="O5693">
        <v>-109.53308199999999</v>
      </c>
      <c r="P5693">
        <v>4515.8108899999997</v>
      </c>
      <c r="Q5693">
        <v>350</v>
      </c>
      <c r="R5693">
        <v>0</v>
      </c>
    </row>
    <row r="5694" spans="1:18" x14ac:dyDescent="0.25">
      <c r="A5694">
        <v>5693</v>
      </c>
      <c r="B5694">
        <v>94</v>
      </c>
      <c r="C5694">
        <v>31686056</v>
      </c>
      <c r="D5694" t="s">
        <v>258</v>
      </c>
      <c r="E5694">
        <v>2.9380000000000002</v>
      </c>
      <c r="F5694" t="s">
        <v>19</v>
      </c>
      <c r="G5694" t="s">
        <v>20</v>
      </c>
      <c r="H5694" t="s">
        <v>19</v>
      </c>
      <c r="I5694">
        <v>89</v>
      </c>
      <c r="J5694" t="s">
        <v>20</v>
      </c>
      <c r="K5694" t="s">
        <v>27</v>
      </c>
      <c r="L5694" t="s">
        <v>259</v>
      </c>
      <c r="M5694" t="s">
        <v>29</v>
      </c>
      <c r="N5694">
        <v>37.042991999999998</v>
      </c>
      <c r="O5694">
        <v>-112.52636099999999</v>
      </c>
      <c r="P5694">
        <v>4867.4969279999996</v>
      </c>
      <c r="Q5694">
        <v>301</v>
      </c>
      <c r="R5694">
        <v>0</v>
      </c>
    </row>
    <row r="5695" spans="1:18" x14ac:dyDescent="0.25">
      <c r="A5695">
        <v>5694</v>
      </c>
      <c r="B5695">
        <v>94</v>
      </c>
      <c r="C5695">
        <v>31487995</v>
      </c>
      <c r="D5695" t="s">
        <v>164</v>
      </c>
      <c r="E5695">
        <v>2.94</v>
      </c>
      <c r="F5695" t="s">
        <v>21</v>
      </c>
      <c r="G5695" t="s">
        <v>26</v>
      </c>
      <c r="H5695" t="s">
        <v>21</v>
      </c>
      <c r="I5695" t="s">
        <v>20</v>
      </c>
      <c r="J5695" t="s">
        <v>20</v>
      </c>
      <c r="K5695" t="s">
        <v>27</v>
      </c>
      <c r="L5695" t="s">
        <v>165</v>
      </c>
      <c r="M5695" t="s">
        <v>166</v>
      </c>
      <c r="N5695">
        <v>38.975448</v>
      </c>
      <c r="O5695">
        <v>-112.323724</v>
      </c>
      <c r="P5695">
        <v>5025.3508179999999</v>
      </c>
      <c r="Q5695">
        <v>1390</v>
      </c>
      <c r="R5695">
        <v>0</v>
      </c>
    </row>
    <row r="5696" spans="1:18" x14ac:dyDescent="0.25">
      <c r="A5696">
        <v>5695</v>
      </c>
      <c r="B5696">
        <v>94</v>
      </c>
      <c r="C5696">
        <v>1242740</v>
      </c>
      <c r="D5696" t="s">
        <v>189</v>
      </c>
      <c r="E5696">
        <v>2.9409999999999998</v>
      </c>
      <c r="F5696" t="s">
        <v>21</v>
      </c>
      <c r="G5696" t="s">
        <v>26</v>
      </c>
      <c r="H5696" t="s">
        <v>21</v>
      </c>
      <c r="I5696" t="s">
        <v>20</v>
      </c>
      <c r="J5696" t="s">
        <v>20</v>
      </c>
      <c r="K5696" t="s">
        <v>41</v>
      </c>
      <c r="L5696" t="s">
        <v>81</v>
      </c>
      <c r="M5696" t="s">
        <v>190</v>
      </c>
      <c r="N5696">
        <v>41.195798000000003</v>
      </c>
      <c r="O5696">
        <v>-111.94873</v>
      </c>
      <c r="P5696">
        <v>4528.0895380000002</v>
      </c>
      <c r="Q5696">
        <v>412</v>
      </c>
      <c r="R5696">
        <v>0</v>
      </c>
    </row>
    <row r="5697" spans="1:18" x14ac:dyDescent="0.25">
      <c r="A5697">
        <v>5696</v>
      </c>
      <c r="B5697">
        <v>94</v>
      </c>
      <c r="C5697">
        <v>31517962</v>
      </c>
      <c r="D5697" t="s">
        <v>396</v>
      </c>
      <c r="E5697">
        <v>2.9420000000000002</v>
      </c>
      <c r="F5697" t="s">
        <v>21</v>
      </c>
      <c r="G5697" t="s">
        <v>26</v>
      </c>
      <c r="H5697" t="s">
        <v>21</v>
      </c>
      <c r="I5697" t="s">
        <v>20</v>
      </c>
      <c r="J5697" t="s">
        <v>20</v>
      </c>
      <c r="K5697" t="s">
        <v>41</v>
      </c>
      <c r="L5697" t="s">
        <v>255</v>
      </c>
      <c r="M5697" t="s">
        <v>138</v>
      </c>
      <c r="N5697">
        <v>41.160559999999997</v>
      </c>
      <c r="O5697">
        <v>-111.79780599999999</v>
      </c>
      <c r="P5697">
        <v>5080.7073730000002</v>
      </c>
      <c r="Q5697">
        <v>1434</v>
      </c>
      <c r="R5697">
        <v>0</v>
      </c>
    </row>
    <row r="5698" spans="1:18" x14ac:dyDescent="0.25">
      <c r="A5698">
        <v>5697</v>
      </c>
      <c r="B5698">
        <v>94</v>
      </c>
      <c r="C5698" t="s">
        <v>751</v>
      </c>
      <c r="D5698" t="s">
        <v>272</v>
      </c>
      <c r="E5698">
        <v>225.36099999999999</v>
      </c>
      <c r="F5698" t="s">
        <v>21</v>
      </c>
      <c r="G5698" t="s">
        <v>26</v>
      </c>
      <c r="H5698" t="s">
        <v>21</v>
      </c>
      <c r="I5698" t="s">
        <v>20</v>
      </c>
      <c r="J5698" t="s">
        <v>20</v>
      </c>
      <c r="K5698" t="s">
        <v>27</v>
      </c>
      <c r="L5698" t="s">
        <v>183</v>
      </c>
      <c r="M5698" t="s">
        <v>174</v>
      </c>
      <c r="N5698">
        <v>38.933104999999998</v>
      </c>
      <c r="O5698">
        <v>-111.854601</v>
      </c>
      <c r="P5698">
        <v>5224.5471980000002</v>
      </c>
      <c r="Q5698">
        <v>1384</v>
      </c>
      <c r="R5698">
        <v>0</v>
      </c>
    </row>
    <row r="5699" spans="1:18" x14ac:dyDescent="0.25">
      <c r="A5699">
        <v>5698</v>
      </c>
      <c r="B5699">
        <v>94</v>
      </c>
      <c r="C5699" t="e">
        <f>-IoIfEBUHemgE5NNAwcypk</f>
        <v>#NAME?</v>
      </c>
      <c r="D5699" t="s">
        <v>272</v>
      </c>
      <c r="E5699">
        <v>225.44200000000001</v>
      </c>
      <c r="F5699" t="s">
        <v>21</v>
      </c>
      <c r="G5699" t="s">
        <v>26</v>
      </c>
      <c r="H5699" t="s">
        <v>21</v>
      </c>
      <c r="I5699" t="s">
        <v>20</v>
      </c>
      <c r="J5699" t="s">
        <v>20</v>
      </c>
      <c r="K5699" t="s">
        <v>27</v>
      </c>
      <c r="L5699" t="s">
        <v>183</v>
      </c>
      <c r="M5699" t="s">
        <v>174</v>
      </c>
      <c r="N5699">
        <v>38.934297000000001</v>
      </c>
      <c r="O5699">
        <v>-111.85458800000001</v>
      </c>
      <c r="P5699">
        <v>5209.4150589999999</v>
      </c>
      <c r="Q5699">
        <v>1384</v>
      </c>
      <c r="R5699">
        <v>0</v>
      </c>
    </row>
    <row r="5700" spans="1:18" x14ac:dyDescent="0.25">
      <c r="A5700">
        <v>5699</v>
      </c>
      <c r="B5700">
        <v>94</v>
      </c>
      <c r="C5700" t="s">
        <v>752</v>
      </c>
      <c r="D5700" t="s">
        <v>272</v>
      </c>
      <c r="E5700">
        <v>225.535</v>
      </c>
      <c r="F5700" t="s">
        <v>21</v>
      </c>
      <c r="G5700" t="s">
        <v>26</v>
      </c>
      <c r="H5700" t="s">
        <v>21</v>
      </c>
      <c r="I5700" t="s">
        <v>20</v>
      </c>
      <c r="J5700" t="s">
        <v>20</v>
      </c>
      <c r="K5700" t="s">
        <v>27</v>
      </c>
      <c r="L5700" t="s">
        <v>183</v>
      </c>
      <c r="M5700" t="s">
        <v>174</v>
      </c>
      <c r="N5700">
        <v>38.935647000000003</v>
      </c>
      <c r="O5700">
        <v>-111.854607</v>
      </c>
      <c r="P5700">
        <v>5197.8314609999998</v>
      </c>
      <c r="Q5700">
        <v>1384</v>
      </c>
      <c r="R5700">
        <v>0</v>
      </c>
    </row>
    <row r="5701" spans="1:18" x14ac:dyDescent="0.25">
      <c r="A5701">
        <v>5700</v>
      </c>
      <c r="B5701">
        <v>94</v>
      </c>
      <c r="C5701" t="e">
        <f>-JSwoo6EGMTzDywWAnepdk</f>
        <v>#NAME?</v>
      </c>
      <c r="D5701" t="s">
        <v>272</v>
      </c>
      <c r="E5701">
        <v>225.649</v>
      </c>
      <c r="F5701" t="s">
        <v>21</v>
      </c>
      <c r="G5701" t="s">
        <v>26</v>
      </c>
      <c r="H5701" t="s">
        <v>21</v>
      </c>
      <c r="I5701" t="s">
        <v>20</v>
      </c>
      <c r="J5701" t="s">
        <v>20</v>
      </c>
      <c r="K5701" t="s">
        <v>27</v>
      </c>
      <c r="L5701" t="s">
        <v>183</v>
      </c>
      <c r="M5701" t="s">
        <v>174</v>
      </c>
      <c r="N5701">
        <v>38.937305000000002</v>
      </c>
      <c r="O5701">
        <v>-111.854596</v>
      </c>
      <c r="P5701">
        <v>5185.8712130000004</v>
      </c>
      <c r="Q5701">
        <v>1384</v>
      </c>
      <c r="R5701">
        <v>0</v>
      </c>
    </row>
    <row r="5702" spans="1:18" x14ac:dyDescent="0.25">
      <c r="A5702">
        <v>5701</v>
      </c>
      <c r="B5702">
        <v>94</v>
      </c>
      <c r="C5702" t="e">
        <f>-JSwpFXBGL9TmKChNbOYsF</f>
        <v>#NAME?</v>
      </c>
      <c r="D5702" t="s">
        <v>272</v>
      </c>
      <c r="E5702">
        <v>225.76</v>
      </c>
      <c r="F5702" t="s">
        <v>21</v>
      </c>
      <c r="G5702" t="s">
        <v>26</v>
      </c>
      <c r="H5702" t="s">
        <v>21</v>
      </c>
      <c r="I5702" t="s">
        <v>20</v>
      </c>
      <c r="J5702" t="s">
        <v>20</v>
      </c>
      <c r="K5702" t="s">
        <v>27</v>
      </c>
      <c r="L5702" t="s">
        <v>183</v>
      </c>
      <c r="M5702" t="s">
        <v>174</v>
      </c>
      <c r="N5702">
        <v>38.938926000000002</v>
      </c>
      <c r="O5702">
        <v>-111.854592</v>
      </c>
      <c r="P5702">
        <v>5170.1001159999996</v>
      </c>
      <c r="Q5702">
        <v>1384</v>
      </c>
      <c r="R5702">
        <v>0</v>
      </c>
    </row>
    <row r="5703" spans="1:18" x14ac:dyDescent="0.25">
      <c r="A5703">
        <v>5702</v>
      </c>
      <c r="B5703">
        <v>94</v>
      </c>
      <c r="C5703" t="s">
        <v>753</v>
      </c>
      <c r="D5703" t="s">
        <v>272</v>
      </c>
      <c r="E5703">
        <v>225.88200000000001</v>
      </c>
      <c r="F5703" t="s">
        <v>21</v>
      </c>
      <c r="G5703" t="s">
        <v>26</v>
      </c>
      <c r="H5703" t="s">
        <v>21</v>
      </c>
      <c r="I5703" t="s">
        <v>20</v>
      </c>
      <c r="J5703" t="s">
        <v>20</v>
      </c>
      <c r="K5703" t="s">
        <v>27</v>
      </c>
      <c r="L5703" t="s">
        <v>183</v>
      </c>
      <c r="M5703" t="s">
        <v>174</v>
      </c>
      <c r="N5703">
        <v>38.940697</v>
      </c>
      <c r="O5703">
        <v>-111.854578</v>
      </c>
      <c r="P5703">
        <v>5150.9384540000001</v>
      </c>
      <c r="Q5703">
        <v>1384</v>
      </c>
      <c r="R5703">
        <v>0</v>
      </c>
    </row>
    <row r="5704" spans="1:18" x14ac:dyDescent="0.25">
      <c r="A5704">
        <v>5703</v>
      </c>
      <c r="B5704">
        <v>94</v>
      </c>
      <c r="C5704" t="e">
        <f>-JSwpQ_BFxLJAbkRItg07V</f>
        <v>#NAME?</v>
      </c>
      <c r="D5704" t="s">
        <v>272</v>
      </c>
      <c r="E5704">
        <v>225.94800000000001</v>
      </c>
      <c r="F5704" t="s">
        <v>21</v>
      </c>
      <c r="G5704" t="s">
        <v>26</v>
      </c>
      <c r="H5704" t="s">
        <v>21</v>
      </c>
      <c r="I5704" t="s">
        <v>20</v>
      </c>
      <c r="J5704" t="s">
        <v>20</v>
      </c>
      <c r="K5704" t="s">
        <v>27</v>
      </c>
      <c r="L5704" t="s">
        <v>183</v>
      </c>
      <c r="M5704" t="s">
        <v>174</v>
      </c>
      <c r="N5704">
        <v>38.941648999999998</v>
      </c>
      <c r="O5704">
        <v>-111.85457599999999</v>
      </c>
      <c r="P5704">
        <v>5144.5189149999997</v>
      </c>
      <c r="Q5704">
        <v>1384</v>
      </c>
      <c r="R5704">
        <v>0</v>
      </c>
    </row>
    <row r="5705" spans="1:18" x14ac:dyDescent="0.25">
      <c r="A5705">
        <v>5704</v>
      </c>
      <c r="B5705">
        <v>94</v>
      </c>
      <c r="C5705" t="e">
        <f>-IoLz4AFIre1ffVHf7thHk</f>
        <v>#NAME?</v>
      </c>
      <c r="D5705" t="s">
        <v>272</v>
      </c>
      <c r="E5705">
        <v>226.02</v>
      </c>
      <c r="F5705" t="s">
        <v>21</v>
      </c>
      <c r="G5705" t="s">
        <v>26</v>
      </c>
      <c r="H5705" t="s">
        <v>21</v>
      </c>
      <c r="I5705" t="s">
        <v>20</v>
      </c>
      <c r="J5705" t="s">
        <v>20</v>
      </c>
      <c r="K5705" t="s">
        <v>27</v>
      </c>
      <c r="L5705" t="s">
        <v>183</v>
      </c>
      <c r="M5705" t="s">
        <v>174</v>
      </c>
      <c r="N5705">
        <v>38.942703999999999</v>
      </c>
      <c r="O5705">
        <v>-111.854674</v>
      </c>
      <c r="P5705">
        <v>5140.6926729999996</v>
      </c>
      <c r="Q5705">
        <v>1384</v>
      </c>
      <c r="R5705">
        <v>0</v>
      </c>
    </row>
    <row r="5706" spans="1:18" x14ac:dyDescent="0.25">
      <c r="A5706">
        <v>5705</v>
      </c>
      <c r="B5706">
        <v>94</v>
      </c>
      <c r="C5706">
        <v>31369224</v>
      </c>
      <c r="D5706" t="s">
        <v>345</v>
      </c>
      <c r="E5706">
        <v>3.54</v>
      </c>
      <c r="F5706" t="s">
        <v>21</v>
      </c>
      <c r="G5706" t="s">
        <v>26</v>
      </c>
      <c r="H5706" t="s">
        <v>21</v>
      </c>
      <c r="I5706" t="s">
        <v>20</v>
      </c>
      <c r="J5706" t="s">
        <v>20</v>
      </c>
      <c r="K5706" t="s">
        <v>27</v>
      </c>
      <c r="L5706" t="s">
        <v>75</v>
      </c>
      <c r="M5706" t="s">
        <v>76</v>
      </c>
      <c r="N5706">
        <v>38.630125999999997</v>
      </c>
      <c r="O5706">
        <v>-112.166848</v>
      </c>
      <c r="P5706">
        <v>5447.307718</v>
      </c>
      <c r="Q5706">
        <v>1403</v>
      </c>
      <c r="R5706">
        <v>0</v>
      </c>
    </row>
    <row r="5707" spans="1:18" x14ac:dyDescent="0.25">
      <c r="A5707">
        <v>5706</v>
      </c>
      <c r="B5707">
        <v>94</v>
      </c>
      <c r="C5707" t="s">
        <v>754</v>
      </c>
      <c r="D5707" t="s">
        <v>215</v>
      </c>
      <c r="E5707">
        <v>3.552</v>
      </c>
      <c r="F5707" t="s">
        <v>21</v>
      </c>
      <c r="G5707" t="s">
        <v>26</v>
      </c>
      <c r="H5707" t="s">
        <v>21</v>
      </c>
      <c r="I5707" t="s">
        <v>20</v>
      </c>
      <c r="J5707" t="s">
        <v>20</v>
      </c>
      <c r="K5707" t="s">
        <v>22</v>
      </c>
      <c r="L5707" t="s">
        <v>23</v>
      </c>
      <c r="M5707" t="s">
        <v>85</v>
      </c>
      <c r="N5707">
        <v>40.257837000000002</v>
      </c>
      <c r="O5707">
        <v>-111.712897</v>
      </c>
      <c r="P5707">
        <v>4477.7589379999999</v>
      </c>
      <c r="Q5707">
        <v>330</v>
      </c>
      <c r="R5707">
        <v>0</v>
      </c>
    </row>
    <row r="5708" spans="1:18" x14ac:dyDescent="0.25">
      <c r="A5708">
        <v>5707</v>
      </c>
      <c r="B5708">
        <v>94</v>
      </c>
      <c r="C5708" t="s">
        <v>755</v>
      </c>
      <c r="D5708" t="s">
        <v>218</v>
      </c>
      <c r="E5708">
        <v>3.556</v>
      </c>
      <c r="F5708" t="s">
        <v>21</v>
      </c>
      <c r="G5708" t="s">
        <v>26</v>
      </c>
      <c r="H5708" t="s">
        <v>21</v>
      </c>
      <c r="I5708" t="s">
        <v>20</v>
      </c>
      <c r="J5708" t="s">
        <v>20</v>
      </c>
      <c r="K5708" t="s">
        <v>27</v>
      </c>
      <c r="L5708" t="s">
        <v>183</v>
      </c>
      <c r="M5708" t="s">
        <v>76</v>
      </c>
      <c r="N5708">
        <v>39.021354000000002</v>
      </c>
      <c r="O5708">
        <v>-111.848562</v>
      </c>
      <c r="P5708">
        <v>5036.497625</v>
      </c>
      <c r="Q5708">
        <v>360</v>
      </c>
      <c r="R5708">
        <v>0</v>
      </c>
    </row>
    <row r="5709" spans="1:18" x14ac:dyDescent="0.25">
      <c r="A5709">
        <v>5708</v>
      </c>
      <c r="B5709">
        <v>94</v>
      </c>
      <c r="C5709">
        <v>31287251</v>
      </c>
      <c r="D5709" t="s">
        <v>278</v>
      </c>
      <c r="E5709">
        <v>29.773</v>
      </c>
      <c r="F5709" t="s">
        <v>21</v>
      </c>
      <c r="G5709" t="s">
        <v>26</v>
      </c>
      <c r="H5709" t="s">
        <v>21</v>
      </c>
      <c r="I5709" t="s">
        <v>20</v>
      </c>
      <c r="J5709" t="s">
        <v>20</v>
      </c>
      <c r="K5709" t="s">
        <v>27</v>
      </c>
      <c r="L5709" t="s">
        <v>279</v>
      </c>
      <c r="M5709" t="s">
        <v>280</v>
      </c>
      <c r="N5709">
        <v>37.519920999999997</v>
      </c>
      <c r="O5709">
        <v>-112.672327</v>
      </c>
      <c r="P5709">
        <v>8377.8135149999998</v>
      </c>
      <c r="Q5709">
        <v>1330</v>
      </c>
      <c r="R5709">
        <v>0</v>
      </c>
    </row>
    <row r="5710" spans="1:18" x14ac:dyDescent="0.25">
      <c r="A5710">
        <v>5709</v>
      </c>
      <c r="B5710">
        <v>94</v>
      </c>
      <c r="C5710">
        <v>31508056</v>
      </c>
      <c r="D5710" t="s">
        <v>37</v>
      </c>
      <c r="E5710">
        <v>29.783999999999999</v>
      </c>
      <c r="F5710" t="s">
        <v>21</v>
      </c>
      <c r="G5710" t="s">
        <v>26</v>
      </c>
      <c r="H5710" t="s">
        <v>21</v>
      </c>
      <c r="I5710" t="s">
        <v>20</v>
      </c>
      <c r="J5710" t="s">
        <v>20</v>
      </c>
      <c r="K5710" t="s">
        <v>27</v>
      </c>
      <c r="L5710" t="s">
        <v>38</v>
      </c>
      <c r="M5710" t="s">
        <v>39</v>
      </c>
      <c r="N5710">
        <v>38.810952999999998</v>
      </c>
      <c r="O5710">
        <v>-109.305156</v>
      </c>
      <c r="P5710">
        <v>4057.8906820000002</v>
      </c>
      <c r="Q5710">
        <v>1319</v>
      </c>
      <c r="R5710">
        <v>0</v>
      </c>
    </row>
    <row r="5711" spans="1:18" x14ac:dyDescent="0.25">
      <c r="A5711">
        <v>5710</v>
      </c>
      <c r="B5711">
        <v>94</v>
      </c>
      <c r="C5711">
        <v>31380504</v>
      </c>
      <c r="D5711" t="s">
        <v>116</v>
      </c>
      <c r="E5711">
        <v>29.817</v>
      </c>
      <c r="F5711" t="s">
        <v>19</v>
      </c>
      <c r="G5711" t="s">
        <v>20</v>
      </c>
      <c r="H5711" t="s">
        <v>19</v>
      </c>
      <c r="I5711">
        <v>252</v>
      </c>
      <c r="J5711" t="s">
        <v>20</v>
      </c>
      <c r="K5711" t="s">
        <v>41</v>
      </c>
      <c r="L5711" t="s">
        <v>95</v>
      </c>
      <c r="M5711" t="s">
        <v>117</v>
      </c>
      <c r="N5711">
        <v>41.777723000000002</v>
      </c>
      <c r="O5711">
        <v>-111.833972</v>
      </c>
      <c r="P5711">
        <v>4432.0651289999996</v>
      </c>
      <c r="Q5711">
        <v>324</v>
      </c>
      <c r="R5711">
        <v>0</v>
      </c>
    </row>
    <row r="5712" spans="1:18" x14ac:dyDescent="0.25">
      <c r="A5712">
        <v>5711</v>
      </c>
      <c r="B5712">
        <v>94</v>
      </c>
      <c r="C5712">
        <v>31283125</v>
      </c>
      <c r="D5712" t="s">
        <v>241</v>
      </c>
      <c r="E5712">
        <v>29.84</v>
      </c>
      <c r="F5712" t="s">
        <v>21</v>
      </c>
      <c r="G5712" t="s">
        <v>26</v>
      </c>
      <c r="H5712" t="s">
        <v>21</v>
      </c>
      <c r="I5712" t="s">
        <v>20</v>
      </c>
      <c r="J5712" t="s">
        <v>20</v>
      </c>
      <c r="K5712" t="s">
        <v>27</v>
      </c>
      <c r="L5712" t="s">
        <v>111</v>
      </c>
      <c r="M5712" t="s">
        <v>243</v>
      </c>
      <c r="N5712">
        <v>39.126133000000003</v>
      </c>
      <c r="O5712">
        <v>-111.107046</v>
      </c>
      <c r="P5712">
        <v>5981.1932960000004</v>
      </c>
      <c r="Q5712">
        <v>1327</v>
      </c>
      <c r="R5712">
        <v>0</v>
      </c>
    </row>
    <row r="5713" spans="1:18" x14ac:dyDescent="0.25">
      <c r="A5713">
        <v>5712</v>
      </c>
      <c r="B5713">
        <v>94</v>
      </c>
      <c r="C5713" t="e">
        <f>-IoweK8qGKeCg8MKVoS3Mk</f>
        <v>#NAME?</v>
      </c>
      <c r="D5713" t="s">
        <v>203</v>
      </c>
      <c r="E5713">
        <v>29.853000000000002</v>
      </c>
      <c r="F5713" t="s">
        <v>21</v>
      </c>
      <c r="G5713" t="s">
        <v>20</v>
      </c>
      <c r="H5713" t="s">
        <v>21</v>
      </c>
      <c r="I5713" t="s">
        <v>20</v>
      </c>
      <c r="J5713" t="s">
        <v>20</v>
      </c>
      <c r="K5713" t="s">
        <v>41</v>
      </c>
      <c r="L5713" t="s">
        <v>255</v>
      </c>
      <c r="M5713" t="s">
        <v>204</v>
      </c>
      <c r="N5713">
        <v>41.327322000000002</v>
      </c>
      <c r="O5713">
        <v>-111.615605</v>
      </c>
      <c r="P5713">
        <v>5714.45442</v>
      </c>
      <c r="Q5713">
        <v>1349</v>
      </c>
      <c r="R5713">
        <v>0</v>
      </c>
    </row>
    <row r="5714" spans="1:18" x14ac:dyDescent="0.25">
      <c r="A5714">
        <v>5713</v>
      </c>
      <c r="B5714">
        <v>94</v>
      </c>
      <c r="C5714" t="e">
        <f>-JODtk93IiPaPqfQPXel7V</f>
        <v>#NAME?</v>
      </c>
      <c r="D5714" t="s">
        <v>210</v>
      </c>
      <c r="E5714">
        <v>29.86</v>
      </c>
      <c r="F5714" t="s">
        <v>21</v>
      </c>
      <c r="G5714" t="s">
        <v>20</v>
      </c>
      <c r="H5714" t="s">
        <v>21</v>
      </c>
      <c r="I5714" t="s">
        <v>20</v>
      </c>
      <c r="J5714" t="s">
        <v>20</v>
      </c>
      <c r="K5714" t="s">
        <v>27</v>
      </c>
      <c r="L5714" t="s">
        <v>211</v>
      </c>
      <c r="M5714" t="s">
        <v>212</v>
      </c>
      <c r="N5714">
        <v>37.165379000000001</v>
      </c>
      <c r="O5714">
        <v>-109.07504299999999</v>
      </c>
      <c r="P5714">
        <v>4739.9713330000004</v>
      </c>
      <c r="Q5714">
        <v>344</v>
      </c>
      <c r="R5714">
        <v>0</v>
      </c>
    </row>
    <row r="5715" spans="1:18" x14ac:dyDescent="0.25">
      <c r="A5715">
        <v>5714</v>
      </c>
      <c r="B5715">
        <v>94</v>
      </c>
      <c r="C5715">
        <v>31425844</v>
      </c>
      <c r="D5715" t="s">
        <v>221</v>
      </c>
      <c r="E5715">
        <v>29.873000000000001</v>
      </c>
      <c r="F5715" t="s">
        <v>21</v>
      </c>
      <c r="G5715" t="s">
        <v>26</v>
      </c>
      <c r="H5715" t="s">
        <v>21</v>
      </c>
      <c r="I5715" t="s">
        <v>20</v>
      </c>
      <c r="J5715" t="s">
        <v>20</v>
      </c>
      <c r="K5715" t="s">
        <v>22</v>
      </c>
      <c r="L5715" t="s">
        <v>155</v>
      </c>
      <c r="M5715" t="s">
        <v>174</v>
      </c>
      <c r="N5715">
        <v>39.557403000000001</v>
      </c>
      <c r="O5715">
        <v>-111.863845</v>
      </c>
      <c r="P5715">
        <v>5252.3907339999996</v>
      </c>
      <c r="Q5715">
        <v>1342</v>
      </c>
      <c r="R5715">
        <v>0</v>
      </c>
    </row>
    <row r="5716" spans="1:18" x14ac:dyDescent="0.25">
      <c r="A5716">
        <v>5715</v>
      </c>
      <c r="B5716">
        <v>94</v>
      </c>
      <c r="C5716">
        <v>27883671</v>
      </c>
      <c r="D5716" t="s">
        <v>91</v>
      </c>
      <c r="E5716">
        <v>29.882000000000001</v>
      </c>
      <c r="F5716" t="s">
        <v>21</v>
      </c>
      <c r="G5716" t="s">
        <v>26</v>
      </c>
      <c r="H5716" t="s">
        <v>21</v>
      </c>
      <c r="I5716" t="s">
        <v>20</v>
      </c>
      <c r="J5716" t="s">
        <v>20</v>
      </c>
      <c r="K5716" t="s">
        <v>41</v>
      </c>
      <c r="L5716" t="s">
        <v>95</v>
      </c>
      <c r="M5716" t="s">
        <v>73</v>
      </c>
      <c r="N5716">
        <v>41.998587000000001</v>
      </c>
      <c r="O5716">
        <v>-111.95501299999999</v>
      </c>
      <c r="P5716">
        <v>4473.8978559999996</v>
      </c>
      <c r="Q5716">
        <v>1339</v>
      </c>
      <c r="R5716">
        <v>0</v>
      </c>
    </row>
    <row r="5717" spans="1:18" x14ac:dyDescent="0.25">
      <c r="A5717">
        <v>5716</v>
      </c>
      <c r="B5717">
        <v>94</v>
      </c>
      <c r="C5717">
        <v>31330591</v>
      </c>
      <c r="D5717" t="s">
        <v>303</v>
      </c>
      <c r="E5717">
        <v>29.908000000000001</v>
      </c>
      <c r="F5717" t="s">
        <v>21</v>
      </c>
      <c r="G5717" t="s">
        <v>20</v>
      </c>
      <c r="H5717" t="s">
        <v>21</v>
      </c>
      <c r="I5717" t="s">
        <v>20</v>
      </c>
      <c r="J5717" t="s">
        <v>20</v>
      </c>
      <c r="K5717" t="s">
        <v>27</v>
      </c>
      <c r="L5717" t="s">
        <v>72</v>
      </c>
      <c r="M5717" t="s">
        <v>73</v>
      </c>
      <c r="N5717">
        <v>37.168160999999998</v>
      </c>
      <c r="O5717">
        <v>-113.013267</v>
      </c>
      <c r="P5717">
        <v>3744.8924579999998</v>
      </c>
      <c r="Q5717">
        <v>1326</v>
      </c>
      <c r="R5717">
        <v>0</v>
      </c>
    </row>
    <row r="5718" spans="1:18" x14ac:dyDescent="0.25">
      <c r="A5718">
        <v>5717</v>
      </c>
      <c r="B5718">
        <v>94</v>
      </c>
      <c r="C5718">
        <v>31441186</v>
      </c>
      <c r="D5718" t="s">
        <v>319</v>
      </c>
      <c r="E5718">
        <v>29.943999999999999</v>
      </c>
      <c r="F5718" t="s">
        <v>21</v>
      </c>
      <c r="G5718" t="s">
        <v>20</v>
      </c>
      <c r="H5718" t="s">
        <v>21</v>
      </c>
      <c r="I5718" t="s">
        <v>20</v>
      </c>
      <c r="J5718" t="s">
        <v>20</v>
      </c>
      <c r="K5718" t="s">
        <v>27</v>
      </c>
      <c r="L5718" t="s">
        <v>162</v>
      </c>
      <c r="M5718" t="s">
        <v>55</v>
      </c>
      <c r="N5718">
        <v>37.680554999999998</v>
      </c>
      <c r="O5718">
        <v>-113.57585400000001</v>
      </c>
      <c r="P5718">
        <v>5151.6165810000002</v>
      </c>
      <c r="Q5718">
        <v>314</v>
      </c>
      <c r="R5718">
        <v>0</v>
      </c>
    </row>
    <row r="5719" spans="1:18" x14ac:dyDescent="0.25">
      <c r="A5719">
        <v>5718</v>
      </c>
      <c r="B5719">
        <v>94</v>
      </c>
      <c r="C5719" t="s">
        <v>756</v>
      </c>
      <c r="D5719" t="s">
        <v>272</v>
      </c>
      <c r="E5719">
        <v>365.738</v>
      </c>
      <c r="F5719" t="s">
        <v>21</v>
      </c>
      <c r="G5719" t="s">
        <v>26</v>
      </c>
      <c r="H5719" t="s">
        <v>21</v>
      </c>
      <c r="I5719" t="s">
        <v>20</v>
      </c>
      <c r="J5719" t="s">
        <v>20</v>
      </c>
      <c r="K5719" t="s">
        <v>31</v>
      </c>
      <c r="L5719" t="s">
        <v>89</v>
      </c>
      <c r="M5719" t="s">
        <v>49</v>
      </c>
      <c r="N5719">
        <v>40.572726000000003</v>
      </c>
      <c r="O5719">
        <v>-111.890805</v>
      </c>
      <c r="P5719">
        <v>4375.6997199999996</v>
      </c>
      <c r="Q5719">
        <v>1384</v>
      </c>
      <c r="R5719">
        <v>0</v>
      </c>
    </row>
    <row r="5720" spans="1:18" x14ac:dyDescent="0.25">
      <c r="A5720">
        <v>5719</v>
      </c>
      <c r="B5720">
        <v>94</v>
      </c>
      <c r="C5720" t="e">
        <f>-Iov-hJnF8XuXtg3MAgDNV</f>
        <v>#NAME?</v>
      </c>
      <c r="D5720" t="s">
        <v>272</v>
      </c>
      <c r="E5720">
        <v>366.01</v>
      </c>
      <c r="F5720" t="s">
        <v>19</v>
      </c>
      <c r="G5720" t="s">
        <v>20</v>
      </c>
      <c r="H5720" t="s">
        <v>21</v>
      </c>
      <c r="I5720" t="s">
        <v>20</v>
      </c>
      <c r="J5720" t="s">
        <v>20</v>
      </c>
      <c r="K5720" t="s">
        <v>31</v>
      </c>
      <c r="L5720" t="s">
        <v>89</v>
      </c>
      <c r="M5720" t="s">
        <v>49</v>
      </c>
      <c r="N5720">
        <v>40.576672000000002</v>
      </c>
      <c r="O5720">
        <v>-111.890844</v>
      </c>
      <c r="P5720">
        <v>4417.6531409999998</v>
      </c>
      <c r="Q5720">
        <v>1384</v>
      </c>
      <c r="R5720">
        <v>0</v>
      </c>
    </row>
    <row r="5721" spans="1:18" x14ac:dyDescent="0.25">
      <c r="A5721">
        <v>5720</v>
      </c>
      <c r="B5721">
        <v>94</v>
      </c>
      <c r="C5721" t="e">
        <f>-Iov2e1LGFyOqsOM1eMrpk</f>
        <v>#NAME?</v>
      </c>
      <c r="D5721" t="s">
        <v>272</v>
      </c>
      <c r="E5721">
        <v>366.28</v>
      </c>
      <c r="F5721" t="s">
        <v>19</v>
      </c>
      <c r="G5721" t="s">
        <v>20</v>
      </c>
      <c r="H5721" t="s">
        <v>21</v>
      </c>
      <c r="I5721" t="s">
        <v>20</v>
      </c>
      <c r="J5721" t="s">
        <v>20</v>
      </c>
      <c r="K5721" t="s">
        <v>31</v>
      </c>
      <c r="L5721" t="s">
        <v>89</v>
      </c>
      <c r="M5721" t="s">
        <v>49</v>
      </c>
      <c r="N5721">
        <v>40.580592000000003</v>
      </c>
      <c r="O5721">
        <v>-111.890874</v>
      </c>
      <c r="P5721">
        <v>4417.1665069999999</v>
      </c>
      <c r="Q5721">
        <v>1384</v>
      </c>
      <c r="R5721">
        <v>0</v>
      </c>
    </row>
    <row r="5722" spans="1:18" x14ac:dyDescent="0.25">
      <c r="A5722">
        <v>5721</v>
      </c>
      <c r="B5722">
        <v>94</v>
      </c>
      <c r="C5722">
        <v>31749462</v>
      </c>
      <c r="D5722" t="s">
        <v>59</v>
      </c>
      <c r="E5722">
        <v>2.3570000000000002</v>
      </c>
      <c r="F5722" t="s">
        <v>21</v>
      </c>
      <c r="G5722" t="s">
        <v>26</v>
      </c>
      <c r="H5722" t="s">
        <v>21</v>
      </c>
      <c r="I5722" t="s">
        <v>20</v>
      </c>
      <c r="J5722" t="s">
        <v>20</v>
      </c>
      <c r="K5722" t="s">
        <v>22</v>
      </c>
      <c r="L5722" t="s">
        <v>60</v>
      </c>
      <c r="M5722" t="s">
        <v>24</v>
      </c>
      <c r="N5722">
        <v>40.311912</v>
      </c>
      <c r="O5722">
        <v>-111.690094</v>
      </c>
      <c r="P5722">
        <v>4744.853615</v>
      </c>
      <c r="Q5722">
        <v>313</v>
      </c>
      <c r="R5722">
        <v>0</v>
      </c>
    </row>
    <row r="5723" spans="1:18" x14ac:dyDescent="0.25">
      <c r="A5723">
        <v>5722</v>
      </c>
      <c r="B5723">
        <v>94</v>
      </c>
      <c r="C5723">
        <v>959860</v>
      </c>
      <c r="D5723" t="s">
        <v>65</v>
      </c>
      <c r="E5723">
        <v>2.36</v>
      </c>
      <c r="F5723" t="s">
        <v>19</v>
      </c>
      <c r="G5723" t="s">
        <v>20</v>
      </c>
      <c r="H5723" t="s">
        <v>21</v>
      </c>
      <c r="I5723" t="s">
        <v>20</v>
      </c>
      <c r="J5723" t="s">
        <v>20</v>
      </c>
      <c r="K5723" t="s">
        <v>31</v>
      </c>
      <c r="L5723" t="s">
        <v>66</v>
      </c>
      <c r="M5723" t="s">
        <v>67</v>
      </c>
      <c r="N5723">
        <v>40.765027000000003</v>
      </c>
      <c r="O5723">
        <v>-111.888268</v>
      </c>
      <c r="P5723">
        <v>4237.7606809999997</v>
      </c>
      <c r="Q5723">
        <v>402</v>
      </c>
      <c r="R5723">
        <v>0</v>
      </c>
    </row>
    <row r="5724" spans="1:18" x14ac:dyDescent="0.25">
      <c r="A5724">
        <v>5723</v>
      </c>
      <c r="B5724">
        <v>94</v>
      </c>
      <c r="C5724" t="e">
        <f>-IoNROvlHNmCxQcDCGgDrV</f>
        <v>#NAME?</v>
      </c>
      <c r="D5724" t="s">
        <v>272</v>
      </c>
      <c r="E5724">
        <v>307.19900000000001</v>
      </c>
      <c r="F5724" t="s">
        <v>21</v>
      </c>
      <c r="G5724" t="s">
        <v>20</v>
      </c>
      <c r="H5724" t="s">
        <v>21</v>
      </c>
      <c r="I5724" t="s">
        <v>20</v>
      </c>
      <c r="J5724" t="s">
        <v>20</v>
      </c>
      <c r="K5724" t="s">
        <v>22</v>
      </c>
      <c r="L5724" t="s">
        <v>140</v>
      </c>
      <c r="M5724" t="s">
        <v>174</v>
      </c>
      <c r="N5724">
        <v>39.949058999999998</v>
      </c>
      <c r="O5724">
        <v>-111.53669600000001</v>
      </c>
      <c r="P5724">
        <v>5286.6465690000005</v>
      </c>
      <c r="Q5724">
        <v>1384</v>
      </c>
      <c r="R5724">
        <v>0</v>
      </c>
    </row>
    <row r="5725" spans="1:18" x14ac:dyDescent="0.25">
      <c r="A5725">
        <v>5724</v>
      </c>
      <c r="B5725">
        <v>94</v>
      </c>
      <c r="C5725">
        <v>1008189</v>
      </c>
      <c r="D5725" t="s">
        <v>171</v>
      </c>
      <c r="E5725">
        <v>3.5049999999999999</v>
      </c>
      <c r="F5725" t="s">
        <v>19</v>
      </c>
      <c r="G5725" t="s">
        <v>20</v>
      </c>
      <c r="H5725" t="s">
        <v>19</v>
      </c>
      <c r="I5725">
        <v>172</v>
      </c>
      <c r="J5725" t="s">
        <v>20</v>
      </c>
      <c r="K5725" t="s">
        <v>31</v>
      </c>
      <c r="L5725" t="s">
        <v>78</v>
      </c>
      <c r="M5725" t="s">
        <v>79</v>
      </c>
      <c r="N5725">
        <v>40.696551999999997</v>
      </c>
      <c r="O5725">
        <v>-112.024857</v>
      </c>
      <c r="P5725">
        <v>4236.5541590000003</v>
      </c>
      <c r="Q5725">
        <v>346</v>
      </c>
      <c r="R5725">
        <v>0</v>
      </c>
    </row>
    <row r="5726" spans="1:18" x14ac:dyDescent="0.25">
      <c r="A5726">
        <v>5725</v>
      </c>
      <c r="B5726">
        <v>94</v>
      </c>
      <c r="C5726">
        <v>31192710</v>
      </c>
      <c r="D5726" t="s">
        <v>153</v>
      </c>
      <c r="E5726">
        <v>3.5059999999999998</v>
      </c>
      <c r="F5726" t="s">
        <v>21</v>
      </c>
      <c r="G5726" t="s">
        <v>26</v>
      </c>
      <c r="H5726" t="s">
        <v>21</v>
      </c>
      <c r="I5726" t="s">
        <v>20</v>
      </c>
      <c r="J5726" t="s">
        <v>20</v>
      </c>
      <c r="K5726" t="s">
        <v>22</v>
      </c>
      <c r="L5726" t="s">
        <v>84</v>
      </c>
      <c r="M5726" t="s">
        <v>85</v>
      </c>
      <c r="N5726">
        <v>40.406615000000002</v>
      </c>
      <c r="O5726">
        <v>-111.74966000000001</v>
      </c>
      <c r="P5726">
        <v>4892.5435100000004</v>
      </c>
      <c r="R5726">
        <v>0</v>
      </c>
    </row>
    <row r="5727" spans="1:18" x14ac:dyDescent="0.25">
      <c r="A5727">
        <v>5726</v>
      </c>
      <c r="B5727">
        <v>94</v>
      </c>
      <c r="C5727">
        <v>503393</v>
      </c>
      <c r="D5727" t="s">
        <v>135</v>
      </c>
      <c r="E5727">
        <v>3.5059999999999998</v>
      </c>
      <c r="F5727" t="s">
        <v>19</v>
      </c>
      <c r="G5727" t="s">
        <v>20</v>
      </c>
      <c r="H5727" t="s">
        <v>21</v>
      </c>
      <c r="I5727" t="s">
        <v>20</v>
      </c>
      <c r="J5727" t="s">
        <v>20</v>
      </c>
      <c r="K5727" t="s">
        <v>31</v>
      </c>
      <c r="L5727" t="s">
        <v>89</v>
      </c>
      <c r="M5727" t="s">
        <v>144</v>
      </c>
      <c r="N5727">
        <v>40.558923999999998</v>
      </c>
      <c r="O5727">
        <v>-111.910192</v>
      </c>
      <c r="P5727">
        <v>4264.2437120000004</v>
      </c>
      <c r="Q5727">
        <v>1423</v>
      </c>
      <c r="R5727">
        <v>0</v>
      </c>
    </row>
    <row r="5728" spans="1:18" x14ac:dyDescent="0.25">
      <c r="A5728">
        <v>5727</v>
      </c>
      <c r="B5728">
        <v>94</v>
      </c>
      <c r="C5728">
        <v>31392399</v>
      </c>
      <c r="D5728" t="s">
        <v>114</v>
      </c>
      <c r="E5728">
        <v>3.5070000000000001</v>
      </c>
      <c r="F5728" t="s">
        <v>19</v>
      </c>
      <c r="G5728" t="s">
        <v>20</v>
      </c>
      <c r="H5728" t="s">
        <v>21</v>
      </c>
      <c r="I5728" t="s">
        <v>20</v>
      </c>
      <c r="J5728" t="s">
        <v>20</v>
      </c>
      <c r="K5728" t="s">
        <v>41</v>
      </c>
      <c r="L5728" t="s">
        <v>87</v>
      </c>
      <c r="M5728" t="s">
        <v>82</v>
      </c>
      <c r="N5728">
        <v>41.103520000000003</v>
      </c>
      <c r="O5728">
        <v>-112.001524</v>
      </c>
      <c r="P5728">
        <v>4499.4461879999999</v>
      </c>
      <c r="Q5728">
        <v>405</v>
      </c>
      <c r="R5728">
        <v>0</v>
      </c>
    </row>
    <row r="5729" spans="1:18" x14ac:dyDescent="0.25">
      <c r="A5729">
        <v>5728</v>
      </c>
      <c r="B5729">
        <v>94</v>
      </c>
      <c r="C5729">
        <v>31293619</v>
      </c>
      <c r="D5729" t="s">
        <v>126</v>
      </c>
      <c r="E5729">
        <v>3.5070000000000001</v>
      </c>
      <c r="F5729" t="s">
        <v>21</v>
      </c>
      <c r="G5729" t="s">
        <v>26</v>
      </c>
      <c r="H5729" t="s">
        <v>21</v>
      </c>
      <c r="I5729" t="s">
        <v>20</v>
      </c>
      <c r="J5729" t="s">
        <v>20</v>
      </c>
      <c r="K5729" t="s">
        <v>41</v>
      </c>
      <c r="L5729" t="s">
        <v>57</v>
      </c>
      <c r="M5729" t="s">
        <v>93</v>
      </c>
      <c r="N5729">
        <v>41.241824999999999</v>
      </c>
      <c r="O5729">
        <v>-112.09263900000001</v>
      </c>
      <c r="P5729">
        <v>4177.8908760000004</v>
      </c>
      <c r="Q5729">
        <v>1412</v>
      </c>
      <c r="R5729">
        <v>0</v>
      </c>
    </row>
    <row r="5730" spans="1:18" x14ac:dyDescent="0.25">
      <c r="A5730">
        <v>5729</v>
      </c>
      <c r="B5730">
        <v>94</v>
      </c>
      <c r="C5730">
        <v>1118110</v>
      </c>
      <c r="D5730" t="s">
        <v>101</v>
      </c>
      <c r="E5730">
        <v>3.5129999999999999</v>
      </c>
      <c r="F5730" t="s">
        <v>19</v>
      </c>
      <c r="G5730" t="s">
        <v>20</v>
      </c>
      <c r="H5730" t="s">
        <v>21</v>
      </c>
      <c r="I5730" t="s">
        <v>20</v>
      </c>
      <c r="J5730" t="s">
        <v>20</v>
      </c>
      <c r="K5730" t="s">
        <v>41</v>
      </c>
      <c r="L5730" t="s">
        <v>57</v>
      </c>
      <c r="M5730" t="s">
        <v>58</v>
      </c>
      <c r="N5730">
        <v>41.118084000000003</v>
      </c>
      <c r="O5730">
        <v>-112.045271</v>
      </c>
      <c r="P5730">
        <v>4368.2907880000002</v>
      </c>
      <c r="Q5730">
        <v>328</v>
      </c>
      <c r="R5730">
        <v>0</v>
      </c>
    </row>
    <row r="5731" spans="1:18" x14ac:dyDescent="0.25">
      <c r="A5731">
        <v>5730</v>
      </c>
      <c r="B5731">
        <v>94</v>
      </c>
      <c r="C5731">
        <v>31519734</v>
      </c>
      <c r="D5731" t="s">
        <v>231</v>
      </c>
      <c r="E5731">
        <v>3.5139999999999998</v>
      </c>
      <c r="F5731" t="s">
        <v>21</v>
      </c>
      <c r="G5731" t="s">
        <v>26</v>
      </c>
      <c r="H5731" t="s">
        <v>21</v>
      </c>
      <c r="I5731" t="s">
        <v>20</v>
      </c>
      <c r="J5731" t="s">
        <v>20</v>
      </c>
      <c r="K5731" t="s">
        <v>41</v>
      </c>
      <c r="L5731" t="s">
        <v>57</v>
      </c>
      <c r="M5731" t="s">
        <v>93</v>
      </c>
      <c r="N5731">
        <v>41.091271999999996</v>
      </c>
      <c r="O5731">
        <v>-112.003192</v>
      </c>
      <c r="P5731">
        <v>4406.7234120000003</v>
      </c>
      <c r="Q5731">
        <v>1409</v>
      </c>
      <c r="R5731">
        <v>0</v>
      </c>
    </row>
    <row r="5732" spans="1:18" x14ac:dyDescent="0.25">
      <c r="A5732">
        <v>5731</v>
      </c>
      <c r="B5732">
        <v>94</v>
      </c>
      <c r="C5732">
        <v>1232836</v>
      </c>
      <c r="D5732" t="s">
        <v>108</v>
      </c>
      <c r="E5732">
        <v>3.516</v>
      </c>
      <c r="F5732" t="s">
        <v>19</v>
      </c>
      <c r="G5732" t="s">
        <v>20</v>
      </c>
      <c r="H5732" t="s">
        <v>21</v>
      </c>
      <c r="I5732" t="s">
        <v>20</v>
      </c>
      <c r="J5732" t="s">
        <v>20</v>
      </c>
      <c r="K5732" t="s">
        <v>41</v>
      </c>
      <c r="L5732" t="s">
        <v>81</v>
      </c>
      <c r="M5732" t="s">
        <v>93</v>
      </c>
      <c r="N5732">
        <v>41.197834</v>
      </c>
      <c r="O5732">
        <v>-111.973698</v>
      </c>
      <c r="P5732">
        <v>4314.8252439999997</v>
      </c>
      <c r="Q5732">
        <v>1341</v>
      </c>
      <c r="R5732">
        <v>0</v>
      </c>
    </row>
    <row r="5733" spans="1:18" x14ac:dyDescent="0.25">
      <c r="A5733">
        <v>5732</v>
      </c>
      <c r="B5733">
        <v>94</v>
      </c>
      <c r="C5733">
        <v>31349883</v>
      </c>
      <c r="D5733" t="s">
        <v>34</v>
      </c>
      <c r="E5733">
        <v>3.5179999999999998</v>
      </c>
      <c r="F5733" t="s">
        <v>21</v>
      </c>
      <c r="G5733" t="s">
        <v>26</v>
      </c>
      <c r="H5733" t="s">
        <v>21</v>
      </c>
      <c r="I5733" t="s">
        <v>20</v>
      </c>
      <c r="J5733" t="s">
        <v>20</v>
      </c>
      <c r="K5733" t="s">
        <v>22</v>
      </c>
      <c r="L5733" t="s">
        <v>35</v>
      </c>
      <c r="M5733" t="s">
        <v>36</v>
      </c>
      <c r="N5733">
        <v>40.506515999999998</v>
      </c>
      <c r="O5733">
        <v>-111.47240600000001</v>
      </c>
      <c r="P5733">
        <v>5481.3556859999999</v>
      </c>
      <c r="Q5733">
        <v>1400</v>
      </c>
      <c r="R5733">
        <v>0</v>
      </c>
    </row>
    <row r="5734" spans="1:18" x14ac:dyDescent="0.25">
      <c r="A5734">
        <v>5733</v>
      </c>
      <c r="B5734">
        <v>94</v>
      </c>
      <c r="C5734">
        <v>31291923</v>
      </c>
      <c r="D5734" t="s">
        <v>203</v>
      </c>
      <c r="E5734">
        <v>3.5190000000000001</v>
      </c>
      <c r="F5734" t="s">
        <v>19</v>
      </c>
      <c r="G5734" t="s">
        <v>20</v>
      </c>
      <c r="H5734" t="s">
        <v>19</v>
      </c>
      <c r="I5734">
        <v>126</v>
      </c>
      <c r="J5734" t="s">
        <v>20</v>
      </c>
      <c r="K5734" t="s">
        <v>41</v>
      </c>
      <c r="L5734" t="s">
        <v>57</v>
      </c>
      <c r="M5734" t="s">
        <v>204</v>
      </c>
      <c r="N5734">
        <v>41.244928000000002</v>
      </c>
      <c r="O5734">
        <v>-112.025392</v>
      </c>
      <c r="P5734">
        <v>4228.8258470000001</v>
      </c>
      <c r="Q5734">
        <v>1349</v>
      </c>
      <c r="R5734">
        <v>0</v>
      </c>
    </row>
    <row r="5735" spans="1:18" x14ac:dyDescent="0.25">
      <c r="A5735">
        <v>5734</v>
      </c>
      <c r="B5735">
        <v>94</v>
      </c>
      <c r="C5735">
        <v>31395990</v>
      </c>
      <c r="D5735" t="s">
        <v>210</v>
      </c>
      <c r="E5735">
        <v>3.5219999999999998</v>
      </c>
      <c r="F5735" t="s">
        <v>21</v>
      </c>
      <c r="G5735" t="s">
        <v>26</v>
      </c>
      <c r="H5735" t="s">
        <v>21</v>
      </c>
      <c r="I5735" t="s">
        <v>20</v>
      </c>
      <c r="J5735" t="s">
        <v>20</v>
      </c>
      <c r="K5735" t="s">
        <v>27</v>
      </c>
      <c r="L5735" t="s">
        <v>211</v>
      </c>
      <c r="M5735" t="s">
        <v>212</v>
      </c>
      <c r="N5735">
        <v>37.291569000000003</v>
      </c>
      <c r="O5735">
        <v>-109.489002</v>
      </c>
      <c r="P5735">
        <v>4455.2300320000004</v>
      </c>
      <c r="Q5735">
        <v>344</v>
      </c>
      <c r="R5735">
        <v>0</v>
      </c>
    </row>
    <row r="5736" spans="1:18" x14ac:dyDescent="0.25">
      <c r="A5736">
        <v>5735</v>
      </c>
      <c r="B5736">
        <v>94</v>
      </c>
      <c r="C5736" t="e">
        <f>-JMLy2ajHv1tmpXo_yPy4V</f>
        <v>#NAME?</v>
      </c>
      <c r="D5736" t="s">
        <v>102</v>
      </c>
      <c r="E5736">
        <v>3.5249999999999999</v>
      </c>
      <c r="F5736" t="s">
        <v>21</v>
      </c>
      <c r="G5736" t="s">
        <v>26</v>
      </c>
      <c r="H5736" t="s">
        <v>21</v>
      </c>
      <c r="I5736" t="s">
        <v>20</v>
      </c>
      <c r="J5736" t="s">
        <v>20</v>
      </c>
      <c r="K5736" t="s">
        <v>27</v>
      </c>
      <c r="L5736" t="s">
        <v>103</v>
      </c>
      <c r="M5736" t="s">
        <v>104</v>
      </c>
      <c r="N5736">
        <v>38.293540999999998</v>
      </c>
      <c r="O5736">
        <v>-112.646897</v>
      </c>
      <c r="P5736">
        <v>5886.0825290000002</v>
      </c>
      <c r="Q5736">
        <v>1430</v>
      </c>
      <c r="R5736">
        <v>0</v>
      </c>
    </row>
    <row r="5737" spans="1:18" x14ac:dyDescent="0.25">
      <c r="A5737">
        <v>5736</v>
      </c>
      <c r="B5737">
        <v>94</v>
      </c>
      <c r="C5737">
        <v>31301884</v>
      </c>
      <c r="D5737" t="s">
        <v>339</v>
      </c>
      <c r="E5737">
        <v>3.528</v>
      </c>
      <c r="F5737" t="s">
        <v>21</v>
      </c>
      <c r="G5737" t="s">
        <v>20</v>
      </c>
      <c r="H5737" t="s">
        <v>21</v>
      </c>
      <c r="I5737" t="s">
        <v>20</v>
      </c>
      <c r="J5737" t="s">
        <v>20</v>
      </c>
      <c r="K5737" t="s">
        <v>41</v>
      </c>
      <c r="L5737" t="s">
        <v>95</v>
      </c>
      <c r="M5737" t="s">
        <v>73</v>
      </c>
      <c r="N5737">
        <v>41.898834999999998</v>
      </c>
      <c r="O5737">
        <v>-112.045761</v>
      </c>
      <c r="P5737">
        <v>4777.7629729999999</v>
      </c>
      <c r="Q5737">
        <v>1417</v>
      </c>
      <c r="R5737">
        <v>0</v>
      </c>
    </row>
    <row r="5738" spans="1:18" x14ac:dyDescent="0.25">
      <c r="A5738">
        <v>5737</v>
      </c>
      <c r="B5738">
        <v>94</v>
      </c>
      <c r="C5738">
        <v>31502751</v>
      </c>
      <c r="D5738" t="s">
        <v>292</v>
      </c>
      <c r="E5738">
        <v>3.5289999999999999</v>
      </c>
      <c r="F5738" t="s">
        <v>21</v>
      </c>
      <c r="G5738" t="s">
        <v>26</v>
      </c>
      <c r="H5738" t="s">
        <v>21</v>
      </c>
      <c r="I5738" t="s">
        <v>20</v>
      </c>
      <c r="J5738" t="s">
        <v>20</v>
      </c>
      <c r="K5738" t="s">
        <v>22</v>
      </c>
      <c r="L5738" t="s">
        <v>253</v>
      </c>
      <c r="M5738" t="s">
        <v>134</v>
      </c>
      <c r="N5738">
        <v>40.213006999999998</v>
      </c>
      <c r="O5738">
        <v>-110.389274</v>
      </c>
      <c r="P5738">
        <v>5805.8596699999998</v>
      </c>
      <c r="Q5738">
        <v>323</v>
      </c>
      <c r="R5738">
        <v>0</v>
      </c>
    </row>
    <row r="5739" spans="1:18" x14ac:dyDescent="0.25">
      <c r="A5739">
        <v>5738</v>
      </c>
      <c r="B5739">
        <v>94</v>
      </c>
      <c r="C5739">
        <v>488999</v>
      </c>
      <c r="D5739" t="s">
        <v>83</v>
      </c>
      <c r="E5739">
        <v>3.5350000000000001</v>
      </c>
      <c r="F5739" t="s">
        <v>21</v>
      </c>
      <c r="G5739" t="s">
        <v>26</v>
      </c>
      <c r="H5739" t="s">
        <v>21</v>
      </c>
      <c r="I5739" t="s">
        <v>20</v>
      </c>
      <c r="J5739" t="s">
        <v>20</v>
      </c>
      <c r="K5739" t="s">
        <v>22</v>
      </c>
      <c r="L5739" t="s">
        <v>84</v>
      </c>
      <c r="M5739" t="s">
        <v>85</v>
      </c>
      <c r="N5739">
        <v>40.426673999999998</v>
      </c>
      <c r="O5739">
        <v>-111.785726</v>
      </c>
      <c r="P5739">
        <v>4851.5082579999998</v>
      </c>
      <c r="Q5739">
        <v>319</v>
      </c>
      <c r="R5739">
        <v>0</v>
      </c>
    </row>
    <row r="5740" spans="1:18" x14ac:dyDescent="0.25">
      <c r="A5740">
        <v>5739</v>
      </c>
      <c r="B5740">
        <v>94</v>
      </c>
      <c r="C5740" t="e">
        <f>-IoR08HgGayszahP4McNeV</f>
        <v>#NAME?</v>
      </c>
      <c r="D5740" t="s">
        <v>272</v>
      </c>
      <c r="E5740">
        <v>325.71800000000002</v>
      </c>
      <c r="F5740" t="s">
        <v>19</v>
      </c>
      <c r="G5740" t="s">
        <v>20</v>
      </c>
      <c r="H5740" t="s">
        <v>19</v>
      </c>
      <c r="I5740">
        <v>147</v>
      </c>
      <c r="J5740" t="s">
        <v>20</v>
      </c>
      <c r="K5740" t="s">
        <v>22</v>
      </c>
      <c r="L5740" t="s">
        <v>140</v>
      </c>
      <c r="M5740" t="s">
        <v>125</v>
      </c>
      <c r="N5740">
        <v>40.130077999999997</v>
      </c>
      <c r="O5740">
        <v>-111.597825</v>
      </c>
      <c r="P5740">
        <v>4651.609899</v>
      </c>
      <c r="Q5740">
        <v>1384</v>
      </c>
      <c r="R5740">
        <v>0</v>
      </c>
    </row>
    <row r="5741" spans="1:18" x14ac:dyDescent="0.25">
      <c r="A5741">
        <v>5740</v>
      </c>
      <c r="B5741">
        <v>94</v>
      </c>
      <c r="C5741" t="e">
        <f>-IoR0bt1F99uE5kHIODjAk</f>
        <v>#NAME?</v>
      </c>
      <c r="D5741" t="s">
        <v>272</v>
      </c>
      <c r="E5741">
        <v>325.94799999999998</v>
      </c>
      <c r="F5741" t="s">
        <v>21</v>
      </c>
      <c r="G5741" t="s">
        <v>20</v>
      </c>
      <c r="H5741" t="s">
        <v>21</v>
      </c>
      <c r="I5741" t="s">
        <v>20</v>
      </c>
      <c r="J5741" t="s">
        <v>20</v>
      </c>
      <c r="K5741" t="s">
        <v>22</v>
      </c>
      <c r="L5741" t="s">
        <v>140</v>
      </c>
      <c r="M5741" t="s">
        <v>125</v>
      </c>
      <c r="N5741">
        <v>40.133361999999998</v>
      </c>
      <c r="O5741">
        <v>-111.59790700000001</v>
      </c>
      <c r="P5741">
        <v>4656.9642910000002</v>
      </c>
      <c r="Q5741">
        <v>1384</v>
      </c>
      <c r="R5741">
        <v>0</v>
      </c>
    </row>
    <row r="5742" spans="1:18" x14ac:dyDescent="0.25">
      <c r="A5742">
        <v>5741</v>
      </c>
      <c r="B5742">
        <v>94</v>
      </c>
      <c r="C5742" t="e">
        <f>-IoR1UrDF0DaMS8LmexmJk</f>
        <v>#NAME?</v>
      </c>
      <c r="D5742" t="s">
        <v>272</v>
      </c>
      <c r="E5742">
        <v>326.23500000000001</v>
      </c>
      <c r="F5742" t="s">
        <v>21</v>
      </c>
      <c r="G5742" t="s">
        <v>26</v>
      </c>
      <c r="H5742" t="s">
        <v>21</v>
      </c>
      <c r="I5742" t="s">
        <v>20</v>
      </c>
      <c r="J5742" t="s">
        <v>20</v>
      </c>
      <c r="K5742" t="s">
        <v>22</v>
      </c>
      <c r="L5742" t="s">
        <v>140</v>
      </c>
      <c r="M5742" t="s">
        <v>125</v>
      </c>
      <c r="N5742">
        <v>40.13747</v>
      </c>
      <c r="O5742">
        <v>-111.598005</v>
      </c>
      <c r="P5742">
        <v>4657.4823340000003</v>
      </c>
      <c r="Q5742">
        <v>1384</v>
      </c>
      <c r="R5742">
        <v>0</v>
      </c>
    </row>
    <row r="5743" spans="1:18" x14ac:dyDescent="0.25">
      <c r="A5743">
        <v>5742</v>
      </c>
      <c r="B5743">
        <v>94</v>
      </c>
      <c r="C5743" t="e">
        <f>-IoR27JpGpayRfpR96THRV</f>
        <v>#NAME?</v>
      </c>
      <c r="D5743" t="s">
        <v>272</v>
      </c>
      <c r="E5743">
        <v>326.31200000000001</v>
      </c>
      <c r="F5743" t="s">
        <v>21</v>
      </c>
      <c r="G5743" t="s">
        <v>26</v>
      </c>
      <c r="H5743" t="s">
        <v>21</v>
      </c>
      <c r="I5743" t="s">
        <v>20</v>
      </c>
      <c r="J5743" t="s">
        <v>20</v>
      </c>
      <c r="K5743" t="s">
        <v>22</v>
      </c>
      <c r="L5743" t="s">
        <v>140</v>
      </c>
      <c r="M5743" t="s">
        <v>125</v>
      </c>
      <c r="N5743">
        <v>40.138539999999999</v>
      </c>
      <c r="O5743">
        <v>-111.598252</v>
      </c>
      <c r="P5743">
        <v>4659.2557690000003</v>
      </c>
      <c r="Q5743">
        <v>1384</v>
      </c>
      <c r="R5743">
        <v>0</v>
      </c>
    </row>
    <row r="5744" spans="1:18" x14ac:dyDescent="0.25">
      <c r="A5744">
        <v>5743</v>
      </c>
      <c r="B5744">
        <v>94</v>
      </c>
      <c r="C5744" t="e">
        <f>-IoR2LQfHVTU8_wwhFSK9k</f>
        <v>#NAME?</v>
      </c>
      <c r="D5744" t="s">
        <v>272</v>
      </c>
      <c r="E5744">
        <v>326.52100000000002</v>
      </c>
      <c r="F5744" t="s">
        <v>21</v>
      </c>
      <c r="G5744" t="s">
        <v>26</v>
      </c>
      <c r="H5744" t="s">
        <v>21</v>
      </c>
      <c r="I5744" t="s">
        <v>20</v>
      </c>
      <c r="J5744" t="s">
        <v>20</v>
      </c>
      <c r="K5744" t="s">
        <v>22</v>
      </c>
      <c r="L5744" t="s">
        <v>140</v>
      </c>
      <c r="M5744" t="s">
        <v>125</v>
      </c>
      <c r="N5744">
        <v>40.141171999999997</v>
      </c>
      <c r="O5744">
        <v>-111.600025</v>
      </c>
      <c r="P5744">
        <v>4651.4163740000004</v>
      </c>
      <c r="Q5744">
        <v>1384</v>
      </c>
      <c r="R5744">
        <v>0</v>
      </c>
    </row>
    <row r="5745" spans="1:18" x14ac:dyDescent="0.25">
      <c r="A5745">
        <v>5744</v>
      </c>
      <c r="B5745">
        <v>94</v>
      </c>
      <c r="C5745" t="e">
        <f>-IoR2jb8HE9QDxHh1-rnAF</f>
        <v>#NAME?</v>
      </c>
      <c r="D5745" t="s">
        <v>272</v>
      </c>
      <c r="E5745">
        <v>326.76499999999999</v>
      </c>
      <c r="F5745" t="s">
        <v>21</v>
      </c>
      <c r="G5745" t="s">
        <v>26</v>
      </c>
      <c r="H5745" t="s">
        <v>21</v>
      </c>
      <c r="I5745" t="s">
        <v>20</v>
      </c>
      <c r="J5745" t="s">
        <v>20</v>
      </c>
      <c r="K5745" t="s">
        <v>22</v>
      </c>
      <c r="L5745" t="s">
        <v>140</v>
      </c>
      <c r="M5745" t="s">
        <v>125</v>
      </c>
      <c r="N5745">
        <v>40.144143999999997</v>
      </c>
      <c r="O5745">
        <v>-111.60242599999999</v>
      </c>
      <c r="P5745">
        <v>4613.2074140000004</v>
      </c>
      <c r="Q5745">
        <v>1384</v>
      </c>
      <c r="R5745">
        <v>0</v>
      </c>
    </row>
    <row r="5746" spans="1:18" x14ac:dyDescent="0.25">
      <c r="A5746">
        <v>5745</v>
      </c>
      <c r="B5746">
        <v>94</v>
      </c>
      <c r="C5746">
        <v>31406462</v>
      </c>
      <c r="D5746" t="s">
        <v>30</v>
      </c>
      <c r="E5746">
        <v>3.7639999999999998</v>
      </c>
      <c r="F5746" t="s">
        <v>21</v>
      </c>
      <c r="G5746" t="s">
        <v>26</v>
      </c>
      <c r="H5746" t="s">
        <v>21</v>
      </c>
      <c r="I5746" t="s">
        <v>20</v>
      </c>
      <c r="J5746" t="s">
        <v>20</v>
      </c>
      <c r="K5746" t="s">
        <v>31</v>
      </c>
      <c r="L5746" t="s">
        <v>32</v>
      </c>
      <c r="M5746" t="s">
        <v>33</v>
      </c>
      <c r="N5746">
        <v>40.573402000000002</v>
      </c>
      <c r="O5746">
        <v>-111.777854</v>
      </c>
      <c r="P5746">
        <v>5314.731033</v>
      </c>
      <c r="Q5746">
        <v>415</v>
      </c>
      <c r="R5746">
        <v>0</v>
      </c>
    </row>
    <row r="5747" spans="1:18" x14ac:dyDescent="0.25">
      <c r="A5747">
        <v>5746</v>
      </c>
      <c r="B5747">
        <v>94</v>
      </c>
      <c r="C5747">
        <v>530933</v>
      </c>
      <c r="D5747" t="s">
        <v>44</v>
      </c>
      <c r="E5747">
        <v>3.7709999999999999</v>
      </c>
      <c r="F5747" t="s">
        <v>21</v>
      </c>
      <c r="G5747" t="s">
        <v>26</v>
      </c>
      <c r="H5747" t="s">
        <v>21</v>
      </c>
      <c r="I5747" t="s">
        <v>20</v>
      </c>
      <c r="J5747" t="s">
        <v>20</v>
      </c>
      <c r="K5747" t="s">
        <v>41</v>
      </c>
      <c r="L5747" t="s">
        <v>45</v>
      </c>
      <c r="M5747" t="s">
        <v>46</v>
      </c>
      <c r="N5747">
        <v>40.932006999999999</v>
      </c>
      <c r="O5747">
        <v>-111.878942</v>
      </c>
      <c r="P5747">
        <v>4239.5399740000003</v>
      </c>
      <c r="Q5747">
        <v>1395</v>
      </c>
      <c r="R5747">
        <v>0</v>
      </c>
    </row>
    <row r="5748" spans="1:18" x14ac:dyDescent="0.25">
      <c r="A5748">
        <v>5747</v>
      </c>
      <c r="B5748">
        <v>94</v>
      </c>
      <c r="C5748" t="s">
        <v>757</v>
      </c>
      <c r="D5748" t="s">
        <v>129</v>
      </c>
      <c r="E5748">
        <v>3.7719999999999998</v>
      </c>
      <c r="F5748" t="s">
        <v>21</v>
      </c>
      <c r="G5748" t="s">
        <v>20</v>
      </c>
      <c r="H5748" t="s">
        <v>21</v>
      </c>
      <c r="I5748" t="s">
        <v>20</v>
      </c>
      <c r="J5748" t="s">
        <v>20</v>
      </c>
      <c r="K5748" t="s">
        <v>31</v>
      </c>
      <c r="L5748" t="s">
        <v>130</v>
      </c>
      <c r="M5748" t="s">
        <v>131</v>
      </c>
      <c r="N5748">
        <v>40.620341000000003</v>
      </c>
      <c r="O5748">
        <v>-111.21958600000001</v>
      </c>
      <c r="P5748">
        <v>6768.0136400000001</v>
      </c>
      <c r="Q5748">
        <v>340</v>
      </c>
      <c r="R5748">
        <v>0</v>
      </c>
    </row>
    <row r="5749" spans="1:18" x14ac:dyDescent="0.25">
      <c r="A5749">
        <v>5748</v>
      </c>
      <c r="B5749">
        <v>94</v>
      </c>
      <c r="C5749">
        <v>31301895</v>
      </c>
      <c r="D5749" t="s">
        <v>339</v>
      </c>
      <c r="E5749">
        <v>3.774</v>
      </c>
      <c r="F5749" t="s">
        <v>21</v>
      </c>
      <c r="G5749" t="s">
        <v>20</v>
      </c>
      <c r="H5749" t="s">
        <v>21</v>
      </c>
      <c r="I5749" t="s">
        <v>20</v>
      </c>
      <c r="J5749" t="s">
        <v>20</v>
      </c>
      <c r="K5749" t="s">
        <v>41</v>
      </c>
      <c r="L5749" t="s">
        <v>95</v>
      </c>
      <c r="M5749" t="s">
        <v>73</v>
      </c>
      <c r="N5749">
        <v>41.902402000000002</v>
      </c>
      <c r="O5749">
        <v>-112.04571300000001</v>
      </c>
      <c r="P5749">
        <v>4756.6306409999997</v>
      </c>
      <c r="Q5749">
        <v>1417</v>
      </c>
      <c r="R5749">
        <v>0</v>
      </c>
    </row>
    <row r="5750" spans="1:18" x14ac:dyDescent="0.25">
      <c r="A5750">
        <v>5749</v>
      </c>
      <c r="B5750">
        <v>94</v>
      </c>
      <c r="C5750" t="s">
        <v>758</v>
      </c>
      <c r="D5750" t="s">
        <v>189</v>
      </c>
      <c r="E5750">
        <v>3.7770000000000001</v>
      </c>
      <c r="F5750" t="s">
        <v>21</v>
      </c>
      <c r="G5750" t="s">
        <v>26</v>
      </c>
      <c r="H5750" t="s">
        <v>21</v>
      </c>
      <c r="I5750" t="s">
        <v>20</v>
      </c>
      <c r="J5750" t="s">
        <v>20</v>
      </c>
      <c r="K5750" t="s">
        <v>41</v>
      </c>
      <c r="L5750" t="s">
        <v>81</v>
      </c>
      <c r="M5750" t="s">
        <v>190</v>
      </c>
      <c r="N5750">
        <v>41.207835000000003</v>
      </c>
      <c r="O5750">
        <v>-111.94852299999999</v>
      </c>
      <c r="P5750">
        <v>4481.9100239999998</v>
      </c>
      <c r="Q5750">
        <v>412</v>
      </c>
      <c r="R5750">
        <v>0</v>
      </c>
    </row>
    <row r="5751" spans="1:18" x14ac:dyDescent="0.25">
      <c r="A5751">
        <v>5750</v>
      </c>
      <c r="B5751">
        <v>94</v>
      </c>
      <c r="C5751" t="e">
        <f>-Ip07wjmGeLOIK0v5qIbKk</f>
        <v>#NAME?</v>
      </c>
      <c r="D5751" t="s">
        <v>272</v>
      </c>
      <c r="E5751">
        <v>374.60300000000001</v>
      </c>
      <c r="F5751" t="s">
        <v>21</v>
      </c>
      <c r="G5751" t="s">
        <v>26</v>
      </c>
      <c r="H5751" t="s">
        <v>21</v>
      </c>
      <c r="I5751" t="s">
        <v>20</v>
      </c>
      <c r="J5751" t="s">
        <v>20</v>
      </c>
      <c r="K5751" t="s">
        <v>31</v>
      </c>
      <c r="L5751" t="s">
        <v>66</v>
      </c>
      <c r="M5751" t="s">
        <v>49</v>
      </c>
      <c r="N5751">
        <v>40.701801000000003</v>
      </c>
      <c r="O5751">
        <v>-111.88826299999999</v>
      </c>
      <c r="P5751">
        <v>4197.8400929999998</v>
      </c>
      <c r="Q5751">
        <v>1384</v>
      </c>
      <c r="R5751">
        <v>0</v>
      </c>
    </row>
    <row r="5752" spans="1:18" x14ac:dyDescent="0.25">
      <c r="A5752">
        <v>5751</v>
      </c>
      <c r="B5752">
        <v>94</v>
      </c>
      <c r="C5752">
        <v>31825938</v>
      </c>
      <c r="D5752" t="s">
        <v>61</v>
      </c>
      <c r="E5752">
        <v>21.959</v>
      </c>
      <c r="F5752" t="s">
        <v>21</v>
      </c>
      <c r="G5752" t="s">
        <v>26</v>
      </c>
      <c r="H5752" t="s">
        <v>21</v>
      </c>
      <c r="I5752" t="s">
        <v>20</v>
      </c>
      <c r="J5752" t="s">
        <v>20</v>
      </c>
      <c r="K5752" t="s">
        <v>22</v>
      </c>
      <c r="L5752" t="s">
        <v>60</v>
      </c>
      <c r="M5752" t="s">
        <v>328</v>
      </c>
      <c r="N5752">
        <v>40.424208</v>
      </c>
      <c r="O5752">
        <v>-111.489796</v>
      </c>
      <c r="P5752">
        <v>5423.783993</v>
      </c>
      <c r="Q5752">
        <v>403</v>
      </c>
      <c r="R5752">
        <v>0</v>
      </c>
    </row>
    <row r="5753" spans="1:18" x14ac:dyDescent="0.25">
      <c r="A5753">
        <v>5752</v>
      </c>
      <c r="B5753">
        <v>94</v>
      </c>
      <c r="C5753">
        <v>31305179</v>
      </c>
      <c r="D5753" t="s">
        <v>116</v>
      </c>
      <c r="E5753">
        <v>21.972999999999999</v>
      </c>
      <c r="F5753" t="s">
        <v>21</v>
      </c>
      <c r="G5753" t="s">
        <v>26</v>
      </c>
      <c r="H5753" t="s">
        <v>21</v>
      </c>
      <c r="I5753" t="s">
        <v>20</v>
      </c>
      <c r="J5753" t="s">
        <v>20</v>
      </c>
      <c r="K5753" t="s">
        <v>41</v>
      </c>
      <c r="L5753" t="s">
        <v>42</v>
      </c>
      <c r="M5753" t="s">
        <v>43</v>
      </c>
      <c r="N5753">
        <v>41.677152999999997</v>
      </c>
      <c r="O5753">
        <v>-111.881362</v>
      </c>
      <c r="P5753">
        <v>4440.7079890000005</v>
      </c>
      <c r="Q5753">
        <v>324</v>
      </c>
      <c r="R5753">
        <v>0</v>
      </c>
    </row>
    <row r="5754" spans="1:18" x14ac:dyDescent="0.25">
      <c r="A5754">
        <v>5753</v>
      </c>
      <c r="B5754">
        <v>94</v>
      </c>
      <c r="C5754" t="e">
        <f>-IpA-NUpGcaReb1HoymjiV</f>
        <v>#NAME?</v>
      </c>
      <c r="D5754" t="s">
        <v>132</v>
      </c>
      <c r="E5754">
        <v>21.981999999999999</v>
      </c>
      <c r="F5754" t="s">
        <v>21</v>
      </c>
      <c r="G5754" t="s">
        <v>26</v>
      </c>
      <c r="H5754" t="s">
        <v>21</v>
      </c>
      <c r="I5754" t="s">
        <v>20</v>
      </c>
      <c r="J5754" t="s">
        <v>20</v>
      </c>
      <c r="K5754" t="s">
        <v>22</v>
      </c>
      <c r="L5754" t="s">
        <v>133</v>
      </c>
      <c r="M5754" t="s">
        <v>134</v>
      </c>
      <c r="N5754">
        <v>40.403695999999997</v>
      </c>
      <c r="O5754">
        <v>-109.831175</v>
      </c>
      <c r="P5754">
        <v>5376.8066250000002</v>
      </c>
      <c r="Q5754">
        <v>1405</v>
      </c>
      <c r="R5754">
        <v>0</v>
      </c>
    </row>
    <row r="5755" spans="1:18" x14ac:dyDescent="0.25">
      <c r="A5755">
        <v>5754</v>
      </c>
      <c r="B5755">
        <v>94</v>
      </c>
      <c r="C5755">
        <v>31670022</v>
      </c>
      <c r="D5755" t="s">
        <v>213</v>
      </c>
      <c r="E5755">
        <v>210.41200000000001</v>
      </c>
      <c r="F5755" t="s">
        <v>21</v>
      </c>
      <c r="G5755" t="s">
        <v>26</v>
      </c>
      <c r="H5755" t="s">
        <v>21</v>
      </c>
      <c r="I5755" t="s">
        <v>20</v>
      </c>
      <c r="J5755" t="s">
        <v>20</v>
      </c>
      <c r="K5755" t="s">
        <v>27</v>
      </c>
      <c r="L5755" t="s">
        <v>307</v>
      </c>
      <c r="M5755" t="s">
        <v>159</v>
      </c>
      <c r="N5755">
        <v>39.928500999999997</v>
      </c>
      <c r="O5755">
        <v>-111.08300699999999</v>
      </c>
      <c r="P5755">
        <v>7429.1780390000004</v>
      </c>
      <c r="Q5755">
        <v>1332</v>
      </c>
      <c r="R5755">
        <v>0</v>
      </c>
    </row>
    <row r="5756" spans="1:18" x14ac:dyDescent="0.25">
      <c r="A5756">
        <v>5755</v>
      </c>
      <c r="B5756">
        <v>94</v>
      </c>
      <c r="C5756">
        <v>31670044</v>
      </c>
      <c r="D5756" t="s">
        <v>213</v>
      </c>
      <c r="E5756">
        <v>211.15799999999999</v>
      </c>
      <c r="F5756" t="s">
        <v>21</v>
      </c>
      <c r="G5756" t="s">
        <v>26</v>
      </c>
      <c r="H5756" t="s">
        <v>21</v>
      </c>
      <c r="I5756" t="s">
        <v>20</v>
      </c>
      <c r="J5756" t="s">
        <v>20</v>
      </c>
      <c r="K5756" t="s">
        <v>27</v>
      </c>
      <c r="L5756" t="s">
        <v>307</v>
      </c>
      <c r="M5756" t="s">
        <v>159</v>
      </c>
      <c r="N5756">
        <v>39.925161000000003</v>
      </c>
      <c r="O5756">
        <v>-111.07028800000001</v>
      </c>
      <c r="P5756">
        <v>7359.6975620000003</v>
      </c>
      <c r="Q5756">
        <v>1332</v>
      </c>
      <c r="R5756">
        <v>0</v>
      </c>
    </row>
    <row r="5757" spans="1:18" x14ac:dyDescent="0.25">
      <c r="A5757">
        <v>5756</v>
      </c>
      <c r="B5757">
        <v>94</v>
      </c>
      <c r="C5757" t="e">
        <f>-IoM3oD8Ix1sg6JMfFhtzF</f>
        <v>#NAME?</v>
      </c>
      <c r="D5757" t="s">
        <v>272</v>
      </c>
      <c r="E5757">
        <v>227.30500000000001</v>
      </c>
      <c r="F5757" t="s">
        <v>21</v>
      </c>
      <c r="G5757" t="s">
        <v>26</v>
      </c>
      <c r="H5757" t="s">
        <v>21</v>
      </c>
      <c r="I5757" t="s">
        <v>20</v>
      </c>
      <c r="J5757" t="s">
        <v>20</v>
      </c>
      <c r="K5757" t="s">
        <v>27</v>
      </c>
      <c r="L5757" t="s">
        <v>183</v>
      </c>
      <c r="M5757" t="s">
        <v>174</v>
      </c>
      <c r="N5757">
        <v>38.960334000000003</v>
      </c>
      <c r="O5757">
        <v>-111.86004</v>
      </c>
      <c r="P5757">
        <v>5092.7359800000004</v>
      </c>
      <c r="Q5757">
        <v>1384</v>
      </c>
      <c r="R5757">
        <v>0</v>
      </c>
    </row>
    <row r="5758" spans="1:18" x14ac:dyDescent="0.25">
      <c r="A5758">
        <v>5757</v>
      </c>
      <c r="B5758">
        <v>94</v>
      </c>
      <c r="C5758" t="e">
        <f>-IoM49HPIGXCNhuiUV_SfF</f>
        <v>#NAME?</v>
      </c>
      <c r="D5758" t="s">
        <v>272</v>
      </c>
      <c r="E5758">
        <v>227.399</v>
      </c>
      <c r="F5758" t="s">
        <v>21</v>
      </c>
      <c r="G5758" t="s">
        <v>26</v>
      </c>
      <c r="H5758" t="s">
        <v>21</v>
      </c>
      <c r="I5758" t="s">
        <v>20</v>
      </c>
      <c r="J5758" t="s">
        <v>20</v>
      </c>
      <c r="K5758" t="s">
        <v>27</v>
      </c>
      <c r="L5758" t="s">
        <v>183</v>
      </c>
      <c r="M5758" t="s">
        <v>174</v>
      </c>
      <c r="N5758">
        <v>38.961692999999997</v>
      </c>
      <c r="O5758">
        <v>-111.860043</v>
      </c>
      <c r="P5758">
        <v>5090.0259850000002</v>
      </c>
      <c r="Q5758">
        <v>1384</v>
      </c>
      <c r="R5758">
        <v>0</v>
      </c>
    </row>
    <row r="5759" spans="1:18" x14ac:dyDescent="0.25">
      <c r="A5759">
        <v>5758</v>
      </c>
      <c r="B5759">
        <v>94</v>
      </c>
      <c r="C5759" t="e">
        <f>-IoM4KucH1ylaNcqpbGZKk</f>
        <v>#NAME?</v>
      </c>
      <c r="D5759" t="s">
        <v>272</v>
      </c>
      <c r="E5759">
        <v>227.512</v>
      </c>
      <c r="F5759" t="s">
        <v>21</v>
      </c>
      <c r="G5759" t="s">
        <v>26</v>
      </c>
      <c r="H5759" t="s">
        <v>21</v>
      </c>
      <c r="I5759" t="s">
        <v>20</v>
      </c>
      <c r="J5759" t="s">
        <v>20</v>
      </c>
      <c r="K5759" t="s">
        <v>27</v>
      </c>
      <c r="L5759" t="s">
        <v>183</v>
      </c>
      <c r="M5759" t="s">
        <v>174</v>
      </c>
      <c r="N5759">
        <v>38.963329999999999</v>
      </c>
      <c r="O5759">
        <v>-111.86003700000001</v>
      </c>
      <c r="P5759">
        <v>5087.4068340000003</v>
      </c>
      <c r="Q5759">
        <v>1384</v>
      </c>
      <c r="R5759">
        <v>0</v>
      </c>
    </row>
    <row r="5760" spans="1:18" x14ac:dyDescent="0.25">
      <c r="A5760">
        <v>5759</v>
      </c>
      <c r="B5760">
        <v>94</v>
      </c>
      <c r="C5760" t="e">
        <f>-IoM4aQiFHToo6Ha5RapqV</f>
        <v>#NAME?</v>
      </c>
      <c r="D5760" t="s">
        <v>272</v>
      </c>
      <c r="E5760">
        <v>227.64599999999999</v>
      </c>
      <c r="F5760" t="s">
        <v>21</v>
      </c>
      <c r="G5760" t="s">
        <v>26</v>
      </c>
      <c r="H5760" t="s">
        <v>21</v>
      </c>
      <c r="I5760" t="s">
        <v>20</v>
      </c>
      <c r="J5760" t="s">
        <v>20</v>
      </c>
      <c r="K5760" t="s">
        <v>27</v>
      </c>
      <c r="L5760" t="s">
        <v>183</v>
      </c>
      <c r="M5760" t="s">
        <v>174</v>
      </c>
      <c r="N5760">
        <v>38.965274999999998</v>
      </c>
      <c r="O5760">
        <v>-111.860032</v>
      </c>
      <c r="P5760">
        <v>5084.2452519999997</v>
      </c>
      <c r="Q5760">
        <v>1384</v>
      </c>
      <c r="R5760">
        <v>0</v>
      </c>
    </row>
    <row r="5761" spans="1:18" x14ac:dyDescent="0.25">
      <c r="A5761">
        <v>5760</v>
      </c>
      <c r="B5761">
        <v>94</v>
      </c>
      <c r="C5761">
        <v>31493998</v>
      </c>
      <c r="D5761" t="s">
        <v>288</v>
      </c>
      <c r="E5761">
        <v>251.827</v>
      </c>
      <c r="F5761" t="s">
        <v>21</v>
      </c>
      <c r="G5761" t="s">
        <v>26</v>
      </c>
      <c r="H5761" t="s">
        <v>21</v>
      </c>
      <c r="I5761" t="s">
        <v>20</v>
      </c>
      <c r="J5761" t="s">
        <v>20</v>
      </c>
      <c r="K5761" t="s">
        <v>27</v>
      </c>
      <c r="L5761" t="s">
        <v>307</v>
      </c>
      <c r="M5761" t="s">
        <v>120</v>
      </c>
      <c r="N5761">
        <v>39.727685999999999</v>
      </c>
      <c r="O5761">
        <v>-110.863888</v>
      </c>
      <c r="P5761">
        <v>6032.5513430000001</v>
      </c>
      <c r="Q5761">
        <v>350</v>
      </c>
      <c r="R5761">
        <v>0</v>
      </c>
    </row>
    <row r="5762" spans="1:18" x14ac:dyDescent="0.25">
      <c r="A5762">
        <v>5761</v>
      </c>
      <c r="B5762">
        <v>94</v>
      </c>
      <c r="C5762">
        <v>31712491</v>
      </c>
      <c r="D5762" t="s">
        <v>213</v>
      </c>
      <c r="E5762">
        <v>252.53899999999999</v>
      </c>
      <c r="F5762" t="s">
        <v>21</v>
      </c>
      <c r="G5762" t="s">
        <v>20</v>
      </c>
      <c r="H5762" t="s">
        <v>21</v>
      </c>
      <c r="I5762" t="s">
        <v>20</v>
      </c>
      <c r="J5762" t="s">
        <v>20</v>
      </c>
      <c r="K5762" t="s">
        <v>27</v>
      </c>
      <c r="L5762" t="s">
        <v>158</v>
      </c>
      <c r="M5762" t="s">
        <v>190</v>
      </c>
      <c r="N5762">
        <v>39.546987000000001</v>
      </c>
      <c r="O5762">
        <v>-110.63260099999999</v>
      </c>
      <c r="P5762">
        <v>5650.5960519999999</v>
      </c>
      <c r="Q5762">
        <v>1332</v>
      </c>
      <c r="R5762">
        <v>0</v>
      </c>
    </row>
    <row r="5763" spans="1:18" x14ac:dyDescent="0.25">
      <c r="A5763">
        <v>5762</v>
      </c>
      <c r="B5763">
        <v>94</v>
      </c>
      <c r="C5763" t="e">
        <f>-IoI4gFZHciA72f_g6BuHV</f>
        <v>#NAME?</v>
      </c>
      <c r="D5763" t="s">
        <v>272</v>
      </c>
      <c r="E5763">
        <v>252.90700000000001</v>
      </c>
      <c r="F5763" t="s">
        <v>21</v>
      </c>
      <c r="G5763" t="s">
        <v>26</v>
      </c>
      <c r="H5763" t="s">
        <v>21</v>
      </c>
      <c r="I5763" t="s">
        <v>20</v>
      </c>
      <c r="J5763" t="s">
        <v>20</v>
      </c>
      <c r="K5763" t="s">
        <v>27</v>
      </c>
      <c r="L5763" t="s">
        <v>350</v>
      </c>
      <c r="M5763" t="s">
        <v>174</v>
      </c>
      <c r="N5763">
        <v>39.234484000000002</v>
      </c>
      <c r="O5763">
        <v>-111.66188699999999</v>
      </c>
      <c r="P5763">
        <v>5415.8088980000002</v>
      </c>
      <c r="Q5763">
        <v>1384</v>
      </c>
      <c r="R5763">
        <v>0</v>
      </c>
    </row>
    <row r="5764" spans="1:18" x14ac:dyDescent="0.25">
      <c r="A5764">
        <v>5763</v>
      </c>
      <c r="B5764">
        <v>94</v>
      </c>
      <c r="C5764">
        <v>31713352</v>
      </c>
      <c r="D5764" t="s">
        <v>213</v>
      </c>
      <c r="E5764">
        <v>253.084</v>
      </c>
      <c r="F5764" t="s">
        <v>21</v>
      </c>
      <c r="G5764" t="s">
        <v>26</v>
      </c>
      <c r="H5764" t="s">
        <v>21</v>
      </c>
      <c r="I5764" t="s">
        <v>20</v>
      </c>
      <c r="J5764" t="s">
        <v>20</v>
      </c>
      <c r="K5764" t="s">
        <v>27</v>
      </c>
      <c r="L5764" t="s">
        <v>158</v>
      </c>
      <c r="M5764" t="s">
        <v>190</v>
      </c>
      <c r="N5764">
        <v>39.546179000000002</v>
      </c>
      <c r="O5764">
        <v>-110.62250400000001</v>
      </c>
      <c r="P5764">
        <v>5688.8074059999999</v>
      </c>
      <c r="Q5764">
        <v>1332</v>
      </c>
      <c r="R5764">
        <v>0</v>
      </c>
    </row>
    <row r="5765" spans="1:18" x14ac:dyDescent="0.25">
      <c r="A5765">
        <v>5764</v>
      </c>
      <c r="B5765">
        <v>94</v>
      </c>
      <c r="C5765" t="e">
        <f>-IoI59KBHOyUwWVkL_h8VF</f>
        <v>#NAME?</v>
      </c>
      <c r="D5765" t="s">
        <v>272</v>
      </c>
      <c r="E5765">
        <v>253.29</v>
      </c>
      <c r="F5765" t="s">
        <v>21</v>
      </c>
      <c r="G5765" t="s">
        <v>26</v>
      </c>
      <c r="H5765" t="s">
        <v>21</v>
      </c>
      <c r="I5765" t="s">
        <v>20</v>
      </c>
      <c r="J5765" t="s">
        <v>20</v>
      </c>
      <c r="K5765" t="s">
        <v>27</v>
      </c>
      <c r="L5765" t="s">
        <v>350</v>
      </c>
      <c r="M5765" t="s">
        <v>174</v>
      </c>
      <c r="N5765">
        <v>39.238826000000003</v>
      </c>
      <c r="O5765">
        <v>-111.657467</v>
      </c>
      <c r="P5765">
        <v>5436.8630149999999</v>
      </c>
      <c r="Q5765">
        <v>1384</v>
      </c>
      <c r="R5765">
        <v>0</v>
      </c>
    </row>
    <row r="5766" spans="1:18" x14ac:dyDescent="0.25">
      <c r="A5766">
        <v>5765</v>
      </c>
      <c r="B5766">
        <v>94</v>
      </c>
      <c r="C5766" t="e">
        <f>-IoISwkJGkuld-n4T4T2oF</f>
        <v>#NAME?</v>
      </c>
      <c r="D5766" t="s">
        <v>272</v>
      </c>
      <c r="E5766">
        <v>254.291</v>
      </c>
      <c r="F5766" t="s">
        <v>21</v>
      </c>
      <c r="G5766" t="s">
        <v>26</v>
      </c>
      <c r="H5766" t="s">
        <v>21</v>
      </c>
      <c r="I5766" t="s">
        <v>20</v>
      </c>
      <c r="J5766" t="s">
        <v>20</v>
      </c>
      <c r="K5766" t="s">
        <v>27</v>
      </c>
      <c r="L5766" t="s">
        <v>350</v>
      </c>
      <c r="M5766" t="s">
        <v>174</v>
      </c>
      <c r="N5766">
        <v>39.249459999999999</v>
      </c>
      <c r="O5766">
        <v>-111.644718</v>
      </c>
      <c r="P5766">
        <v>5600.9133739999997</v>
      </c>
      <c r="Q5766">
        <v>1384</v>
      </c>
      <c r="R5766">
        <v>0</v>
      </c>
    </row>
    <row r="5767" spans="1:18" x14ac:dyDescent="0.25">
      <c r="A5767">
        <v>5766</v>
      </c>
      <c r="B5767">
        <v>94</v>
      </c>
      <c r="C5767">
        <v>31713363</v>
      </c>
      <c r="D5767" t="s">
        <v>213</v>
      </c>
      <c r="E5767">
        <v>254.45400000000001</v>
      </c>
      <c r="F5767" t="s">
        <v>21</v>
      </c>
      <c r="G5767" t="s">
        <v>26</v>
      </c>
      <c r="H5767" t="s">
        <v>21</v>
      </c>
      <c r="I5767" t="s">
        <v>20</v>
      </c>
      <c r="J5767" t="s">
        <v>20</v>
      </c>
      <c r="K5767" t="s">
        <v>27</v>
      </c>
      <c r="L5767" t="s">
        <v>158</v>
      </c>
      <c r="M5767" t="s">
        <v>190</v>
      </c>
      <c r="N5767">
        <v>39.537049000000003</v>
      </c>
      <c r="O5767">
        <v>-110.599633</v>
      </c>
      <c r="P5767">
        <v>5620.2486179999996</v>
      </c>
      <c r="Q5767">
        <v>1332</v>
      </c>
      <c r="R5767">
        <v>0</v>
      </c>
    </row>
    <row r="5768" spans="1:18" x14ac:dyDescent="0.25">
      <c r="A5768">
        <v>5767</v>
      </c>
      <c r="B5768">
        <v>94</v>
      </c>
      <c r="C5768" t="e">
        <f>-IoI9KRzGkuiW5L2l5fbIF</f>
        <v>#NAME?</v>
      </c>
      <c r="D5768" t="s">
        <v>272</v>
      </c>
      <c r="E5768">
        <v>254.75</v>
      </c>
      <c r="F5768" t="s">
        <v>21</v>
      </c>
      <c r="G5768" t="s">
        <v>26</v>
      </c>
      <c r="H5768" t="s">
        <v>21</v>
      </c>
      <c r="I5768" t="s">
        <v>20</v>
      </c>
      <c r="J5768" t="s">
        <v>20</v>
      </c>
      <c r="K5768" t="s">
        <v>27</v>
      </c>
      <c r="L5768" t="s">
        <v>350</v>
      </c>
      <c r="M5768" t="s">
        <v>174</v>
      </c>
      <c r="N5768">
        <v>39.254294000000002</v>
      </c>
      <c r="O5768">
        <v>-111.638823</v>
      </c>
      <c r="P5768">
        <v>5627.6184329999996</v>
      </c>
      <c r="Q5768">
        <v>1384</v>
      </c>
      <c r="R5768">
        <v>0</v>
      </c>
    </row>
    <row r="5769" spans="1:18" x14ac:dyDescent="0.25">
      <c r="A5769">
        <v>5768</v>
      </c>
      <c r="B5769">
        <v>94</v>
      </c>
      <c r="C5769" t="e">
        <f>-IoIA_W9Iqmm-FvwXsl8KF</f>
        <v>#NAME?</v>
      </c>
      <c r="D5769" t="s">
        <v>272</v>
      </c>
      <c r="E5769">
        <v>254.94900000000001</v>
      </c>
      <c r="F5769" t="s">
        <v>21</v>
      </c>
      <c r="G5769" t="s">
        <v>26</v>
      </c>
      <c r="H5769" t="s">
        <v>21</v>
      </c>
      <c r="I5769" t="s">
        <v>20</v>
      </c>
      <c r="J5769" t="s">
        <v>20</v>
      </c>
      <c r="K5769" t="s">
        <v>27</v>
      </c>
      <c r="L5769" t="s">
        <v>350</v>
      </c>
      <c r="M5769" t="s">
        <v>174</v>
      </c>
      <c r="N5769">
        <v>39.256715</v>
      </c>
      <c r="O5769">
        <v>-111.637063</v>
      </c>
      <c r="P5769">
        <v>5627.3803390000003</v>
      </c>
      <c r="Q5769">
        <v>1384</v>
      </c>
      <c r="R5769">
        <v>0</v>
      </c>
    </row>
    <row r="5770" spans="1:18" x14ac:dyDescent="0.25">
      <c r="A5770">
        <v>5769</v>
      </c>
      <c r="B5770">
        <v>94</v>
      </c>
      <c r="C5770" t="e">
        <f>-IoIC2tZH998yTwa-IZ4yk</f>
        <v>#NAME?</v>
      </c>
      <c r="D5770" t="s">
        <v>272</v>
      </c>
      <c r="E5770">
        <v>255.048</v>
      </c>
      <c r="F5770" t="s">
        <v>21</v>
      </c>
      <c r="G5770" t="s">
        <v>26</v>
      </c>
      <c r="H5770" t="s">
        <v>21</v>
      </c>
      <c r="I5770" t="s">
        <v>20</v>
      </c>
      <c r="J5770" t="s">
        <v>20</v>
      </c>
      <c r="K5770" t="s">
        <v>27</v>
      </c>
      <c r="L5770" t="s">
        <v>350</v>
      </c>
      <c r="M5770" t="s">
        <v>174</v>
      </c>
      <c r="N5770">
        <v>39.258158999999999</v>
      </c>
      <c r="O5770">
        <v>-111.63703599999999</v>
      </c>
      <c r="P5770">
        <v>5623.0030930000003</v>
      </c>
      <c r="Q5770">
        <v>1384</v>
      </c>
      <c r="R5770">
        <v>0</v>
      </c>
    </row>
    <row r="5771" spans="1:18" x14ac:dyDescent="0.25">
      <c r="A5771">
        <v>5770</v>
      </c>
      <c r="B5771">
        <v>94</v>
      </c>
      <c r="C5771" t="s">
        <v>759</v>
      </c>
      <c r="D5771" t="s">
        <v>272</v>
      </c>
      <c r="E5771">
        <v>255.148</v>
      </c>
      <c r="F5771" t="s">
        <v>21</v>
      </c>
      <c r="G5771" t="s">
        <v>26</v>
      </c>
      <c r="H5771" t="s">
        <v>21</v>
      </c>
      <c r="I5771" t="s">
        <v>20</v>
      </c>
      <c r="J5771" t="s">
        <v>20</v>
      </c>
      <c r="K5771" t="s">
        <v>27</v>
      </c>
      <c r="L5771" t="s">
        <v>350</v>
      </c>
      <c r="M5771" t="s">
        <v>174</v>
      </c>
      <c r="N5771">
        <v>39.259614999999997</v>
      </c>
      <c r="O5771">
        <v>-111.637047</v>
      </c>
      <c r="P5771">
        <v>5616.9505929999996</v>
      </c>
      <c r="Q5771">
        <v>1384</v>
      </c>
      <c r="R5771">
        <v>0</v>
      </c>
    </row>
    <row r="5772" spans="1:18" x14ac:dyDescent="0.25">
      <c r="A5772">
        <v>5771</v>
      </c>
      <c r="B5772">
        <v>94</v>
      </c>
      <c r="C5772" t="s">
        <v>760</v>
      </c>
      <c r="D5772" t="s">
        <v>272</v>
      </c>
      <c r="E5772">
        <v>255.24799999999999</v>
      </c>
      <c r="F5772" t="s">
        <v>21</v>
      </c>
      <c r="G5772" t="s">
        <v>26</v>
      </c>
      <c r="H5772" t="s">
        <v>21</v>
      </c>
      <c r="I5772" t="s">
        <v>20</v>
      </c>
      <c r="J5772" t="s">
        <v>20</v>
      </c>
      <c r="K5772" t="s">
        <v>27</v>
      </c>
      <c r="L5772" t="s">
        <v>350</v>
      </c>
      <c r="M5772" t="s">
        <v>174</v>
      </c>
      <c r="N5772">
        <v>39.261066999999997</v>
      </c>
      <c r="O5772">
        <v>-111.637041</v>
      </c>
      <c r="P5772">
        <v>5608.8417069999996</v>
      </c>
      <c r="Q5772">
        <v>1384</v>
      </c>
      <c r="R5772">
        <v>0</v>
      </c>
    </row>
    <row r="5773" spans="1:18" x14ac:dyDescent="0.25">
      <c r="A5773">
        <v>5772</v>
      </c>
      <c r="B5773">
        <v>94</v>
      </c>
      <c r="C5773" t="e">
        <f>-IoIDnkZGvil91s_G_KRRk</f>
        <v>#NAME?</v>
      </c>
      <c r="D5773" t="s">
        <v>272</v>
      </c>
      <c r="E5773">
        <v>255.34800000000001</v>
      </c>
      <c r="F5773" t="s">
        <v>21</v>
      </c>
      <c r="G5773" t="s">
        <v>26</v>
      </c>
      <c r="H5773" t="s">
        <v>21</v>
      </c>
      <c r="I5773" t="s">
        <v>20</v>
      </c>
      <c r="J5773" t="s">
        <v>20</v>
      </c>
      <c r="K5773" t="s">
        <v>27</v>
      </c>
      <c r="L5773" t="s">
        <v>350</v>
      </c>
      <c r="M5773" t="s">
        <v>174</v>
      </c>
      <c r="N5773">
        <v>39.262526999999999</v>
      </c>
      <c r="O5773">
        <v>-111.637029</v>
      </c>
      <c r="P5773">
        <v>5599.5760639999999</v>
      </c>
      <c r="Q5773">
        <v>1384</v>
      </c>
      <c r="R5773">
        <v>0</v>
      </c>
    </row>
    <row r="5774" spans="1:18" x14ac:dyDescent="0.25">
      <c r="A5774">
        <v>5773</v>
      </c>
      <c r="B5774">
        <v>94</v>
      </c>
      <c r="C5774" t="e">
        <f>-IoIGrD3Hp5vshLaHEMrGF</f>
        <v>#NAME?</v>
      </c>
      <c r="D5774" t="s">
        <v>272</v>
      </c>
      <c r="E5774">
        <v>255.44800000000001</v>
      </c>
      <c r="F5774" t="s">
        <v>21</v>
      </c>
      <c r="G5774" t="s">
        <v>26</v>
      </c>
      <c r="H5774" t="s">
        <v>21</v>
      </c>
      <c r="I5774" t="s">
        <v>20</v>
      </c>
      <c r="J5774" t="s">
        <v>20</v>
      </c>
      <c r="K5774" t="s">
        <v>27</v>
      </c>
      <c r="L5774" t="s">
        <v>350</v>
      </c>
      <c r="M5774" t="s">
        <v>174</v>
      </c>
      <c r="N5774">
        <v>39.263976999999997</v>
      </c>
      <c r="O5774">
        <v>-111.637021</v>
      </c>
      <c r="P5774">
        <v>5588.0623720000003</v>
      </c>
      <c r="Q5774">
        <v>1384</v>
      </c>
      <c r="R5774">
        <v>0</v>
      </c>
    </row>
    <row r="5775" spans="1:18" x14ac:dyDescent="0.25">
      <c r="A5775">
        <v>5774</v>
      </c>
      <c r="B5775">
        <v>94</v>
      </c>
      <c r="C5775" t="s">
        <v>761</v>
      </c>
      <c r="D5775" t="s">
        <v>272</v>
      </c>
      <c r="E5775">
        <v>255.548</v>
      </c>
      <c r="F5775" t="s">
        <v>21</v>
      </c>
      <c r="G5775" t="s">
        <v>26</v>
      </c>
      <c r="H5775" t="s">
        <v>21</v>
      </c>
      <c r="I5775" t="s">
        <v>20</v>
      </c>
      <c r="J5775" t="s">
        <v>20</v>
      </c>
      <c r="K5775" t="s">
        <v>27</v>
      </c>
      <c r="L5775" t="s">
        <v>350</v>
      </c>
      <c r="M5775" t="s">
        <v>174</v>
      </c>
      <c r="N5775">
        <v>39.265436999999999</v>
      </c>
      <c r="O5775">
        <v>-111.63701399999999</v>
      </c>
      <c r="P5775">
        <v>5577.6517860000004</v>
      </c>
      <c r="Q5775">
        <v>1384</v>
      </c>
      <c r="R5775">
        <v>0</v>
      </c>
    </row>
    <row r="5776" spans="1:18" x14ac:dyDescent="0.25">
      <c r="A5776">
        <v>5775</v>
      </c>
      <c r="B5776">
        <v>94</v>
      </c>
      <c r="C5776" t="e">
        <f>-IoIITC1IZHY-_AJqIzwMV</f>
        <v>#NAME?</v>
      </c>
      <c r="D5776" t="s">
        <v>272</v>
      </c>
      <c r="E5776">
        <v>255.649</v>
      </c>
      <c r="F5776" t="s">
        <v>21</v>
      </c>
      <c r="G5776" t="s">
        <v>26</v>
      </c>
      <c r="H5776" t="s">
        <v>21</v>
      </c>
      <c r="I5776" t="s">
        <v>20</v>
      </c>
      <c r="J5776" t="s">
        <v>20</v>
      </c>
      <c r="K5776" t="s">
        <v>27</v>
      </c>
      <c r="L5776" t="s">
        <v>350</v>
      </c>
      <c r="M5776" t="s">
        <v>174</v>
      </c>
      <c r="N5776">
        <v>39.26688</v>
      </c>
      <c r="O5776">
        <v>-111.63701399999999</v>
      </c>
      <c r="P5776">
        <v>5562.4271120000003</v>
      </c>
      <c r="Q5776">
        <v>1384</v>
      </c>
      <c r="R5776">
        <v>0</v>
      </c>
    </row>
    <row r="5777" spans="1:18" x14ac:dyDescent="0.25">
      <c r="A5777">
        <v>5776</v>
      </c>
      <c r="B5777">
        <v>94</v>
      </c>
      <c r="C5777">
        <v>31739784</v>
      </c>
      <c r="D5777" t="s">
        <v>290</v>
      </c>
      <c r="E5777">
        <v>23.895</v>
      </c>
      <c r="F5777" t="s">
        <v>21</v>
      </c>
      <c r="G5777" t="s">
        <v>20</v>
      </c>
      <c r="H5777" t="s">
        <v>21</v>
      </c>
      <c r="I5777" t="s">
        <v>20</v>
      </c>
      <c r="J5777" t="s">
        <v>20</v>
      </c>
      <c r="K5777" t="s">
        <v>41</v>
      </c>
      <c r="L5777" t="s">
        <v>291</v>
      </c>
      <c r="M5777" t="s">
        <v>238</v>
      </c>
      <c r="N5777">
        <v>41.486885000000001</v>
      </c>
      <c r="O5777">
        <v>-113.622899</v>
      </c>
      <c r="P5777">
        <v>4618.5482780000002</v>
      </c>
      <c r="Q5777">
        <v>1343</v>
      </c>
      <c r="R5777">
        <v>0</v>
      </c>
    </row>
    <row r="5778" spans="1:18" x14ac:dyDescent="0.25">
      <c r="A5778">
        <v>5777</v>
      </c>
      <c r="B5778">
        <v>94</v>
      </c>
      <c r="C5778">
        <v>31517810</v>
      </c>
      <c r="D5778" t="s">
        <v>132</v>
      </c>
      <c r="E5778">
        <v>23.898</v>
      </c>
      <c r="F5778" t="s">
        <v>21</v>
      </c>
      <c r="G5778" t="s">
        <v>26</v>
      </c>
      <c r="H5778" t="s">
        <v>21</v>
      </c>
      <c r="I5778" t="s">
        <v>20</v>
      </c>
      <c r="J5778" t="s">
        <v>20</v>
      </c>
      <c r="K5778" t="s">
        <v>22</v>
      </c>
      <c r="L5778" t="s">
        <v>133</v>
      </c>
      <c r="M5778" t="s">
        <v>134</v>
      </c>
      <c r="N5778">
        <v>40.403747000000003</v>
      </c>
      <c r="O5778">
        <v>-109.79490199999999</v>
      </c>
      <c r="P5778">
        <v>5504.8599169999998</v>
      </c>
      <c r="Q5778">
        <v>1405</v>
      </c>
      <c r="R5778">
        <v>0</v>
      </c>
    </row>
    <row r="5779" spans="1:18" x14ac:dyDescent="0.25">
      <c r="A5779">
        <v>5778</v>
      </c>
      <c r="B5779">
        <v>94</v>
      </c>
      <c r="C5779">
        <v>31282609</v>
      </c>
      <c r="D5779" t="s">
        <v>241</v>
      </c>
      <c r="E5779">
        <v>27.193000000000001</v>
      </c>
      <c r="F5779" t="s">
        <v>21</v>
      </c>
      <c r="G5779" t="s">
        <v>26</v>
      </c>
      <c r="H5779" t="s">
        <v>21</v>
      </c>
      <c r="I5779" t="s">
        <v>20</v>
      </c>
      <c r="J5779" t="s">
        <v>20</v>
      </c>
      <c r="K5779" t="s">
        <v>27</v>
      </c>
      <c r="L5779" t="s">
        <v>242</v>
      </c>
      <c r="M5779" t="s">
        <v>243</v>
      </c>
      <c r="N5779">
        <v>39.095028999999997</v>
      </c>
      <c r="O5779">
        <v>-111.132164</v>
      </c>
      <c r="P5779">
        <v>5917.9401930000004</v>
      </c>
      <c r="Q5779">
        <v>1327</v>
      </c>
      <c r="R5779">
        <v>0</v>
      </c>
    </row>
    <row r="5780" spans="1:18" x14ac:dyDescent="0.25">
      <c r="A5780">
        <v>5779</v>
      </c>
      <c r="B5780">
        <v>94</v>
      </c>
      <c r="C5780">
        <v>31771017</v>
      </c>
      <c r="D5780" t="s">
        <v>353</v>
      </c>
      <c r="E5780">
        <v>27.193000000000001</v>
      </c>
      <c r="F5780" t="s">
        <v>21</v>
      </c>
      <c r="G5780" t="s">
        <v>26</v>
      </c>
      <c r="H5780" t="s">
        <v>21</v>
      </c>
      <c r="I5780" t="s">
        <v>20</v>
      </c>
      <c r="J5780" t="s">
        <v>20</v>
      </c>
      <c r="K5780" t="s">
        <v>31</v>
      </c>
      <c r="L5780" t="s">
        <v>433</v>
      </c>
      <c r="M5780" t="s">
        <v>138</v>
      </c>
      <c r="N5780">
        <v>41.018943999999998</v>
      </c>
      <c r="O5780">
        <v>-111.50477100000001</v>
      </c>
      <c r="P5780">
        <v>5292.8286319999997</v>
      </c>
      <c r="Q5780">
        <v>1367</v>
      </c>
      <c r="R5780">
        <v>0</v>
      </c>
    </row>
    <row r="5781" spans="1:18" x14ac:dyDescent="0.25">
      <c r="A5781">
        <v>5780</v>
      </c>
      <c r="B5781">
        <v>94</v>
      </c>
      <c r="C5781">
        <v>31401581</v>
      </c>
      <c r="D5781" t="s">
        <v>210</v>
      </c>
      <c r="E5781">
        <v>27.21</v>
      </c>
      <c r="F5781" t="s">
        <v>21</v>
      </c>
      <c r="G5781" t="s">
        <v>26</v>
      </c>
      <c r="H5781" t="s">
        <v>21</v>
      </c>
      <c r="I5781" t="s">
        <v>20</v>
      </c>
      <c r="J5781" t="s">
        <v>20</v>
      </c>
      <c r="K5781" t="s">
        <v>27</v>
      </c>
      <c r="L5781" t="s">
        <v>211</v>
      </c>
      <c r="M5781" t="s">
        <v>212</v>
      </c>
      <c r="N5781">
        <v>37.177880999999999</v>
      </c>
      <c r="O5781">
        <v>-109.11949</v>
      </c>
      <c r="P5781">
        <v>4767.7531120000003</v>
      </c>
      <c r="Q5781">
        <v>344</v>
      </c>
      <c r="R5781">
        <v>0</v>
      </c>
    </row>
    <row r="5782" spans="1:18" x14ac:dyDescent="0.25">
      <c r="A5782">
        <v>5781</v>
      </c>
      <c r="B5782">
        <v>94</v>
      </c>
      <c r="C5782">
        <v>31594599</v>
      </c>
      <c r="D5782" t="s">
        <v>271</v>
      </c>
      <c r="E5782">
        <v>27.225999999999999</v>
      </c>
      <c r="F5782" t="s">
        <v>21</v>
      </c>
      <c r="G5782" t="s">
        <v>26</v>
      </c>
      <c r="H5782" t="s">
        <v>21</v>
      </c>
      <c r="I5782" t="s">
        <v>20</v>
      </c>
      <c r="J5782" t="s">
        <v>20</v>
      </c>
      <c r="K5782" t="s">
        <v>22</v>
      </c>
      <c r="L5782" t="s">
        <v>263</v>
      </c>
      <c r="M5782" t="s">
        <v>24</v>
      </c>
      <c r="N5782">
        <v>40.346612</v>
      </c>
      <c r="O5782">
        <v>-112.07878700000001</v>
      </c>
      <c r="P5782">
        <v>5030.6442820000002</v>
      </c>
      <c r="Q5782">
        <v>1372</v>
      </c>
      <c r="R5782">
        <v>0</v>
      </c>
    </row>
    <row r="5783" spans="1:18" x14ac:dyDescent="0.25">
      <c r="A5783">
        <v>5782</v>
      </c>
      <c r="B5783">
        <v>94</v>
      </c>
      <c r="C5783">
        <v>1007025</v>
      </c>
      <c r="D5783" t="s">
        <v>171</v>
      </c>
      <c r="E5783">
        <v>2.5059999999999998</v>
      </c>
      <c r="F5783" t="s">
        <v>19</v>
      </c>
      <c r="G5783" t="s">
        <v>20</v>
      </c>
      <c r="H5783" t="s">
        <v>21</v>
      </c>
      <c r="I5783" t="s">
        <v>20</v>
      </c>
      <c r="J5783" t="s">
        <v>20</v>
      </c>
      <c r="K5783" t="s">
        <v>31</v>
      </c>
      <c r="L5783" t="s">
        <v>78</v>
      </c>
      <c r="M5783" t="s">
        <v>79</v>
      </c>
      <c r="N5783">
        <v>40.696536000000002</v>
      </c>
      <c r="O5783">
        <v>-112.043955</v>
      </c>
      <c r="P5783">
        <v>4262.7467210000004</v>
      </c>
      <c r="Q5783">
        <v>346</v>
      </c>
      <c r="R5783">
        <v>0</v>
      </c>
    </row>
    <row r="5784" spans="1:18" x14ac:dyDescent="0.25">
      <c r="A5784">
        <v>5783</v>
      </c>
      <c r="B5784">
        <v>94</v>
      </c>
      <c r="C5784">
        <v>31289785</v>
      </c>
      <c r="D5784" t="s">
        <v>126</v>
      </c>
      <c r="E5784">
        <v>2.508</v>
      </c>
      <c r="F5784" t="s">
        <v>21</v>
      </c>
      <c r="G5784" t="s">
        <v>26</v>
      </c>
      <c r="H5784" t="s">
        <v>21</v>
      </c>
      <c r="I5784" t="s">
        <v>20</v>
      </c>
      <c r="J5784" t="s">
        <v>20</v>
      </c>
      <c r="K5784" t="s">
        <v>41</v>
      </c>
      <c r="L5784" t="s">
        <v>57</v>
      </c>
      <c r="M5784" t="s">
        <v>93</v>
      </c>
      <c r="N5784">
        <v>41.227276000000003</v>
      </c>
      <c r="O5784">
        <v>-112.09283000000001</v>
      </c>
      <c r="P5784">
        <v>4174.908418</v>
      </c>
      <c r="Q5784">
        <v>1412</v>
      </c>
      <c r="R5784">
        <v>0</v>
      </c>
    </row>
    <row r="5785" spans="1:18" x14ac:dyDescent="0.25">
      <c r="A5785">
        <v>5784</v>
      </c>
      <c r="B5785">
        <v>94</v>
      </c>
      <c r="C5785">
        <v>764982</v>
      </c>
      <c r="D5785" t="s">
        <v>86</v>
      </c>
      <c r="E5785">
        <v>2.5089999999999999</v>
      </c>
      <c r="F5785" t="s">
        <v>21</v>
      </c>
      <c r="G5785" t="s">
        <v>26</v>
      </c>
      <c r="H5785" t="s">
        <v>21</v>
      </c>
      <c r="I5785" t="s">
        <v>20</v>
      </c>
      <c r="J5785" t="s">
        <v>20</v>
      </c>
      <c r="K5785" t="s">
        <v>41</v>
      </c>
      <c r="L5785" t="s">
        <v>87</v>
      </c>
      <c r="M5785" t="s">
        <v>58</v>
      </c>
      <c r="N5785">
        <v>41.0381</v>
      </c>
      <c r="O5785">
        <v>-111.939881</v>
      </c>
      <c r="P5785">
        <v>4302.9092350000001</v>
      </c>
      <c r="Q5785">
        <v>258</v>
      </c>
      <c r="R5785">
        <v>0</v>
      </c>
    </row>
    <row r="5786" spans="1:18" x14ac:dyDescent="0.25">
      <c r="A5786">
        <v>5785</v>
      </c>
      <c r="B5786">
        <v>94</v>
      </c>
      <c r="C5786">
        <v>963699</v>
      </c>
      <c r="D5786" t="s">
        <v>65</v>
      </c>
      <c r="E5786">
        <v>2.5089999999999999</v>
      </c>
      <c r="F5786" t="s">
        <v>19</v>
      </c>
      <c r="G5786" t="s">
        <v>20</v>
      </c>
      <c r="H5786" t="s">
        <v>21</v>
      </c>
      <c r="I5786" t="s">
        <v>20</v>
      </c>
      <c r="J5786" t="s">
        <v>20</v>
      </c>
      <c r="K5786" t="s">
        <v>31</v>
      </c>
      <c r="L5786" t="s">
        <v>66</v>
      </c>
      <c r="M5786" t="s">
        <v>67</v>
      </c>
      <c r="N5786">
        <v>40.762833000000001</v>
      </c>
      <c r="O5786">
        <v>-111.888257</v>
      </c>
      <c r="P5786">
        <v>4219.1809400000002</v>
      </c>
      <c r="Q5786">
        <v>402</v>
      </c>
      <c r="R5786">
        <v>0</v>
      </c>
    </row>
    <row r="5787" spans="1:18" x14ac:dyDescent="0.25">
      <c r="A5787">
        <v>5786</v>
      </c>
      <c r="B5787">
        <v>94</v>
      </c>
      <c r="C5787">
        <v>1108830</v>
      </c>
      <c r="D5787" t="s">
        <v>101</v>
      </c>
      <c r="E5787">
        <v>2.5099999999999998</v>
      </c>
      <c r="F5787" t="s">
        <v>19</v>
      </c>
      <c r="G5787" t="s">
        <v>20</v>
      </c>
      <c r="H5787" t="s">
        <v>19</v>
      </c>
      <c r="I5787">
        <v>108</v>
      </c>
      <c r="J5787" t="s">
        <v>20</v>
      </c>
      <c r="K5787" t="s">
        <v>41</v>
      </c>
      <c r="L5787" t="s">
        <v>57</v>
      </c>
      <c r="M5787" t="s">
        <v>58</v>
      </c>
      <c r="N5787">
        <v>41.118096999999999</v>
      </c>
      <c r="O5787">
        <v>-112.064508</v>
      </c>
      <c r="P5787">
        <v>4305.0118320000001</v>
      </c>
      <c r="Q5787">
        <v>328</v>
      </c>
      <c r="R5787">
        <v>0</v>
      </c>
    </row>
    <row r="5788" spans="1:18" x14ac:dyDescent="0.25">
      <c r="A5788">
        <v>5787</v>
      </c>
      <c r="B5788">
        <v>94</v>
      </c>
      <c r="C5788">
        <v>1192146</v>
      </c>
      <c r="D5788" t="s">
        <v>108</v>
      </c>
      <c r="E5788">
        <v>2.5110000000000001</v>
      </c>
      <c r="F5788" t="s">
        <v>21</v>
      </c>
      <c r="G5788" t="s">
        <v>26</v>
      </c>
      <c r="H5788" t="s">
        <v>21</v>
      </c>
      <c r="I5788" t="s">
        <v>20</v>
      </c>
      <c r="J5788" t="s">
        <v>20</v>
      </c>
      <c r="K5788" t="s">
        <v>41</v>
      </c>
      <c r="L5788" t="s">
        <v>81</v>
      </c>
      <c r="M5788" t="s">
        <v>93</v>
      </c>
      <c r="N5788">
        <v>41.186470999999997</v>
      </c>
      <c r="O5788">
        <v>-111.985495</v>
      </c>
      <c r="P5788">
        <v>4301.4304529999999</v>
      </c>
      <c r="Q5788">
        <v>1341</v>
      </c>
      <c r="R5788">
        <v>0</v>
      </c>
    </row>
    <row r="5789" spans="1:18" x14ac:dyDescent="0.25">
      <c r="A5789">
        <v>5788</v>
      </c>
      <c r="B5789">
        <v>94</v>
      </c>
      <c r="C5789">
        <v>1138232</v>
      </c>
      <c r="D5789" t="s">
        <v>56</v>
      </c>
      <c r="E5789">
        <v>2.5129999999999999</v>
      </c>
      <c r="F5789" t="s">
        <v>21</v>
      </c>
      <c r="G5789" t="s">
        <v>26</v>
      </c>
      <c r="H5789" t="s">
        <v>21</v>
      </c>
      <c r="I5789" t="s">
        <v>20</v>
      </c>
      <c r="J5789" t="s">
        <v>20</v>
      </c>
      <c r="K5789" t="s">
        <v>41</v>
      </c>
      <c r="L5789" t="s">
        <v>57</v>
      </c>
      <c r="M5789" t="s">
        <v>58</v>
      </c>
      <c r="N5789">
        <v>41.163722</v>
      </c>
      <c r="O5789">
        <v>-112.07462</v>
      </c>
      <c r="P5789">
        <v>4212.4650970000002</v>
      </c>
      <c r="Q5789">
        <v>1459</v>
      </c>
      <c r="R5789">
        <v>0</v>
      </c>
    </row>
    <row r="5790" spans="1:18" x14ac:dyDescent="0.25">
      <c r="A5790">
        <v>5789</v>
      </c>
      <c r="B5790">
        <v>94</v>
      </c>
      <c r="C5790">
        <v>31429705</v>
      </c>
      <c r="D5790" t="s">
        <v>107</v>
      </c>
      <c r="E5790">
        <v>2.5169999999999999</v>
      </c>
      <c r="F5790" t="s">
        <v>19</v>
      </c>
      <c r="G5790" t="s">
        <v>20</v>
      </c>
      <c r="H5790" t="s">
        <v>21</v>
      </c>
      <c r="I5790" t="s">
        <v>20</v>
      </c>
      <c r="J5790" t="s">
        <v>20</v>
      </c>
      <c r="K5790" t="s">
        <v>41</v>
      </c>
      <c r="L5790" t="s">
        <v>81</v>
      </c>
      <c r="M5790" t="s">
        <v>93</v>
      </c>
      <c r="N5790">
        <v>41.229132999999997</v>
      </c>
      <c r="O5790">
        <v>-111.978691</v>
      </c>
      <c r="P5790">
        <v>4238.2243289999997</v>
      </c>
      <c r="Q5790">
        <v>413</v>
      </c>
      <c r="R5790">
        <v>0</v>
      </c>
    </row>
    <row r="5791" spans="1:18" x14ac:dyDescent="0.25">
      <c r="A5791">
        <v>5790</v>
      </c>
      <c r="B5791">
        <v>94</v>
      </c>
      <c r="C5791">
        <v>28831352</v>
      </c>
      <c r="D5791" t="s">
        <v>316</v>
      </c>
      <c r="E5791">
        <v>2.5169999999999999</v>
      </c>
      <c r="F5791" t="s">
        <v>21</v>
      </c>
      <c r="G5791" t="s">
        <v>26</v>
      </c>
      <c r="H5791" t="s">
        <v>21</v>
      </c>
      <c r="I5791" t="s">
        <v>20</v>
      </c>
      <c r="J5791" t="s">
        <v>20</v>
      </c>
      <c r="K5791" t="s">
        <v>31</v>
      </c>
      <c r="L5791" t="s">
        <v>130</v>
      </c>
      <c r="M5791" t="s">
        <v>302</v>
      </c>
      <c r="N5791">
        <v>40.595824999999998</v>
      </c>
      <c r="O5791">
        <v>-111.24235299999999</v>
      </c>
      <c r="P5791">
        <v>6670.3970950000003</v>
      </c>
      <c r="Q5791">
        <v>1346</v>
      </c>
      <c r="R5791">
        <v>0</v>
      </c>
    </row>
    <row r="5792" spans="1:18" x14ac:dyDescent="0.25">
      <c r="A5792">
        <v>5791</v>
      </c>
      <c r="B5792">
        <v>94</v>
      </c>
      <c r="C5792">
        <v>31597995</v>
      </c>
      <c r="D5792" t="s">
        <v>50</v>
      </c>
      <c r="E5792">
        <v>2.52</v>
      </c>
      <c r="F5792" t="s">
        <v>21</v>
      </c>
      <c r="G5792" t="s">
        <v>26</v>
      </c>
      <c r="H5792" t="s">
        <v>21</v>
      </c>
      <c r="I5792" t="s">
        <v>20</v>
      </c>
      <c r="J5792" t="s">
        <v>20</v>
      </c>
      <c r="K5792" t="s">
        <v>27</v>
      </c>
      <c r="L5792" t="s">
        <v>51</v>
      </c>
      <c r="M5792" t="s">
        <v>52</v>
      </c>
      <c r="N5792">
        <v>37.840311</v>
      </c>
      <c r="O5792">
        <v>-112.827581</v>
      </c>
      <c r="P5792">
        <v>5958.2728180000004</v>
      </c>
      <c r="Q5792">
        <v>1418</v>
      </c>
      <c r="R5792">
        <v>0</v>
      </c>
    </row>
    <row r="5793" spans="1:18" x14ac:dyDescent="0.25">
      <c r="A5793">
        <v>5792</v>
      </c>
      <c r="B5793">
        <v>94</v>
      </c>
      <c r="C5793">
        <v>1418213</v>
      </c>
      <c r="D5793" t="s">
        <v>88</v>
      </c>
      <c r="E5793">
        <v>2.528</v>
      </c>
      <c r="F5793" t="s">
        <v>21</v>
      </c>
      <c r="G5793" t="s">
        <v>26</v>
      </c>
      <c r="H5793" t="s">
        <v>21</v>
      </c>
      <c r="I5793" t="s">
        <v>20</v>
      </c>
      <c r="J5793" t="s">
        <v>20</v>
      </c>
      <c r="K5793" t="s">
        <v>31</v>
      </c>
      <c r="L5793" t="s">
        <v>89</v>
      </c>
      <c r="M5793" t="s">
        <v>90</v>
      </c>
      <c r="N5793">
        <v>40.522295999999997</v>
      </c>
      <c r="O5793">
        <v>-111.935878</v>
      </c>
      <c r="P5793">
        <v>4369.8779420000001</v>
      </c>
      <c r="Q5793">
        <v>318</v>
      </c>
      <c r="R5793">
        <v>0</v>
      </c>
    </row>
    <row r="5794" spans="1:18" x14ac:dyDescent="0.25">
      <c r="A5794">
        <v>5793</v>
      </c>
      <c r="B5794">
        <v>94</v>
      </c>
      <c r="C5794">
        <v>27344228</v>
      </c>
      <c r="D5794" t="s">
        <v>185</v>
      </c>
      <c r="E5794">
        <v>2.528</v>
      </c>
      <c r="F5794" t="s">
        <v>21</v>
      </c>
      <c r="G5794" t="s">
        <v>26</v>
      </c>
      <c r="H5794" t="s">
        <v>21</v>
      </c>
      <c r="I5794" t="s">
        <v>20</v>
      </c>
      <c r="J5794" t="s">
        <v>20</v>
      </c>
      <c r="K5794" t="s">
        <v>41</v>
      </c>
      <c r="L5794" t="s">
        <v>57</v>
      </c>
      <c r="M5794" t="s">
        <v>58</v>
      </c>
      <c r="N5794">
        <v>41.139881000000003</v>
      </c>
      <c r="O5794">
        <v>-112.074642</v>
      </c>
      <c r="P5794">
        <v>4257.1253180000003</v>
      </c>
      <c r="Q5794">
        <v>309</v>
      </c>
      <c r="R5794">
        <v>0</v>
      </c>
    </row>
    <row r="5795" spans="1:18" x14ac:dyDescent="0.25">
      <c r="A5795">
        <v>5794</v>
      </c>
      <c r="B5795">
        <v>94</v>
      </c>
      <c r="C5795">
        <v>31191457</v>
      </c>
      <c r="D5795" t="s">
        <v>339</v>
      </c>
      <c r="E5795">
        <v>2.5289999999999999</v>
      </c>
      <c r="F5795" t="s">
        <v>21</v>
      </c>
      <c r="G5795" t="s">
        <v>26</v>
      </c>
      <c r="H5795" t="s">
        <v>21</v>
      </c>
      <c r="I5795" t="s">
        <v>20</v>
      </c>
      <c r="J5795" t="s">
        <v>20</v>
      </c>
      <c r="K5795" t="s">
        <v>41</v>
      </c>
      <c r="L5795" t="s">
        <v>95</v>
      </c>
      <c r="M5795" t="s">
        <v>73</v>
      </c>
      <c r="N5795">
        <v>41.886937000000003</v>
      </c>
      <c r="O5795">
        <v>-112.034976</v>
      </c>
      <c r="P5795">
        <v>4798.7546590000002</v>
      </c>
      <c r="Q5795">
        <v>1417</v>
      </c>
      <c r="R5795">
        <v>0</v>
      </c>
    </row>
    <row r="5796" spans="1:18" x14ac:dyDescent="0.25">
      <c r="A5796">
        <v>5795</v>
      </c>
      <c r="B5796">
        <v>94</v>
      </c>
      <c r="C5796">
        <v>31439091</v>
      </c>
      <c r="D5796" t="s">
        <v>91</v>
      </c>
      <c r="E5796">
        <v>2.5310000000000001</v>
      </c>
      <c r="F5796" t="s">
        <v>21</v>
      </c>
      <c r="G5796" t="s">
        <v>26</v>
      </c>
      <c r="H5796" t="s">
        <v>21</v>
      </c>
      <c r="I5796" t="s">
        <v>20</v>
      </c>
      <c r="J5796" t="s">
        <v>20</v>
      </c>
      <c r="K5796" t="s">
        <v>41</v>
      </c>
      <c r="L5796" t="s">
        <v>42</v>
      </c>
      <c r="M5796" t="s">
        <v>73</v>
      </c>
      <c r="N5796">
        <v>41.649622999999998</v>
      </c>
      <c r="O5796">
        <v>-111.93923599999999</v>
      </c>
      <c r="P5796">
        <v>4519.8625570000004</v>
      </c>
      <c r="Q5796">
        <v>1339</v>
      </c>
      <c r="R5796">
        <v>0</v>
      </c>
    </row>
    <row r="5797" spans="1:18" x14ac:dyDescent="0.25">
      <c r="A5797">
        <v>5796</v>
      </c>
      <c r="B5797">
        <v>94</v>
      </c>
      <c r="C5797">
        <v>31404147</v>
      </c>
      <c r="D5797" t="s">
        <v>63</v>
      </c>
      <c r="E5797">
        <v>2.536</v>
      </c>
      <c r="F5797" t="s">
        <v>21</v>
      </c>
      <c r="G5797" t="s">
        <v>26</v>
      </c>
      <c r="H5797" t="s">
        <v>21</v>
      </c>
      <c r="I5797" t="s">
        <v>20</v>
      </c>
      <c r="J5797" t="s">
        <v>20</v>
      </c>
      <c r="K5797" t="s">
        <v>27</v>
      </c>
      <c r="L5797" t="s">
        <v>64</v>
      </c>
      <c r="M5797" t="s">
        <v>29</v>
      </c>
      <c r="N5797">
        <v>38.205280999999999</v>
      </c>
      <c r="O5797">
        <v>-112.18011799999999</v>
      </c>
      <c r="P5797">
        <v>5966.0245530000002</v>
      </c>
      <c r="Q5797">
        <v>1365</v>
      </c>
      <c r="R5797">
        <v>0</v>
      </c>
    </row>
    <row r="5798" spans="1:18" x14ac:dyDescent="0.25">
      <c r="A5798">
        <v>5797</v>
      </c>
      <c r="B5798">
        <v>94</v>
      </c>
      <c r="C5798">
        <v>31700199</v>
      </c>
      <c r="D5798" t="s">
        <v>213</v>
      </c>
      <c r="E5798">
        <v>246.85599999999999</v>
      </c>
      <c r="F5798" t="s">
        <v>21</v>
      </c>
      <c r="G5798" t="s">
        <v>26</v>
      </c>
      <c r="H5798" t="s">
        <v>21</v>
      </c>
      <c r="I5798" t="s">
        <v>20</v>
      </c>
      <c r="J5798" t="s">
        <v>20</v>
      </c>
      <c r="K5798" t="s">
        <v>27</v>
      </c>
      <c r="L5798" t="s">
        <v>158</v>
      </c>
      <c r="M5798" t="s">
        <v>190</v>
      </c>
      <c r="N5798">
        <v>39.542397999999999</v>
      </c>
      <c r="O5798">
        <v>-110.735649</v>
      </c>
      <c r="P5798">
        <v>5354.1141729999999</v>
      </c>
      <c r="Q5798">
        <v>1332</v>
      </c>
      <c r="R5798">
        <v>0</v>
      </c>
    </row>
    <row r="5799" spans="1:18" x14ac:dyDescent="0.25">
      <c r="A5799">
        <v>5798</v>
      </c>
      <c r="B5799">
        <v>94</v>
      </c>
      <c r="C5799">
        <v>31700860</v>
      </c>
      <c r="D5799" t="s">
        <v>213</v>
      </c>
      <c r="E5799">
        <v>246.94</v>
      </c>
      <c r="F5799" t="s">
        <v>19</v>
      </c>
      <c r="G5799" t="s">
        <v>20</v>
      </c>
      <c r="H5799" t="s">
        <v>21</v>
      </c>
      <c r="I5799" t="s">
        <v>20</v>
      </c>
      <c r="J5799" t="s">
        <v>20</v>
      </c>
      <c r="K5799" t="s">
        <v>27</v>
      </c>
      <c r="L5799" t="s">
        <v>158</v>
      </c>
      <c r="M5799" t="s">
        <v>190</v>
      </c>
      <c r="N5799">
        <v>39.542416000000003</v>
      </c>
      <c r="O5799">
        <v>-110.734084</v>
      </c>
      <c r="P5799">
        <v>5355.4281870000004</v>
      </c>
      <c r="Q5799">
        <v>1332</v>
      </c>
      <c r="R5799">
        <v>0</v>
      </c>
    </row>
    <row r="5800" spans="1:18" x14ac:dyDescent="0.25">
      <c r="A5800">
        <v>5799</v>
      </c>
      <c r="B5800">
        <v>94</v>
      </c>
      <c r="C5800">
        <v>31700871</v>
      </c>
      <c r="D5800" t="s">
        <v>213</v>
      </c>
      <c r="E5800">
        <v>247.023</v>
      </c>
      <c r="F5800" t="s">
        <v>21</v>
      </c>
      <c r="G5800" t="s">
        <v>26</v>
      </c>
      <c r="H5800" t="s">
        <v>21</v>
      </c>
      <c r="I5800" t="s">
        <v>20</v>
      </c>
      <c r="J5800" t="s">
        <v>20</v>
      </c>
      <c r="K5800" t="s">
        <v>27</v>
      </c>
      <c r="L5800" t="s">
        <v>158</v>
      </c>
      <c r="M5800" t="s">
        <v>190</v>
      </c>
      <c r="N5800">
        <v>39.542414000000001</v>
      </c>
      <c r="O5800">
        <v>-110.732536</v>
      </c>
      <c r="P5800">
        <v>5353.4741739999999</v>
      </c>
      <c r="Q5800">
        <v>1332</v>
      </c>
      <c r="R5800">
        <v>0</v>
      </c>
    </row>
    <row r="5801" spans="1:18" x14ac:dyDescent="0.25">
      <c r="A5801">
        <v>5800</v>
      </c>
      <c r="B5801">
        <v>94</v>
      </c>
      <c r="C5801" t="e">
        <f>-IoMZFn-HB9wYzWHQY53zF</f>
        <v>#NAME?</v>
      </c>
      <c r="D5801" t="s">
        <v>272</v>
      </c>
      <c r="E5801">
        <v>271.88499999999999</v>
      </c>
      <c r="F5801" t="s">
        <v>21</v>
      </c>
      <c r="G5801" t="s">
        <v>26</v>
      </c>
      <c r="H5801" t="s">
        <v>19</v>
      </c>
      <c r="I5801">
        <v>117</v>
      </c>
      <c r="J5801" t="s">
        <v>20</v>
      </c>
      <c r="K5801" t="s">
        <v>27</v>
      </c>
      <c r="L5801" t="s">
        <v>230</v>
      </c>
      <c r="M5801" t="s">
        <v>174</v>
      </c>
      <c r="N5801">
        <v>39.481014999999999</v>
      </c>
      <c r="O5801">
        <v>-111.521897</v>
      </c>
      <c r="P5801">
        <v>5633.990777</v>
      </c>
      <c r="Q5801">
        <v>1384</v>
      </c>
      <c r="R5801">
        <v>0</v>
      </c>
    </row>
    <row r="5802" spans="1:18" x14ac:dyDescent="0.25">
      <c r="A5802">
        <v>5801</v>
      </c>
      <c r="B5802">
        <v>94</v>
      </c>
      <c r="C5802">
        <v>1539334</v>
      </c>
      <c r="D5802" t="s">
        <v>88</v>
      </c>
      <c r="E5802">
        <v>16.594000000000001</v>
      </c>
      <c r="F5802" t="s">
        <v>21</v>
      </c>
      <c r="G5802" t="s">
        <v>26</v>
      </c>
      <c r="H5802" t="s">
        <v>21</v>
      </c>
      <c r="I5802" t="s">
        <v>20</v>
      </c>
      <c r="J5802" t="s">
        <v>20</v>
      </c>
      <c r="K5802" t="s">
        <v>31</v>
      </c>
      <c r="L5802" t="s">
        <v>69</v>
      </c>
      <c r="M5802" t="s">
        <v>90</v>
      </c>
      <c r="N5802">
        <v>40.675522000000001</v>
      </c>
      <c r="O5802">
        <v>-111.871425</v>
      </c>
      <c r="P5802">
        <v>4246.2905629999996</v>
      </c>
      <c r="Q5802">
        <v>318</v>
      </c>
      <c r="R5802">
        <v>0</v>
      </c>
    </row>
    <row r="5803" spans="1:18" x14ac:dyDescent="0.25">
      <c r="A5803">
        <v>5802</v>
      </c>
      <c r="B5803">
        <v>94</v>
      </c>
      <c r="C5803">
        <v>31523279</v>
      </c>
      <c r="D5803" t="s">
        <v>309</v>
      </c>
      <c r="E5803">
        <v>16.600000000000001</v>
      </c>
      <c r="F5803" t="s">
        <v>21</v>
      </c>
      <c r="G5803" t="s">
        <v>26</v>
      </c>
      <c r="H5803" t="s">
        <v>21</v>
      </c>
      <c r="I5803" t="s">
        <v>20</v>
      </c>
      <c r="J5803" t="s">
        <v>20</v>
      </c>
      <c r="K5803" t="s">
        <v>22</v>
      </c>
      <c r="L5803" t="s">
        <v>140</v>
      </c>
      <c r="M5803" t="s">
        <v>125</v>
      </c>
      <c r="N5803">
        <v>40.122214</v>
      </c>
      <c r="O5803">
        <v>-111.578732</v>
      </c>
      <c r="P5803">
        <v>4665.0427</v>
      </c>
      <c r="Q5803">
        <v>339</v>
      </c>
      <c r="R5803">
        <v>0</v>
      </c>
    </row>
    <row r="5804" spans="1:18" x14ac:dyDescent="0.25">
      <c r="A5804">
        <v>5803</v>
      </c>
      <c r="B5804">
        <v>94</v>
      </c>
      <c r="C5804">
        <v>31717921</v>
      </c>
      <c r="D5804" t="s">
        <v>245</v>
      </c>
      <c r="E5804">
        <v>16.603000000000002</v>
      </c>
      <c r="F5804" t="s">
        <v>21</v>
      </c>
      <c r="G5804" t="s">
        <v>20</v>
      </c>
      <c r="H5804" t="s">
        <v>21</v>
      </c>
      <c r="I5804" t="s">
        <v>20</v>
      </c>
      <c r="J5804" t="s">
        <v>20</v>
      </c>
      <c r="K5804" t="s">
        <v>22</v>
      </c>
      <c r="L5804" t="s">
        <v>97</v>
      </c>
      <c r="M5804" t="s">
        <v>98</v>
      </c>
      <c r="N5804">
        <v>40.897508999999999</v>
      </c>
      <c r="O5804">
        <v>-109.706648</v>
      </c>
      <c r="P5804">
        <v>7559.4027960000003</v>
      </c>
      <c r="Q5804">
        <v>1353</v>
      </c>
      <c r="R5804">
        <v>0</v>
      </c>
    </row>
    <row r="5805" spans="1:18" x14ac:dyDescent="0.25">
      <c r="A5805">
        <v>5804</v>
      </c>
      <c r="B5805">
        <v>94</v>
      </c>
      <c r="C5805">
        <v>31817103</v>
      </c>
      <c r="D5805" t="s">
        <v>290</v>
      </c>
      <c r="E5805">
        <v>16.620999999999999</v>
      </c>
      <c r="F5805" t="s">
        <v>21</v>
      </c>
      <c r="G5805" t="s">
        <v>20</v>
      </c>
      <c r="H5805" t="s">
        <v>21</v>
      </c>
      <c r="I5805" t="s">
        <v>20</v>
      </c>
      <c r="J5805" t="s">
        <v>20</v>
      </c>
      <c r="K5805" t="s">
        <v>41</v>
      </c>
      <c r="L5805" t="s">
        <v>291</v>
      </c>
      <c r="M5805" t="s">
        <v>238</v>
      </c>
      <c r="N5805">
        <v>41.437275999999997</v>
      </c>
      <c r="O5805">
        <v>-113.739035</v>
      </c>
      <c r="P5805">
        <v>4542.525036</v>
      </c>
      <c r="Q5805">
        <v>1343</v>
      </c>
      <c r="R5805">
        <v>0</v>
      </c>
    </row>
    <row r="5806" spans="1:18" x14ac:dyDescent="0.25">
      <c r="A5806">
        <v>5805</v>
      </c>
      <c r="B5806">
        <v>94</v>
      </c>
      <c r="C5806" t="e">
        <f>-Ip0dqPoFQmc3yBHwUVAzk</f>
        <v>#NAME?</v>
      </c>
      <c r="D5806" t="s">
        <v>118</v>
      </c>
      <c r="E5806">
        <v>148.55000000000001</v>
      </c>
      <c r="F5806" t="s">
        <v>21</v>
      </c>
      <c r="G5806" t="s">
        <v>20</v>
      </c>
      <c r="H5806" t="s">
        <v>21</v>
      </c>
      <c r="I5806" t="s">
        <v>20</v>
      </c>
      <c r="J5806" t="s">
        <v>20</v>
      </c>
      <c r="K5806" t="s">
        <v>22</v>
      </c>
      <c r="L5806" t="s">
        <v>234</v>
      </c>
      <c r="M5806" t="s">
        <v>169</v>
      </c>
      <c r="N5806">
        <v>40.412018000000003</v>
      </c>
      <c r="O5806">
        <v>-109.493774</v>
      </c>
      <c r="P5806">
        <v>5186.7082129999999</v>
      </c>
      <c r="Q5806">
        <v>310</v>
      </c>
      <c r="R5806">
        <v>0</v>
      </c>
    </row>
    <row r="5807" spans="1:18" x14ac:dyDescent="0.25">
      <c r="A5807">
        <v>5806</v>
      </c>
      <c r="B5807">
        <v>94</v>
      </c>
      <c r="C5807">
        <v>31492463</v>
      </c>
      <c r="D5807" t="s">
        <v>288</v>
      </c>
      <c r="E5807">
        <v>148.64099999999999</v>
      </c>
      <c r="F5807" t="s">
        <v>21</v>
      </c>
      <c r="G5807" t="s">
        <v>20</v>
      </c>
      <c r="H5807" t="s">
        <v>21</v>
      </c>
      <c r="I5807" t="s">
        <v>20</v>
      </c>
      <c r="J5807" t="s">
        <v>20</v>
      </c>
      <c r="K5807" t="s">
        <v>27</v>
      </c>
      <c r="L5807" t="s">
        <v>38</v>
      </c>
      <c r="M5807" t="s">
        <v>152</v>
      </c>
      <c r="N5807">
        <v>38.824801000000001</v>
      </c>
      <c r="O5807">
        <v>-109.781603</v>
      </c>
      <c r="P5807">
        <v>4601.0102919999999</v>
      </c>
      <c r="Q5807">
        <v>350</v>
      </c>
      <c r="R5807">
        <v>0</v>
      </c>
    </row>
    <row r="5808" spans="1:18" x14ac:dyDescent="0.25">
      <c r="A5808">
        <v>5807</v>
      </c>
      <c r="B5808">
        <v>94</v>
      </c>
      <c r="C5808">
        <v>31868061</v>
      </c>
      <c r="D5808" t="s">
        <v>118</v>
      </c>
      <c r="E5808">
        <v>148.66499999999999</v>
      </c>
      <c r="F5808" t="s">
        <v>21</v>
      </c>
      <c r="G5808" t="s">
        <v>26</v>
      </c>
      <c r="H5808" t="s">
        <v>21</v>
      </c>
      <c r="I5808" t="s">
        <v>20</v>
      </c>
      <c r="J5808" t="s">
        <v>20</v>
      </c>
      <c r="K5808" t="s">
        <v>22</v>
      </c>
      <c r="L5808" t="s">
        <v>234</v>
      </c>
      <c r="M5808" t="s">
        <v>169</v>
      </c>
      <c r="N5808">
        <v>40.411197999999999</v>
      </c>
      <c r="O5808">
        <v>-109.491872</v>
      </c>
      <c r="P5808">
        <v>5166.1664030000002</v>
      </c>
      <c r="Q5808">
        <v>310</v>
      </c>
      <c r="R5808">
        <v>0</v>
      </c>
    </row>
    <row r="5809" spans="1:18" x14ac:dyDescent="0.25">
      <c r="A5809">
        <v>5808</v>
      </c>
      <c r="B5809">
        <v>94</v>
      </c>
      <c r="C5809" t="e">
        <f>-Iov5QuiGqHGC3TToVHvOF</f>
        <v>#NAME?</v>
      </c>
      <c r="D5809" t="s">
        <v>272</v>
      </c>
      <c r="E5809">
        <v>366.44299999999998</v>
      </c>
      <c r="F5809" t="s">
        <v>21</v>
      </c>
      <c r="G5809" t="s">
        <v>26</v>
      </c>
      <c r="H5809" t="s">
        <v>21</v>
      </c>
      <c r="I5809" t="s">
        <v>20</v>
      </c>
      <c r="J5809" t="s">
        <v>20</v>
      </c>
      <c r="K5809" t="s">
        <v>31</v>
      </c>
      <c r="L5809" t="s">
        <v>89</v>
      </c>
      <c r="M5809" t="s">
        <v>49</v>
      </c>
      <c r="N5809">
        <v>40.582957999999998</v>
      </c>
      <c r="O5809">
        <v>-111.890861</v>
      </c>
      <c r="P5809">
        <v>4409.6191760000002</v>
      </c>
      <c r="Q5809">
        <v>1384</v>
      </c>
      <c r="R5809">
        <v>0</v>
      </c>
    </row>
    <row r="5810" spans="1:18" x14ac:dyDescent="0.25">
      <c r="A5810">
        <v>5809</v>
      </c>
      <c r="B5810">
        <v>94</v>
      </c>
      <c r="C5810" t="e">
        <f>-JRxTbziFc1MJdjMTzijHF</f>
        <v>#NAME?</v>
      </c>
      <c r="D5810" t="s">
        <v>272</v>
      </c>
      <c r="E5810">
        <v>366.52199999999999</v>
      </c>
      <c r="F5810" t="s">
        <v>19</v>
      </c>
      <c r="G5810" t="s">
        <v>20</v>
      </c>
      <c r="H5810" t="s">
        <v>21</v>
      </c>
      <c r="I5810" t="s">
        <v>20</v>
      </c>
      <c r="J5810" t="s">
        <v>20</v>
      </c>
      <c r="K5810" t="s">
        <v>31</v>
      </c>
      <c r="L5810" t="s">
        <v>69</v>
      </c>
      <c r="M5810" t="s">
        <v>49</v>
      </c>
      <c r="N5810">
        <v>40.584113000000002</v>
      </c>
      <c r="O5810">
        <v>-111.890867</v>
      </c>
      <c r="P5810">
        <v>4393.830602</v>
      </c>
      <c r="Q5810">
        <v>1384</v>
      </c>
      <c r="R5810">
        <v>0</v>
      </c>
    </row>
    <row r="5811" spans="1:18" x14ac:dyDescent="0.25">
      <c r="A5811">
        <v>5810</v>
      </c>
      <c r="B5811">
        <v>94</v>
      </c>
      <c r="C5811" t="e">
        <f>-IovB1zwGBm30en2lvv-qF</f>
        <v>#NAME?</v>
      </c>
      <c r="D5811" t="s">
        <v>272</v>
      </c>
      <c r="E5811">
        <v>366.79599999999999</v>
      </c>
      <c r="F5811" t="s">
        <v>19</v>
      </c>
      <c r="G5811" t="s">
        <v>20</v>
      </c>
      <c r="H5811" t="s">
        <v>19</v>
      </c>
      <c r="I5811">
        <v>209</v>
      </c>
      <c r="J5811" t="s">
        <v>20</v>
      </c>
      <c r="K5811" t="s">
        <v>31</v>
      </c>
      <c r="L5811" t="s">
        <v>69</v>
      </c>
      <c r="M5811" t="s">
        <v>49</v>
      </c>
      <c r="N5811">
        <v>40.588082</v>
      </c>
      <c r="O5811">
        <v>-111.890843</v>
      </c>
      <c r="P5811">
        <v>4357.4122669999997</v>
      </c>
      <c r="Q5811">
        <v>1384</v>
      </c>
      <c r="R5811">
        <v>0</v>
      </c>
    </row>
    <row r="5812" spans="1:18" x14ac:dyDescent="0.25">
      <c r="A5812">
        <v>5811</v>
      </c>
      <c r="B5812">
        <v>94</v>
      </c>
      <c r="C5812" t="e">
        <f>-IovFPTwFxD_I_AcXx9Jik</f>
        <v>#NAME?</v>
      </c>
      <c r="D5812" t="s">
        <v>272</v>
      </c>
      <c r="E5812">
        <v>366.84699999999998</v>
      </c>
      <c r="F5812" t="s">
        <v>21</v>
      </c>
      <c r="G5812" t="s">
        <v>26</v>
      </c>
      <c r="H5812" t="s">
        <v>21</v>
      </c>
      <c r="I5812" t="s">
        <v>20</v>
      </c>
      <c r="J5812" t="s">
        <v>20</v>
      </c>
      <c r="K5812" t="s">
        <v>31</v>
      </c>
      <c r="L5812" t="s">
        <v>69</v>
      </c>
      <c r="M5812" t="s">
        <v>49</v>
      </c>
      <c r="N5812">
        <v>40.588841000000002</v>
      </c>
      <c r="O5812">
        <v>-111.890744</v>
      </c>
      <c r="P5812">
        <v>4354.704017</v>
      </c>
      <c r="Q5812">
        <v>1384</v>
      </c>
      <c r="R5812">
        <v>0</v>
      </c>
    </row>
    <row r="5813" spans="1:18" x14ac:dyDescent="0.25">
      <c r="A5813">
        <v>5812</v>
      </c>
      <c r="B5813">
        <v>94</v>
      </c>
      <c r="C5813" t="s">
        <v>762</v>
      </c>
      <c r="D5813" t="s">
        <v>272</v>
      </c>
      <c r="E5813">
        <v>366.89699999999999</v>
      </c>
      <c r="F5813" t="s">
        <v>21</v>
      </c>
      <c r="G5813" t="s">
        <v>26</v>
      </c>
      <c r="H5813" t="s">
        <v>21</v>
      </c>
      <c r="I5813" t="s">
        <v>20</v>
      </c>
      <c r="J5813" t="s">
        <v>20</v>
      </c>
      <c r="K5813" t="s">
        <v>31</v>
      </c>
      <c r="L5813" t="s">
        <v>69</v>
      </c>
      <c r="M5813" t="s">
        <v>49</v>
      </c>
      <c r="N5813">
        <v>40.589576999999998</v>
      </c>
      <c r="O5813">
        <v>-111.890784</v>
      </c>
      <c r="P5813">
        <v>4353.1128259999996</v>
      </c>
      <c r="Q5813">
        <v>1384</v>
      </c>
      <c r="R5813">
        <v>0</v>
      </c>
    </row>
    <row r="5814" spans="1:18" x14ac:dyDescent="0.25">
      <c r="A5814">
        <v>5813</v>
      </c>
      <c r="B5814">
        <v>94</v>
      </c>
      <c r="C5814" t="e">
        <f>-IovFokWFvHJePQNF1wVBk</f>
        <v>#NAME?</v>
      </c>
      <c r="D5814" t="s">
        <v>272</v>
      </c>
      <c r="E5814">
        <v>366.947</v>
      </c>
      <c r="F5814" t="s">
        <v>21</v>
      </c>
      <c r="G5814" t="s">
        <v>26</v>
      </c>
      <c r="H5814" t="s">
        <v>21</v>
      </c>
      <c r="I5814" t="s">
        <v>20</v>
      </c>
      <c r="J5814" t="s">
        <v>20</v>
      </c>
      <c r="K5814" t="s">
        <v>31</v>
      </c>
      <c r="L5814" t="s">
        <v>69</v>
      </c>
      <c r="M5814" t="s">
        <v>49</v>
      </c>
      <c r="N5814">
        <v>40.590300999999997</v>
      </c>
      <c r="O5814">
        <v>-111.89088</v>
      </c>
      <c r="P5814">
        <v>4352.9941470000003</v>
      </c>
      <c r="Q5814">
        <v>1384</v>
      </c>
      <c r="R5814">
        <v>0</v>
      </c>
    </row>
    <row r="5815" spans="1:18" x14ac:dyDescent="0.25">
      <c r="A5815">
        <v>5814</v>
      </c>
      <c r="B5815">
        <v>94</v>
      </c>
      <c r="C5815" t="s">
        <v>763</v>
      </c>
      <c r="D5815" t="s">
        <v>244</v>
      </c>
      <c r="E5815">
        <v>29.741</v>
      </c>
      <c r="F5815" t="s">
        <v>21</v>
      </c>
      <c r="G5815" t="s">
        <v>26</v>
      </c>
      <c r="H5815" t="s">
        <v>21</v>
      </c>
      <c r="I5815" t="s">
        <v>20</v>
      </c>
      <c r="J5815" t="s">
        <v>20</v>
      </c>
      <c r="K5815" t="s">
        <v>27</v>
      </c>
      <c r="L5815" t="s">
        <v>266</v>
      </c>
      <c r="M5815" t="s">
        <v>58</v>
      </c>
      <c r="N5815">
        <v>38.603816000000002</v>
      </c>
      <c r="O5815">
        <v>-111.845541</v>
      </c>
      <c r="P5815">
        <v>6951.6055850000002</v>
      </c>
      <c r="Q5815">
        <v>1340</v>
      </c>
      <c r="R5815">
        <v>0</v>
      </c>
    </row>
    <row r="5816" spans="1:18" x14ac:dyDescent="0.25">
      <c r="A5816">
        <v>5815</v>
      </c>
      <c r="B5816">
        <v>94</v>
      </c>
      <c r="C5816">
        <v>31393658</v>
      </c>
      <c r="D5816" t="s">
        <v>124</v>
      </c>
      <c r="E5816">
        <v>29.756</v>
      </c>
      <c r="F5816" t="s">
        <v>21</v>
      </c>
      <c r="G5816" t="s">
        <v>26</v>
      </c>
      <c r="H5816" t="s">
        <v>21</v>
      </c>
      <c r="I5816" t="s">
        <v>20</v>
      </c>
      <c r="J5816" t="s">
        <v>20</v>
      </c>
      <c r="K5816" t="s">
        <v>22</v>
      </c>
      <c r="L5816" t="s">
        <v>84</v>
      </c>
      <c r="M5816" t="s">
        <v>194</v>
      </c>
      <c r="N5816">
        <v>40.344335000000001</v>
      </c>
      <c r="O5816">
        <v>-111.916246</v>
      </c>
      <c r="P5816">
        <v>4493.8401970000004</v>
      </c>
      <c r="Q5816">
        <v>1368</v>
      </c>
      <c r="R5816">
        <v>0</v>
      </c>
    </row>
    <row r="5817" spans="1:18" x14ac:dyDescent="0.25">
      <c r="A5817">
        <v>5816</v>
      </c>
      <c r="B5817">
        <v>94</v>
      </c>
      <c r="C5817">
        <v>31425833</v>
      </c>
      <c r="D5817" t="s">
        <v>221</v>
      </c>
      <c r="E5817">
        <v>29.77</v>
      </c>
      <c r="F5817" t="s">
        <v>21</v>
      </c>
      <c r="G5817" t="s">
        <v>26</v>
      </c>
      <c r="H5817" t="s">
        <v>21</v>
      </c>
      <c r="I5817" t="s">
        <v>20</v>
      </c>
      <c r="J5817" t="s">
        <v>20</v>
      </c>
      <c r="K5817" t="s">
        <v>22</v>
      </c>
      <c r="L5817" t="s">
        <v>155</v>
      </c>
      <c r="M5817" t="s">
        <v>174</v>
      </c>
      <c r="N5817">
        <v>39.555931000000001</v>
      </c>
      <c r="O5817">
        <v>-111.86382500000001</v>
      </c>
      <c r="P5817">
        <v>5254.472702</v>
      </c>
      <c r="Q5817">
        <v>1342</v>
      </c>
      <c r="R5817">
        <v>0</v>
      </c>
    </row>
    <row r="5818" spans="1:18" x14ac:dyDescent="0.25">
      <c r="A5818">
        <v>5817</v>
      </c>
      <c r="B5818">
        <v>94</v>
      </c>
      <c r="C5818" t="e">
        <f>-IoXIDtQIequAjB_EMRPck</f>
        <v>#NAME?</v>
      </c>
      <c r="D5818" t="s">
        <v>272</v>
      </c>
      <c r="E5818">
        <v>339.62900000000002</v>
      </c>
      <c r="F5818" t="s">
        <v>19</v>
      </c>
      <c r="G5818" t="s">
        <v>20</v>
      </c>
      <c r="H5818" t="s">
        <v>21</v>
      </c>
      <c r="I5818" t="s">
        <v>20</v>
      </c>
      <c r="J5818" t="s">
        <v>20</v>
      </c>
      <c r="K5818" t="s">
        <v>22</v>
      </c>
      <c r="L5818" t="s">
        <v>23</v>
      </c>
      <c r="M5818" t="s">
        <v>125</v>
      </c>
      <c r="N5818">
        <v>40.297189000000003</v>
      </c>
      <c r="O5818">
        <v>-111.69503400000001</v>
      </c>
      <c r="P5818">
        <v>4715.1590770000003</v>
      </c>
      <c r="Q5818">
        <v>1384</v>
      </c>
      <c r="R5818">
        <v>0</v>
      </c>
    </row>
    <row r="5819" spans="1:18" x14ac:dyDescent="0.25">
      <c r="A5819">
        <v>5818</v>
      </c>
      <c r="B5819">
        <v>94</v>
      </c>
      <c r="C5819" t="s">
        <v>764</v>
      </c>
      <c r="D5819" t="s">
        <v>272</v>
      </c>
      <c r="E5819">
        <v>339.75799999999998</v>
      </c>
      <c r="F5819" t="s">
        <v>21</v>
      </c>
      <c r="G5819" t="s">
        <v>26</v>
      </c>
      <c r="H5819" t="s">
        <v>21</v>
      </c>
      <c r="I5819" t="s">
        <v>20</v>
      </c>
      <c r="J5819" t="s">
        <v>20</v>
      </c>
      <c r="K5819" t="s">
        <v>22</v>
      </c>
      <c r="L5819" t="s">
        <v>23</v>
      </c>
      <c r="M5819" t="s">
        <v>125</v>
      </c>
      <c r="N5819">
        <v>40.298943999999999</v>
      </c>
      <c r="O5819">
        <v>-111.695802</v>
      </c>
      <c r="P5819">
        <v>4717.0354690000004</v>
      </c>
      <c r="Q5819">
        <v>1384</v>
      </c>
      <c r="R5819">
        <v>0</v>
      </c>
    </row>
    <row r="5820" spans="1:18" x14ac:dyDescent="0.25">
      <c r="A5820">
        <v>5819</v>
      </c>
      <c r="B5820">
        <v>94</v>
      </c>
      <c r="C5820" t="e">
        <f>-IoXKNwoFwy6JI7Uko2Fyk</f>
        <v>#NAME?</v>
      </c>
      <c r="D5820" t="s">
        <v>272</v>
      </c>
      <c r="E5820">
        <v>339.89499999999998</v>
      </c>
      <c r="F5820" t="s">
        <v>21</v>
      </c>
      <c r="G5820" t="s">
        <v>26</v>
      </c>
      <c r="H5820" t="s">
        <v>21</v>
      </c>
      <c r="I5820" t="s">
        <v>20</v>
      </c>
      <c r="J5820" t="s">
        <v>20</v>
      </c>
      <c r="K5820" t="s">
        <v>22</v>
      </c>
      <c r="L5820" t="s">
        <v>23</v>
      </c>
      <c r="M5820" t="s">
        <v>125</v>
      </c>
      <c r="N5820">
        <v>40.300798</v>
      </c>
      <c r="O5820">
        <v>-111.69659799999999</v>
      </c>
      <c r="P5820">
        <v>4716.6185310000001</v>
      </c>
      <c r="Q5820">
        <v>1384</v>
      </c>
      <c r="R5820">
        <v>0</v>
      </c>
    </row>
    <row r="5821" spans="1:18" x14ac:dyDescent="0.25">
      <c r="A5821">
        <v>5820</v>
      </c>
      <c r="B5821">
        <v>94</v>
      </c>
      <c r="C5821">
        <v>27866019</v>
      </c>
      <c r="D5821" t="s">
        <v>91</v>
      </c>
      <c r="E5821">
        <v>1.851</v>
      </c>
      <c r="F5821" t="s">
        <v>21</v>
      </c>
      <c r="G5821" t="s">
        <v>26</v>
      </c>
      <c r="H5821" t="s">
        <v>21</v>
      </c>
      <c r="I5821" t="s">
        <v>20</v>
      </c>
      <c r="J5821" t="s">
        <v>20</v>
      </c>
      <c r="K5821" t="s">
        <v>41</v>
      </c>
      <c r="L5821" t="s">
        <v>42</v>
      </c>
      <c r="M5821" t="s">
        <v>73</v>
      </c>
      <c r="N5821">
        <v>41.642940000000003</v>
      </c>
      <c r="O5821">
        <v>-111.93424400000001</v>
      </c>
      <c r="P5821">
        <v>4485.9960769999998</v>
      </c>
      <c r="Q5821">
        <v>1339</v>
      </c>
      <c r="R5821">
        <v>0</v>
      </c>
    </row>
    <row r="5822" spans="1:18" x14ac:dyDescent="0.25">
      <c r="A5822">
        <v>5821</v>
      </c>
      <c r="B5822">
        <v>94</v>
      </c>
      <c r="C5822">
        <v>27343198</v>
      </c>
      <c r="D5822" t="s">
        <v>185</v>
      </c>
      <c r="E5822">
        <v>1.8520000000000001</v>
      </c>
      <c r="F5822" t="s">
        <v>21</v>
      </c>
      <c r="G5822" t="s">
        <v>26</v>
      </c>
      <c r="H5822" t="s">
        <v>21</v>
      </c>
      <c r="I5822" t="s">
        <v>20</v>
      </c>
      <c r="J5822" t="s">
        <v>20</v>
      </c>
      <c r="K5822" t="s">
        <v>41</v>
      </c>
      <c r="L5822" t="s">
        <v>57</v>
      </c>
      <c r="M5822" t="s">
        <v>58</v>
      </c>
      <c r="N5822">
        <v>41.139878000000003</v>
      </c>
      <c r="O5822">
        <v>-112.061695</v>
      </c>
      <c r="P5822">
        <v>4298.0334650000004</v>
      </c>
      <c r="Q5822">
        <v>309</v>
      </c>
      <c r="R5822">
        <v>0</v>
      </c>
    </row>
    <row r="5823" spans="1:18" x14ac:dyDescent="0.25">
      <c r="A5823">
        <v>5822</v>
      </c>
      <c r="B5823">
        <v>94</v>
      </c>
      <c r="C5823">
        <v>1547172</v>
      </c>
      <c r="D5823" t="s">
        <v>92</v>
      </c>
      <c r="E5823">
        <v>1.8540000000000001</v>
      </c>
      <c r="F5823" t="s">
        <v>21</v>
      </c>
      <c r="G5823" t="s">
        <v>26</v>
      </c>
      <c r="H5823" t="s">
        <v>21</v>
      </c>
      <c r="I5823" t="s">
        <v>20</v>
      </c>
      <c r="J5823" t="s">
        <v>20</v>
      </c>
      <c r="K5823" t="s">
        <v>41</v>
      </c>
      <c r="L5823" t="s">
        <v>87</v>
      </c>
      <c r="M5823" t="s">
        <v>93</v>
      </c>
      <c r="N5823">
        <v>41.097515999999999</v>
      </c>
      <c r="O5823">
        <v>-111.973426</v>
      </c>
      <c r="P5823">
        <v>4571.0386710000002</v>
      </c>
      <c r="Q5823">
        <v>252</v>
      </c>
      <c r="R5823">
        <v>0</v>
      </c>
    </row>
    <row r="5824" spans="1:18" x14ac:dyDescent="0.25">
      <c r="A5824">
        <v>5823</v>
      </c>
      <c r="B5824">
        <v>94</v>
      </c>
      <c r="C5824">
        <v>518899</v>
      </c>
      <c r="D5824" t="s">
        <v>44</v>
      </c>
      <c r="E5824">
        <v>1.855</v>
      </c>
      <c r="F5824" t="s">
        <v>21</v>
      </c>
      <c r="G5824" t="s">
        <v>26</v>
      </c>
      <c r="H5824" t="s">
        <v>21</v>
      </c>
      <c r="I5824" t="s">
        <v>20</v>
      </c>
      <c r="J5824" t="s">
        <v>20</v>
      </c>
      <c r="K5824" t="s">
        <v>41</v>
      </c>
      <c r="L5824" t="s">
        <v>45</v>
      </c>
      <c r="M5824" t="s">
        <v>46</v>
      </c>
      <c r="N5824">
        <v>40.904294</v>
      </c>
      <c r="O5824">
        <v>-111.878997</v>
      </c>
      <c r="P5824">
        <v>4252.3067259999998</v>
      </c>
      <c r="Q5824">
        <v>1395</v>
      </c>
      <c r="R5824">
        <v>0</v>
      </c>
    </row>
    <row r="5825" spans="1:18" x14ac:dyDescent="0.25">
      <c r="A5825">
        <v>5824</v>
      </c>
      <c r="B5825">
        <v>94</v>
      </c>
      <c r="C5825">
        <v>31796373</v>
      </c>
      <c r="D5825" t="s">
        <v>180</v>
      </c>
      <c r="E5825">
        <v>1.857</v>
      </c>
      <c r="F5825" t="s">
        <v>21</v>
      </c>
      <c r="G5825" t="s">
        <v>26</v>
      </c>
      <c r="H5825" t="s">
        <v>21</v>
      </c>
      <c r="I5825" t="s">
        <v>20</v>
      </c>
      <c r="J5825" t="s">
        <v>20</v>
      </c>
      <c r="K5825" t="s">
        <v>41</v>
      </c>
      <c r="L5825" t="s">
        <v>181</v>
      </c>
      <c r="M5825" t="s">
        <v>117</v>
      </c>
      <c r="N5825">
        <v>41.739060000000002</v>
      </c>
      <c r="O5825">
        <v>-112.162581</v>
      </c>
      <c r="P5825">
        <v>4287.5008829999997</v>
      </c>
      <c r="Q5825">
        <v>1379</v>
      </c>
      <c r="R5825">
        <v>0</v>
      </c>
    </row>
    <row r="5826" spans="1:18" x14ac:dyDescent="0.25">
      <c r="A5826">
        <v>5825</v>
      </c>
      <c r="B5826">
        <v>94</v>
      </c>
      <c r="C5826">
        <v>31424039</v>
      </c>
      <c r="D5826" t="s">
        <v>107</v>
      </c>
      <c r="E5826">
        <v>1.86</v>
      </c>
      <c r="F5826" t="s">
        <v>21</v>
      </c>
      <c r="G5826" t="s">
        <v>20</v>
      </c>
      <c r="H5826" t="s">
        <v>21</v>
      </c>
      <c r="I5826" t="s">
        <v>20</v>
      </c>
      <c r="J5826" t="s">
        <v>20</v>
      </c>
      <c r="K5826" t="s">
        <v>41</v>
      </c>
      <c r="L5826" t="s">
        <v>81</v>
      </c>
      <c r="M5826" t="s">
        <v>93</v>
      </c>
      <c r="N5826">
        <v>41.219617999999997</v>
      </c>
      <c r="O5826">
        <v>-111.978904</v>
      </c>
      <c r="P5826">
        <v>4244.1003929999997</v>
      </c>
      <c r="Q5826">
        <v>413</v>
      </c>
      <c r="R5826">
        <v>0</v>
      </c>
    </row>
    <row r="5827" spans="1:18" x14ac:dyDescent="0.25">
      <c r="A5827">
        <v>5826</v>
      </c>
      <c r="B5827">
        <v>94</v>
      </c>
      <c r="C5827">
        <v>31456044</v>
      </c>
      <c r="D5827" t="s">
        <v>213</v>
      </c>
      <c r="E5827">
        <v>1.86</v>
      </c>
      <c r="F5827" t="s">
        <v>21</v>
      </c>
      <c r="G5827" t="s">
        <v>26</v>
      </c>
      <c r="H5827" t="s">
        <v>21</v>
      </c>
      <c r="I5827" t="s">
        <v>20</v>
      </c>
      <c r="J5827" t="s">
        <v>20</v>
      </c>
      <c r="K5827" t="s">
        <v>27</v>
      </c>
      <c r="L5827" t="s">
        <v>173</v>
      </c>
      <c r="M5827" t="s">
        <v>214</v>
      </c>
      <c r="N5827">
        <v>39.054501999999999</v>
      </c>
      <c r="O5827">
        <v>-114.01443999999999</v>
      </c>
      <c r="P5827">
        <v>4995.3253750000003</v>
      </c>
      <c r="Q5827">
        <v>1332</v>
      </c>
      <c r="R5827">
        <v>0</v>
      </c>
    </row>
    <row r="5828" spans="1:18" x14ac:dyDescent="0.25">
      <c r="A5828">
        <v>5827</v>
      </c>
      <c r="B5828">
        <v>94</v>
      </c>
      <c r="C5828">
        <v>27683641</v>
      </c>
      <c r="D5828" t="s">
        <v>217</v>
      </c>
      <c r="E5828">
        <v>1.8620000000000001</v>
      </c>
      <c r="F5828" t="s">
        <v>19</v>
      </c>
      <c r="G5828" t="s">
        <v>20</v>
      </c>
      <c r="H5828" t="s">
        <v>21</v>
      </c>
      <c r="I5828" t="s">
        <v>20</v>
      </c>
      <c r="J5828" t="s">
        <v>20</v>
      </c>
      <c r="K5828" t="s">
        <v>27</v>
      </c>
      <c r="L5828" t="s">
        <v>72</v>
      </c>
      <c r="M5828" t="s">
        <v>163</v>
      </c>
      <c r="N5828">
        <v>37.106518999999999</v>
      </c>
      <c r="O5828">
        <v>-113.59308799999999</v>
      </c>
      <c r="P5828">
        <v>2662.2380309999999</v>
      </c>
      <c r="Q5828">
        <v>304</v>
      </c>
      <c r="R5828">
        <v>0</v>
      </c>
    </row>
    <row r="5829" spans="1:18" x14ac:dyDescent="0.25">
      <c r="A5829">
        <v>5828</v>
      </c>
      <c r="B5829">
        <v>94</v>
      </c>
      <c r="C5829">
        <v>31398687</v>
      </c>
      <c r="D5829" t="s">
        <v>224</v>
      </c>
      <c r="E5829">
        <v>1.8620000000000001</v>
      </c>
      <c r="F5829" t="s">
        <v>21</v>
      </c>
      <c r="G5829" t="s">
        <v>26</v>
      </c>
      <c r="H5829" t="s">
        <v>21</v>
      </c>
      <c r="I5829" t="s">
        <v>20</v>
      </c>
      <c r="J5829" t="s">
        <v>20</v>
      </c>
      <c r="K5829" t="s">
        <v>22</v>
      </c>
      <c r="L5829" t="s">
        <v>198</v>
      </c>
      <c r="M5829" t="s">
        <v>194</v>
      </c>
      <c r="N5829">
        <v>39.997413999999999</v>
      </c>
      <c r="O5829">
        <v>-111.75229899999999</v>
      </c>
      <c r="P5829">
        <v>4695.5104840000004</v>
      </c>
      <c r="Q5829">
        <v>408</v>
      </c>
      <c r="R5829">
        <v>0</v>
      </c>
    </row>
    <row r="5830" spans="1:18" x14ac:dyDescent="0.25">
      <c r="A5830">
        <v>5829</v>
      </c>
      <c r="B5830">
        <v>94</v>
      </c>
      <c r="C5830">
        <v>31497862</v>
      </c>
      <c r="D5830" t="s">
        <v>765</v>
      </c>
      <c r="E5830">
        <v>1.8640000000000001</v>
      </c>
      <c r="F5830" t="s">
        <v>21</v>
      </c>
      <c r="G5830" t="s">
        <v>26</v>
      </c>
      <c r="H5830" t="s">
        <v>21</v>
      </c>
      <c r="I5830" t="s">
        <v>20</v>
      </c>
      <c r="J5830" t="s">
        <v>20</v>
      </c>
      <c r="K5830" t="s">
        <v>31</v>
      </c>
      <c r="L5830" t="s">
        <v>433</v>
      </c>
      <c r="M5830" t="s">
        <v>138</v>
      </c>
      <c r="N5830">
        <v>41.024005000000002</v>
      </c>
      <c r="O5830">
        <v>-111.50370599999999</v>
      </c>
      <c r="P5830">
        <v>5289.3832670000002</v>
      </c>
      <c r="Q5830">
        <v>1382</v>
      </c>
      <c r="R5830">
        <v>0</v>
      </c>
    </row>
    <row r="5831" spans="1:18" x14ac:dyDescent="0.25">
      <c r="A5831">
        <v>5830</v>
      </c>
      <c r="B5831">
        <v>94</v>
      </c>
      <c r="C5831">
        <v>1737657</v>
      </c>
      <c r="D5831" t="s">
        <v>197</v>
      </c>
      <c r="E5831">
        <v>1.867</v>
      </c>
      <c r="F5831" t="s">
        <v>21</v>
      </c>
      <c r="G5831" t="s">
        <v>26</v>
      </c>
      <c r="H5831" t="s">
        <v>21</v>
      </c>
      <c r="I5831" t="s">
        <v>20</v>
      </c>
      <c r="J5831" t="s">
        <v>20</v>
      </c>
      <c r="K5831" t="s">
        <v>22</v>
      </c>
      <c r="L5831" t="s">
        <v>198</v>
      </c>
      <c r="M5831" t="s">
        <v>125</v>
      </c>
      <c r="N5831">
        <v>39.993200999999999</v>
      </c>
      <c r="O5831">
        <v>-111.829027</v>
      </c>
      <c r="P5831">
        <v>4626.3306229999998</v>
      </c>
      <c r="Q5831">
        <v>1416</v>
      </c>
      <c r="R5831">
        <v>0</v>
      </c>
    </row>
    <row r="5832" spans="1:18" x14ac:dyDescent="0.25">
      <c r="A5832">
        <v>5831</v>
      </c>
      <c r="B5832">
        <v>94</v>
      </c>
      <c r="C5832">
        <v>31366452</v>
      </c>
      <c r="D5832" t="s">
        <v>229</v>
      </c>
      <c r="E5832">
        <v>1.87</v>
      </c>
      <c r="F5832" t="s">
        <v>21</v>
      </c>
      <c r="G5832" t="s">
        <v>26</v>
      </c>
      <c r="H5832" t="s">
        <v>21</v>
      </c>
      <c r="I5832" t="s">
        <v>20</v>
      </c>
      <c r="J5832" t="s">
        <v>20</v>
      </c>
      <c r="K5832" t="s">
        <v>27</v>
      </c>
      <c r="L5832" t="s">
        <v>230</v>
      </c>
      <c r="M5832" t="s">
        <v>82</v>
      </c>
      <c r="N5832">
        <v>39.475406999999997</v>
      </c>
      <c r="O5832">
        <v>-111.61973</v>
      </c>
      <c r="P5832">
        <v>5476.3787910000001</v>
      </c>
      <c r="Q5832">
        <v>331</v>
      </c>
      <c r="R5832">
        <v>0</v>
      </c>
    </row>
    <row r="5833" spans="1:18" x14ac:dyDescent="0.25">
      <c r="A5833">
        <v>5832</v>
      </c>
      <c r="B5833">
        <v>94</v>
      </c>
      <c r="C5833">
        <v>1106213</v>
      </c>
      <c r="D5833" t="s">
        <v>195</v>
      </c>
      <c r="E5833">
        <v>1.87</v>
      </c>
      <c r="F5833" t="s">
        <v>21</v>
      </c>
      <c r="G5833" t="s">
        <v>26</v>
      </c>
      <c r="H5833" t="s">
        <v>21</v>
      </c>
      <c r="I5833" t="s">
        <v>20</v>
      </c>
      <c r="J5833" t="s">
        <v>20</v>
      </c>
      <c r="K5833" t="s">
        <v>41</v>
      </c>
      <c r="L5833" t="s">
        <v>57</v>
      </c>
      <c r="M5833" t="s">
        <v>190</v>
      </c>
      <c r="N5833">
        <v>41.089225999999996</v>
      </c>
      <c r="O5833">
        <v>-112.076824</v>
      </c>
      <c r="P5833">
        <v>4208.9823310000002</v>
      </c>
      <c r="Q5833">
        <v>334</v>
      </c>
      <c r="R5833">
        <v>0</v>
      </c>
    </row>
    <row r="5834" spans="1:18" x14ac:dyDescent="0.25">
      <c r="A5834">
        <v>5833</v>
      </c>
      <c r="B5834">
        <v>94</v>
      </c>
      <c r="C5834">
        <v>533344</v>
      </c>
      <c r="D5834" t="s">
        <v>47</v>
      </c>
      <c r="E5834">
        <v>1.871</v>
      </c>
      <c r="F5834" t="s">
        <v>19</v>
      </c>
      <c r="G5834" t="s">
        <v>20</v>
      </c>
      <c r="H5834" t="s">
        <v>21</v>
      </c>
      <c r="I5834" t="s">
        <v>20</v>
      </c>
      <c r="J5834" t="s">
        <v>20</v>
      </c>
      <c r="K5834" t="s">
        <v>31</v>
      </c>
      <c r="L5834" t="s">
        <v>48</v>
      </c>
      <c r="M5834" t="s">
        <v>49</v>
      </c>
      <c r="N5834">
        <v>40.544151999999997</v>
      </c>
      <c r="O5834">
        <v>-111.948255</v>
      </c>
      <c r="P5834">
        <v>4422.3639130000001</v>
      </c>
      <c r="Q5834">
        <v>6715</v>
      </c>
      <c r="R5834">
        <v>0</v>
      </c>
    </row>
    <row r="5835" spans="1:18" x14ac:dyDescent="0.25">
      <c r="A5835">
        <v>5834</v>
      </c>
      <c r="B5835">
        <v>94</v>
      </c>
      <c r="C5835">
        <v>1404700</v>
      </c>
      <c r="D5835" t="s">
        <v>88</v>
      </c>
      <c r="E5835">
        <v>1.873</v>
      </c>
      <c r="F5835" t="s">
        <v>21</v>
      </c>
      <c r="G5835" t="s">
        <v>26</v>
      </c>
      <c r="H5835" t="s">
        <v>21</v>
      </c>
      <c r="I5835" t="s">
        <v>20</v>
      </c>
      <c r="J5835" t="s">
        <v>20</v>
      </c>
      <c r="K5835" t="s">
        <v>31</v>
      </c>
      <c r="L5835" t="s">
        <v>89</v>
      </c>
      <c r="M5835" t="s">
        <v>90</v>
      </c>
      <c r="N5835">
        <v>40.522269999999999</v>
      </c>
      <c r="O5835">
        <v>-111.948331</v>
      </c>
      <c r="P5835">
        <v>4416.7560560000002</v>
      </c>
      <c r="Q5835">
        <v>318</v>
      </c>
      <c r="R5835">
        <v>0</v>
      </c>
    </row>
    <row r="5836" spans="1:18" x14ac:dyDescent="0.25">
      <c r="A5836">
        <v>5835</v>
      </c>
      <c r="B5836">
        <v>94</v>
      </c>
      <c r="C5836">
        <v>31310026</v>
      </c>
      <c r="D5836" t="s">
        <v>215</v>
      </c>
      <c r="E5836">
        <v>1.8759999999999999</v>
      </c>
      <c r="F5836" t="s">
        <v>21</v>
      </c>
      <c r="G5836" t="s">
        <v>26</v>
      </c>
      <c r="H5836" t="s">
        <v>21</v>
      </c>
      <c r="I5836" t="s">
        <v>20</v>
      </c>
      <c r="J5836" t="s">
        <v>20</v>
      </c>
      <c r="K5836" t="s">
        <v>22</v>
      </c>
      <c r="L5836" t="s">
        <v>23</v>
      </c>
      <c r="M5836" t="s">
        <v>85</v>
      </c>
      <c r="N5836">
        <v>40.238405999999998</v>
      </c>
      <c r="O5836">
        <v>-111.69477000000001</v>
      </c>
      <c r="P5836">
        <v>4469.7129450000002</v>
      </c>
      <c r="Q5836">
        <v>330</v>
      </c>
      <c r="R5836">
        <v>0</v>
      </c>
    </row>
    <row r="5837" spans="1:18" x14ac:dyDescent="0.25">
      <c r="A5837">
        <v>5836</v>
      </c>
      <c r="B5837">
        <v>94</v>
      </c>
      <c r="C5837">
        <v>505517</v>
      </c>
      <c r="D5837" t="s">
        <v>135</v>
      </c>
      <c r="E5837">
        <v>1.696</v>
      </c>
      <c r="F5837" t="s">
        <v>21</v>
      </c>
      <c r="G5837" t="s">
        <v>26</v>
      </c>
      <c r="H5837" t="s">
        <v>21</v>
      </c>
      <c r="I5837" t="s">
        <v>20</v>
      </c>
      <c r="J5837" t="s">
        <v>20</v>
      </c>
      <c r="K5837" t="s">
        <v>31</v>
      </c>
      <c r="L5837" t="s">
        <v>48</v>
      </c>
      <c r="M5837" t="s">
        <v>144</v>
      </c>
      <c r="N5837">
        <v>40.562288000000002</v>
      </c>
      <c r="O5837">
        <v>-111.944608</v>
      </c>
      <c r="P5837">
        <v>4436.305292</v>
      </c>
      <c r="Q5837">
        <v>1423</v>
      </c>
      <c r="R5837">
        <v>0</v>
      </c>
    </row>
    <row r="5838" spans="1:18" x14ac:dyDescent="0.25">
      <c r="A5838">
        <v>5837</v>
      </c>
      <c r="B5838">
        <v>94</v>
      </c>
      <c r="C5838">
        <v>31500033</v>
      </c>
      <c r="D5838" t="s">
        <v>317</v>
      </c>
      <c r="E5838">
        <v>21.776</v>
      </c>
      <c r="F5838" t="s">
        <v>21</v>
      </c>
      <c r="G5838" t="s">
        <v>20</v>
      </c>
      <c r="H5838" t="s">
        <v>21</v>
      </c>
      <c r="I5838" t="s">
        <v>20</v>
      </c>
      <c r="J5838" t="s">
        <v>20</v>
      </c>
      <c r="K5838" t="s">
        <v>27</v>
      </c>
      <c r="L5838" t="s">
        <v>211</v>
      </c>
      <c r="M5838" t="s">
        <v>212</v>
      </c>
      <c r="N5838">
        <v>37.152141</v>
      </c>
      <c r="O5838">
        <v>-109.856617</v>
      </c>
      <c r="P5838">
        <v>4106.5444960000004</v>
      </c>
      <c r="Q5838">
        <v>1432</v>
      </c>
      <c r="R5838">
        <v>0</v>
      </c>
    </row>
    <row r="5839" spans="1:18" x14ac:dyDescent="0.25">
      <c r="A5839">
        <v>5838</v>
      </c>
      <c r="B5839">
        <v>94</v>
      </c>
      <c r="C5839">
        <v>31379862</v>
      </c>
      <c r="D5839" t="s">
        <v>40</v>
      </c>
      <c r="E5839">
        <v>21.777000000000001</v>
      </c>
      <c r="F5839" t="s">
        <v>21</v>
      </c>
      <c r="G5839" t="s">
        <v>20</v>
      </c>
      <c r="H5839" t="s">
        <v>21</v>
      </c>
      <c r="I5839" t="s">
        <v>20</v>
      </c>
      <c r="J5839" t="s">
        <v>20</v>
      </c>
      <c r="K5839" t="s">
        <v>41</v>
      </c>
      <c r="L5839" t="s">
        <v>42</v>
      </c>
      <c r="M5839" t="s">
        <v>43</v>
      </c>
      <c r="N5839">
        <v>41.603577000000001</v>
      </c>
      <c r="O5839">
        <v>-111.55997000000001</v>
      </c>
      <c r="P5839">
        <v>5581.4112910000003</v>
      </c>
      <c r="Q5839">
        <v>1391</v>
      </c>
      <c r="R5839">
        <v>0</v>
      </c>
    </row>
    <row r="5840" spans="1:18" x14ac:dyDescent="0.25">
      <c r="A5840">
        <v>5839</v>
      </c>
      <c r="B5840">
        <v>94</v>
      </c>
      <c r="C5840">
        <v>31432667</v>
      </c>
      <c r="D5840" t="s">
        <v>319</v>
      </c>
      <c r="E5840">
        <v>21.795999999999999</v>
      </c>
      <c r="F5840" t="s">
        <v>21</v>
      </c>
      <c r="G5840" t="s">
        <v>26</v>
      </c>
      <c r="H5840" t="s">
        <v>21</v>
      </c>
      <c r="I5840" t="s">
        <v>20</v>
      </c>
      <c r="J5840" t="s">
        <v>20</v>
      </c>
      <c r="K5840" t="s">
        <v>27</v>
      </c>
      <c r="L5840" t="s">
        <v>162</v>
      </c>
      <c r="M5840" t="s">
        <v>55</v>
      </c>
      <c r="N5840">
        <v>37.729236</v>
      </c>
      <c r="O5840">
        <v>-113.71123799999999</v>
      </c>
      <c r="P5840">
        <v>5094.4213360000003</v>
      </c>
      <c r="Q5840">
        <v>314</v>
      </c>
      <c r="R5840">
        <v>0</v>
      </c>
    </row>
    <row r="5841" spans="1:18" x14ac:dyDescent="0.25">
      <c r="A5841">
        <v>5840</v>
      </c>
      <c r="B5841">
        <v>94</v>
      </c>
      <c r="C5841">
        <v>31697878</v>
      </c>
      <c r="D5841" t="s">
        <v>213</v>
      </c>
      <c r="E5841">
        <v>243.30500000000001</v>
      </c>
      <c r="F5841" t="s">
        <v>21</v>
      </c>
      <c r="G5841" t="s">
        <v>26</v>
      </c>
      <c r="H5841" t="s">
        <v>21</v>
      </c>
      <c r="I5841" t="s">
        <v>20</v>
      </c>
      <c r="J5841" t="s">
        <v>20</v>
      </c>
      <c r="K5841" t="s">
        <v>27</v>
      </c>
      <c r="L5841" t="s">
        <v>158</v>
      </c>
      <c r="M5841" t="s">
        <v>190</v>
      </c>
      <c r="N5841">
        <v>39.575685</v>
      </c>
      <c r="O5841">
        <v>-110.784549</v>
      </c>
      <c r="P5841">
        <v>5427.8727870000002</v>
      </c>
      <c r="Q5841">
        <v>1332</v>
      </c>
      <c r="R5841">
        <v>0</v>
      </c>
    </row>
    <row r="5842" spans="1:18" x14ac:dyDescent="0.25">
      <c r="A5842">
        <v>5841</v>
      </c>
      <c r="B5842">
        <v>94</v>
      </c>
      <c r="C5842" t="e">
        <f>-IoMM4xHFuiQnOGv9mOhhV</f>
        <v>#NAME?</v>
      </c>
      <c r="D5842" t="s">
        <v>272</v>
      </c>
      <c r="E5842">
        <v>243.322</v>
      </c>
      <c r="F5842" t="s">
        <v>21</v>
      </c>
      <c r="G5842" t="s">
        <v>20</v>
      </c>
      <c r="H5842" t="s">
        <v>21</v>
      </c>
      <c r="I5842" t="s">
        <v>20</v>
      </c>
      <c r="J5842" t="s">
        <v>20</v>
      </c>
      <c r="K5842" t="s">
        <v>27</v>
      </c>
      <c r="L5842" t="s">
        <v>350</v>
      </c>
      <c r="M5842" t="s">
        <v>174</v>
      </c>
      <c r="N5842">
        <v>39.159621999999999</v>
      </c>
      <c r="O5842">
        <v>-111.783462</v>
      </c>
      <c r="P5842">
        <v>5238.8046530000001</v>
      </c>
      <c r="Q5842">
        <v>1384</v>
      </c>
      <c r="R5842">
        <v>0</v>
      </c>
    </row>
    <row r="5843" spans="1:18" x14ac:dyDescent="0.25">
      <c r="A5843">
        <v>5842</v>
      </c>
      <c r="B5843">
        <v>94</v>
      </c>
      <c r="C5843">
        <v>31697889</v>
      </c>
      <c r="D5843" t="s">
        <v>213</v>
      </c>
      <c r="E5843">
        <v>243.33</v>
      </c>
      <c r="F5843" t="s">
        <v>21</v>
      </c>
      <c r="G5843" t="s">
        <v>26</v>
      </c>
      <c r="H5843" t="s">
        <v>21</v>
      </c>
      <c r="I5843" t="s">
        <v>20</v>
      </c>
      <c r="J5843" t="s">
        <v>20</v>
      </c>
      <c r="K5843" t="s">
        <v>27</v>
      </c>
      <c r="L5843" t="s">
        <v>158</v>
      </c>
      <c r="M5843" t="s">
        <v>190</v>
      </c>
      <c r="N5843">
        <v>39.575333000000001</v>
      </c>
      <c r="O5843">
        <v>-110.78442200000001</v>
      </c>
      <c r="P5843">
        <v>5427.6081260000001</v>
      </c>
      <c r="Q5843">
        <v>1332</v>
      </c>
      <c r="R5843">
        <v>0</v>
      </c>
    </row>
    <row r="5844" spans="1:18" x14ac:dyDescent="0.25">
      <c r="A5844">
        <v>5843</v>
      </c>
      <c r="B5844">
        <v>94</v>
      </c>
      <c r="C5844" t="s">
        <v>766</v>
      </c>
      <c r="D5844" t="s">
        <v>272</v>
      </c>
      <c r="E5844">
        <v>243.499</v>
      </c>
      <c r="F5844" t="s">
        <v>21</v>
      </c>
      <c r="G5844" t="s">
        <v>26</v>
      </c>
      <c r="H5844" t="s">
        <v>21</v>
      </c>
      <c r="I5844" t="s">
        <v>20</v>
      </c>
      <c r="J5844" t="s">
        <v>20</v>
      </c>
      <c r="K5844" t="s">
        <v>27</v>
      </c>
      <c r="L5844" t="s">
        <v>350</v>
      </c>
      <c r="M5844" t="s">
        <v>174</v>
      </c>
      <c r="N5844">
        <v>39.158569999999997</v>
      </c>
      <c r="O5844">
        <v>-111.78043</v>
      </c>
      <c r="P5844">
        <v>5251.084355</v>
      </c>
      <c r="Q5844">
        <v>1384</v>
      </c>
      <c r="R5844">
        <v>0</v>
      </c>
    </row>
    <row r="5845" spans="1:18" x14ac:dyDescent="0.25">
      <c r="A5845">
        <v>5844</v>
      </c>
      <c r="B5845">
        <v>94</v>
      </c>
      <c r="C5845">
        <v>31697900</v>
      </c>
      <c r="D5845" t="s">
        <v>213</v>
      </c>
      <c r="E5845">
        <v>243.857</v>
      </c>
      <c r="F5845" t="s">
        <v>21</v>
      </c>
      <c r="G5845" t="s">
        <v>26</v>
      </c>
      <c r="H5845" t="s">
        <v>21</v>
      </c>
      <c r="I5845" t="s">
        <v>20</v>
      </c>
      <c r="J5845" t="s">
        <v>20</v>
      </c>
      <c r="K5845" t="s">
        <v>27</v>
      </c>
      <c r="L5845" t="s">
        <v>158</v>
      </c>
      <c r="M5845" t="s">
        <v>190</v>
      </c>
      <c r="N5845">
        <v>39.569142999999997</v>
      </c>
      <c r="O5845">
        <v>-110.778784</v>
      </c>
      <c r="P5845">
        <v>5409.279552</v>
      </c>
      <c r="Q5845">
        <v>1332</v>
      </c>
      <c r="R5845">
        <v>0</v>
      </c>
    </row>
    <row r="5846" spans="1:18" x14ac:dyDescent="0.25">
      <c r="A5846">
        <v>5845</v>
      </c>
      <c r="B5846">
        <v>94</v>
      </c>
      <c r="C5846">
        <v>31698511</v>
      </c>
      <c r="D5846" t="s">
        <v>213</v>
      </c>
      <c r="E5846">
        <v>243.91399999999999</v>
      </c>
      <c r="F5846" t="s">
        <v>21</v>
      </c>
      <c r="G5846" t="s">
        <v>20</v>
      </c>
      <c r="H5846" t="s">
        <v>21</v>
      </c>
      <c r="I5846" t="s">
        <v>20</v>
      </c>
      <c r="J5846" t="s">
        <v>20</v>
      </c>
      <c r="K5846" t="s">
        <v>27</v>
      </c>
      <c r="L5846" t="s">
        <v>158</v>
      </c>
      <c r="M5846" t="s">
        <v>190</v>
      </c>
      <c r="N5846">
        <v>39.568572000000003</v>
      </c>
      <c r="O5846">
        <v>-110.77799400000001</v>
      </c>
      <c r="P5846">
        <v>5405.5813509999998</v>
      </c>
      <c r="Q5846">
        <v>1332</v>
      </c>
      <c r="R5846">
        <v>0</v>
      </c>
    </row>
    <row r="5847" spans="1:18" x14ac:dyDescent="0.25">
      <c r="A5847">
        <v>5846</v>
      </c>
      <c r="B5847">
        <v>94</v>
      </c>
      <c r="C5847" t="e">
        <f>-IoMMiQKHOPfqlJx-laMQk</f>
        <v>#NAME?</v>
      </c>
      <c r="D5847" t="s">
        <v>272</v>
      </c>
      <c r="E5847">
        <v>244.13900000000001</v>
      </c>
      <c r="F5847" t="s">
        <v>21</v>
      </c>
      <c r="G5847" t="s">
        <v>20</v>
      </c>
      <c r="H5847" t="s">
        <v>21</v>
      </c>
      <c r="I5847" t="s">
        <v>20</v>
      </c>
      <c r="J5847" t="s">
        <v>20</v>
      </c>
      <c r="K5847" t="s">
        <v>27</v>
      </c>
      <c r="L5847" t="s">
        <v>350</v>
      </c>
      <c r="M5847" t="s">
        <v>174</v>
      </c>
      <c r="N5847">
        <v>39.15493</v>
      </c>
      <c r="O5847">
        <v>-111.76965300000001</v>
      </c>
      <c r="P5847">
        <v>5171.555832</v>
      </c>
      <c r="Q5847">
        <v>1384</v>
      </c>
      <c r="R5847">
        <v>0</v>
      </c>
    </row>
    <row r="5848" spans="1:18" x14ac:dyDescent="0.25">
      <c r="A5848">
        <v>5847</v>
      </c>
      <c r="B5848">
        <v>94</v>
      </c>
      <c r="C5848" t="e">
        <f>-IoMMwbOFrLD5OEv2ZxNrV</f>
        <v>#NAME?</v>
      </c>
      <c r="D5848" t="s">
        <v>272</v>
      </c>
      <c r="E5848">
        <v>244.32599999999999</v>
      </c>
      <c r="F5848" t="s">
        <v>21</v>
      </c>
      <c r="G5848" t="s">
        <v>20</v>
      </c>
      <c r="H5848" t="s">
        <v>21</v>
      </c>
      <c r="I5848" t="s">
        <v>20</v>
      </c>
      <c r="J5848" t="s">
        <v>20</v>
      </c>
      <c r="K5848" t="s">
        <v>27</v>
      </c>
      <c r="L5848" t="s">
        <v>350</v>
      </c>
      <c r="M5848" t="s">
        <v>174</v>
      </c>
      <c r="N5848">
        <v>39.155262999999998</v>
      </c>
      <c r="O5848">
        <v>-111.766177</v>
      </c>
      <c r="P5848">
        <v>5151.1947069999997</v>
      </c>
      <c r="Q5848">
        <v>1384</v>
      </c>
      <c r="R5848">
        <v>0</v>
      </c>
    </row>
    <row r="5849" spans="1:18" x14ac:dyDescent="0.25">
      <c r="A5849">
        <v>5848</v>
      </c>
      <c r="B5849">
        <v>94</v>
      </c>
      <c r="C5849" t="e">
        <f>-IoMNObpHjH9HZt4cojjIV</f>
        <v>#NAME?</v>
      </c>
      <c r="D5849" t="s">
        <v>272</v>
      </c>
      <c r="E5849">
        <v>244.82599999999999</v>
      </c>
      <c r="F5849" t="s">
        <v>21</v>
      </c>
      <c r="G5849" t="s">
        <v>20</v>
      </c>
      <c r="H5849" t="s">
        <v>21</v>
      </c>
      <c r="I5849" t="s">
        <v>20</v>
      </c>
      <c r="J5849" t="s">
        <v>20</v>
      </c>
      <c r="K5849" t="s">
        <v>27</v>
      </c>
      <c r="L5849" t="s">
        <v>350</v>
      </c>
      <c r="M5849" t="s">
        <v>174</v>
      </c>
      <c r="N5849">
        <v>39.158183000000001</v>
      </c>
      <c r="O5849">
        <v>-111.757794</v>
      </c>
      <c r="P5849">
        <v>5160.7864040000004</v>
      </c>
      <c r="Q5849">
        <v>1384</v>
      </c>
      <c r="R5849">
        <v>0</v>
      </c>
    </row>
    <row r="5850" spans="1:18" x14ac:dyDescent="0.25">
      <c r="A5850">
        <v>5849</v>
      </c>
      <c r="B5850">
        <v>94</v>
      </c>
      <c r="C5850" t="e">
        <f>-IoMNdo_F4XZZ6Vnh4-OKV</f>
        <v>#NAME?</v>
      </c>
      <c r="D5850" t="s">
        <v>272</v>
      </c>
      <c r="E5850">
        <v>245.214</v>
      </c>
      <c r="F5850" t="s">
        <v>21</v>
      </c>
      <c r="G5850" t="s">
        <v>26</v>
      </c>
      <c r="H5850" t="s">
        <v>21</v>
      </c>
      <c r="I5850" t="s">
        <v>20</v>
      </c>
      <c r="J5850" t="s">
        <v>20</v>
      </c>
      <c r="K5850" t="s">
        <v>27</v>
      </c>
      <c r="L5850" t="s">
        <v>350</v>
      </c>
      <c r="M5850" t="s">
        <v>174</v>
      </c>
      <c r="N5850">
        <v>39.159618000000002</v>
      </c>
      <c r="O5850">
        <v>-111.750848</v>
      </c>
      <c r="P5850">
        <v>5161.1454919999996</v>
      </c>
      <c r="Q5850">
        <v>1384</v>
      </c>
      <c r="R5850">
        <v>0</v>
      </c>
    </row>
    <row r="5851" spans="1:18" x14ac:dyDescent="0.25">
      <c r="A5851">
        <v>5850</v>
      </c>
      <c r="B5851">
        <v>94</v>
      </c>
      <c r="C5851">
        <v>31698533</v>
      </c>
      <c r="D5851" t="s">
        <v>213</v>
      </c>
      <c r="E5851">
        <v>245.79400000000001</v>
      </c>
      <c r="F5851" t="s">
        <v>21</v>
      </c>
      <c r="G5851" t="s">
        <v>26</v>
      </c>
      <c r="H5851" t="s">
        <v>21</v>
      </c>
      <c r="I5851" t="s">
        <v>20</v>
      </c>
      <c r="J5851" t="s">
        <v>20</v>
      </c>
      <c r="K5851" t="s">
        <v>27</v>
      </c>
      <c r="L5851" t="s">
        <v>158</v>
      </c>
      <c r="M5851" t="s">
        <v>190</v>
      </c>
      <c r="N5851">
        <v>39.549909999999997</v>
      </c>
      <c r="O5851">
        <v>-110.752154</v>
      </c>
      <c r="P5851">
        <v>5359.3288270000003</v>
      </c>
      <c r="Q5851">
        <v>1332</v>
      </c>
      <c r="R5851">
        <v>0</v>
      </c>
    </row>
    <row r="5852" spans="1:18" x14ac:dyDescent="0.25">
      <c r="A5852">
        <v>5851</v>
      </c>
      <c r="B5852">
        <v>94</v>
      </c>
      <c r="C5852" t="e">
        <f>-Ip5jMd9FODu1CsHSqEqrF</f>
        <v>#NAME?</v>
      </c>
      <c r="D5852" t="s">
        <v>213</v>
      </c>
      <c r="E5852">
        <v>245.98699999999999</v>
      </c>
      <c r="F5852" t="s">
        <v>21</v>
      </c>
      <c r="G5852" t="s">
        <v>20</v>
      </c>
      <c r="H5852" t="s">
        <v>21</v>
      </c>
      <c r="I5852" t="s">
        <v>20</v>
      </c>
      <c r="J5852" t="s">
        <v>20</v>
      </c>
      <c r="K5852" t="s">
        <v>27</v>
      </c>
      <c r="L5852" t="s">
        <v>158</v>
      </c>
      <c r="M5852" t="s">
        <v>190</v>
      </c>
      <c r="N5852">
        <v>39.548037999999998</v>
      </c>
      <c r="O5852">
        <v>-110.749562</v>
      </c>
      <c r="P5852">
        <v>5377.8643490000004</v>
      </c>
      <c r="Q5852">
        <v>1332</v>
      </c>
      <c r="R5852">
        <v>0</v>
      </c>
    </row>
    <row r="5853" spans="1:18" x14ac:dyDescent="0.25">
      <c r="A5853">
        <v>5852</v>
      </c>
      <c r="B5853">
        <v>94</v>
      </c>
      <c r="C5853">
        <v>31698544</v>
      </c>
      <c r="D5853" t="s">
        <v>213</v>
      </c>
      <c r="E5853">
        <v>246.126</v>
      </c>
      <c r="F5853" t="s">
        <v>21</v>
      </c>
      <c r="G5853" t="s">
        <v>20</v>
      </c>
      <c r="H5853" t="s">
        <v>21</v>
      </c>
      <c r="I5853" t="s">
        <v>20</v>
      </c>
      <c r="J5853" t="s">
        <v>20</v>
      </c>
      <c r="K5853" t="s">
        <v>27</v>
      </c>
      <c r="L5853" t="s">
        <v>158</v>
      </c>
      <c r="M5853" t="s">
        <v>190</v>
      </c>
      <c r="N5853">
        <v>39.546689999999998</v>
      </c>
      <c r="O5853">
        <v>-110.747696</v>
      </c>
      <c r="P5853">
        <v>5385.1711740000001</v>
      </c>
      <c r="Q5853">
        <v>1332</v>
      </c>
      <c r="R5853">
        <v>0</v>
      </c>
    </row>
    <row r="5854" spans="1:18" x14ac:dyDescent="0.25">
      <c r="A5854">
        <v>5853</v>
      </c>
      <c r="B5854">
        <v>94</v>
      </c>
      <c r="C5854">
        <v>31700155</v>
      </c>
      <c r="D5854" t="s">
        <v>213</v>
      </c>
      <c r="E5854">
        <v>246.21</v>
      </c>
      <c r="F5854" t="s">
        <v>21</v>
      </c>
      <c r="G5854" t="s">
        <v>26</v>
      </c>
      <c r="H5854" t="s">
        <v>21</v>
      </c>
      <c r="I5854" t="s">
        <v>20</v>
      </c>
      <c r="J5854" t="s">
        <v>20</v>
      </c>
      <c r="K5854" t="s">
        <v>27</v>
      </c>
      <c r="L5854" t="s">
        <v>158</v>
      </c>
      <c r="M5854" t="s">
        <v>190</v>
      </c>
      <c r="N5854">
        <v>39.545864999999999</v>
      </c>
      <c r="O5854">
        <v>-110.74656400000001</v>
      </c>
      <c r="P5854">
        <v>5385.1076069999999</v>
      </c>
      <c r="Q5854">
        <v>1332</v>
      </c>
      <c r="R5854">
        <v>0</v>
      </c>
    </row>
    <row r="5855" spans="1:18" x14ac:dyDescent="0.25">
      <c r="A5855">
        <v>5854</v>
      </c>
      <c r="B5855">
        <v>94</v>
      </c>
      <c r="C5855">
        <v>31700166</v>
      </c>
      <c r="D5855" t="s">
        <v>213</v>
      </c>
      <c r="E5855">
        <v>246.52699999999999</v>
      </c>
      <c r="F5855" t="s">
        <v>21</v>
      </c>
      <c r="G5855" t="s">
        <v>26</v>
      </c>
      <c r="H5855" t="s">
        <v>21</v>
      </c>
      <c r="I5855" t="s">
        <v>20</v>
      </c>
      <c r="J5855" t="s">
        <v>20</v>
      </c>
      <c r="K5855" t="s">
        <v>27</v>
      </c>
      <c r="L5855" t="s">
        <v>158</v>
      </c>
      <c r="M5855" t="s">
        <v>190</v>
      </c>
      <c r="N5855">
        <v>39.543325000000003</v>
      </c>
      <c r="O5855">
        <v>-110.741659</v>
      </c>
      <c r="P5855">
        <v>5366.6949299999997</v>
      </c>
      <c r="Q5855">
        <v>1332</v>
      </c>
      <c r="R5855">
        <v>0</v>
      </c>
    </row>
    <row r="5856" spans="1:18" x14ac:dyDescent="0.25">
      <c r="A5856">
        <v>5855</v>
      </c>
      <c r="B5856">
        <v>94</v>
      </c>
      <c r="C5856" t="e">
        <f>-IoMOIdnHKLc7Cr5_M--rk</f>
        <v>#NAME?</v>
      </c>
      <c r="D5856" t="s">
        <v>272</v>
      </c>
      <c r="E5856">
        <v>246.63399999999999</v>
      </c>
      <c r="F5856" t="s">
        <v>21</v>
      </c>
      <c r="G5856" t="s">
        <v>20</v>
      </c>
      <c r="H5856" t="s">
        <v>21</v>
      </c>
      <c r="I5856" t="s">
        <v>20</v>
      </c>
      <c r="J5856" t="s">
        <v>20</v>
      </c>
      <c r="K5856" t="s">
        <v>27</v>
      </c>
      <c r="L5856" t="s">
        <v>350</v>
      </c>
      <c r="M5856" t="s">
        <v>174</v>
      </c>
      <c r="N5856">
        <v>39.167321999999999</v>
      </c>
      <c r="O5856">
        <v>-111.726302</v>
      </c>
      <c r="P5856">
        <v>5217.8150969999997</v>
      </c>
      <c r="Q5856">
        <v>1384</v>
      </c>
      <c r="R5856">
        <v>0</v>
      </c>
    </row>
    <row r="5857" spans="1:18" x14ac:dyDescent="0.25">
      <c r="A5857">
        <v>5856</v>
      </c>
      <c r="B5857">
        <v>94</v>
      </c>
      <c r="C5857">
        <v>31700177</v>
      </c>
      <c r="D5857" t="s">
        <v>213</v>
      </c>
      <c r="E5857">
        <v>246.70099999999999</v>
      </c>
      <c r="F5857" t="s">
        <v>21</v>
      </c>
      <c r="G5857" t="s">
        <v>26</v>
      </c>
      <c r="H5857" t="s">
        <v>21</v>
      </c>
      <c r="I5857" t="s">
        <v>20</v>
      </c>
      <c r="J5857" t="s">
        <v>20</v>
      </c>
      <c r="K5857" t="s">
        <v>27</v>
      </c>
      <c r="L5857" t="s">
        <v>158</v>
      </c>
      <c r="M5857" t="s">
        <v>190</v>
      </c>
      <c r="N5857">
        <v>39.542499999999997</v>
      </c>
      <c r="O5857">
        <v>-110.73854900000001</v>
      </c>
      <c r="P5857">
        <v>5357.948574</v>
      </c>
      <c r="Q5857">
        <v>1332</v>
      </c>
      <c r="R5857">
        <v>0</v>
      </c>
    </row>
    <row r="5858" spans="1:18" x14ac:dyDescent="0.25">
      <c r="A5858">
        <v>5857</v>
      </c>
      <c r="B5858">
        <v>94</v>
      </c>
      <c r="C5858">
        <v>31700188</v>
      </c>
      <c r="D5858" t="s">
        <v>213</v>
      </c>
      <c r="E5858">
        <v>246.77500000000001</v>
      </c>
      <c r="F5858" t="s">
        <v>21</v>
      </c>
      <c r="G5858" t="s">
        <v>26</v>
      </c>
      <c r="H5858" t="s">
        <v>21</v>
      </c>
      <c r="I5858" t="s">
        <v>20</v>
      </c>
      <c r="J5858" t="s">
        <v>20</v>
      </c>
      <c r="K5858" t="s">
        <v>27</v>
      </c>
      <c r="L5858" t="s">
        <v>158</v>
      </c>
      <c r="M5858" t="s">
        <v>190</v>
      </c>
      <c r="N5858">
        <v>39.542413000000003</v>
      </c>
      <c r="O5858">
        <v>-110.737172</v>
      </c>
      <c r="P5858">
        <v>5355.2342749999998</v>
      </c>
      <c r="Q5858">
        <v>1332</v>
      </c>
      <c r="R5858">
        <v>0</v>
      </c>
    </row>
    <row r="5859" spans="1:18" x14ac:dyDescent="0.25">
      <c r="A5859">
        <v>5858</v>
      </c>
      <c r="B5859">
        <v>94</v>
      </c>
      <c r="C5859" t="e">
        <f>-IoI0Lr0HIaPzaaoGKis_V</f>
        <v>#NAME?</v>
      </c>
      <c r="D5859" t="s">
        <v>272</v>
      </c>
      <c r="E5859">
        <v>250.83099999999999</v>
      </c>
      <c r="F5859" t="s">
        <v>21</v>
      </c>
      <c r="G5859" t="s">
        <v>26</v>
      </c>
      <c r="H5859" t="s">
        <v>21</v>
      </c>
      <c r="I5859" t="s">
        <v>20</v>
      </c>
      <c r="J5859" t="s">
        <v>20</v>
      </c>
      <c r="K5859" t="s">
        <v>27</v>
      </c>
      <c r="L5859" t="s">
        <v>350</v>
      </c>
      <c r="M5859" t="s">
        <v>174</v>
      </c>
      <c r="N5859">
        <v>39.212496000000002</v>
      </c>
      <c r="O5859">
        <v>-111.688221</v>
      </c>
      <c r="P5859">
        <v>5451.5576650000003</v>
      </c>
      <c r="Q5859">
        <v>1384</v>
      </c>
      <c r="R5859">
        <v>0</v>
      </c>
    </row>
    <row r="5860" spans="1:18" x14ac:dyDescent="0.25">
      <c r="A5860">
        <v>5859</v>
      </c>
      <c r="B5860">
        <v>94</v>
      </c>
      <c r="C5860" t="e">
        <f>-IoI2fS6Izu0AdoJbpTbkV</f>
        <v>#NAME?</v>
      </c>
      <c r="D5860" t="s">
        <v>272</v>
      </c>
      <c r="E5860">
        <v>251.45400000000001</v>
      </c>
      <c r="F5860" t="s">
        <v>21</v>
      </c>
      <c r="G5860" t="s">
        <v>20</v>
      </c>
      <c r="H5860" t="s">
        <v>21</v>
      </c>
      <c r="I5860" t="s">
        <v>20</v>
      </c>
      <c r="J5860" t="s">
        <v>20</v>
      </c>
      <c r="K5860" t="s">
        <v>27</v>
      </c>
      <c r="L5860" t="s">
        <v>350</v>
      </c>
      <c r="M5860" t="s">
        <v>174</v>
      </c>
      <c r="N5860">
        <v>39.219610000000003</v>
      </c>
      <c r="O5860">
        <v>-111.68109</v>
      </c>
      <c r="P5860">
        <v>5405.9577509999999</v>
      </c>
      <c r="Q5860">
        <v>1384</v>
      </c>
      <c r="R5860">
        <v>0</v>
      </c>
    </row>
    <row r="5861" spans="1:18" x14ac:dyDescent="0.25">
      <c r="A5861">
        <v>5860</v>
      </c>
      <c r="B5861">
        <v>94</v>
      </c>
      <c r="C5861" t="e">
        <f>-JSzb0yOHwXixccBugh4sV</f>
        <v>#NAME?</v>
      </c>
      <c r="D5861" t="s">
        <v>288</v>
      </c>
      <c r="E5861">
        <v>251.53299999999999</v>
      </c>
      <c r="F5861" t="s">
        <v>21</v>
      </c>
      <c r="G5861" t="s">
        <v>26</v>
      </c>
      <c r="H5861" t="s">
        <v>19</v>
      </c>
      <c r="I5861">
        <v>6</v>
      </c>
      <c r="J5861" t="s">
        <v>20</v>
      </c>
      <c r="K5861" t="s">
        <v>27</v>
      </c>
      <c r="L5861" t="s">
        <v>307</v>
      </c>
      <c r="M5861" t="s">
        <v>120</v>
      </c>
      <c r="N5861">
        <v>39.725245999999999</v>
      </c>
      <c r="O5861">
        <v>-110.867515</v>
      </c>
      <c r="P5861">
        <v>6035.1403780000001</v>
      </c>
      <c r="Q5861">
        <v>350</v>
      </c>
      <c r="R5861">
        <v>0</v>
      </c>
    </row>
    <row r="5862" spans="1:18" x14ac:dyDescent="0.25">
      <c r="A5862">
        <v>5861</v>
      </c>
      <c r="B5862">
        <v>94</v>
      </c>
      <c r="C5862" t="e">
        <f>-IoI2v2tFwq0f7vi4C-V4F</f>
        <v>#NAME?</v>
      </c>
      <c r="D5862" t="s">
        <v>272</v>
      </c>
      <c r="E5862">
        <v>251.69</v>
      </c>
      <c r="F5862" t="s">
        <v>21</v>
      </c>
      <c r="G5862" t="s">
        <v>26</v>
      </c>
      <c r="H5862" t="s">
        <v>21</v>
      </c>
      <c r="I5862" t="s">
        <v>20</v>
      </c>
      <c r="J5862" t="s">
        <v>20</v>
      </c>
      <c r="K5862" t="s">
        <v>27</v>
      </c>
      <c r="L5862" t="s">
        <v>350</v>
      </c>
      <c r="M5862" t="s">
        <v>174</v>
      </c>
      <c r="N5862">
        <v>39.222101000000002</v>
      </c>
      <c r="O5862">
        <v>-111.678056</v>
      </c>
      <c r="P5862">
        <v>5395.7159110000002</v>
      </c>
      <c r="Q5862">
        <v>1384</v>
      </c>
      <c r="R5862">
        <v>0</v>
      </c>
    </row>
    <row r="5863" spans="1:18" x14ac:dyDescent="0.25">
      <c r="A5863">
        <v>5862</v>
      </c>
      <c r="B5863">
        <v>94</v>
      </c>
      <c r="C5863">
        <v>1006067</v>
      </c>
      <c r="D5863" t="s">
        <v>171</v>
      </c>
      <c r="E5863">
        <v>2.2330000000000001</v>
      </c>
      <c r="F5863" t="s">
        <v>21</v>
      </c>
      <c r="G5863" t="s">
        <v>26</v>
      </c>
      <c r="H5863" t="s">
        <v>21</v>
      </c>
      <c r="I5863" t="s">
        <v>20</v>
      </c>
      <c r="J5863" t="s">
        <v>20</v>
      </c>
      <c r="K5863" t="s">
        <v>31</v>
      </c>
      <c r="L5863" t="s">
        <v>78</v>
      </c>
      <c r="M5863" t="s">
        <v>79</v>
      </c>
      <c r="N5863">
        <v>40.696528999999998</v>
      </c>
      <c r="O5863">
        <v>-112.049167</v>
      </c>
      <c r="P5863">
        <v>4261.6237339999998</v>
      </c>
      <c r="Q5863">
        <v>346</v>
      </c>
      <c r="R5863">
        <v>0</v>
      </c>
    </row>
    <row r="5864" spans="1:18" x14ac:dyDescent="0.25">
      <c r="A5864">
        <v>5863</v>
      </c>
      <c r="B5864">
        <v>94</v>
      </c>
      <c r="C5864">
        <v>1176842</v>
      </c>
      <c r="D5864" t="s">
        <v>108</v>
      </c>
      <c r="E5864">
        <v>2.234</v>
      </c>
      <c r="F5864" t="s">
        <v>21</v>
      </c>
      <c r="G5864" t="s">
        <v>26</v>
      </c>
      <c r="H5864" t="s">
        <v>21</v>
      </c>
      <c r="I5864" t="s">
        <v>20</v>
      </c>
      <c r="J5864" t="s">
        <v>20</v>
      </c>
      <c r="K5864" t="s">
        <v>41</v>
      </c>
      <c r="L5864" t="s">
        <v>81</v>
      </c>
      <c r="M5864" t="s">
        <v>93</v>
      </c>
      <c r="N5864">
        <v>41.183464000000001</v>
      </c>
      <c r="O5864">
        <v>-111.988944</v>
      </c>
      <c r="P5864">
        <v>4325.8206110000001</v>
      </c>
      <c r="Q5864">
        <v>1341</v>
      </c>
      <c r="R5864">
        <v>0</v>
      </c>
    </row>
    <row r="5865" spans="1:18" x14ac:dyDescent="0.25">
      <c r="A5865">
        <v>5864</v>
      </c>
      <c r="B5865">
        <v>94</v>
      </c>
      <c r="C5865">
        <v>28217181</v>
      </c>
      <c r="D5865" t="s">
        <v>220</v>
      </c>
      <c r="E5865">
        <v>59.066000000000003</v>
      </c>
      <c r="F5865" t="s">
        <v>21</v>
      </c>
      <c r="G5865" t="s">
        <v>26</v>
      </c>
      <c r="H5865" t="s">
        <v>21</v>
      </c>
      <c r="I5865" t="s">
        <v>20</v>
      </c>
      <c r="J5865" t="s">
        <v>20</v>
      </c>
      <c r="K5865" t="s">
        <v>27</v>
      </c>
      <c r="L5865" t="s">
        <v>28</v>
      </c>
      <c r="M5865" t="s">
        <v>366</v>
      </c>
      <c r="N5865">
        <v>37.770425000000003</v>
      </c>
      <c r="O5865">
        <v>-111.60812900000001</v>
      </c>
      <c r="P5865">
        <v>5806.0581339999999</v>
      </c>
      <c r="Q5865">
        <v>1328</v>
      </c>
      <c r="R5865">
        <v>0</v>
      </c>
    </row>
    <row r="5866" spans="1:18" x14ac:dyDescent="0.25">
      <c r="A5866">
        <v>5865</v>
      </c>
      <c r="B5866">
        <v>94</v>
      </c>
      <c r="C5866">
        <v>31508044</v>
      </c>
      <c r="D5866" t="s">
        <v>124</v>
      </c>
      <c r="E5866">
        <v>59.164000000000001</v>
      </c>
      <c r="F5866" t="s">
        <v>19</v>
      </c>
      <c r="G5866" t="s">
        <v>20</v>
      </c>
      <c r="H5866" t="s">
        <v>21</v>
      </c>
      <c r="I5866" t="s">
        <v>20</v>
      </c>
      <c r="J5866" t="s">
        <v>20</v>
      </c>
      <c r="K5866" t="s">
        <v>31</v>
      </c>
      <c r="L5866" t="s">
        <v>362</v>
      </c>
      <c r="M5866" t="s">
        <v>365</v>
      </c>
      <c r="N5866">
        <v>40.767173999999997</v>
      </c>
      <c r="O5866">
        <v>-111.939172</v>
      </c>
      <c r="P5866">
        <v>4191.4743769999995</v>
      </c>
      <c r="Q5866">
        <v>1368</v>
      </c>
      <c r="R5866">
        <v>0</v>
      </c>
    </row>
    <row r="5867" spans="1:18" x14ac:dyDescent="0.25">
      <c r="A5867">
        <v>5866</v>
      </c>
      <c r="B5867">
        <v>94</v>
      </c>
      <c r="C5867" t="e">
        <f>-IoIJT-IISyawfvZxOttUV</f>
        <v>#NAME?</v>
      </c>
      <c r="D5867" t="s">
        <v>272</v>
      </c>
      <c r="E5867">
        <v>255.947</v>
      </c>
      <c r="F5867" t="s">
        <v>21</v>
      </c>
      <c r="G5867" t="s">
        <v>26</v>
      </c>
      <c r="H5867" t="s">
        <v>21</v>
      </c>
      <c r="I5867" t="s">
        <v>20</v>
      </c>
      <c r="J5867" t="s">
        <v>20</v>
      </c>
      <c r="K5867" t="s">
        <v>27</v>
      </c>
      <c r="L5867" t="s">
        <v>350</v>
      </c>
      <c r="M5867" t="s">
        <v>174</v>
      </c>
      <c r="N5867">
        <v>39.271222000000002</v>
      </c>
      <c r="O5867">
        <v>-111.636988</v>
      </c>
      <c r="P5867">
        <v>5526.5844209999996</v>
      </c>
      <c r="Q5867">
        <v>1384</v>
      </c>
      <c r="R5867">
        <v>0</v>
      </c>
    </row>
    <row r="5868" spans="1:18" x14ac:dyDescent="0.25">
      <c r="A5868">
        <v>5867</v>
      </c>
      <c r="B5868">
        <v>94</v>
      </c>
      <c r="C5868" t="e">
        <f>-JOUxj6JIOyyALLkeqZu2V</f>
        <v>#NAME?</v>
      </c>
      <c r="D5868" t="s">
        <v>339</v>
      </c>
      <c r="E5868">
        <v>14.185</v>
      </c>
      <c r="F5868" t="s">
        <v>21</v>
      </c>
      <c r="G5868" t="s">
        <v>20</v>
      </c>
      <c r="H5868" t="s">
        <v>21</v>
      </c>
      <c r="I5868" t="s">
        <v>20</v>
      </c>
      <c r="J5868" t="s">
        <v>20</v>
      </c>
      <c r="K5868" t="s">
        <v>41</v>
      </c>
      <c r="L5868" t="s">
        <v>95</v>
      </c>
      <c r="M5868" t="s">
        <v>73</v>
      </c>
      <c r="N5868">
        <v>41.924942000000001</v>
      </c>
      <c r="O5868">
        <v>-111.87542000000001</v>
      </c>
      <c r="P5868">
        <v>4413.4005040000002</v>
      </c>
      <c r="Q5868">
        <v>1417</v>
      </c>
      <c r="R5868">
        <v>0</v>
      </c>
    </row>
    <row r="5869" spans="1:18" x14ac:dyDescent="0.25">
      <c r="A5869">
        <v>5868</v>
      </c>
      <c r="B5869">
        <v>94</v>
      </c>
      <c r="C5869">
        <v>8152396</v>
      </c>
      <c r="D5869" t="s">
        <v>88</v>
      </c>
      <c r="E5869">
        <v>14.185</v>
      </c>
      <c r="F5869" t="s">
        <v>21</v>
      </c>
      <c r="G5869" t="s">
        <v>26</v>
      </c>
      <c r="H5869" t="s">
        <v>21</v>
      </c>
      <c r="I5869" t="s">
        <v>20</v>
      </c>
      <c r="J5869" t="s">
        <v>20</v>
      </c>
      <c r="K5869" t="s">
        <v>31</v>
      </c>
      <c r="L5869" t="s">
        <v>32</v>
      </c>
      <c r="M5869" t="s">
        <v>90</v>
      </c>
      <c r="N5869">
        <v>40.643788999999998</v>
      </c>
      <c r="O5869">
        <v>-111.86597</v>
      </c>
      <c r="P5869">
        <v>4295.950981</v>
      </c>
      <c r="Q5869">
        <v>318</v>
      </c>
      <c r="R5869">
        <v>0</v>
      </c>
    </row>
    <row r="5870" spans="1:18" x14ac:dyDescent="0.25">
      <c r="A5870">
        <v>5869</v>
      </c>
      <c r="B5870">
        <v>94</v>
      </c>
      <c r="C5870">
        <v>31604863</v>
      </c>
      <c r="D5870" t="s">
        <v>50</v>
      </c>
      <c r="E5870">
        <v>14.194000000000001</v>
      </c>
      <c r="F5870" t="s">
        <v>21</v>
      </c>
      <c r="G5870" t="s">
        <v>26</v>
      </c>
      <c r="H5870" t="s">
        <v>21</v>
      </c>
      <c r="I5870" t="s">
        <v>20</v>
      </c>
      <c r="J5870" t="s">
        <v>20</v>
      </c>
      <c r="K5870" t="s">
        <v>27</v>
      </c>
      <c r="L5870" t="s">
        <v>51</v>
      </c>
      <c r="M5870" t="s">
        <v>52</v>
      </c>
      <c r="N5870">
        <v>37.708525000000002</v>
      </c>
      <c r="O5870">
        <v>-112.850813</v>
      </c>
      <c r="P5870">
        <v>9443.3160919999991</v>
      </c>
      <c r="Q5870">
        <v>1418</v>
      </c>
      <c r="R5870">
        <v>0</v>
      </c>
    </row>
    <row r="5871" spans="1:18" x14ac:dyDescent="0.25">
      <c r="A5871">
        <v>5870</v>
      </c>
      <c r="B5871">
        <v>94</v>
      </c>
      <c r="C5871">
        <v>28568654</v>
      </c>
      <c r="D5871" t="s">
        <v>323</v>
      </c>
      <c r="E5871">
        <v>14.202999999999999</v>
      </c>
      <c r="F5871" t="s">
        <v>21</v>
      </c>
      <c r="G5871" t="s">
        <v>20</v>
      </c>
      <c r="H5871" t="s">
        <v>21</v>
      </c>
      <c r="I5871" t="s">
        <v>20</v>
      </c>
      <c r="J5871" t="s">
        <v>20</v>
      </c>
      <c r="K5871" t="s">
        <v>31</v>
      </c>
      <c r="L5871" t="s">
        <v>130</v>
      </c>
      <c r="M5871" t="s">
        <v>131</v>
      </c>
      <c r="N5871">
        <v>40.665576000000001</v>
      </c>
      <c r="O5871">
        <v>-111.280806</v>
      </c>
      <c r="P5871">
        <v>6331.2319289999996</v>
      </c>
      <c r="Q5871">
        <v>1345</v>
      </c>
      <c r="R5871">
        <v>0</v>
      </c>
    </row>
    <row r="5872" spans="1:18" x14ac:dyDescent="0.25">
      <c r="A5872">
        <v>5871</v>
      </c>
      <c r="B5872">
        <v>94</v>
      </c>
      <c r="C5872">
        <v>1532228</v>
      </c>
      <c r="D5872" t="s">
        <v>88</v>
      </c>
      <c r="E5872">
        <v>14.218</v>
      </c>
      <c r="F5872" t="s">
        <v>21</v>
      </c>
      <c r="G5872" t="s">
        <v>26</v>
      </c>
      <c r="H5872" t="s">
        <v>21</v>
      </c>
      <c r="I5872" t="s">
        <v>20</v>
      </c>
      <c r="J5872" t="s">
        <v>20</v>
      </c>
      <c r="K5872" t="s">
        <v>31</v>
      </c>
      <c r="L5872" t="s">
        <v>32</v>
      </c>
      <c r="M5872" t="s">
        <v>90</v>
      </c>
      <c r="N5872">
        <v>40.644267999999997</v>
      </c>
      <c r="O5872">
        <v>-111.86597500000001</v>
      </c>
      <c r="P5872">
        <v>4294.5443560000003</v>
      </c>
      <c r="Q5872">
        <v>318</v>
      </c>
      <c r="R5872">
        <v>0</v>
      </c>
    </row>
    <row r="5873" spans="1:18" x14ac:dyDescent="0.25">
      <c r="A5873">
        <v>5872</v>
      </c>
      <c r="B5873">
        <v>94</v>
      </c>
      <c r="C5873">
        <v>31588503</v>
      </c>
      <c r="D5873" t="s">
        <v>271</v>
      </c>
      <c r="E5873">
        <v>14.253</v>
      </c>
      <c r="F5873" t="s">
        <v>21</v>
      </c>
      <c r="G5873" t="s">
        <v>20</v>
      </c>
      <c r="H5873" t="s">
        <v>21</v>
      </c>
      <c r="I5873" t="s">
        <v>20</v>
      </c>
      <c r="J5873" t="s">
        <v>20</v>
      </c>
      <c r="K5873" t="s">
        <v>31</v>
      </c>
      <c r="L5873" t="s">
        <v>282</v>
      </c>
      <c r="M5873" t="s">
        <v>24</v>
      </c>
      <c r="N5873">
        <v>40.239795999999998</v>
      </c>
      <c r="O5873">
        <v>-112.203846</v>
      </c>
      <c r="P5873">
        <v>5273.8095069999999</v>
      </c>
      <c r="Q5873">
        <v>1372</v>
      </c>
      <c r="R5873">
        <v>0</v>
      </c>
    </row>
    <row r="5874" spans="1:18" x14ac:dyDescent="0.25">
      <c r="A5874">
        <v>5873</v>
      </c>
      <c r="B5874">
        <v>94</v>
      </c>
      <c r="C5874">
        <v>31752422</v>
      </c>
      <c r="D5874" t="s">
        <v>231</v>
      </c>
      <c r="E5874">
        <v>14.266</v>
      </c>
      <c r="F5874" t="s">
        <v>21</v>
      </c>
      <c r="G5874" t="s">
        <v>26</v>
      </c>
      <c r="H5874" t="s">
        <v>21</v>
      </c>
      <c r="I5874" t="s">
        <v>20</v>
      </c>
      <c r="J5874" t="s">
        <v>20</v>
      </c>
      <c r="K5874" t="s">
        <v>41</v>
      </c>
      <c r="L5874" t="s">
        <v>57</v>
      </c>
      <c r="M5874" t="s">
        <v>93</v>
      </c>
      <c r="N5874">
        <v>41.242148999999998</v>
      </c>
      <c r="O5874">
        <v>-112.02538800000001</v>
      </c>
      <c r="P5874">
        <v>4218.8019539999996</v>
      </c>
      <c r="Q5874">
        <v>1409</v>
      </c>
      <c r="R5874">
        <v>0</v>
      </c>
    </row>
    <row r="5875" spans="1:18" x14ac:dyDescent="0.25">
      <c r="A5875">
        <v>5874</v>
      </c>
      <c r="B5875">
        <v>94</v>
      </c>
      <c r="C5875" t="e">
        <f>-IovR-rAHpTAX9f5FE9R8V</f>
        <v>#NAME?</v>
      </c>
      <c r="D5875" t="s">
        <v>118</v>
      </c>
      <c r="E5875">
        <v>14.266999999999999</v>
      </c>
      <c r="F5875" t="s">
        <v>21</v>
      </c>
      <c r="G5875" t="s">
        <v>26</v>
      </c>
      <c r="H5875" t="s">
        <v>21</v>
      </c>
      <c r="I5875" t="s">
        <v>20</v>
      </c>
      <c r="J5875" t="s">
        <v>20</v>
      </c>
      <c r="K5875" t="s">
        <v>22</v>
      </c>
      <c r="L5875" t="s">
        <v>35</v>
      </c>
      <c r="M5875" t="s">
        <v>120</v>
      </c>
      <c r="N5875">
        <v>40.544302000000002</v>
      </c>
      <c r="O5875">
        <v>-111.417306</v>
      </c>
      <c r="P5875">
        <v>5610.4859459999998</v>
      </c>
      <c r="Q5875">
        <v>310</v>
      </c>
      <c r="R5875">
        <v>0</v>
      </c>
    </row>
    <row r="5876" spans="1:18" x14ac:dyDescent="0.25">
      <c r="A5876">
        <v>5875</v>
      </c>
      <c r="B5876">
        <v>94</v>
      </c>
      <c r="C5876">
        <v>31604874</v>
      </c>
      <c r="D5876" t="s">
        <v>50</v>
      </c>
      <c r="E5876">
        <v>14.275</v>
      </c>
      <c r="F5876" t="s">
        <v>21</v>
      </c>
      <c r="G5876" t="s">
        <v>26</v>
      </c>
      <c r="H5876" t="s">
        <v>21</v>
      </c>
      <c r="I5876" t="s">
        <v>20</v>
      </c>
      <c r="J5876" t="s">
        <v>20</v>
      </c>
      <c r="K5876" t="s">
        <v>27</v>
      </c>
      <c r="L5876" t="s">
        <v>51</v>
      </c>
      <c r="M5876" t="s">
        <v>52</v>
      </c>
      <c r="N5876">
        <v>37.707405999999999</v>
      </c>
      <c r="O5876">
        <v>-112.850782</v>
      </c>
      <c r="P5876">
        <v>9481.8544820000006</v>
      </c>
      <c r="Q5876">
        <v>1418</v>
      </c>
      <c r="R5876">
        <v>0</v>
      </c>
    </row>
    <row r="5877" spans="1:18" x14ac:dyDescent="0.25">
      <c r="A5877">
        <v>5876</v>
      </c>
      <c r="B5877">
        <v>94</v>
      </c>
      <c r="C5877">
        <v>1122966</v>
      </c>
      <c r="D5877" t="s">
        <v>171</v>
      </c>
      <c r="E5877">
        <v>14.282999999999999</v>
      </c>
      <c r="F5877" t="s">
        <v>21</v>
      </c>
      <c r="G5877" t="s">
        <v>26</v>
      </c>
      <c r="H5877" t="s">
        <v>21</v>
      </c>
      <c r="I5877" t="s">
        <v>20</v>
      </c>
      <c r="J5877" t="s">
        <v>20</v>
      </c>
      <c r="K5877" t="s">
        <v>31</v>
      </c>
      <c r="L5877" t="s">
        <v>188</v>
      </c>
      <c r="M5877" t="s">
        <v>79</v>
      </c>
      <c r="N5877">
        <v>40.699862000000003</v>
      </c>
      <c r="O5877">
        <v>-111.820795</v>
      </c>
      <c r="P5877">
        <v>4568.6686040000004</v>
      </c>
      <c r="Q5877">
        <v>346</v>
      </c>
      <c r="R5877">
        <v>0</v>
      </c>
    </row>
    <row r="5878" spans="1:18" x14ac:dyDescent="0.25">
      <c r="A5878">
        <v>5877</v>
      </c>
      <c r="B5878">
        <v>94</v>
      </c>
      <c r="C5878">
        <v>31614203</v>
      </c>
      <c r="D5878" t="s">
        <v>232</v>
      </c>
      <c r="E5878">
        <v>14.285</v>
      </c>
      <c r="F5878" t="s">
        <v>21</v>
      </c>
      <c r="G5878" t="s">
        <v>26</v>
      </c>
      <c r="H5878" t="s">
        <v>21</v>
      </c>
      <c r="I5878" t="s">
        <v>20</v>
      </c>
      <c r="J5878" t="s">
        <v>20</v>
      </c>
      <c r="K5878" t="s">
        <v>31</v>
      </c>
      <c r="L5878" t="s">
        <v>130</v>
      </c>
      <c r="M5878" t="s">
        <v>131</v>
      </c>
      <c r="N5878">
        <v>40.639887000000002</v>
      </c>
      <c r="O5878">
        <v>-111.284507</v>
      </c>
      <c r="P5878">
        <v>6421.2795079999996</v>
      </c>
      <c r="Q5878">
        <v>1279</v>
      </c>
      <c r="R5878">
        <v>0</v>
      </c>
    </row>
    <row r="5879" spans="1:18" x14ac:dyDescent="0.25">
      <c r="A5879">
        <v>5878</v>
      </c>
      <c r="B5879">
        <v>94</v>
      </c>
      <c r="C5879">
        <v>31286343</v>
      </c>
      <c r="D5879" t="s">
        <v>126</v>
      </c>
      <c r="E5879">
        <v>14.292999999999999</v>
      </c>
      <c r="F5879" t="s">
        <v>19</v>
      </c>
      <c r="G5879" t="s">
        <v>20</v>
      </c>
      <c r="H5879" t="s">
        <v>19</v>
      </c>
      <c r="I5879">
        <v>235</v>
      </c>
      <c r="J5879" t="s">
        <v>20</v>
      </c>
      <c r="K5879" t="s">
        <v>41</v>
      </c>
      <c r="L5879" t="s">
        <v>81</v>
      </c>
      <c r="M5879" t="s">
        <v>93</v>
      </c>
      <c r="N5879">
        <v>41.305892</v>
      </c>
      <c r="O5879">
        <v>-111.968706</v>
      </c>
      <c r="P5879">
        <v>4331.0484370000004</v>
      </c>
      <c r="Q5879">
        <v>1412</v>
      </c>
      <c r="R5879">
        <v>0</v>
      </c>
    </row>
    <row r="5880" spans="1:18" x14ac:dyDescent="0.25">
      <c r="A5880">
        <v>5879</v>
      </c>
      <c r="B5880">
        <v>94</v>
      </c>
      <c r="C5880">
        <v>28140566</v>
      </c>
      <c r="D5880" t="s">
        <v>239</v>
      </c>
      <c r="E5880">
        <v>14.307</v>
      </c>
      <c r="F5880" t="s">
        <v>21</v>
      </c>
      <c r="G5880" t="s">
        <v>26</v>
      </c>
      <c r="H5880" t="s">
        <v>19</v>
      </c>
      <c r="I5880">
        <v>84</v>
      </c>
      <c r="J5880" t="s">
        <v>20</v>
      </c>
      <c r="K5880" t="s">
        <v>41</v>
      </c>
      <c r="L5880" t="s">
        <v>181</v>
      </c>
      <c r="M5880" t="s">
        <v>178</v>
      </c>
      <c r="N5880">
        <v>41.710833000000001</v>
      </c>
      <c r="O5880">
        <v>-112.203948</v>
      </c>
      <c r="P5880">
        <v>4286.669046</v>
      </c>
      <c r="Q5880">
        <v>1392</v>
      </c>
      <c r="R5880">
        <v>0</v>
      </c>
    </row>
    <row r="5881" spans="1:18" x14ac:dyDescent="0.25">
      <c r="A5881">
        <v>5880</v>
      </c>
      <c r="B5881">
        <v>94</v>
      </c>
      <c r="C5881">
        <v>31574381</v>
      </c>
      <c r="D5881" t="s">
        <v>213</v>
      </c>
      <c r="E5881">
        <v>128.827</v>
      </c>
      <c r="F5881" t="s">
        <v>21</v>
      </c>
      <c r="G5881" t="s">
        <v>26</v>
      </c>
      <c r="H5881" t="s">
        <v>21</v>
      </c>
      <c r="I5881" t="s">
        <v>20</v>
      </c>
      <c r="J5881" t="s">
        <v>20</v>
      </c>
      <c r="K5881" t="s">
        <v>22</v>
      </c>
      <c r="L5881" t="s">
        <v>193</v>
      </c>
      <c r="M5881" t="s">
        <v>214</v>
      </c>
      <c r="N5881">
        <v>39.806420000000003</v>
      </c>
      <c r="O5881">
        <v>-112.144024</v>
      </c>
      <c r="P5881">
        <v>5793.2268180000001</v>
      </c>
      <c r="Q5881">
        <v>1332</v>
      </c>
      <c r="R5881">
        <v>0</v>
      </c>
    </row>
    <row r="5882" spans="1:18" x14ac:dyDescent="0.25">
      <c r="A5882">
        <v>5881</v>
      </c>
      <c r="B5882">
        <v>94</v>
      </c>
      <c r="C5882" t="s">
        <v>767</v>
      </c>
      <c r="D5882" t="s">
        <v>288</v>
      </c>
      <c r="E5882">
        <v>129.012</v>
      </c>
      <c r="F5882" t="s">
        <v>21</v>
      </c>
      <c r="G5882" t="s">
        <v>26</v>
      </c>
      <c r="H5882" t="s">
        <v>21</v>
      </c>
      <c r="I5882" t="s">
        <v>20</v>
      </c>
      <c r="J5882" t="s">
        <v>20</v>
      </c>
      <c r="K5882" t="s">
        <v>27</v>
      </c>
      <c r="L5882" t="s">
        <v>38</v>
      </c>
      <c r="M5882" t="s">
        <v>152</v>
      </c>
      <c r="N5882">
        <v>38.606355000000001</v>
      </c>
      <c r="O5882">
        <v>-109.588036</v>
      </c>
      <c r="P5882">
        <v>3915.0743910000001</v>
      </c>
      <c r="Q5882">
        <v>350</v>
      </c>
      <c r="R5882">
        <v>0</v>
      </c>
    </row>
    <row r="5883" spans="1:18" x14ac:dyDescent="0.25">
      <c r="A5883">
        <v>5882</v>
      </c>
      <c r="B5883">
        <v>94</v>
      </c>
      <c r="C5883" t="e">
        <f>-Iow-E1FGza8xgRxyqf_mV</f>
        <v>#NAME?</v>
      </c>
      <c r="D5883" t="s">
        <v>290</v>
      </c>
      <c r="E5883">
        <v>129.16999999999999</v>
      </c>
      <c r="F5883" t="s">
        <v>21</v>
      </c>
      <c r="G5883" t="s">
        <v>20</v>
      </c>
      <c r="H5883" t="s">
        <v>21</v>
      </c>
      <c r="I5883" t="s">
        <v>20</v>
      </c>
      <c r="J5883" t="s">
        <v>20</v>
      </c>
      <c r="K5883" t="s">
        <v>41</v>
      </c>
      <c r="L5883" t="s">
        <v>325</v>
      </c>
      <c r="M5883" t="s">
        <v>280</v>
      </c>
      <c r="N5883">
        <v>41.768422000000001</v>
      </c>
      <c r="O5883">
        <v>-111.170377</v>
      </c>
      <c r="P5883">
        <v>6359.4154399999998</v>
      </c>
      <c r="Q5883">
        <v>1343</v>
      </c>
      <c r="R5883">
        <v>0</v>
      </c>
    </row>
    <row r="5884" spans="1:18" x14ac:dyDescent="0.25">
      <c r="A5884">
        <v>5883</v>
      </c>
      <c r="B5884">
        <v>94</v>
      </c>
      <c r="C5884">
        <v>31482057</v>
      </c>
      <c r="D5884" t="s">
        <v>288</v>
      </c>
      <c r="E5884">
        <v>129.30000000000001</v>
      </c>
      <c r="F5884" t="s">
        <v>21</v>
      </c>
      <c r="G5884" t="s">
        <v>26</v>
      </c>
      <c r="H5884" t="s">
        <v>21</v>
      </c>
      <c r="I5884" t="s">
        <v>20</v>
      </c>
      <c r="J5884" t="s">
        <v>20</v>
      </c>
      <c r="K5884" t="s">
        <v>27</v>
      </c>
      <c r="L5884" t="s">
        <v>38</v>
      </c>
      <c r="M5884" t="s">
        <v>152</v>
      </c>
      <c r="N5884">
        <v>38.605567999999998</v>
      </c>
      <c r="O5884">
        <v>-109.593253</v>
      </c>
      <c r="P5884">
        <v>3938.7239</v>
      </c>
      <c r="Q5884">
        <v>350</v>
      </c>
      <c r="R5884">
        <v>0</v>
      </c>
    </row>
    <row r="5885" spans="1:18" x14ac:dyDescent="0.25">
      <c r="A5885">
        <v>5884</v>
      </c>
      <c r="B5885">
        <v>94</v>
      </c>
      <c r="C5885">
        <v>31907394</v>
      </c>
      <c r="D5885" t="s">
        <v>272</v>
      </c>
      <c r="E5885">
        <v>129.66499999999999</v>
      </c>
      <c r="F5885" t="s">
        <v>21</v>
      </c>
      <c r="G5885" t="s">
        <v>26</v>
      </c>
      <c r="H5885" t="s">
        <v>21</v>
      </c>
      <c r="I5885" t="s">
        <v>20</v>
      </c>
      <c r="J5885" t="s">
        <v>20</v>
      </c>
      <c r="K5885" t="s">
        <v>27</v>
      </c>
      <c r="L5885" t="s">
        <v>247</v>
      </c>
      <c r="M5885" t="s">
        <v>214</v>
      </c>
      <c r="N5885">
        <v>37.822344999999999</v>
      </c>
      <c r="O5885">
        <v>-112.409621</v>
      </c>
      <c r="P5885">
        <v>6549.6769169999998</v>
      </c>
      <c r="Q5885">
        <v>1384</v>
      </c>
      <c r="R5885">
        <v>0</v>
      </c>
    </row>
    <row r="5886" spans="1:18" x14ac:dyDescent="0.25">
      <c r="A5886">
        <v>5885</v>
      </c>
      <c r="B5886">
        <v>94</v>
      </c>
      <c r="C5886">
        <v>31752880</v>
      </c>
      <c r="D5886" t="s">
        <v>231</v>
      </c>
      <c r="E5886">
        <v>14.93</v>
      </c>
      <c r="F5886" t="s">
        <v>21</v>
      </c>
      <c r="G5886" t="s">
        <v>26</v>
      </c>
      <c r="H5886" t="s">
        <v>21</v>
      </c>
      <c r="I5886" t="s">
        <v>20</v>
      </c>
      <c r="J5886" t="s">
        <v>20</v>
      </c>
      <c r="K5886" t="s">
        <v>41</v>
      </c>
      <c r="L5886" t="s">
        <v>57</v>
      </c>
      <c r="M5886" t="s">
        <v>93</v>
      </c>
      <c r="N5886">
        <v>41.251801</v>
      </c>
      <c r="O5886">
        <v>-112.02520800000001</v>
      </c>
      <c r="P5886">
        <v>4195.2745690000002</v>
      </c>
      <c r="Q5886">
        <v>1409</v>
      </c>
      <c r="R5886">
        <v>0</v>
      </c>
    </row>
    <row r="5887" spans="1:18" x14ac:dyDescent="0.25">
      <c r="A5887">
        <v>5886</v>
      </c>
      <c r="B5887">
        <v>94</v>
      </c>
      <c r="C5887">
        <v>31281025</v>
      </c>
      <c r="D5887" t="s">
        <v>303</v>
      </c>
      <c r="E5887">
        <v>14.958</v>
      </c>
      <c r="F5887" t="s">
        <v>21</v>
      </c>
      <c r="G5887" t="s">
        <v>26</v>
      </c>
      <c r="H5887" t="s">
        <v>21</v>
      </c>
      <c r="I5887" t="s">
        <v>20</v>
      </c>
      <c r="J5887" t="s">
        <v>20</v>
      </c>
      <c r="K5887" t="s">
        <v>27</v>
      </c>
      <c r="L5887" t="s">
        <v>72</v>
      </c>
      <c r="M5887" t="s">
        <v>73</v>
      </c>
      <c r="N5887">
        <v>37.217650999999996</v>
      </c>
      <c r="O5887">
        <v>-113.24927099999999</v>
      </c>
      <c r="P5887">
        <v>3642.3136599999998</v>
      </c>
      <c r="Q5887">
        <v>1326</v>
      </c>
      <c r="R5887">
        <v>0</v>
      </c>
    </row>
    <row r="5888" spans="1:18" x14ac:dyDescent="0.25">
      <c r="A5888">
        <v>5887</v>
      </c>
      <c r="B5888">
        <v>94</v>
      </c>
      <c r="C5888">
        <v>31371687</v>
      </c>
      <c r="D5888" t="s">
        <v>199</v>
      </c>
      <c r="E5888">
        <v>14.965999999999999</v>
      </c>
      <c r="F5888" t="s">
        <v>21</v>
      </c>
      <c r="G5888" t="s">
        <v>26</v>
      </c>
      <c r="H5888" t="s">
        <v>21</v>
      </c>
      <c r="I5888" t="s">
        <v>20</v>
      </c>
      <c r="J5888" t="s">
        <v>20</v>
      </c>
      <c r="K5888" t="s">
        <v>27</v>
      </c>
      <c r="L5888" t="s">
        <v>103</v>
      </c>
      <c r="M5888" t="s">
        <v>200</v>
      </c>
      <c r="N5888">
        <v>38.295853000000001</v>
      </c>
      <c r="O5888">
        <v>-112.439162</v>
      </c>
      <c r="P5888">
        <v>8347.4417869999997</v>
      </c>
      <c r="Q5888">
        <v>341</v>
      </c>
      <c r="R5888">
        <v>0</v>
      </c>
    </row>
    <row r="5889" spans="1:18" x14ac:dyDescent="0.25">
      <c r="A5889">
        <v>5888</v>
      </c>
      <c r="B5889">
        <v>94</v>
      </c>
      <c r="C5889" t="e">
        <f>-JNYxT7MIsP30c33CxJ-Mk</f>
        <v>#NAME?</v>
      </c>
      <c r="D5889" t="s">
        <v>281</v>
      </c>
      <c r="E5889">
        <v>14.965999999999999</v>
      </c>
      <c r="F5889" t="s">
        <v>21</v>
      </c>
      <c r="G5889" t="s">
        <v>20</v>
      </c>
      <c r="H5889" t="s">
        <v>21</v>
      </c>
      <c r="I5889" t="s">
        <v>20</v>
      </c>
      <c r="J5889" t="s">
        <v>20</v>
      </c>
      <c r="K5889" t="s">
        <v>31</v>
      </c>
      <c r="L5889" t="s">
        <v>282</v>
      </c>
      <c r="M5889" t="s">
        <v>174</v>
      </c>
      <c r="N5889">
        <v>40.065347000000003</v>
      </c>
      <c r="O5889">
        <v>-112.321551</v>
      </c>
      <c r="P5889">
        <v>5509.9308620000002</v>
      </c>
      <c r="Q5889">
        <v>1347</v>
      </c>
      <c r="R5889">
        <v>0</v>
      </c>
    </row>
    <row r="5890" spans="1:18" x14ac:dyDescent="0.25">
      <c r="A5890">
        <v>5889</v>
      </c>
      <c r="B5890">
        <v>94</v>
      </c>
      <c r="C5890">
        <v>31420074</v>
      </c>
      <c r="D5890" t="s">
        <v>345</v>
      </c>
      <c r="E5890">
        <v>14.967000000000001</v>
      </c>
      <c r="F5890" t="s">
        <v>21</v>
      </c>
      <c r="G5890" t="s">
        <v>26</v>
      </c>
      <c r="H5890" t="s">
        <v>21</v>
      </c>
      <c r="I5890" t="s">
        <v>20</v>
      </c>
      <c r="J5890" t="s">
        <v>20</v>
      </c>
      <c r="K5890" t="s">
        <v>27</v>
      </c>
      <c r="L5890" t="s">
        <v>75</v>
      </c>
      <c r="M5890" t="s">
        <v>76</v>
      </c>
      <c r="N5890">
        <v>38.772274000000003</v>
      </c>
      <c r="O5890">
        <v>-112.079407</v>
      </c>
      <c r="P5890">
        <v>5278.3559850000001</v>
      </c>
      <c r="Q5890">
        <v>1403</v>
      </c>
      <c r="R5890">
        <v>0</v>
      </c>
    </row>
    <row r="5891" spans="1:18" x14ac:dyDescent="0.25">
      <c r="A5891">
        <v>5890</v>
      </c>
      <c r="B5891">
        <v>94</v>
      </c>
      <c r="C5891" t="e">
        <f>-Iovd1dhHlmuUBregmQzDV</f>
        <v>#NAME?</v>
      </c>
      <c r="D5891" t="s">
        <v>308</v>
      </c>
      <c r="E5891">
        <v>14.968</v>
      </c>
      <c r="F5891" t="s">
        <v>21</v>
      </c>
      <c r="G5891" t="s">
        <v>26</v>
      </c>
      <c r="H5891" t="s">
        <v>21</v>
      </c>
      <c r="I5891" t="s">
        <v>20</v>
      </c>
      <c r="J5891" t="s">
        <v>20</v>
      </c>
      <c r="K5891" t="s">
        <v>27</v>
      </c>
      <c r="L5891" t="s">
        <v>230</v>
      </c>
      <c r="M5891" t="s">
        <v>82</v>
      </c>
      <c r="N5891">
        <v>39.619819</v>
      </c>
      <c r="O5891">
        <v>-111.287499</v>
      </c>
      <c r="P5891">
        <v>9545.6134039999997</v>
      </c>
      <c r="Q5891">
        <v>1344</v>
      </c>
      <c r="R5891">
        <v>0</v>
      </c>
    </row>
    <row r="5892" spans="1:18" x14ac:dyDescent="0.25">
      <c r="A5892">
        <v>5891</v>
      </c>
      <c r="B5892">
        <v>94</v>
      </c>
      <c r="C5892">
        <v>1126557</v>
      </c>
      <c r="D5892" t="s">
        <v>171</v>
      </c>
      <c r="E5892">
        <v>14.973000000000001</v>
      </c>
      <c r="F5892" t="s">
        <v>21</v>
      </c>
      <c r="G5892" t="s">
        <v>26</v>
      </c>
      <c r="H5892" t="s">
        <v>21</v>
      </c>
      <c r="I5892" t="s">
        <v>20</v>
      </c>
      <c r="J5892" t="s">
        <v>20</v>
      </c>
      <c r="K5892" t="s">
        <v>31</v>
      </c>
      <c r="L5892" t="s">
        <v>188</v>
      </c>
      <c r="M5892" t="s">
        <v>79</v>
      </c>
      <c r="N5892">
        <v>40.699854999999999</v>
      </c>
      <c r="O5892">
        <v>-111.80769100000001</v>
      </c>
      <c r="P5892">
        <v>4744.2044500000002</v>
      </c>
      <c r="Q5892">
        <v>346</v>
      </c>
      <c r="R5892">
        <v>0</v>
      </c>
    </row>
    <row r="5893" spans="1:18" x14ac:dyDescent="0.25">
      <c r="A5893">
        <v>5892</v>
      </c>
      <c r="B5893">
        <v>94</v>
      </c>
      <c r="C5893" t="e">
        <f>-JO8hqDJHR1qo5nQ74ZhuV</f>
        <v>#NAME?</v>
      </c>
      <c r="D5893" t="s">
        <v>210</v>
      </c>
      <c r="E5893">
        <v>14.974</v>
      </c>
      <c r="F5893" t="s">
        <v>21</v>
      </c>
      <c r="G5893" t="s">
        <v>26</v>
      </c>
      <c r="H5893" t="s">
        <v>21</v>
      </c>
      <c r="I5893" t="s">
        <v>20</v>
      </c>
      <c r="J5893" t="s">
        <v>20</v>
      </c>
      <c r="K5893" t="s">
        <v>27</v>
      </c>
      <c r="L5893" t="s">
        <v>211</v>
      </c>
      <c r="M5893" t="s">
        <v>212</v>
      </c>
      <c r="N5893">
        <v>37.259627000000002</v>
      </c>
      <c r="O5893">
        <v>-109.299959</v>
      </c>
      <c r="P5893">
        <v>4383.863378</v>
      </c>
      <c r="Q5893">
        <v>344</v>
      </c>
      <c r="R5893">
        <v>0</v>
      </c>
    </row>
    <row r="5894" spans="1:18" x14ac:dyDescent="0.25">
      <c r="A5894">
        <v>5893</v>
      </c>
      <c r="B5894">
        <v>94</v>
      </c>
      <c r="C5894">
        <v>1533581</v>
      </c>
      <c r="D5894" t="s">
        <v>88</v>
      </c>
      <c r="E5894">
        <v>14.978999999999999</v>
      </c>
      <c r="F5894" t="s">
        <v>21</v>
      </c>
      <c r="G5894" t="s">
        <v>26</v>
      </c>
      <c r="H5894" t="s">
        <v>21</v>
      </c>
      <c r="I5894" t="s">
        <v>20</v>
      </c>
      <c r="J5894" t="s">
        <v>20</v>
      </c>
      <c r="K5894" t="s">
        <v>31</v>
      </c>
      <c r="L5894" t="s">
        <v>32</v>
      </c>
      <c r="M5894" t="s">
        <v>90</v>
      </c>
      <c r="N5894">
        <v>40.655296999999997</v>
      </c>
      <c r="O5894">
        <v>-111.865951</v>
      </c>
      <c r="P5894">
        <v>4270.2345699999996</v>
      </c>
      <c r="Q5894">
        <v>318</v>
      </c>
      <c r="R5894">
        <v>0</v>
      </c>
    </row>
    <row r="5895" spans="1:18" x14ac:dyDescent="0.25">
      <c r="A5895">
        <v>5894</v>
      </c>
      <c r="B5895">
        <v>94</v>
      </c>
      <c r="C5895">
        <v>28144183</v>
      </c>
      <c r="D5895" t="s">
        <v>239</v>
      </c>
      <c r="E5895">
        <v>14.986000000000001</v>
      </c>
      <c r="F5895" t="s">
        <v>21</v>
      </c>
      <c r="G5895" t="s">
        <v>26</v>
      </c>
      <c r="H5895" t="s">
        <v>21</v>
      </c>
      <c r="I5895" t="s">
        <v>20</v>
      </c>
      <c r="J5895" t="s">
        <v>20</v>
      </c>
      <c r="K5895" t="s">
        <v>41</v>
      </c>
      <c r="L5895" t="s">
        <v>181</v>
      </c>
      <c r="M5895" t="s">
        <v>178</v>
      </c>
      <c r="N5895">
        <v>41.711129999999997</v>
      </c>
      <c r="O5895">
        <v>-112.190853</v>
      </c>
      <c r="P5895">
        <v>4271.2760120000003</v>
      </c>
      <c r="Q5895">
        <v>1392</v>
      </c>
      <c r="R5895">
        <v>0</v>
      </c>
    </row>
    <row r="5896" spans="1:18" x14ac:dyDescent="0.25">
      <c r="A5896">
        <v>5895</v>
      </c>
      <c r="B5896">
        <v>94</v>
      </c>
      <c r="C5896">
        <v>31398839</v>
      </c>
      <c r="D5896" t="s">
        <v>210</v>
      </c>
      <c r="E5896">
        <v>14.988</v>
      </c>
      <c r="F5896" t="s">
        <v>21</v>
      </c>
      <c r="G5896" t="s">
        <v>20</v>
      </c>
      <c r="H5896" t="s">
        <v>21</v>
      </c>
      <c r="I5896" t="s">
        <v>20</v>
      </c>
      <c r="J5896" t="s">
        <v>20</v>
      </c>
      <c r="K5896" t="s">
        <v>27</v>
      </c>
      <c r="L5896" t="s">
        <v>211</v>
      </c>
      <c r="M5896" t="s">
        <v>212</v>
      </c>
      <c r="N5896">
        <v>37.259549999999997</v>
      </c>
      <c r="O5896">
        <v>-109.299727</v>
      </c>
      <c r="P5896">
        <v>4383.9685520000003</v>
      </c>
      <c r="Q5896">
        <v>344</v>
      </c>
      <c r="R5896">
        <v>0</v>
      </c>
    </row>
    <row r="5897" spans="1:18" x14ac:dyDescent="0.25">
      <c r="A5897">
        <v>5896</v>
      </c>
      <c r="B5897">
        <v>94</v>
      </c>
      <c r="C5897" t="e">
        <f>-Ip0eHiFGjH_Yl_3EDNSYF</f>
        <v>#NAME?</v>
      </c>
      <c r="D5897" t="s">
        <v>118</v>
      </c>
      <c r="E5897">
        <v>148.733</v>
      </c>
      <c r="F5897" t="s">
        <v>21</v>
      </c>
      <c r="G5897" t="s">
        <v>20</v>
      </c>
      <c r="H5897" t="s">
        <v>21</v>
      </c>
      <c r="I5897" t="s">
        <v>20</v>
      </c>
      <c r="J5897" t="s">
        <v>20</v>
      </c>
      <c r="K5897" t="s">
        <v>22</v>
      </c>
      <c r="L5897" t="s">
        <v>234</v>
      </c>
      <c r="M5897" t="s">
        <v>169</v>
      </c>
      <c r="N5897">
        <v>40.410718000000003</v>
      </c>
      <c r="O5897">
        <v>-109.490742</v>
      </c>
      <c r="P5897">
        <v>5158.5839260000002</v>
      </c>
      <c r="Q5897">
        <v>310</v>
      </c>
      <c r="R5897">
        <v>0</v>
      </c>
    </row>
    <row r="5898" spans="1:18" x14ac:dyDescent="0.25">
      <c r="A5898">
        <v>5897</v>
      </c>
      <c r="B5898">
        <v>94</v>
      </c>
      <c r="C5898">
        <v>31868083</v>
      </c>
      <c r="D5898" t="s">
        <v>118</v>
      </c>
      <c r="E5898">
        <v>149.05600000000001</v>
      </c>
      <c r="F5898" t="s">
        <v>21</v>
      </c>
      <c r="G5898" t="s">
        <v>26</v>
      </c>
      <c r="H5898" t="s">
        <v>21</v>
      </c>
      <c r="I5898" t="s">
        <v>20</v>
      </c>
      <c r="J5898" t="s">
        <v>20</v>
      </c>
      <c r="K5898" t="s">
        <v>22</v>
      </c>
      <c r="L5898" t="s">
        <v>234</v>
      </c>
      <c r="M5898" t="s">
        <v>169</v>
      </c>
      <c r="N5898">
        <v>40.408406999999997</v>
      </c>
      <c r="O5898">
        <v>-109.48538000000001</v>
      </c>
      <c r="P5898">
        <v>5154.1044970000003</v>
      </c>
      <c r="Q5898">
        <v>310</v>
      </c>
      <c r="R5898">
        <v>0</v>
      </c>
    </row>
    <row r="5899" spans="1:18" x14ac:dyDescent="0.25">
      <c r="A5899">
        <v>5898</v>
      </c>
      <c r="B5899">
        <v>94</v>
      </c>
      <c r="C5899">
        <v>31868094</v>
      </c>
      <c r="D5899" t="s">
        <v>118</v>
      </c>
      <c r="E5899">
        <v>149.386</v>
      </c>
      <c r="F5899" t="s">
        <v>21</v>
      </c>
      <c r="G5899" t="s">
        <v>26</v>
      </c>
      <c r="H5899" t="s">
        <v>21</v>
      </c>
      <c r="I5899" t="s">
        <v>20</v>
      </c>
      <c r="J5899" t="s">
        <v>20</v>
      </c>
      <c r="K5899" t="s">
        <v>22</v>
      </c>
      <c r="L5899" t="s">
        <v>234</v>
      </c>
      <c r="M5899" t="s">
        <v>169</v>
      </c>
      <c r="N5899">
        <v>40.406056</v>
      </c>
      <c r="O5899">
        <v>-109.479921</v>
      </c>
      <c r="P5899">
        <v>5132.9079730000003</v>
      </c>
      <c r="Q5899">
        <v>310</v>
      </c>
      <c r="R5899">
        <v>0</v>
      </c>
    </row>
    <row r="5900" spans="1:18" x14ac:dyDescent="0.25">
      <c r="A5900">
        <v>5899</v>
      </c>
      <c r="B5900">
        <v>94</v>
      </c>
      <c r="C5900">
        <v>31582379</v>
      </c>
      <c r="D5900" t="s">
        <v>213</v>
      </c>
      <c r="E5900">
        <v>149.48099999999999</v>
      </c>
      <c r="F5900" t="s">
        <v>21</v>
      </c>
      <c r="G5900" t="s">
        <v>26</v>
      </c>
      <c r="H5900" t="s">
        <v>21</v>
      </c>
      <c r="I5900" t="s">
        <v>20</v>
      </c>
      <c r="J5900" t="s">
        <v>20</v>
      </c>
      <c r="K5900" t="s">
        <v>22</v>
      </c>
      <c r="L5900" t="s">
        <v>193</v>
      </c>
      <c r="M5900" t="s">
        <v>214</v>
      </c>
      <c r="N5900">
        <v>39.951889000000001</v>
      </c>
      <c r="O5900">
        <v>-111.96405300000001</v>
      </c>
      <c r="P5900">
        <v>4702.2519389999998</v>
      </c>
      <c r="Q5900">
        <v>1332</v>
      </c>
      <c r="R5900">
        <v>0</v>
      </c>
    </row>
    <row r="5901" spans="1:18" x14ac:dyDescent="0.25">
      <c r="A5901">
        <v>5900</v>
      </c>
      <c r="B5901">
        <v>94</v>
      </c>
      <c r="C5901">
        <v>31868305</v>
      </c>
      <c r="D5901" t="s">
        <v>118</v>
      </c>
      <c r="E5901">
        <v>149.553</v>
      </c>
      <c r="F5901" t="s">
        <v>21</v>
      </c>
      <c r="G5901" t="s">
        <v>26</v>
      </c>
      <c r="H5901" t="s">
        <v>21</v>
      </c>
      <c r="I5901" t="s">
        <v>20</v>
      </c>
      <c r="J5901" t="s">
        <v>20</v>
      </c>
      <c r="K5901" t="s">
        <v>22</v>
      </c>
      <c r="L5901" t="s">
        <v>234</v>
      </c>
      <c r="M5901" t="s">
        <v>169</v>
      </c>
      <c r="N5901">
        <v>40.404882000000001</v>
      </c>
      <c r="O5901">
        <v>-109.477136</v>
      </c>
      <c r="P5901">
        <v>5114.3714929999996</v>
      </c>
      <c r="Q5901">
        <v>310</v>
      </c>
      <c r="R5901">
        <v>0</v>
      </c>
    </row>
    <row r="5902" spans="1:18" x14ac:dyDescent="0.25">
      <c r="A5902">
        <v>5901</v>
      </c>
      <c r="B5902">
        <v>94</v>
      </c>
      <c r="C5902">
        <v>31868316</v>
      </c>
      <c r="D5902" t="s">
        <v>118</v>
      </c>
      <c r="E5902">
        <v>149.73599999999999</v>
      </c>
      <c r="F5902" t="s">
        <v>21</v>
      </c>
      <c r="G5902" t="s">
        <v>26</v>
      </c>
      <c r="H5902" t="s">
        <v>21</v>
      </c>
      <c r="I5902" t="s">
        <v>20</v>
      </c>
      <c r="J5902" t="s">
        <v>20</v>
      </c>
      <c r="K5902" t="s">
        <v>22</v>
      </c>
      <c r="L5902" t="s">
        <v>234</v>
      </c>
      <c r="M5902" t="s">
        <v>169</v>
      </c>
      <c r="N5902">
        <v>40.403556000000002</v>
      </c>
      <c r="O5902">
        <v>-109.47412300000001</v>
      </c>
      <c r="P5902">
        <v>5102.1747779999996</v>
      </c>
      <c r="Q5902">
        <v>310</v>
      </c>
      <c r="R5902">
        <v>0</v>
      </c>
    </row>
    <row r="5903" spans="1:18" x14ac:dyDescent="0.25">
      <c r="A5903">
        <v>5902</v>
      </c>
      <c r="B5903">
        <v>94</v>
      </c>
      <c r="C5903">
        <v>31582390</v>
      </c>
      <c r="D5903" t="s">
        <v>213</v>
      </c>
      <c r="E5903">
        <v>149.899</v>
      </c>
      <c r="F5903" t="s">
        <v>21</v>
      </c>
      <c r="G5903" t="s">
        <v>26</v>
      </c>
      <c r="H5903" t="s">
        <v>19</v>
      </c>
      <c r="I5903">
        <v>68</v>
      </c>
      <c r="J5903" t="s">
        <v>20</v>
      </c>
      <c r="K5903" t="s">
        <v>22</v>
      </c>
      <c r="L5903" t="s">
        <v>193</v>
      </c>
      <c r="M5903" t="s">
        <v>214</v>
      </c>
      <c r="N5903">
        <v>39.951984000000003</v>
      </c>
      <c r="O5903">
        <v>-111.956152</v>
      </c>
      <c r="P5903">
        <v>4640.1424340000003</v>
      </c>
      <c r="Q5903">
        <v>1332</v>
      </c>
      <c r="R5903">
        <v>0</v>
      </c>
    </row>
    <row r="5904" spans="1:18" x14ac:dyDescent="0.25">
      <c r="A5904">
        <v>5903</v>
      </c>
      <c r="B5904">
        <v>94</v>
      </c>
      <c r="C5904" t="s">
        <v>768</v>
      </c>
      <c r="D5904" t="s">
        <v>199</v>
      </c>
      <c r="E5904">
        <v>15.010999999999999</v>
      </c>
      <c r="F5904" t="s">
        <v>21</v>
      </c>
      <c r="G5904" t="s">
        <v>26</v>
      </c>
      <c r="H5904" t="s">
        <v>21</v>
      </c>
      <c r="I5904" t="s">
        <v>20</v>
      </c>
      <c r="J5904" t="s">
        <v>20</v>
      </c>
      <c r="K5904" t="s">
        <v>27</v>
      </c>
      <c r="L5904" t="s">
        <v>103</v>
      </c>
      <c r="M5904" t="s">
        <v>200</v>
      </c>
      <c r="N5904">
        <v>38.296446000000003</v>
      </c>
      <c r="O5904">
        <v>-112.438784</v>
      </c>
      <c r="P5904">
        <v>8353.5272729999997</v>
      </c>
      <c r="Q5904">
        <v>341</v>
      </c>
      <c r="R5904">
        <v>0</v>
      </c>
    </row>
    <row r="5905" spans="1:18" x14ac:dyDescent="0.25">
      <c r="A5905">
        <v>5904</v>
      </c>
      <c r="B5905">
        <v>94</v>
      </c>
      <c r="C5905">
        <v>31505398</v>
      </c>
      <c r="D5905" t="s">
        <v>224</v>
      </c>
      <c r="E5905">
        <v>15.018000000000001</v>
      </c>
      <c r="F5905" t="s">
        <v>21</v>
      </c>
      <c r="G5905" t="s">
        <v>26</v>
      </c>
      <c r="H5905" t="s">
        <v>21</v>
      </c>
      <c r="I5905" t="s">
        <v>20</v>
      </c>
      <c r="J5905" t="s">
        <v>20</v>
      </c>
      <c r="K5905" t="s">
        <v>22</v>
      </c>
      <c r="L5905" t="s">
        <v>140</v>
      </c>
      <c r="M5905" t="s">
        <v>194</v>
      </c>
      <c r="N5905">
        <v>40.093701000000003</v>
      </c>
      <c r="O5905">
        <v>-111.607624</v>
      </c>
      <c r="P5905">
        <v>4699.0183809999999</v>
      </c>
      <c r="Q5905">
        <v>408</v>
      </c>
      <c r="R5905">
        <v>0</v>
      </c>
    </row>
    <row r="5906" spans="1:18" x14ac:dyDescent="0.25">
      <c r="A5906">
        <v>5905</v>
      </c>
      <c r="B5906">
        <v>94</v>
      </c>
      <c r="C5906">
        <v>1126572</v>
      </c>
      <c r="D5906" t="s">
        <v>171</v>
      </c>
      <c r="E5906">
        <v>15.025</v>
      </c>
      <c r="F5906" t="s">
        <v>21</v>
      </c>
      <c r="G5906" t="s">
        <v>26</v>
      </c>
      <c r="H5906" t="s">
        <v>21</v>
      </c>
      <c r="I5906" t="s">
        <v>20</v>
      </c>
      <c r="J5906" t="s">
        <v>20</v>
      </c>
      <c r="K5906" t="s">
        <v>31</v>
      </c>
      <c r="L5906" t="s">
        <v>188</v>
      </c>
      <c r="M5906" t="s">
        <v>79</v>
      </c>
      <c r="N5906">
        <v>40.699851000000002</v>
      </c>
      <c r="O5906">
        <v>-111.806713</v>
      </c>
      <c r="P5906">
        <v>4752.5792920000004</v>
      </c>
      <c r="Q5906">
        <v>346</v>
      </c>
      <c r="R5906">
        <v>0</v>
      </c>
    </row>
    <row r="5907" spans="1:18" x14ac:dyDescent="0.25">
      <c r="A5907">
        <v>5906</v>
      </c>
      <c r="B5907">
        <v>94</v>
      </c>
      <c r="C5907">
        <v>31607879</v>
      </c>
      <c r="D5907" t="s">
        <v>50</v>
      </c>
      <c r="E5907">
        <v>15.038</v>
      </c>
      <c r="F5907" t="s">
        <v>21</v>
      </c>
      <c r="G5907" t="s">
        <v>26</v>
      </c>
      <c r="H5907" t="s">
        <v>21</v>
      </c>
      <c r="I5907" t="s">
        <v>20</v>
      </c>
      <c r="J5907" t="s">
        <v>20</v>
      </c>
      <c r="K5907" t="s">
        <v>27</v>
      </c>
      <c r="L5907" t="s">
        <v>51</v>
      </c>
      <c r="M5907" t="s">
        <v>52</v>
      </c>
      <c r="N5907">
        <v>37.698112999999999</v>
      </c>
      <c r="O5907">
        <v>-112.845164</v>
      </c>
      <c r="P5907">
        <v>9596.4480629999998</v>
      </c>
      <c r="Q5907">
        <v>1418</v>
      </c>
      <c r="R5907">
        <v>0</v>
      </c>
    </row>
    <row r="5908" spans="1:18" x14ac:dyDescent="0.25">
      <c r="A5908">
        <v>5907</v>
      </c>
      <c r="B5908">
        <v>94</v>
      </c>
      <c r="C5908">
        <v>31398850</v>
      </c>
      <c r="D5908" t="s">
        <v>210</v>
      </c>
      <c r="E5908">
        <v>15.053000000000001</v>
      </c>
      <c r="F5908" t="s">
        <v>21</v>
      </c>
      <c r="G5908" t="s">
        <v>20</v>
      </c>
      <c r="H5908" t="s">
        <v>21</v>
      </c>
      <c r="I5908" t="s">
        <v>20</v>
      </c>
      <c r="J5908" t="s">
        <v>20</v>
      </c>
      <c r="K5908" t="s">
        <v>27</v>
      </c>
      <c r="L5908" t="s">
        <v>211</v>
      </c>
      <c r="M5908" t="s">
        <v>212</v>
      </c>
      <c r="N5908">
        <v>37.259194999999998</v>
      </c>
      <c r="O5908">
        <v>-109.298599</v>
      </c>
      <c r="P5908">
        <v>4384.8443749999997</v>
      </c>
      <c r="Q5908">
        <v>344</v>
      </c>
      <c r="R5908">
        <v>0</v>
      </c>
    </row>
    <row r="5909" spans="1:18" x14ac:dyDescent="0.25">
      <c r="A5909">
        <v>5908</v>
      </c>
      <c r="B5909">
        <v>94</v>
      </c>
      <c r="C5909" t="s">
        <v>769</v>
      </c>
      <c r="D5909" t="s">
        <v>348</v>
      </c>
      <c r="E5909">
        <v>15.055</v>
      </c>
      <c r="F5909" t="s">
        <v>21</v>
      </c>
      <c r="G5909" t="s">
        <v>26</v>
      </c>
      <c r="H5909" t="s">
        <v>21</v>
      </c>
      <c r="I5909" t="s">
        <v>20</v>
      </c>
      <c r="J5909" t="s">
        <v>20</v>
      </c>
      <c r="K5909" t="s">
        <v>27</v>
      </c>
      <c r="L5909" t="s">
        <v>122</v>
      </c>
      <c r="M5909" t="s">
        <v>123</v>
      </c>
      <c r="N5909">
        <v>38.167147999999997</v>
      </c>
      <c r="O5909">
        <v>-110.62334199999999</v>
      </c>
      <c r="P5909">
        <v>4817.6921279999997</v>
      </c>
      <c r="Q5909">
        <v>1388</v>
      </c>
      <c r="R5909">
        <v>0</v>
      </c>
    </row>
    <row r="5910" spans="1:18" x14ac:dyDescent="0.25">
      <c r="A5910">
        <v>5909</v>
      </c>
      <c r="B5910">
        <v>94</v>
      </c>
      <c r="C5910">
        <v>31420085</v>
      </c>
      <c r="D5910" t="s">
        <v>345</v>
      </c>
      <c r="E5910">
        <v>15.06</v>
      </c>
      <c r="F5910" t="s">
        <v>21</v>
      </c>
      <c r="G5910" t="s">
        <v>26</v>
      </c>
      <c r="H5910" t="s">
        <v>21</v>
      </c>
      <c r="I5910" t="s">
        <v>20</v>
      </c>
      <c r="J5910" t="s">
        <v>20</v>
      </c>
      <c r="K5910" t="s">
        <v>27</v>
      </c>
      <c r="L5910" t="s">
        <v>75</v>
      </c>
      <c r="M5910" t="s">
        <v>76</v>
      </c>
      <c r="N5910">
        <v>38.772269000000001</v>
      </c>
      <c r="O5910">
        <v>-112.07764299999999</v>
      </c>
      <c r="P5910">
        <v>5272.395947</v>
      </c>
      <c r="Q5910">
        <v>1403</v>
      </c>
      <c r="R5910">
        <v>0</v>
      </c>
    </row>
    <row r="5911" spans="1:18" x14ac:dyDescent="0.25">
      <c r="A5911">
        <v>5910</v>
      </c>
      <c r="B5911">
        <v>94</v>
      </c>
      <c r="C5911">
        <v>31348287</v>
      </c>
      <c r="D5911" t="s">
        <v>333</v>
      </c>
      <c r="E5911">
        <v>15.07</v>
      </c>
      <c r="F5911" t="s">
        <v>19</v>
      </c>
      <c r="G5911" t="s">
        <v>20</v>
      </c>
      <c r="H5911" t="s">
        <v>21</v>
      </c>
      <c r="I5911" t="s">
        <v>20</v>
      </c>
      <c r="J5911" t="s">
        <v>20</v>
      </c>
      <c r="K5911" t="s">
        <v>31</v>
      </c>
      <c r="L5911" t="s">
        <v>48</v>
      </c>
      <c r="M5911" t="s">
        <v>49</v>
      </c>
      <c r="N5911">
        <v>40.641176000000002</v>
      </c>
      <c r="O5911">
        <v>-111.97666100000001</v>
      </c>
      <c r="P5911">
        <v>4511.430421</v>
      </c>
      <c r="Q5911">
        <v>1426</v>
      </c>
      <c r="R5911">
        <v>0</v>
      </c>
    </row>
    <row r="5912" spans="1:18" x14ac:dyDescent="0.25">
      <c r="A5912">
        <v>5911</v>
      </c>
      <c r="B5912">
        <v>94</v>
      </c>
      <c r="C5912">
        <v>31296058</v>
      </c>
      <c r="D5912" t="s">
        <v>316</v>
      </c>
      <c r="E5912">
        <v>15.082000000000001</v>
      </c>
      <c r="F5912" t="s">
        <v>21</v>
      </c>
      <c r="G5912" t="s">
        <v>26</v>
      </c>
      <c r="H5912" t="s">
        <v>21</v>
      </c>
      <c r="I5912" t="s">
        <v>20</v>
      </c>
      <c r="J5912" t="s">
        <v>20</v>
      </c>
      <c r="K5912" t="s">
        <v>22</v>
      </c>
      <c r="L5912" t="s">
        <v>168</v>
      </c>
      <c r="M5912" t="s">
        <v>302</v>
      </c>
      <c r="N5912">
        <v>40.515723000000001</v>
      </c>
      <c r="O5912">
        <v>-111.072048</v>
      </c>
      <c r="P5912">
        <v>7835.6826520000004</v>
      </c>
      <c r="Q5912">
        <v>1346</v>
      </c>
      <c r="R5912">
        <v>0</v>
      </c>
    </row>
    <row r="5913" spans="1:18" x14ac:dyDescent="0.25">
      <c r="A5913">
        <v>5912</v>
      </c>
      <c r="B5913">
        <v>94</v>
      </c>
      <c r="C5913">
        <v>31506159</v>
      </c>
      <c r="D5913" t="s">
        <v>224</v>
      </c>
      <c r="E5913">
        <v>15.096</v>
      </c>
      <c r="F5913" t="s">
        <v>21</v>
      </c>
      <c r="G5913" t="s">
        <v>26</v>
      </c>
      <c r="H5913" t="s">
        <v>21</v>
      </c>
      <c r="I5913" t="s">
        <v>20</v>
      </c>
      <c r="J5913" t="s">
        <v>20</v>
      </c>
      <c r="K5913" t="s">
        <v>22</v>
      </c>
      <c r="L5913" t="s">
        <v>140</v>
      </c>
      <c r="M5913" t="s">
        <v>194</v>
      </c>
      <c r="N5913">
        <v>40.093274999999998</v>
      </c>
      <c r="O5913">
        <v>-111.60624</v>
      </c>
      <c r="P5913">
        <v>4700.0085639999998</v>
      </c>
      <c r="Q5913">
        <v>408</v>
      </c>
      <c r="R5913">
        <v>0</v>
      </c>
    </row>
    <row r="5914" spans="1:18" x14ac:dyDescent="0.25">
      <c r="A5914">
        <v>5913</v>
      </c>
      <c r="B5914">
        <v>94</v>
      </c>
      <c r="C5914">
        <v>1533907</v>
      </c>
      <c r="D5914" t="s">
        <v>88</v>
      </c>
      <c r="E5914">
        <v>15.098000000000001</v>
      </c>
      <c r="F5914" t="s">
        <v>21</v>
      </c>
      <c r="G5914" t="s">
        <v>26</v>
      </c>
      <c r="H5914" t="s">
        <v>21</v>
      </c>
      <c r="I5914" t="s">
        <v>20</v>
      </c>
      <c r="J5914" t="s">
        <v>20</v>
      </c>
      <c r="K5914" t="s">
        <v>31</v>
      </c>
      <c r="L5914" t="s">
        <v>32</v>
      </c>
      <c r="M5914" t="s">
        <v>90</v>
      </c>
      <c r="N5914">
        <v>40.657029999999999</v>
      </c>
      <c r="O5914">
        <v>-111.865949</v>
      </c>
      <c r="P5914">
        <v>4282.1929200000004</v>
      </c>
      <c r="Q5914">
        <v>318</v>
      </c>
      <c r="R5914">
        <v>0</v>
      </c>
    </row>
    <row r="5915" spans="1:18" x14ac:dyDescent="0.25">
      <c r="A5915">
        <v>5914</v>
      </c>
      <c r="B5915">
        <v>94</v>
      </c>
      <c r="C5915">
        <v>31315434</v>
      </c>
      <c r="D5915" t="s">
        <v>347</v>
      </c>
      <c r="E5915">
        <v>15.113</v>
      </c>
      <c r="F5915" t="s">
        <v>21</v>
      </c>
      <c r="G5915" t="s">
        <v>26</v>
      </c>
      <c r="H5915" t="s">
        <v>21</v>
      </c>
      <c r="I5915" t="s">
        <v>20</v>
      </c>
      <c r="J5915" t="s">
        <v>20</v>
      </c>
      <c r="K5915" t="s">
        <v>41</v>
      </c>
      <c r="L5915" t="s">
        <v>325</v>
      </c>
      <c r="M5915" t="s">
        <v>204</v>
      </c>
      <c r="N5915">
        <v>41.587108000000001</v>
      </c>
      <c r="O5915">
        <v>-111.169212</v>
      </c>
      <c r="P5915">
        <v>6252.1658360000001</v>
      </c>
      <c r="Q5915">
        <v>1334</v>
      </c>
      <c r="R5915">
        <v>0</v>
      </c>
    </row>
    <row r="5916" spans="1:18" x14ac:dyDescent="0.25">
      <c r="A5916">
        <v>5915</v>
      </c>
      <c r="B5916">
        <v>94</v>
      </c>
      <c r="C5916">
        <v>31606244</v>
      </c>
      <c r="D5916" t="s">
        <v>145</v>
      </c>
      <c r="E5916">
        <v>15.79</v>
      </c>
      <c r="F5916" t="s">
        <v>21</v>
      </c>
      <c r="G5916" t="s">
        <v>26</v>
      </c>
      <c r="H5916" t="s">
        <v>21</v>
      </c>
      <c r="I5916" t="s">
        <v>20</v>
      </c>
      <c r="J5916" t="s">
        <v>20</v>
      </c>
      <c r="K5916" t="s">
        <v>27</v>
      </c>
      <c r="L5916" t="s">
        <v>146</v>
      </c>
      <c r="M5916" t="s">
        <v>147</v>
      </c>
      <c r="N5916">
        <v>37.822558999999998</v>
      </c>
      <c r="O5916">
        <v>-109.063176</v>
      </c>
      <c r="P5916">
        <v>6668.451951</v>
      </c>
      <c r="Q5916">
        <v>1291</v>
      </c>
      <c r="R5916">
        <v>0</v>
      </c>
    </row>
    <row r="5917" spans="1:18" x14ac:dyDescent="0.25">
      <c r="A5917">
        <v>5916</v>
      </c>
      <c r="B5917">
        <v>94</v>
      </c>
      <c r="C5917">
        <v>1538738</v>
      </c>
      <c r="D5917" t="s">
        <v>88</v>
      </c>
      <c r="E5917">
        <v>15.792999999999999</v>
      </c>
      <c r="F5917" t="s">
        <v>19</v>
      </c>
      <c r="G5917" t="s">
        <v>20</v>
      </c>
      <c r="H5917" t="s">
        <v>21</v>
      </c>
      <c r="I5917" t="s">
        <v>20</v>
      </c>
      <c r="J5917" t="s">
        <v>20</v>
      </c>
      <c r="K5917" t="s">
        <v>31</v>
      </c>
      <c r="L5917" t="s">
        <v>32</v>
      </c>
      <c r="M5917" t="s">
        <v>90</v>
      </c>
      <c r="N5917">
        <v>40.666021999999998</v>
      </c>
      <c r="O5917">
        <v>-111.86643100000001</v>
      </c>
      <c r="P5917">
        <v>4239.1202160000003</v>
      </c>
      <c r="Q5917">
        <v>318</v>
      </c>
      <c r="R5917">
        <v>0</v>
      </c>
    </row>
    <row r="5918" spans="1:18" x14ac:dyDescent="0.25">
      <c r="A5918">
        <v>5917</v>
      </c>
      <c r="B5918">
        <v>94</v>
      </c>
      <c r="C5918">
        <v>28154581</v>
      </c>
      <c r="D5918" t="s">
        <v>239</v>
      </c>
      <c r="E5918">
        <v>15.798999999999999</v>
      </c>
      <c r="F5918" t="s">
        <v>21</v>
      </c>
      <c r="G5918" t="s">
        <v>26</v>
      </c>
      <c r="H5918" t="s">
        <v>21</v>
      </c>
      <c r="I5918" t="s">
        <v>20</v>
      </c>
      <c r="J5918" t="s">
        <v>20</v>
      </c>
      <c r="K5918" t="s">
        <v>41</v>
      </c>
      <c r="L5918" t="s">
        <v>181</v>
      </c>
      <c r="M5918" t="s">
        <v>178</v>
      </c>
      <c r="N5918">
        <v>41.711489</v>
      </c>
      <c r="O5918">
        <v>-112.175149</v>
      </c>
      <c r="P5918">
        <v>4270.3795579999996</v>
      </c>
      <c r="Q5918">
        <v>1392</v>
      </c>
      <c r="R5918">
        <v>0</v>
      </c>
    </row>
    <row r="5919" spans="1:18" x14ac:dyDescent="0.25">
      <c r="A5919">
        <v>5918</v>
      </c>
      <c r="B5919">
        <v>94</v>
      </c>
      <c r="C5919">
        <v>31793331</v>
      </c>
      <c r="D5919" t="s">
        <v>290</v>
      </c>
      <c r="E5919">
        <v>108.661</v>
      </c>
      <c r="F5919" t="s">
        <v>19</v>
      </c>
      <c r="G5919" t="s">
        <v>20</v>
      </c>
      <c r="H5919" t="s">
        <v>19</v>
      </c>
      <c r="I5919">
        <v>252</v>
      </c>
      <c r="J5919" t="s">
        <v>20</v>
      </c>
      <c r="K5919" t="s">
        <v>41</v>
      </c>
      <c r="L5919" t="s">
        <v>95</v>
      </c>
      <c r="M5919" t="s">
        <v>152</v>
      </c>
      <c r="N5919">
        <v>41.735613000000001</v>
      </c>
      <c r="O5919">
        <v>-111.859611</v>
      </c>
      <c r="P5919">
        <v>4403.7530459999998</v>
      </c>
      <c r="Q5919">
        <v>1343</v>
      </c>
      <c r="R5919">
        <v>0</v>
      </c>
    </row>
    <row r="5920" spans="1:18" x14ac:dyDescent="0.25">
      <c r="A5920">
        <v>5919</v>
      </c>
      <c r="B5920">
        <v>94</v>
      </c>
      <c r="C5920">
        <v>31734905</v>
      </c>
      <c r="D5920" t="s">
        <v>244</v>
      </c>
      <c r="E5920">
        <v>108.73699999999999</v>
      </c>
      <c r="F5920" t="s">
        <v>21</v>
      </c>
      <c r="G5920" t="s">
        <v>20</v>
      </c>
      <c r="H5920" t="s">
        <v>21</v>
      </c>
      <c r="I5920" t="s">
        <v>20</v>
      </c>
      <c r="J5920" t="s">
        <v>20</v>
      </c>
      <c r="K5920" t="s">
        <v>27</v>
      </c>
      <c r="L5920" t="s">
        <v>122</v>
      </c>
      <c r="M5920" t="s">
        <v>270</v>
      </c>
      <c r="N5920">
        <v>38.369441000000002</v>
      </c>
      <c r="O5920">
        <v>-110.83997100000001</v>
      </c>
      <c r="P5920">
        <v>4353.176622</v>
      </c>
      <c r="Q5920">
        <v>1340</v>
      </c>
      <c r="R5920">
        <v>0</v>
      </c>
    </row>
    <row r="5921" spans="1:18" x14ac:dyDescent="0.25">
      <c r="A5921">
        <v>5920</v>
      </c>
      <c r="B5921">
        <v>94</v>
      </c>
      <c r="C5921">
        <v>31798663</v>
      </c>
      <c r="D5921" t="s">
        <v>290</v>
      </c>
      <c r="E5921">
        <v>108.742</v>
      </c>
      <c r="F5921" t="s">
        <v>21</v>
      </c>
      <c r="G5921" t="s">
        <v>26</v>
      </c>
      <c r="H5921" t="s">
        <v>21</v>
      </c>
      <c r="I5921" t="s">
        <v>20</v>
      </c>
      <c r="J5921" t="s">
        <v>20</v>
      </c>
      <c r="K5921" t="s">
        <v>41</v>
      </c>
      <c r="L5921" t="s">
        <v>95</v>
      </c>
      <c r="M5921" t="s">
        <v>152</v>
      </c>
      <c r="N5921">
        <v>41.735607999999999</v>
      </c>
      <c r="O5921">
        <v>-111.85803900000001</v>
      </c>
      <c r="P5921">
        <v>4408.8994309999998</v>
      </c>
      <c r="Q5921">
        <v>1343</v>
      </c>
      <c r="R5921">
        <v>0</v>
      </c>
    </row>
    <row r="5922" spans="1:18" x14ac:dyDescent="0.25">
      <c r="A5922">
        <v>5921</v>
      </c>
      <c r="B5922">
        <v>94</v>
      </c>
      <c r="C5922">
        <v>31798674</v>
      </c>
      <c r="D5922" t="s">
        <v>290</v>
      </c>
      <c r="E5922">
        <v>108.855</v>
      </c>
      <c r="F5922" t="s">
        <v>21</v>
      </c>
      <c r="G5922" t="s">
        <v>26</v>
      </c>
      <c r="H5922" t="s">
        <v>21</v>
      </c>
      <c r="I5922" t="s">
        <v>20</v>
      </c>
      <c r="J5922" t="s">
        <v>20</v>
      </c>
      <c r="K5922" t="s">
        <v>41</v>
      </c>
      <c r="L5922" t="s">
        <v>95</v>
      </c>
      <c r="M5922" t="s">
        <v>152</v>
      </c>
      <c r="N5922">
        <v>41.735571</v>
      </c>
      <c r="O5922">
        <v>-111.85583</v>
      </c>
      <c r="P5922">
        <v>4414.298237</v>
      </c>
      <c r="Q5922">
        <v>1343</v>
      </c>
      <c r="R5922">
        <v>0</v>
      </c>
    </row>
    <row r="5923" spans="1:18" x14ac:dyDescent="0.25">
      <c r="A5923">
        <v>5922</v>
      </c>
      <c r="B5923">
        <v>94</v>
      </c>
      <c r="C5923">
        <v>31798685</v>
      </c>
      <c r="D5923" t="s">
        <v>290</v>
      </c>
      <c r="E5923">
        <v>109.16800000000001</v>
      </c>
      <c r="F5923" t="s">
        <v>19</v>
      </c>
      <c r="G5923" t="s">
        <v>20</v>
      </c>
      <c r="H5923" t="s">
        <v>21</v>
      </c>
      <c r="I5923" t="s">
        <v>20</v>
      </c>
      <c r="J5923" t="s">
        <v>20</v>
      </c>
      <c r="K5923" t="s">
        <v>41</v>
      </c>
      <c r="L5923" t="s">
        <v>95</v>
      </c>
      <c r="M5923" t="s">
        <v>152</v>
      </c>
      <c r="N5923">
        <v>41.735460000000003</v>
      </c>
      <c r="O5923">
        <v>-111.84972</v>
      </c>
      <c r="P5923">
        <v>4435.3859510000002</v>
      </c>
      <c r="Q5923">
        <v>1343</v>
      </c>
      <c r="R5923">
        <v>0</v>
      </c>
    </row>
    <row r="5924" spans="1:18" x14ac:dyDescent="0.25">
      <c r="A5924">
        <v>5923</v>
      </c>
      <c r="B5924">
        <v>94</v>
      </c>
      <c r="C5924">
        <v>31436356</v>
      </c>
      <c r="D5924" t="s">
        <v>288</v>
      </c>
      <c r="E5924">
        <v>102.78</v>
      </c>
      <c r="F5924" t="s">
        <v>21</v>
      </c>
      <c r="G5924" t="s">
        <v>26</v>
      </c>
      <c r="H5924" t="s">
        <v>21</v>
      </c>
      <c r="I5924" t="s">
        <v>20</v>
      </c>
      <c r="J5924" t="s">
        <v>20</v>
      </c>
      <c r="K5924" t="s">
        <v>27</v>
      </c>
      <c r="L5924" t="s">
        <v>146</v>
      </c>
      <c r="M5924" t="s">
        <v>152</v>
      </c>
      <c r="N5924">
        <v>38.301946000000001</v>
      </c>
      <c r="O5924">
        <v>-109.39504599999999</v>
      </c>
      <c r="P5924">
        <v>5887.622128</v>
      </c>
      <c r="Q5924">
        <v>350</v>
      </c>
      <c r="R5924">
        <v>0</v>
      </c>
    </row>
    <row r="5925" spans="1:18" x14ac:dyDescent="0.25">
      <c r="A5925">
        <v>5924</v>
      </c>
      <c r="B5925">
        <v>94</v>
      </c>
      <c r="C5925">
        <v>31787565</v>
      </c>
      <c r="D5925" t="s">
        <v>290</v>
      </c>
      <c r="E5925">
        <v>102.886</v>
      </c>
      <c r="F5925" t="s">
        <v>21</v>
      </c>
      <c r="G5925" t="s">
        <v>20</v>
      </c>
      <c r="H5925" t="s">
        <v>21</v>
      </c>
      <c r="I5925" t="s">
        <v>20</v>
      </c>
      <c r="J5925" t="s">
        <v>20</v>
      </c>
      <c r="K5925" t="s">
        <v>41</v>
      </c>
      <c r="L5925" t="s">
        <v>95</v>
      </c>
      <c r="M5925" t="s">
        <v>152</v>
      </c>
      <c r="N5925">
        <v>41.748454000000002</v>
      </c>
      <c r="O5925">
        <v>-111.969645</v>
      </c>
      <c r="P5925">
        <v>4402.2359759999999</v>
      </c>
      <c r="Q5925">
        <v>1343</v>
      </c>
      <c r="R5925">
        <v>0</v>
      </c>
    </row>
    <row r="5926" spans="1:18" x14ac:dyDescent="0.25">
      <c r="A5926">
        <v>5925</v>
      </c>
      <c r="B5926">
        <v>94</v>
      </c>
      <c r="C5926">
        <v>31790515</v>
      </c>
      <c r="D5926" t="s">
        <v>118</v>
      </c>
      <c r="E5926">
        <v>102.98099999999999</v>
      </c>
      <c r="F5926" t="s">
        <v>21</v>
      </c>
      <c r="G5926" t="s">
        <v>26</v>
      </c>
      <c r="H5926" t="s">
        <v>21</v>
      </c>
      <c r="I5926" t="s">
        <v>20</v>
      </c>
      <c r="J5926" t="s">
        <v>20</v>
      </c>
      <c r="K5926" t="s">
        <v>22</v>
      </c>
      <c r="L5926" t="s">
        <v>133</v>
      </c>
      <c r="M5926" t="s">
        <v>169</v>
      </c>
      <c r="N5926">
        <v>40.182675000000003</v>
      </c>
      <c r="O5926">
        <v>-110.1048</v>
      </c>
      <c r="P5926">
        <v>5088.8037519999998</v>
      </c>
      <c r="Q5926">
        <v>310</v>
      </c>
      <c r="R5926">
        <v>0</v>
      </c>
    </row>
    <row r="5927" spans="1:18" x14ac:dyDescent="0.25">
      <c r="A5927">
        <v>5926</v>
      </c>
      <c r="B5927">
        <v>94</v>
      </c>
      <c r="C5927">
        <v>31486485</v>
      </c>
      <c r="D5927" t="s">
        <v>164</v>
      </c>
      <c r="E5927">
        <v>1.6990000000000001</v>
      </c>
      <c r="F5927" t="s">
        <v>21</v>
      </c>
      <c r="G5927" t="s">
        <v>26</v>
      </c>
      <c r="H5927" t="s">
        <v>21</v>
      </c>
      <c r="I5927" t="s">
        <v>20</v>
      </c>
      <c r="J5927" t="s">
        <v>20</v>
      </c>
      <c r="K5927" t="s">
        <v>27</v>
      </c>
      <c r="L5927" t="s">
        <v>165</v>
      </c>
      <c r="M5927" t="s">
        <v>166</v>
      </c>
      <c r="N5927">
        <v>38.958061000000001</v>
      </c>
      <c r="O5927">
        <v>-112.32515100000001</v>
      </c>
      <c r="P5927">
        <v>5087.781344</v>
      </c>
      <c r="Q5927">
        <v>1390</v>
      </c>
      <c r="R5927">
        <v>0</v>
      </c>
    </row>
    <row r="5928" spans="1:18" x14ac:dyDescent="0.25">
      <c r="A5928">
        <v>5927</v>
      </c>
      <c r="B5928">
        <v>94</v>
      </c>
      <c r="C5928">
        <v>618965</v>
      </c>
      <c r="D5928" t="s">
        <v>47</v>
      </c>
      <c r="E5928">
        <v>1.6990000000000001</v>
      </c>
      <c r="F5928" t="s">
        <v>21</v>
      </c>
      <c r="G5928" t="s">
        <v>26</v>
      </c>
      <c r="H5928" t="s">
        <v>21</v>
      </c>
      <c r="I5928" t="s">
        <v>20</v>
      </c>
      <c r="J5928" t="s">
        <v>20</v>
      </c>
      <c r="K5928" t="s">
        <v>31</v>
      </c>
      <c r="L5928" t="s">
        <v>48</v>
      </c>
      <c r="M5928" t="s">
        <v>49</v>
      </c>
      <c r="N5928">
        <v>40.544117</v>
      </c>
      <c r="O5928">
        <v>-111.951584</v>
      </c>
      <c r="P5928">
        <v>4434.5122009999995</v>
      </c>
      <c r="Q5928">
        <v>6715</v>
      </c>
      <c r="R5928">
        <v>0</v>
      </c>
    </row>
    <row r="5929" spans="1:18" x14ac:dyDescent="0.25">
      <c r="A5929">
        <v>5928</v>
      </c>
      <c r="B5929">
        <v>94</v>
      </c>
      <c r="C5929" t="e">
        <f>-JLKrxDeGUmEaapbGDUOGF</f>
        <v>#NAME?</v>
      </c>
      <c r="D5929" t="s">
        <v>86</v>
      </c>
      <c r="E5929">
        <v>1.7</v>
      </c>
      <c r="F5929" t="s">
        <v>21</v>
      </c>
      <c r="G5929" t="s">
        <v>26</v>
      </c>
      <c r="H5929" t="s">
        <v>21</v>
      </c>
      <c r="I5929" t="s">
        <v>20</v>
      </c>
      <c r="J5929" t="s">
        <v>20</v>
      </c>
      <c r="K5929" t="s">
        <v>41</v>
      </c>
      <c r="L5929" t="s">
        <v>87</v>
      </c>
      <c r="M5929" t="s">
        <v>58</v>
      </c>
      <c r="N5929">
        <v>41.028911999999998</v>
      </c>
      <c r="O5929">
        <v>-111.933393</v>
      </c>
      <c r="P5929">
        <v>4317.1976409999997</v>
      </c>
      <c r="Q5929">
        <v>258</v>
      </c>
      <c r="R5929">
        <v>0</v>
      </c>
    </row>
    <row r="5930" spans="1:18" x14ac:dyDescent="0.25">
      <c r="A5930">
        <v>5929</v>
      </c>
      <c r="B5930">
        <v>94</v>
      </c>
      <c r="C5930">
        <v>31514133</v>
      </c>
      <c r="D5930" t="s">
        <v>231</v>
      </c>
      <c r="E5930">
        <v>1.7010000000000001</v>
      </c>
      <c r="F5930" t="s">
        <v>19</v>
      </c>
      <c r="G5930" t="s">
        <v>20</v>
      </c>
      <c r="H5930" t="s">
        <v>19</v>
      </c>
      <c r="I5930">
        <v>232</v>
      </c>
      <c r="J5930" t="s">
        <v>20</v>
      </c>
      <c r="K5930" t="s">
        <v>41</v>
      </c>
      <c r="L5930" t="s">
        <v>57</v>
      </c>
      <c r="M5930" t="s">
        <v>93</v>
      </c>
      <c r="N5930">
        <v>41.072740000000003</v>
      </c>
      <c r="O5930">
        <v>-111.978848</v>
      </c>
      <c r="P5930">
        <v>4339.6231850000004</v>
      </c>
      <c r="Q5930">
        <v>1409</v>
      </c>
      <c r="R5930">
        <v>0</v>
      </c>
    </row>
    <row r="5931" spans="1:18" x14ac:dyDescent="0.25">
      <c r="A5931">
        <v>5930</v>
      </c>
      <c r="B5931">
        <v>94</v>
      </c>
      <c r="C5931" t="s">
        <v>770</v>
      </c>
      <c r="D5931" t="s">
        <v>249</v>
      </c>
      <c r="E5931">
        <v>1.702</v>
      </c>
      <c r="F5931" t="s">
        <v>21</v>
      </c>
      <c r="G5931" t="s">
        <v>26</v>
      </c>
      <c r="H5931" t="s">
        <v>21</v>
      </c>
      <c r="I5931" t="s">
        <v>20</v>
      </c>
      <c r="J5931" t="s">
        <v>20</v>
      </c>
      <c r="K5931" t="s">
        <v>31</v>
      </c>
      <c r="L5931" t="s">
        <v>89</v>
      </c>
      <c r="M5931" t="s">
        <v>24</v>
      </c>
      <c r="N5931">
        <v>40.486165</v>
      </c>
      <c r="O5931">
        <v>-111.91310300000001</v>
      </c>
      <c r="P5931">
        <v>4407.0217439999997</v>
      </c>
      <c r="Q5931">
        <v>337</v>
      </c>
      <c r="R5931">
        <v>0</v>
      </c>
    </row>
    <row r="5932" spans="1:18" x14ac:dyDescent="0.25">
      <c r="A5932">
        <v>5931</v>
      </c>
      <c r="B5932">
        <v>94</v>
      </c>
      <c r="C5932">
        <v>1005148</v>
      </c>
      <c r="D5932" t="s">
        <v>171</v>
      </c>
      <c r="E5932">
        <v>1.702</v>
      </c>
      <c r="F5932" t="s">
        <v>21</v>
      </c>
      <c r="G5932" t="s">
        <v>26</v>
      </c>
      <c r="H5932" t="s">
        <v>21</v>
      </c>
      <c r="I5932" t="s">
        <v>20</v>
      </c>
      <c r="J5932" t="s">
        <v>20</v>
      </c>
      <c r="K5932" t="s">
        <v>31</v>
      </c>
      <c r="L5932" t="s">
        <v>78</v>
      </c>
      <c r="M5932" t="s">
        <v>79</v>
      </c>
      <c r="N5932">
        <v>40.696494999999999</v>
      </c>
      <c r="O5932">
        <v>-112.059325</v>
      </c>
      <c r="P5932">
        <v>4260.1816470000003</v>
      </c>
      <c r="Q5932">
        <v>346</v>
      </c>
      <c r="R5932">
        <v>0</v>
      </c>
    </row>
    <row r="5933" spans="1:18" x14ac:dyDescent="0.25">
      <c r="A5933">
        <v>5932</v>
      </c>
      <c r="B5933">
        <v>94</v>
      </c>
      <c r="C5933">
        <v>1300643</v>
      </c>
      <c r="D5933" t="s">
        <v>191</v>
      </c>
      <c r="E5933">
        <v>1.7050000000000001</v>
      </c>
      <c r="F5933" t="s">
        <v>21</v>
      </c>
      <c r="G5933" t="s">
        <v>26</v>
      </c>
      <c r="H5933" t="s">
        <v>21</v>
      </c>
      <c r="I5933" t="s">
        <v>20</v>
      </c>
      <c r="J5933" t="s">
        <v>20</v>
      </c>
      <c r="K5933" t="s">
        <v>41</v>
      </c>
      <c r="L5933" t="s">
        <v>57</v>
      </c>
      <c r="M5933" t="s">
        <v>190</v>
      </c>
      <c r="N5933">
        <v>41.113933000000003</v>
      </c>
      <c r="O5933">
        <v>-112.112523</v>
      </c>
      <c r="P5933">
        <v>4176.2728589999997</v>
      </c>
      <c r="Q5933">
        <v>329</v>
      </c>
      <c r="R5933">
        <v>0</v>
      </c>
    </row>
    <row r="5934" spans="1:18" x14ac:dyDescent="0.25">
      <c r="A5934">
        <v>5933</v>
      </c>
      <c r="B5934">
        <v>94</v>
      </c>
      <c r="C5934">
        <v>27865849</v>
      </c>
      <c r="D5934" t="s">
        <v>91</v>
      </c>
      <c r="E5934">
        <v>1.706</v>
      </c>
      <c r="F5934" t="s">
        <v>21</v>
      </c>
      <c r="G5934" t="s">
        <v>26</v>
      </c>
      <c r="H5934" t="s">
        <v>21</v>
      </c>
      <c r="I5934" t="s">
        <v>20</v>
      </c>
      <c r="J5934" t="s">
        <v>20</v>
      </c>
      <c r="K5934" t="s">
        <v>41</v>
      </c>
      <c r="L5934" t="s">
        <v>42</v>
      </c>
      <c r="M5934" t="s">
        <v>73</v>
      </c>
      <c r="N5934">
        <v>41.640838000000002</v>
      </c>
      <c r="O5934">
        <v>-111.934309</v>
      </c>
      <c r="P5934">
        <v>4491.4333040000001</v>
      </c>
      <c r="Q5934">
        <v>1339</v>
      </c>
      <c r="R5934">
        <v>0</v>
      </c>
    </row>
    <row r="5935" spans="1:18" x14ac:dyDescent="0.25">
      <c r="A5935">
        <v>5934</v>
      </c>
      <c r="B5935">
        <v>94</v>
      </c>
      <c r="C5935">
        <v>31658699</v>
      </c>
      <c r="D5935" t="s">
        <v>156</v>
      </c>
      <c r="E5935">
        <v>1.708</v>
      </c>
      <c r="F5935" t="s">
        <v>21</v>
      </c>
      <c r="G5935" t="s">
        <v>26</v>
      </c>
      <c r="H5935" t="s">
        <v>21</v>
      </c>
      <c r="I5935" t="s">
        <v>20</v>
      </c>
      <c r="J5935" t="s">
        <v>20</v>
      </c>
      <c r="K5935" t="s">
        <v>41</v>
      </c>
      <c r="L5935" t="s">
        <v>81</v>
      </c>
      <c r="M5935" t="s">
        <v>93</v>
      </c>
      <c r="N5935">
        <v>41.284134000000002</v>
      </c>
      <c r="O5935">
        <v>-111.969162</v>
      </c>
      <c r="P5935">
        <v>4277.5978999999998</v>
      </c>
      <c r="Q5935">
        <v>424</v>
      </c>
      <c r="R5935">
        <v>0</v>
      </c>
    </row>
    <row r="5936" spans="1:18" x14ac:dyDescent="0.25">
      <c r="A5936">
        <v>5935</v>
      </c>
      <c r="B5936">
        <v>94</v>
      </c>
      <c r="C5936">
        <v>948503</v>
      </c>
      <c r="D5936" t="s">
        <v>65</v>
      </c>
      <c r="E5936">
        <v>1.7090000000000001</v>
      </c>
      <c r="F5936" t="s">
        <v>21</v>
      </c>
      <c r="G5936" t="s">
        <v>26</v>
      </c>
      <c r="H5936" t="s">
        <v>21</v>
      </c>
      <c r="I5936" t="s">
        <v>20</v>
      </c>
      <c r="J5936" t="s">
        <v>20</v>
      </c>
      <c r="K5936" t="s">
        <v>31</v>
      </c>
      <c r="L5936" t="s">
        <v>66</v>
      </c>
      <c r="M5936" t="s">
        <v>67</v>
      </c>
      <c r="N5936">
        <v>40.774650999999999</v>
      </c>
      <c r="O5936">
        <v>-111.888227</v>
      </c>
      <c r="P5936">
        <v>4411.1647050000001</v>
      </c>
      <c r="Q5936">
        <v>402</v>
      </c>
      <c r="R5936">
        <v>0</v>
      </c>
    </row>
    <row r="5937" spans="1:18" x14ac:dyDescent="0.25">
      <c r="A5937">
        <v>5936</v>
      </c>
      <c r="B5937">
        <v>94</v>
      </c>
      <c r="C5937">
        <v>31422273</v>
      </c>
      <c r="D5937" t="s">
        <v>107</v>
      </c>
      <c r="E5937">
        <v>1.714</v>
      </c>
      <c r="F5937" t="s">
        <v>21</v>
      </c>
      <c r="G5937" t="s">
        <v>26</v>
      </c>
      <c r="H5937" t="s">
        <v>21</v>
      </c>
      <c r="I5937" t="s">
        <v>20</v>
      </c>
      <c r="J5937" t="s">
        <v>20</v>
      </c>
      <c r="K5937" t="s">
        <v>41</v>
      </c>
      <c r="L5937" t="s">
        <v>81</v>
      </c>
      <c r="M5937" t="s">
        <v>93</v>
      </c>
      <c r="N5937">
        <v>41.217514999999999</v>
      </c>
      <c r="O5937">
        <v>-111.978988</v>
      </c>
      <c r="P5937">
        <v>4245.4244429999999</v>
      </c>
      <c r="Q5937">
        <v>413</v>
      </c>
      <c r="R5937">
        <v>0</v>
      </c>
    </row>
    <row r="5938" spans="1:18" x14ac:dyDescent="0.25">
      <c r="A5938">
        <v>5937</v>
      </c>
      <c r="B5938">
        <v>94</v>
      </c>
      <c r="C5938">
        <v>532786</v>
      </c>
      <c r="D5938" t="s">
        <v>47</v>
      </c>
      <c r="E5938">
        <v>1.716</v>
      </c>
      <c r="F5938" t="s">
        <v>21</v>
      </c>
      <c r="G5938" t="s">
        <v>26</v>
      </c>
      <c r="H5938" t="s">
        <v>21</v>
      </c>
      <c r="I5938" t="s">
        <v>20</v>
      </c>
      <c r="J5938" t="s">
        <v>20</v>
      </c>
      <c r="K5938" t="s">
        <v>31</v>
      </c>
      <c r="L5938" t="s">
        <v>48</v>
      </c>
      <c r="M5938" t="s">
        <v>49</v>
      </c>
      <c r="N5938">
        <v>40.544117999999997</v>
      </c>
      <c r="O5938">
        <v>-111.951261</v>
      </c>
      <c r="P5938">
        <v>4432.7417299999997</v>
      </c>
      <c r="Q5938">
        <v>6715</v>
      </c>
      <c r="R5938">
        <v>0</v>
      </c>
    </row>
    <row r="5939" spans="1:18" x14ac:dyDescent="0.25">
      <c r="A5939">
        <v>5938</v>
      </c>
      <c r="B5939">
        <v>94</v>
      </c>
      <c r="C5939">
        <v>31394146</v>
      </c>
      <c r="D5939" t="s">
        <v>114</v>
      </c>
      <c r="E5939">
        <v>5.423</v>
      </c>
      <c r="F5939" t="s">
        <v>21</v>
      </c>
      <c r="G5939" t="s">
        <v>26</v>
      </c>
      <c r="H5939" t="s">
        <v>21</v>
      </c>
      <c r="I5939" t="s">
        <v>20</v>
      </c>
      <c r="J5939" t="s">
        <v>20</v>
      </c>
      <c r="K5939" t="s">
        <v>41</v>
      </c>
      <c r="L5939" t="s">
        <v>87</v>
      </c>
      <c r="M5939" t="s">
        <v>82</v>
      </c>
      <c r="N5939">
        <v>41.103529999999999</v>
      </c>
      <c r="O5939">
        <v>-111.964663</v>
      </c>
      <c r="P5939">
        <v>4713.5374499999998</v>
      </c>
      <c r="Q5939">
        <v>405</v>
      </c>
      <c r="R5939">
        <v>0</v>
      </c>
    </row>
    <row r="5940" spans="1:18" x14ac:dyDescent="0.25">
      <c r="A5940">
        <v>5939</v>
      </c>
      <c r="B5940">
        <v>94</v>
      </c>
      <c r="C5940">
        <v>31369757</v>
      </c>
      <c r="D5940" t="s">
        <v>345</v>
      </c>
      <c r="E5940">
        <v>5.4240000000000004</v>
      </c>
      <c r="F5940" t="s">
        <v>21</v>
      </c>
      <c r="G5940" t="s">
        <v>26</v>
      </c>
      <c r="H5940" t="s">
        <v>21</v>
      </c>
      <c r="I5940" t="s">
        <v>20</v>
      </c>
      <c r="J5940" t="s">
        <v>20</v>
      </c>
      <c r="K5940" t="s">
        <v>27</v>
      </c>
      <c r="L5940" t="s">
        <v>75</v>
      </c>
      <c r="M5940" t="s">
        <v>76</v>
      </c>
      <c r="N5940">
        <v>38.629295999999997</v>
      </c>
      <c r="O5940">
        <v>-112.132289</v>
      </c>
      <c r="P5940">
        <v>5307.8574600000002</v>
      </c>
      <c r="Q5940">
        <v>1403</v>
      </c>
      <c r="R5940">
        <v>0</v>
      </c>
    </row>
    <row r="5941" spans="1:18" x14ac:dyDescent="0.25">
      <c r="A5941">
        <v>5940</v>
      </c>
      <c r="B5941">
        <v>94</v>
      </c>
      <c r="C5941">
        <v>31760572</v>
      </c>
      <c r="D5941" t="s">
        <v>68</v>
      </c>
      <c r="E5941">
        <v>5.431</v>
      </c>
      <c r="F5941" t="s">
        <v>21</v>
      </c>
      <c r="G5941" t="s">
        <v>26</v>
      </c>
      <c r="H5941" t="s">
        <v>21</v>
      </c>
      <c r="I5941" t="s">
        <v>20</v>
      </c>
      <c r="J5941" t="s">
        <v>20</v>
      </c>
      <c r="K5941" t="s">
        <v>31</v>
      </c>
      <c r="L5941" t="s">
        <v>32</v>
      </c>
      <c r="M5941" t="s">
        <v>70</v>
      </c>
      <c r="N5941">
        <v>40.674292000000001</v>
      </c>
      <c r="O5941">
        <v>-111.852284</v>
      </c>
      <c r="P5941">
        <v>4259.5149380000003</v>
      </c>
      <c r="Q5941">
        <v>431</v>
      </c>
      <c r="R5941">
        <v>0</v>
      </c>
    </row>
    <row r="5942" spans="1:18" x14ac:dyDescent="0.25">
      <c r="A5942">
        <v>5941</v>
      </c>
      <c r="B5942">
        <v>94</v>
      </c>
      <c r="C5942">
        <v>31296931</v>
      </c>
      <c r="D5942" t="s">
        <v>203</v>
      </c>
      <c r="E5942">
        <v>5.4320000000000004</v>
      </c>
      <c r="F5942" t="s">
        <v>21</v>
      </c>
      <c r="G5942" t="s">
        <v>26</v>
      </c>
      <c r="H5942" t="s">
        <v>21</v>
      </c>
      <c r="I5942" t="s">
        <v>20</v>
      </c>
      <c r="J5942" t="s">
        <v>20</v>
      </c>
      <c r="K5942" t="s">
        <v>41</v>
      </c>
      <c r="L5942" t="s">
        <v>81</v>
      </c>
      <c r="M5942" t="s">
        <v>204</v>
      </c>
      <c r="N5942">
        <v>41.24438</v>
      </c>
      <c r="O5942">
        <v>-111.988514</v>
      </c>
      <c r="P5942">
        <v>4221.8863160000001</v>
      </c>
      <c r="Q5942">
        <v>1349</v>
      </c>
      <c r="R5942">
        <v>0</v>
      </c>
    </row>
    <row r="5943" spans="1:18" x14ac:dyDescent="0.25">
      <c r="A5943">
        <v>5942</v>
      </c>
      <c r="B5943">
        <v>94</v>
      </c>
      <c r="C5943">
        <v>527330</v>
      </c>
      <c r="D5943" t="s">
        <v>262</v>
      </c>
      <c r="E5943">
        <v>5.4370000000000003</v>
      </c>
      <c r="F5943" t="s">
        <v>19</v>
      </c>
      <c r="G5943" t="s">
        <v>20</v>
      </c>
      <c r="H5943" t="s">
        <v>21</v>
      </c>
      <c r="I5943" t="s">
        <v>20</v>
      </c>
      <c r="J5943" t="s">
        <v>20</v>
      </c>
      <c r="K5943" t="s">
        <v>22</v>
      </c>
      <c r="L5943" t="s">
        <v>263</v>
      </c>
      <c r="M5943" t="s">
        <v>24</v>
      </c>
      <c r="N5943">
        <v>40.376697</v>
      </c>
      <c r="O5943">
        <v>-111.81704999999999</v>
      </c>
      <c r="P5943">
        <v>4504.368837</v>
      </c>
      <c r="Q5943">
        <v>1419</v>
      </c>
      <c r="R5943">
        <v>0</v>
      </c>
    </row>
    <row r="5944" spans="1:18" x14ac:dyDescent="0.25">
      <c r="A5944">
        <v>5943</v>
      </c>
      <c r="B5944">
        <v>94</v>
      </c>
      <c r="C5944">
        <v>31759931</v>
      </c>
      <c r="D5944" t="s">
        <v>105</v>
      </c>
      <c r="E5944">
        <v>5.4390000000000001</v>
      </c>
      <c r="F5944" t="s">
        <v>21</v>
      </c>
      <c r="G5944" t="s">
        <v>26</v>
      </c>
      <c r="H5944" t="s">
        <v>21</v>
      </c>
      <c r="I5944" t="s">
        <v>20</v>
      </c>
      <c r="J5944" t="s">
        <v>20</v>
      </c>
      <c r="K5944" t="s">
        <v>27</v>
      </c>
      <c r="L5944" t="s">
        <v>51</v>
      </c>
      <c r="M5944" t="s">
        <v>106</v>
      </c>
      <c r="N5944">
        <v>37.907904000000002</v>
      </c>
      <c r="O5944">
        <v>-112.775936</v>
      </c>
      <c r="P5944">
        <v>5731.3032780000003</v>
      </c>
      <c r="Q5944">
        <v>432</v>
      </c>
      <c r="R5944">
        <v>0</v>
      </c>
    </row>
    <row r="5945" spans="1:18" x14ac:dyDescent="0.25">
      <c r="A5945">
        <v>5944</v>
      </c>
      <c r="B5945">
        <v>94</v>
      </c>
      <c r="C5945">
        <v>31404830</v>
      </c>
      <c r="D5945" t="s">
        <v>63</v>
      </c>
      <c r="E5945">
        <v>4.55</v>
      </c>
      <c r="F5945" t="s">
        <v>21</v>
      </c>
      <c r="G5945" t="s">
        <v>26</v>
      </c>
      <c r="H5945" t="s">
        <v>21</v>
      </c>
      <c r="I5945" t="s">
        <v>20</v>
      </c>
      <c r="J5945" t="s">
        <v>20</v>
      </c>
      <c r="K5945" t="s">
        <v>27</v>
      </c>
      <c r="L5945" t="s">
        <v>64</v>
      </c>
      <c r="M5945" t="s">
        <v>29</v>
      </c>
      <c r="N5945">
        <v>38.197374000000003</v>
      </c>
      <c r="O5945">
        <v>-112.149564</v>
      </c>
      <c r="P5945">
        <v>6112.4706679999999</v>
      </c>
      <c r="Q5945">
        <v>1365</v>
      </c>
      <c r="R5945">
        <v>0</v>
      </c>
    </row>
    <row r="5946" spans="1:18" x14ac:dyDescent="0.25">
      <c r="A5946">
        <v>5945</v>
      </c>
      <c r="B5946">
        <v>94</v>
      </c>
      <c r="C5946">
        <v>1455623</v>
      </c>
      <c r="D5946" t="s">
        <v>88</v>
      </c>
      <c r="E5946">
        <v>4.5510000000000002</v>
      </c>
      <c r="F5946" t="s">
        <v>19</v>
      </c>
      <c r="G5946" t="s">
        <v>20</v>
      </c>
      <c r="H5946" t="s">
        <v>21</v>
      </c>
      <c r="I5946" t="s">
        <v>20</v>
      </c>
      <c r="J5946" t="s">
        <v>20</v>
      </c>
      <c r="K5946" t="s">
        <v>31</v>
      </c>
      <c r="L5946" t="s">
        <v>89</v>
      </c>
      <c r="M5946" t="s">
        <v>90</v>
      </c>
      <c r="N5946">
        <v>40.526775000000001</v>
      </c>
      <c r="O5946">
        <v>-111.89894700000001</v>
      </c>
      <c r="P5946">
        <v>4360.1629519999997</v>
      </c>
      <c r="Q5946">
        <v>318</v>
      </c>
      <c r="R5946">
        <v>0</v>
      </c>
    </row>
    <row r="5947" spans="1:18" x14ac:dyDescent="0.25">
      <c r="A5947">
        <v>5946</v>
      </c>
      <c r="B5947">
        <v>94</v>
      </c>
      <c r="C5947">
        <v>493552</v>
      </c>
      <c r="D5947" t="s">
        <v>83</v>
      </c>
      <c r="E5947">
        <v>4.5529999999999999</v>
      </c>
      <c r="F5947" t="s">
        <v>21</v>
      </c>
      <c r="G5947" t="s">
        <v>26</v>
      </c>
      <c r="H5947" t="s">
        <v>21</v>
      </c>
      <c r="I5947" t="s">
        <v>20</v>
      </c>
      <c r="J5947" t="s">
        <v>20</v>
      </c>
      <c r="K5947" t="s">
        <v>22</v>
      </c>
      <c r="L5947" t="s">
        <v>84</v>
      </c>
      <c r="M5947" t="s">
        <v>85</v>
      </c>
      <c r="N5947">
        <v>40.441476000000002</v>
      </c>
      <c r="O5947">
        <v>-111.78429</v>
      </c>
      <c r="P5947">
        <v>4855.8700609999996</v>
      </c>
      <c r="Q5947">
        <v>319</v>
      </c>
      <c r="R5947">
        <v>0</v>
      </c>
    </row>
    <row r="5948" spans="1:18" x14ac:dyDescent="0.25">
      <c r="A5948">
        <v>5947</v>
      </c>
      <c r="B5948">
        <v>94</v>
      </c>
      <c r="C5948">
        <v>31369235</v>
      </c>
      <c r="D5948" t="s">
        <v>345</v>
      </c>
      <c r="E5948">
        <v>4.5549999999999997</v>
      </c>
      <c r="F5948" t="s">
        <v>21</v>
      </c>
      <c r="G5948" t="s">
        <v>26</v>
      </c>
      <c r="H5948" t="s">
        <v>21</v>
      </c>
      <c r="I5948" t="s">
        <v>20</v>
      </c>
      <c r="J5948" t="s">
        <v>20</v>
      </c>
      <c r="K5948" t="s">
        <v>27</v>
      </c>
      <c r="L5948" t="s">
        <v>75</v>
      </c>
      <c r="M5948" t="s">
        <v>76</v>
      </c>
      <c r="N5948">
        <v>38.628990000000002</v>
      </c>
      <c r="O5948">
        <v>-112.14834500000001</v>
      </c>
      <c r="P5948">
        <v>5316.2499109999999</v>
      </c>
      <c r="Q5948">
        <v>1403</v>
      </c>
      <c r="R5948">
        <v>0</v>
      </c>
    </row>
    <row r="5949" spans="1:18" x14ac:dyDescent="0.25">
      <c r="A5949">
        <v>5948</v>
      </c>
      <c r="B5949">
        <v>94</v>
      </c>
      <c r="C5949">
        <v>31805755</v>
      </c>
      <c r="D5949" t="s">
        <v>61</v>
      </c>
      <c r="E5949">
        <v>4.556</v>
      </c>
      <c r="F5949" t="s">
        <v>21</v>
      </c>
      <c r="G5949" t="s">
        <v>26</v>
      </c>
      <c r="H5949" t="s">
        <v>21</v>
      </c>
      <c r="I5949" t="s">
        <v>20</v>
      </c>
      <c r="J5949" t="s">
        <v>20</v>
      </c>
      <c r="K5949" t="s">
        <v>22</v>
      </c>
      <c r="L5949" t="s">
        <v>60</v>
      </c>
      <c r="M5949" t="s">
        <v>62</v>
      </c>
      <c r="N5949">
        <v>40.271886000000002</v>
      </c>
      <c r="O5949">
        <v>-111.657062</v>
      </c>
      <c r="P5949">
        <v>4613.237545</v>
      </c>
      <c r="Q5949">
        <v>403</v>
      </c>
      <c r="R5949">
        <v>0</v>
      </c>
    </row>
    <row r="5950" spans="1:18" x14ac:dyDescent="0.25">
      <c r="A5950">
        <v>5949</v>
      </c>
      <c r="B5950">
        <v>94</v>
      </c>
      <c r="C5950">
        <v>31378814</v>
      </c>
      <c r="D5950" t="s">
        <v>221</v>
      </c>
      <c r="E5950">
        <v>4.0259999999999998</v>
      </c>
      <c r="F5950" t="s">
        <v>21</v>
      </c>
      <c r="G5950" t="s">
        <v>26</v>
      </c>
      <c r="H5950" t="s">
        <v>21</v>
      </c>
      <c r="I5950" t="s">
        <v>20</v>
      </c>
      <c r="J5950" t="s">
        <v>20</v>
      </c>
      <c r="K5950" t="s">
        <v>27</v>
      </c>
      <c r="L5950" t="s">
        <v>350</v>
      </c>
      <c r="M5950" t="s">
        <v>174</v>
      </c>
      <c r="N5950">
        <v>39.209231000000003</v>
      </c>
      <c r="O5950">
        <v>-111.848545</v>
      </c>
      <c r="P5950">
        <v>5020.1152110000003</v>
      </c>
      <c r="Q5950">
        <v>1342</v>
      </c>
      <c r="R5950">
        <v>0</v>
      </c>
    </row>
    <row r="5951" spans="1:18" x14ac:dyDescent="0.25">
      <c r="A5951">
        <v>5950</v>
      </c>
      <c r="B5951">
        <v>94</v>
      </c>
      <c r="C5951">
        <v>31503612</v>
      </c>
      <c r="D5951" t="s">
        <v>292</v>
      </c>
      <c r="E5951">
        <v>4.0270000000000001</v>
      </c>
      <c r="F5951" t="s">
        <v>21</v>
      </c>
      <c r="G5951" t="s">
        <v>26</v>
      </c>
      <c r="H5951" t="s">
        <v>21</v>
      </c>
      <c r="I5951" t="s">
        <v>20</v>
      </c>
      <c r="J5951" t="s">
        <v>20</v>
      </c>
      <c r="K5951" t="s">
        <v>22</v>
      </c>
      <c r="L5951" t="s">
        <v>253</v>
      </c>
      <c r="M5951" t="s">
        <v>134</v>
      </c>
      <c r="N5951">
        <v>40.220216999999998</v>
      </c>
      <c r="O5951">
        <v>-110.38929400000001</v>
      </c>
      <c r="P5951">
        <v>5831.7517980000002</v>
      </c>
      <c r="Q5951">
        <v>323</v>
      </c>
      <c r="R5951">
        <v>0</v>
      </c>
    </row>
    <row r="5952" spans="1:18" x14ac:dyDescent="0.25">
      <c r="A5952">
        <v>5951</v>
      </c>
      <c r="B5952">
        <v>94</v>
      </c>
      <c r="C5952">
        <v>31311065</v>
      </c>
      <c r="D5952" t="s">
        <v>40</v>
      </c>
      <c r="E5952">
        <v>4.0289999999999999</v>
      </c>
      <c r="F5952" t="s">
        <v>21</v>
      </c>
      <c r="G5952" t="s">
        <v>26</v>
      </c>
      <c r="H5952" t="s">
        <v>21</v>
      </c>
      <c r="I5952" t="s">
        <v>20</v>
      </c>
      <c r="J5952" t="s">
        <v>20</v>
      </c>
      <c r="K5952" t="s">
        <v>41</v>
      </c>
      <c r="L5952" t="s">
        <v>42</v>
      </c>
      <c r="M5952" t="s">
        <v>43</v>
      </c>
      <c r="N5952">
        <v>41.636352000000002</v>
      </c>
      <c r="O5952">
        <v>-111.86628899999999</v>
      </c>
      <c r="P5952">
        <v>4611.4663099999998</v>
      </c>
      <c r="Q5952">
        <v>1391</v>
      </c>
      <c r="R5952">
        <v>0</v>
      </c>
    </row>
    <row r="5953" spans="1:18" x14ac:dyDescent="0.25">
      <c r="A5953">
        <v>5952</v>
      </c>
      <c r="B5953">
        <v>94</v>
      </c>
      <c r="C5953">
        <v>28068910</v>
      </c>
      <c r="D5953" t="s">
        <v>59</v>
      </c>
      <c r="E5953">
        <v>4.0289999999999999</v>
      </c>
      <c r="F5953" t="s">
        <v>21</v>
      </c>
      <c r="G5953" t="s">
        <v>26</v>
      </c>
      <c r="H5953" t="s">
        <v>21</v>
      </c>
      <c r="I5953" t="s">
        <v>20</v>
      </c>
      <c r="J5953" t="s">
        <v>20</v>
      </c>
      <c r="K5953" t="s">
        <v>22</v>
      </c>
      <c r="L5953" t="s">
        <v>60</v>
      </c>
      <c r="M5953" t="s">
        <v>24</v>
      </c>
      <c r="N5953">
        <v>40.313046999999997</v>
      </c>
      <c r="O5953">
        <v>-111.658922</v>
      </c>
      <c r="P5953">
        <v>4789.016654</v>
      </c>
      <c r="Q5953">
        <v>313</v>
      </c>
      <c r="R5953">
        <v>0</v>
      </c>
    </row>
    <row r="5954" spans="1:18" x14ac:dyDescent="0.25">
      <c r="A5954">
        <v>5953</v>
      </c>
      <c r="B5954">
        <v>94</v>
      </c>
      <c r="C5954">
        <v>531598</v>
      </c>
      <c r="D5954" t="s">
        <v>44</v>
      </c>
      <c r="E5954">
        <v>4.03</v>
      </c>
      <c r="F5954" t="s">
        <v>21</v>
      </c>
      <c r="G5954" t="s">
        <v>26</v>
      </c>
      <c r="H5954" t="s">
        <v>21</v>
      </c>
      <c r="I5954" t="s">
        <v>20</v>
      </c>
      <c r="J5954" t="s">
        <v>20</v>
      </c>
      <c r="K5954" t="s">
        <v>41</v>
      </c>
      <c r="L5954" t="s">
        <v>45</v>
      </c>
      <c r="M5954" t="s">
        <v>46</v>
      </c>
      <c r="N5954">
        <v>40.935760999999999</v>
      </c>
      <c r="O5954">
        <v>-111.87897</v>
      </c>
      <c r="P5954">
        <v>4257.8694050000004</v>
      </c>
      <c r="Q5954">
        <v>1395</v>
      </c>
      <c r="R5954">
        <v>0</v>
      </c>
    </row>
    <row r="5955" spans="1:18" x14ac:dyDescent="0.25">
      <c r="A5955">
        <v>5954</v>
      </c>
      <c r="B5955">
        <v>94</v>
      </c>
      <c r="C5955">
        <v>31441737</v>
      </c>
      <c r="D5955" t="s">
        <v>254</v>
      </c>
      <c r="E5955">
        <v>4.0449999999999999</v>
      </c>
      <c r="F5955" t="s">
        <v>21</v>
      </c>
      <c r="G5955" t="s">
        <v>26</v>
      </c>
      <c r="H5955" t="s">
        <v>21</v>
      </c>
      <c r="I5955" t="s">
        <v>20</v>
      </c>
      <c r="J5955" t="s">
        <v>20</v>
      </c>
      <c r="K5955" t="s">
        <v>41</v>
      </c>
      <c r="L5955" t="s">
        <v>255</v>
      </c>
      <c r="M5955" t="s">
        <v>204</v>
      </c>
      <c r="N5955">
        <v>41.300426999999999</v>
      </c>
      <c r="O5955">
        <v>-111.825999</v>
      </c>
      <c r="P5955">
        <v>4887.9757849999996</v>
      </c>
      <c r="Q5955">
        <v>1429</v>
      </c>
      <c r="R5955">
        <v>0</v>
      </c>
    </row>
    <row r="5956" spans="1:18" x14ac:dyDescent="0.25">
      <c r="A5956">
        <v>5955</v>
      </c>
      <c r="B5956">
        <v>94</v>
      </c>
      <c r="C5956">
        <v>31633251</v>
      </c>
      <c r="D5956" t="s">
        <v>113</v>
      </c>
      <c r="E5956">
        <v>4.048</v>
      </c>
      <c r="F5956" t="s">
        <v>21</v>
      </c>
      <c r="G5956" t="s">
        <v>26</v>
      </c>
      <c r="H5956" t="s">
        <v>21</v>
      </c>
      <c r="I5956" t="s">
        <v>20</v>
      </c>
      <c r="J5956" t="s">
        <v>20</v>
      </c>
      <c r="K5956" t="s">
        <v>41</v>
      </c>
      <c r="L5956" t="s">
        <v>87</v>
      </c>
      <c r="M5956" t="s">
        <v>58</v>
      </c>
      <c r="N5956">
        <v>41.138897999999998</v>
      </c>
      <c r="O5956">
        <v>-111.963741</v>
      </c>
      <c r="P5956">
        <v>4390.8767829999997</v>
      </c>
      <c r="Q5956">
        <v>1363</v>
      </c>
      <c r="R5956">
        <v>0</v>
      </c>
    </row>
    <row r="5957" spans="1:18" x14ac:dyDescent="0.25">
      <c r="A5957">
        <v>5956</v>
      </c>
      <c r="B5957">
        <v>94</v>
      </c>
      <c r="C5957" t="e">
        <f>-IoRNBUvHM9Ackp9VL1x0V</f>
        <v>#NAME?</v>
      </c>
      <c r="D5957" t="s">
        <v>272</v>
      </c>
      <c r="E5957">
        <v>328.952</v>
      </c>
      <c r="F5957" t="s">
        <v>21</v>
      </c>
      <c r="G5957" t="s">
        <v>26</v>
      </c>
      <c r="H5957" t="s">
        <v>21</v>
      </c>
      <c r="I5957" t="s">
        <v>20</v>
      </c>
      <c r="J5957" t="s">
        <v>20</v>
      </c>
      <c r="K5957" t="s">
        <v>22</v>
      </c>
      <c r="L5957" t="s">
        <v>23</v>
      </c>
      <c r="M5957" t="s">
        <v>125</v>
      </c>
      <c r="N5957">
        <v>40.173800999999997</v>
      </c>
      <c r="O5957">
        <v>-111.610598</v>
      </c>
      <c r="P5957">
        <v>4495.2491499999996</v>
      </c>
      <c r="Q5957">
        <v>1384</v>
      </c>
      <c r="R5957">
        <v>0</v>
      </c>
    </row>
    <row r="5958" spans="1:18" x14ac:dyDescent="0.25">
      <c r="A5958">
        <v>5957</v>
      </c>
      <c r="B5958">
        <v>94</v>
      </c>
      <c r="C5958" t="e">
        <f>-JLjYCi_HDeYCtp4BpXetk</f>
        <v>#NAME?</v>
      </c>
      <c r="D5958" t="s">
        <v>236</v>
      </c>
      <c r="E5958">
        <v>3.8220000000000001</v>
      </c>
      <c r="F5958" t="s">
        <v>21</v>
      </c>
      <c r="G5958" t="s">
        <v>20</v>
      </c>
      <c r="H5958" t="s">
        <v>21</v>
      </c>
      <c r="I5958" t="s">
        <v>20</v>
      </c>
      <c r="J5958" t="s">
        <v>20</v>
      </c>
      <c r="K5958" t="s">
        <v>31</v>
      </c>
      <c r="L5958" t="s">
        <v>48</v>
      </c>
      <c r="M5958" t="s">
        <v>79</v>
      </c>
      <c r="N5958">
        <v>40.630923000000003</v>
      </c>
      <c r="O5958">
        <v>-112.05326100000001</v>
      </c>
      <c r="P5958">
        <v>5074.0419339999999</v>
      </c>
      <c r="Q5958">
        <v>1398</v>
      </c>
      <c r="R5958">
        <v>0</v>
      </c>
    </row>
    <row r="5959" spans="1:18" x14ac:dyDescent="0.25">
      <c r="A5959">
        <v>5958</v>
      </c>
      <c r="B5959">
        <v>94</v>
      </c>
      <c r="C5959">
        <v>31752618</v>
      </c>
      <c r="D5959" t="s">
        <v>59</v>
      </c>
      <c r="E5959">
        <v>3.823</v>
      </c>
      <c r="F5959" t="s">
        <v>21</v>
      </c>
      <c r="G5959" t="s">
        <v>26</v>
      </c>
      <c r="H5959" t="s">
        <v>21</v>
      </c>
      <c r="I5959" t="s">
        <v>20</v>
      </c>
      <c r="J5959" t="s">
        <v>20</v>
      </c>
      <c r="K5959" t="s">
        <v>22</v>
      </c>
      <c r="L5959" t="s">
        <v>60</v>
      </c>
      <c r="M5959" t="s">
        <v>24</v>
      </c>
      <c r="N5959">
        <v>40.311990999999999</v>
      </c>
      <c r="O5959">
        <v>-111.662451</v>
      </c>
      <c r="P5959">
        <v>4811.6252590000004</v>
      </c>
      <c r="Q5959">
        <v>313</v>
      </c>
      <c r="R5959">
        <v>0</v>
      </c>
    </row>
    <row r="5960" spans="1:18" x14ac:dyDescent="0.25">
      <c r="A5960">
        <v>5959</v>
      </c>
      <c r="B5960">
        <v>94</v>
      </c>
      <c r="C5960">
        <v>31400136</v>
      </c>
      <c r="D5960" t="s">
        <v>224</v>
      </c>
      <c r="E5960">
        <v>3.8290000000000002</v>
      </c>
      <c r="F5960" t="s">
        <v>21</v>
      </c>
      <c r="G5960" t="s">
        <v>26</v>
      </c>
      <c r="H5960" t="s">
        <v>21</v>
      </c>
      <c r="I5960" t="s">
        <v>20</v>
      </c>
      <c r="J5960" t="s">
        <v>20</v>
      </c>
      <c r="K5960" t="s">
        <v>22</v>
      </c>
      <c r="L5960" t="s">
        <v>198</v>
      </c>
      <c r="M5960" t="s">
        <v>194</v>
      </c>
      <c r="N5960">
        <v>40.024630000000002</v>
      </c>
      <c r="O5960">
        <v>-111.74156499999999</v>
      </c>
      <c r="P5960">
        <v>4688.6779130000004</v>
      </c>
      <c r="Q5960">
        <v>408</v>
      </c>
      <c r="R5960">
        <v>0</v>
      </c>
    </row>
    <row r="5961" spans="1:18" x14ac:dyDescent="0.25">
      <c r="A5961">
        <v>5960</v>
      </c>
      <c r="B5961">
        <v>94</v>
      </c>
      <c r="C5961">
        <v>31519956</v>
      </c>
      <c r="D5961" t="s">
        <v>231</v>
      </c>
      <c r="E5961">
        <v>3.83</v>
      </c>
      <c r="F5961" t="s">
        <v>19</v>
      </c>
      <c r="G5961" t="s">
        <v>20</v>
      </c>
      <c r="H5961" t="s">
        <v>21</v>
      </c>
      <c r="I5961" t="s">
        <v>20</v>
      </c>
      <c r="J5961" t="s">
        <v>20</v>
      </c>
      <c r="K5961" t="s">
        <v>41</v>
      </c>
      <c r="L5961" t="s">
        <v>57</v>
      </c>
      <c r="M5961" t="s">
        <v>93</v>
      </c>
      <c r="N5961">
        <v>41.095016999999999</v>
      </c>
      <c r="O5961">
        <v>-112.006911</v>
      </c>
      <c r="P5961">
        <v>4421.8837510000003</v>
      </c>
      <c r="Q5961">
        <v>1409</v>
      </c>
      <c r="R5961">
        <v>0</v>
      </c>
    </row>
    <row r="5962" spans="1:18" x14ac:dyDescent="0.25">
      <c r="A5962">
        <v>5961</v>
      </c>
      <c r="B5962">
        <v>94</v>
      </c>
      <c r="C5962">
        <v>31799003</v>
      </c>
      <c r="D5962" t="s">
        <v>61</v>
      </c>
      <c r="E5962">
        <v>3.8340000000000001</v>
      </c>
      <c r="F5962" t="s">
        <v>21</v>
      </c>
      <c r="G5962" t="s">
        <v>26</v>
      </c>
      <c r="H5962" t="s">
        <v>21</v>
      </c>
      <c r="I5962" t="s">
        <v>20</v>
      </c>
      <c r="J5962" t="s">
        <v>20</v>
      </c>
      <c r="K5962" t="s">
        <v>22</v>
      </c>
      <c r="L5962" t="s">
        <v>60</v>
      </c>
      <c r="M5962" t="s">
        <v>62</v>
      </c>
      <c r="N5962">
        <v>40.261563000000002</v>
      </c>
      <c r="O5962">
        <v>-111.658597</v>
      </c>
      <c r="P5962">
        <v>4599.1201979999996</v>
      </c>
      <c r="Q5962">
        <v>403</v>
      </c>
      <c r="R5962">
        <v>0</v>
      </c>
    </row>
    <row r="5963" spans="1:18" x14ac:dyDescent="0.25">
      <c r="A5963">
        <v>5962</v>
      </c>
      <c r="B5963">
        <v>94</v>
      </c>
      <c r="C5963">
        <v>1122328</v>
      </c>
      <c r="D5963" t="s">
        <v>101</v>
      </c>
      <c r="E5963">
        <v>3.8359999999999999</v>
      </c>
      <c r="F5963" t="s">
        <v>21</v>
      </c>
      <c r="G5963" t="s">
        <v>26</v>
      </c>
      <c r="H5963" t="s">
        <v>21</v>
      </c>
      <c r="I5963" t="s">
        <v>20</v>
      </c>
      <c r="J5963" t="s">
        <v>20</v>
      </c>
      <c r="K5963" t="s">
        <v>41</v>
      </c>
      <c r="L5963" t="s">
        <v>57</v>
      </c>
      <c r="M5963" t="s">
        <v>58</v>
      </c>
      <c r="N5963">
        <v>41.118079999999999</v>
      </c>
      <c r="O5963">
        <v>-112.03908300000001</v>
      </c>
      <c r="P5963">
        <v>4398.6846079999996</v>
      </c>
      <c r="Q5963">
        <v>328</v>
      </c>
      <c r="R5963">
        <v>0</v>
      </c>
    </row>
    <row r="5964" spans="1:18" x14ac:dyDescent="0.25">
      <c r="A5964">
        <v>5963</v>
      </c>
      <c r="B5964">
        <v>94</v>
      </c>
      <c r="C5964">
        <v>1370450</v>
      </c>
      <c r="D5964" t="s">
        <v>100</v>
      </c>
      <c r="E5964">
        <v>3.843</v>
      </c>
      <c r="F5964" t="s">
        <v>21</v>
      </c>
      <c r="G5964" t="s">
        <v>26</v>
      </c>
      <c r="H5964" t="s">
        <v>21</v>
      </c>
      <c r="I5964" t="s">
        <v>20</v>
      </c>
      <c r="J5964" t="s">
        <v>20</v>
      </c>
      <c r="K5964" t="s">
        <v>41</v>
      </c>
      <c r="L5964" t="s">
        <v>57</v>
      </c>
      <c r="M5964" t="s">
        <v>46</v>
      </c>
      <c r="N5964">
        <v>41.089222999999997</v>
      </c>
      <c r="O5964">
        <v>-112.06147199999999</v>
      </c>
      <c r="P5964">
        <v>4232.42184</v>
      </c>
      <c r="Q5964">
        <v>1396</v>
      </c>
      <c r="R5964">
        <v>0</v>
      </c>
    </row>
    <row r="5965" spans="1:18" x14ac:dyDescent="0.25">
      <c r="A5965">
        <v>5964</v>
      </c>
      <c r="B5965">
        <v>94</v>
      </c>
      <c r="C5965">
        <v>31421562</v>
      </c>
      <c r="D5965" t="s">
        <v>220</v>
      </c>
      <c r="E5965">
        <v>3.843</v>
      </c>
      <c r="F5965" t="s">
        <v>21</v>
      </c>
      <c r="G5965" t="s">
        <v>26</v>
      </c>
      <c r="H5965" t="s">
        <v>21</v>
      </c>
      <c r="I5965" t="s">
        <v>20</v>
      </c>
      <c r="J5965" t="s">
        <v>20</v>
      </c>
      <c r="K5965" t="s">
        <v>27</v>
      </c>
      <c r="L5965" t="s">
        <v>247</v>
      </c>
      <c r="M5965" t="s">
        <v>29</v>
      </c>
      <c r="N5965">
        <v>37.744124999999997</v>
      </c>
      <c r="O5965">
        <v>-112.310526</v>
      </c>
      <c r="P5965">
        <v>7194.4386549999999</v>
      </c>
      <c r="Q5965">
        <v>1328</v>
      </c>
      <c r="R5965">
        <v>0</v>
      </c>
    </row>
    <row r="5966" spans="1:18" x14ac:dyDescent="0.25">
      <c r="A5966">
        <v>5965</v>
      </c>
      <c r="B5966">
        <v>94</v>
      </c>
      <c r="C5966">
        <v>27690942</v>
      </c>
      <c r="D5966" t="s">
        <v>217</v>
      </c>
      <c r="E5966">
        <v>3.8450000000000002</v>
      </c>
      <c r="F5966" t="s">
        <v>19</v>
      </c>
      <c r="G5966" t="s">
        <v>20</v>
      </c>
      <c r="H5966" t="s">
        <v>21</v>
      </c>
      <c r="I5966" t="s">
        <v>20</v>
      </c>
      <c r="J5966" t="s">
        <v>20</v>
      </c>
      <c r="K5966" t="s">
        <v>27</v>
      </c>
      <c r="L5966" t="s">
        <v>72</v>
      </c>
      <c r="M5966" t="s">
        <v>163</v>
      </c>
      <c r="N5966">
        <v>37.133892000000003</v>
      </c>
      <c r="O5966">
        <v>-113.60293799999999</v>
      </c>
      <c r="P5966">
        <v>2940.4015199999999</v>
      </c>
      <c r="Q5966">
        <v>304</v>
      </c>
      <c r="R5966">
        <v>0</v>
      </c>
    </row>
    <row r="5967" spans="1:18" x14ac:dyDescent="0.25">
      <c r="A5967">
        <v>5966</v>
      </c>
      <c r="B5967">
        <v>94</v>
      </c>
      <c r="C5967">
        <v>559644</v>
      </c>
      <c r="D5967" t="s">
        <v>115</v>
      </c>
      <c r="E5967">
        <v>3.8460000000000001</v>
      </c>
      <c r="F5967" t="s">
        <v>19</v>
      </c>
      <c r="G5967" t="s">
        <v>20</v>
      </c>
      <c r="H5967" t="s">
        <v>21</v>
      </c>
      <c r="I5967" t="s">
        <v>20</v>
      </c>
      <c r="J5967" t="s">
        <v>20</v>
      </c>
      <c r="K5967" t="s">
        <v>31</v>
      </c>
      <c r="L5967" t="s">
        <v>48</v>
      </c>
      <c r="M5967" t="s">
        <v>70</v>
      </c>
      <c r="N5967">
        <v>40.652804000000003</v>
      </c>
      <c r="O5967">
        <v>-112.00387499999999</v>
      </c>
      <c r="P5967">
        <v>4562.1432789999999</v>
      </c>
      <c r="Q5967">
        <v>1437</v>
      </c>
      <c r="R5967">
        <v>0</v>
      </c>
    </row>
    <row r="5968" spans="1:18" x14ac:dyDescent="0.25">
      <c r="A5968">
        <v>5967</v>
      </c>
      <c r="B5968">
        <v>94</v>
      </c>
      <c r="C5968">
        <v>1259002</v>
      </c>
      <c r="D5968" t="s">
        <v>189</v>
      </c>
      <c r="E5968">
        <v>3.847</v>
      </c>
      <c r="F5968" t="s">
        <v>21</v>
      </c>
      <c r="G5968" t="s">
        <v>26</v>
      </c>
      <c r="H5968" t="s">
        <v>21</v>
      </c>
      <c r="I5968" t="s">
        <v>20</v>
      </c>
      <c r="J5968" t="s">
        <v>20</v>
      </c>
      <c r="K5968" t="s">
        <v>41</v>
      </c>
      <c r="L5968" t="s">
        <v>81</v>
      </c>
      <c r="M5968" t="s">
        <v>190</v>
      </c>
      <c r="N5968">
        <v>41.208851000000003</v>
      </c>
      <c r="O5968">
        <v>-111.948515</v>
      </c>
      <c r="P5968">
        <v>4488.2497949999997</v>
      </c>
      <c r="Q5968">
        <v>412</v>
      </c>
      <c r="R5968">
        <v>0</v>
      </c>
    </row>
    <row r="5969" spans="1:18" x14ac:dyDescent="0.25">
      <c r="A5969">
        <v>5968</v>
      </c>
      <c r="B5969">
        <v>94</v>
      </c>
      <c r="C5969">
        <v>31406473</v>
      </c>
      <c r="D5969" t="s">
        <v>30</v>
      </c>
      <c r="E5969">
        <v>3.8530000000000002</v>
      </c>
      <c r="F5969" t="s">
        <v>21</v>
      </c>
      <c r="G5969" t="s">
        <v>26</v>
      </c>
      <c r="H5969" t="s">
        <v>21</v>
      </c>
      <c r="I5969" t="s">
        <v>20</v>
      </c>
      <c r="J5969" t="s">
        <v>20</v>
      </c>
      <c r="K5969" t="s">
        <v>31</v>
      </c>
      <c r="L5969" t="s">
        <v>32</v>
      </c>
      <c r="M5969" t="s">
        <v>33</v>
      </c>
      <c r="N5969">
        <v>40.572665999999998</v>
      </c>
      <c r="O5969">
        <v>-111.776475</v>
      </c>
      <c r="P5969">
        <v>5338.4277380000003</v>
      </c>
      <c r="Q5969">
        <v>415</v>
      </c>
      <c r="R5969">
        <v>0</v>
      </c>
    </row>
    <row r="5970" spans="1:18" x14ac:dyDescent="0.25">
      <c r="A5970">
        <v>5969</v>
      </c>
      <c r="B5970">
        <v>94</v>
      </c>
      <c r="C5970">
        <v>31194348</v>
      </c>
      <c r="D5970" t="s">
        <v>305</v>
      </c>
      <c r="E5970">
        <v>3.855</v>
      </c>
      <c r="F5970" t="s">
        <v>21</v>
      </c>
      <c r="G5970" t="s">
        <v>26</v>
      </c>
      <c r="H5970" t="s">
        <v>21</v>
      </c>
      <c r="I5970" t="s">
        <v>20</v>
      </c>
      <c r="J5970" t="s">
        <v>20</v>
      </c>
      <c r="K5970" t="s">
        <v>22</v>
      </c>
      <c r="L5970" t="s">
        <v>133</v>
      </c>
      <c r="M5970" t="s">
        <v>235</v>
      </c>
      <c r="N5970">
        <v>40.137090999999998</v>
      </c>
      <c r="O5970">
        <v>-109.663926</v>
      </c>
      <c r="P5970">
        <v>4649.2886259999996</v>
      </c>
      <c r="Q5970">
        <v>1383</v>
      </c>
      <c r="R5970">
        <v>0</v>
      </c>
    </row>
    <row r="5971" spans="1:18" x14ac:dyDescent="0.25">
      <c r="A5971">
        <v>5970</v>
      </c>
      <c r="B5971">
        <v>94</v>
      </c>
      <c r="C5971">
        <v>31458693</v>
      </c>
      <c r="D5971" t="s">
        <v>331</v>
      </c>
      <c r="E5971">
        <v>4.3330000000000002</v>
      </c>
      <c r="F5971" t="s">
        <v>21</v>
      </c>
      <c r="G5971" t="s">
        <v>26</v>
      </c>
      <c r="H5971" t="s">
        <v>21</v>
      </c>
      <c r="I5971" t="s">
        <v>20</v>
      </c>
      <c r="J5971" t="s">
        <v>20</v>
      </c>
      <c r="K5971" t="s">
        <v>27</v>
      </c>
      <c r="L5971" t="s">
        <v>111</v>
      </c>
      <c r="M5971" t="s">
        <v>112</v>
      </c>
      <c r="N5971">
        <v>39.348636999999997</v>
      </c>
      <c r="O5971">
        <v>-110.85796999999999</v>
      </c>
      <c r="P5971">
        <v>5684.6469239999997</v>
      </c>
      <c r="Q5971">
        <v>1427</v>
      </c>
      <c r="R5971">
        <v>0</v>
      </c>
    </row>
    <row r="5972" spans="1:18" x14ac:dyDescent="0.25">
      <c r="A5972">
        <v>5971</v>
      </c>
      <c r="B5972">
        <v>94</v>
      </c>
      <c r="C5972">
        <v>1454560</v>
      </c>
      <c r="D5972" t="s">
        <v>88</v>
      </c>
      <c r="E5972">
        <v>4.3339999999999996</v>
      </c>
      <c r="F5972" t="s">
        <v>21</v>
      </c>
      <c r="G5972" t="s">
        <v>26</v>
      </c>
      <c r="H5972" t="s">
        <v>21</v>
      </c>
      <c r="I5972" t="s">
        <v>20</v>
      </c>
      <c r="J5972" t="s">
        <v>20</v>
      </c>
      <c r="K5972" t="s">
        <v>31</v>
      </c>
      <c r="L5972" t="s">
        <v>89</v>
      </c>
      <c r="M5972" t="s">
        <v>90</v>
      </c>
      <c r="N5972">
        <v>40.526780000000002</v>
      </c>
      <c r="O5972">
        <v>-111.90306699999999</v>
      </c>
      <c r="P5972">
        <v>4352.8083530000004</v>
      </c>
      <c r="Q5972">
        <v>318</v>
      </c>
      <c r="R5972">
        <v>0</v>
      </c>
    </row>
    <row r="5973" spans="1:18" x14ac:dyDescent="0.25">
      <c r="A5973">
        <v>5972</v>
      </c>
      <c r="B5973">
        <v>94</v>
      </c>
      <c r="C5973">
        <v>560272</v>
      </c>
      <c r="D5973" t="s">
        <v>115</v>
      </c>
      <c r="E5973">
        <v>4.6109999999999998</v>
      </c>
      <c r="F5973" t="s">
        <v>19</v>
      </c>
      <c r="G5973" t="s">
        <v>20</v>
      </c>
      <c r="H5973" t="s">
        <v>21</v>
      </c>
      <c r="I5973" t="s">
        <v>20</v>
      </c>
      <c r="J5973" t="s">
        <v>20</v>
      </c>
      <c r="K5973" t="s">
        <v>31</v>
      </c>
      <c r="L5973" t="s">
        <v>48</v>
      </c>
      <c r="M5973" t="s">
        <v>70</v>
      </c>
      <c r="N5973">
        <v>40.652751000000002</v>
      </c>
      <c r="O5973">
        <v>-111.98934800000001</v>
      </c>
      <c r="P5973">
        <v>4509.1228879999999</v>
      </c>
      <c r="Q5973">
        <v>1437</v>
      </c>
      <c r="R5973">
        <v>0</v>
      </c>
    </row>
    <row r="5974" spans="1:18" x14ac:dyDescent="0.25">
      <c r="A5974">
        <v>5973</v>
      </c>
      <c r="B5974">
        <v>94</v>
      </c>
      <c r="C5974">
        <v>31520594</v>
      </c>
      <c r="D5974" t="s">
        <v>231</v>
      </c>
      <c r="E5974">
        <v>4.6150000000000002</v>
      </c>
      <c r="F5974" t="s">
        <v>21</v>
      </c>
      <c r="G5974" t="s">
        <v>26</v>
      </c>
      <c r="H5974" t="s">
        <v>21</v>
      </c>
      <c r="I5974" t="s">
        <v>20</v>
      </c>
      <c r="J5974" t="s">
        <v>20</v>
      </c>
      <c r="K5974" t="s">
        <v>41</v>
      </c>
      <c r="L5974" t="s">
        <v>57</v>
      </c>
      <c r="M5974" t="s">
        <v>93</v>
      </c>
      <c r="N5974">
        <v>41.104188000000001</v>
      </c>
      <c r="O5974">
        <v>-112.016013</v>
      </c>
      <c r="P5974">
        <v>4430.1455589999996</v>
      </c>
      <c r="Q5974">
        <v>1409</v>
      </c>
      <c r="R5974">
        <v>0</v>
      </c>
    </row>
    <row r="5975" spans="1:18" x14ac:dyDescent="0.25">
      <c r="A5975">
        <v>5974</v>
      </c>
      <c r="B5975">
        <v>94</v>
      </c>
      <c r="C5975" t="e">
        <f>-IpAyxaqFYaEJ7QW8dnhdk</f>
        <v>#NAME?</v>
      </c>
      <c r="D5975" t="s">
        <v>184</v>
      </c>
      <c r="E5975">
        <v>4.6159999999999997</v>
      </c>
      <c r="F5975" t="s">
        <v>21</v>
      </c>
      <c r="G5975" t="s">
        <v>26</v>
      </c>
      <c r="H5975" t="s">
        <v>21</v>
      </c>
      <c r="I5975" t="s">
        <v>20</v>
      </c>
      <c r="J5975" t="s">
        <v>20</v>
      </c>
      <c r="K5975" t="s">
        <v>27</v>
      </c>
      <c r="L5975" t="s">
        <v>54</v>
      </c>
      <c r="M5975" t="s">
        <v>55</v>
      </c>
      <c r="N5975">
        <v>37.710909000000001</v>
      </c>
      <c r="O5975">
        <v>-113.061408</v>
      </c>
      <c r="P5975">
        <v>5617.9454669999996</v>
      </c>
      <c r="Q5975">
        <v>1410</v>
      </c>
      <c r="R5975">
        <v>0</v>
      </c>
    </row>
    <row r="5976" spans="1:18" x14ac:dyDescent="0.25">
      <c r="A5976">
        <v>5975</v>
      </c>
      <c r="B5976">
        <v>94</v>
      </c>
      <c r="C5976">
        <v>632272</v>
      </c>
      <c r="D5976" t="s">
        <v>262</v>
      </c>
      <c r="E5976">
        <v>4.6219999999999999</v>
      </c>
      <c r="F5976" t="s">
        <v>19</v>
      </c>
      <c r="G5976" t="s">
        <v>20</v>
      </c>
      <c r="H5976" t="s">
        <v>21</v>
      </c>
      <c r="I5976" t="s">
        <v>20</v>
      </c>
      <c r="J5976" t="s">
        <v>20</v>
      </c>
      <c r="K5976" t="s">
        <v>22</v>
      </c>
      <c r="L5976" t="s">
        <v>263</v>
      </c>
      <c r="M5976" t="s">
        <v>24</v>
      </c>
      <c r="N5976">
        <v>40.377414000000002</v>
      </c>
      <c r="O5976">
        <v>-111.83235000000001</v>
      </c>
      <c r="P5976">
        <v>4505.1247919999996</v>
      </c>
      <c r="Q5976">
        <v>1419</v>
      </c>
      <c r="R5976">
        <v>0</v>
      </c>
    </row>
    <row r="5977" spans="1:18" x14ac:dyDescent="0.25">
      <c r="A5977">
        <v>5976</v>
      </c>
      <c r="B5977">
        <v>94</v>
      </c>
      <c r="C5977">
        <v>31388536</v>
      </c>
      <c r="D5977" t="s">
        <v>364</v>
      </c>
      <c r="E5977">
        <v>4.625</v>
      </c>
      <c r="F5977" t="s">
        <v>21</v>
      </c>
      <c r="G5977" t="s">
        <v>26</v>
      </c>
      <c r="H5977" t="s">
        <v>21</v>
      </c>
      <c r="I5977" t="s">
        <v>20</v>
      </c>
      <c r="J5977" t="s">
        <v>20</v>
      </c>
      <c r="K5977" t="s">
        <v>22</v>
      </c>
      <c r="L5977" t="s">
        <v>140</v>
      </c>
      <c r="M5977" t="s">
        <v>85</v>
      </c>
      <c r="N5977">
        <v>40.098264</v>
      </c>
      <c r="O5977">
        <v>-111.71331600000001</v>
      </c>
      <c r="P5977">
        <v>4483.0230060000004</v>
      </c>
      <c r="Q5977">
        <v>1401</v>
      </c>
      <c r="R5977">
        <v>0</v>
      </c>
    </row>
    <row r="5978" spans="1:18" x14ac:dyDescent="0.25">
      <c r="A5978">
        <v>5977</v>
      </c>
      <c r="B5978">
        <v>94</v>
      </c>
      <c r="C5978" t="s">
        <v>771</v>
      </c>
      <c r="D5978" t="s">
        <v>208</v>
      </c>
      <c r="E5978">
        <v>4.63</v>
      </c>
      <c r="F5978" t="s">
        <v>21</v>
      </c>
      <c r="G5978" t="s">
        <v>26</v>
      </c>
      <c r="H5978" t="s">
        <v>21</v>
      </c>
      <c r="I5978" t="s">
        <v>20</v>
      </c>
      <c r="J5978" t="s">
        <v>20</v>
      </c>
      <c r="K5978" t="s">
        <v>31</v>
      </c>
      <c r="L5978" t="s">
        <v>209</v>
      </c>
      <c r="M5978" t="s">
        <v>131</v>
      </c>
      <c r="N5978">
        <v>40.645296999999999</v>
      </c>
      <c r="O5978">
        <v>-111.494772</v>
      </c>
      <c r="P5978">
        <v>6999.1287039999997</v>
      </c>
      <c r="Q5978">
        <v>357</v>
      </c>
      <c r="R5978">
        <v>0</v>
      </c>
    </row>
    <row r="5979" spans="1:18" x14ac:dyDescent="0.25">
      <c r="A5979">
        <v>5978</v>
      </c>
      <c r="B5979">
        <v>94</v>
      </c>
      <c r="C5979">
        <v>1448725</v>
      </c>
      <c r="D5979" t="s">
        <v>109</v>
      </c>
      <c r="E5979">
        <v>4.6340000000000003</v>
      </c>
      <c r="F5979" t="s">
        <v>21</v>
      </c>
      <c r="G5979" t="s">
        <v>26</v>
      </c>
      <c r="H5979" t="s">
        <v>21</v>
      </c>
      <c r="I5979" t="s">
        <v>20</v>
      </c>
      <c r="J5979" t="s">
        <v>20</v>
      </c>
      <c r="K5979" t="s">
        <v>41</v>
      </c>
      <c r="L5979" t="s">
        <v>42</v>
      </c>
      <c r="M5979" t="s">
        <v>73</v>
      </c>
      <c r="N5979">
        <v>41.629393999999998</v>
      </c>
      <c r="O5979">
        <v>-111.832626</v>
      </c>
      <c r="P5979">
        <v>4748.3564500000002</v>
      </c>
      <c r="Q5979">
        <v>345</v>
      </c>
      <c r="R5979">
        <v>0</v>
      </c>
    </row>
    <row r="5980" spans="1:18" x14ac:dyDescent="0.25">
      <c r="A5980">
        <v>5979</v>
      </c>
      <c r="B5980">
        <v>94</v>
      </c>
      <c r="C5980">
        <v>1265970</v>
      </c>
      <c r="D5980" t="s">
        <v>189</v>
      </c>
      <c r="E5980">
        <v>4.6390000000000002</v>
      </c>
      <c r="F5980" t="s">
        <v>21</v>
      </c>
      <c r="G5980" t="s">
        <v>26</v>
      </c>
      <c r="H5980" t="s">
        <v>21</v>
      </c>
      <c r="I5980" t="s">
        <v>20</v>
      </c>
      <c r="J5980" t="s">
        <v>20</v>
      </c>
      <c r="K5980" t="s">
        <v>41</v>
      </c>
      <c r="L5980" t="s">
        <v>81</v>
      </c>
      <c r="M5980" t="s">
        <v>190</v>
      </c>
      <c r="N5980">
        <v>41.220359999999999</v>
      </c>
      <c r="O5980">
        <v>-111.948244</v>
      </c>
      <c r="P5980">
        <v>4410.9632490000004</v>
      </c>
      <c r="Q5980">
        <v>412</v>
      </c>
      <c r="R5980">
        <v>0</v>
      </c>
    </row>
    <row r="5981" spans="1:18" x14ac:dyDescent="0.25">
      <c r="A5981">
        <v>5980</v>
      </c>
      <c r="B5981">
        <v>94</v>
      </c>
      <c r="C5981">
        <v>31754379</v>
      </c>
      <c r="D5981" t="s">
        <v>65</v>
      </c>
      <c r="E5981">
        <v>4.6470000000000002</v>
      </c>
      <c r="F5981" t="s">
        <v>21</v>
      </c>
      <c r="G5981" t="s">
        <v>20</v>
      </c>
      <c r="H5981" t="s">
        <v>21</v>
      </c>
      <c r="I5981" t="s">
        <v>20</v>
      </c>
      <c r="J5981" t="s">
        <v>20</v>
      </c>
      <c r="K5981" t="s">
        <v>31</v>
      </c>
      <c r="L5981" t="s">
        <v>188</v>
      </c>
      <c r="M5981" t="s">
        <v>67</v>
      </c>
      <c r="N5981">
        <v>40.758459000000002</v>
      </c>
      <c r="O5981">
        <v>-111.852215</v>
      </c>
      <c r="P5981">
        <v>4537.4087470000004</v>
      </c>
      <c r="Q5981">
        <v>402</v>
      </c>
      <c r="R5981">
        <v>0</v>
      </c>
    </row>
    <row r="5982" spans="1:18" x14ac:dyDescent="0.25">
      <c r="A5982">
        <v>5981</v>
      </c>
      <c r="B5982">
        <v>94</v>
      </c>
      <c r="C5982">
        <v>31760278</v>
      </c>
      <c r="D5982" t="s">
        <v>77</v>
      </c>
      <c r="E5982">
        <v>4.6479999999999997</v>
      </c>
      <c r="F5982" t="s">
        <v>21</v>
      </c>
      <c r="G5982" t="s">
        <v>26</v>
      </c>
      <c r="H5982" t="s">
        <v>21</v>
      </c>
      <c r="I5982" t="s">
        <v>20</v>
      </c>
      <c r="J5982" t="s">
        <v>20</v>
      </c>
      <c r="K5982" t="s">
        <v>31</v>
      </c>
      <c r="L5982" t="s">
        <v>78</v>
      </c>
      <c r="M5982" t="s">
        <v>79</v>
      </c>
      <c r="N5982">
        <v>40.706018</v>
      </c>
      <c r="O5982">
        <v>-112.02489</v>
      </c>
      <c r="P5982">
        <v>4198.3780470000002</v>
      </c>
      <c r="Q5982">
        <v>1436</v>
      </c>
      <c r="R5982">
        <v>0</v>
      </c>
    </row>
    <row r="5983" spans="1:18" x14ac:dyDescent="0.25">
      <c r="A5983">
        <v>5982</v>
      </c>
      <c r="B5983">
        <v>94</v>
      </c>
      <c r="C5983" t="e">
        <f>-IpZVrFnISPTGu4alPloek</f>
        <v>#NAME?</v>
      </c>
      <c r="D5983" t="s">
        <v>208</v>
      </c>
      <c r="E5983">
        <v>4.649</v>
      </c>
      <c r="F5983" t="s">
        <v>21</v>
      </c>
      <c r="G5983" t="s">
        <v>361</v>
      </c>
      <c r="H5983" t="s">
        <v>21</v>
      </c>
      <c r="I5983" t="s">
        <v>20</v>
      </c>
      <c r="J5983" t="s">
        <v>20</v>
      </c>
      <c r="K5983" t="s">
        <v>31</v>
      </c>
      <c r="L5983" t="s">
        <v>209</v>
      </c>
      <c r="M5983" t="s">
        <v>131</v>
      </c>
      <c r="N5983">
        <v>40.645564</v>
      </c>
      <c r="O5983">
        <v>-111.49487000000001</v>
      </c>
      <c r="P5983">
        <v>6995.4183499999999</v>
      </c>
      <c r="Q5983">
        <v>357</v>
      </c>
      <c r="R5983">
        <v>0</v>
      </c>
    </row>
    <row r="5984" spans="1:18" x14ac:dyDescent="0.25">
      <c r="A5984">
        <v>5983</v>
      </c>
      <c r="B5984">
        <v>94</v>
      </c>
      <c r="C5984">
        <v>31360795</v>
      </c>
      <c r="D5984" t="s">
        <v>288</v>
      </c>
      <c r="E5984">
        <v>71.656999999999996</v>
      </c>
      <c r="F5984" t="s">
        <v>21</v>
      </c>
      <c r="G5984" t="s">
        <v>26</v>
      </c>
      <c r="H5984" t="s">
        <v>21</v>
      </c>
      <c r="I5984" t="s">
        <v>20</v>
      </c>
      <c r="J5984" t="s">
        <v>20</v>
      </c>
      <c r="K5984" t="s">
        <v>27</v>
      </c>
      <c r="L5984" t="s">
        <v>146</v>
      </c>
      <c r="M5984" t="s">
        <v>147</v>
      </c>
      <c r="N5984">
        <v>37.869746999999997</v>
      </c>
      <c r="O5984">
        <v>-109.34295299999999</v>
      </c>
      <c r="P5984">
        <v>6998.1199500000002</v>
      </c>
      <c r="Q5984">
        <v>350</v>
      </c>
      <c r="R5984">
        <v>0</v>
      </c>
    </row>
    <row r="5985" spans="1:18" x14ac:dyDescent="0.25">
      <c r="A5985">
        <v>5984</v>
      </c>
      <c r="B5985">
        <v>94</v>
      </c>
      <c r="C5985">
        <v>31837541</v>
      </c>
      <c r="D5985" t="s">
        <v>290</v>
      </c>
      <c r="E5985">
        <v>71.665000000000006</v>
      </c>
      <c r="F5985" t="s">
        <v>21</v>
      </c>
      <c r="G5985" t="s">
        <v>20</v>
      </c>
      <c r="H5985" t="s">
        <v>21</v>
      </c>
      <c r="I5985" t="s">
        <v>20</v>
      </c>
      <c r="J5985" t="s">
        <v>20</v>
      </c>
      <c r="K5985" t="s">
        <v>41</v>
      </c>
      <c r="L5985" t="s">
        <v>291</v>
      </c>
      <c r="M5985" t="s">
        <v>238</v>
      </c>
      <c r="N5985">
        <v>41.928463999999998</v>
      </c>
      <c r="O5985">
        <v>-113.090881</v>
      </c>
      <c r="P5985">
        <v>4695.1539560000001</v>
      </c>
      <c r="Q5985">
        <v>1343</v>
      </c>
      <c r="R5985">
        <v>0</v>
      </c>
    </row>
    <row r="5986" spans="1:18" x14ac:dyDescent="0.25">
      <c r="A5986">
        <v>5985</v>
      </c>
      <c r="B5986">
        <v>94</v>
      </c>
      <c r="C5986" t="e">
        <f>-IoR2s5_IhHexXFfMt92Ek</f>
        <v>#NAME?</v>
      </c>
      <c r="D5986" t="s">
        <v>272</v>
      </c>
      <c r="E5986">
        <v>326.81099999999998</v>
      </c>
      <c r="F5986" t="s">
        <v>21</v>
      </c>
      <c r="G5986" t="s">
        <v>26</v>
      </c>
      <c r="H5986" t="s">
        <v>21</v>
      </c>
      <c r="I5986" t="s">
        <v>20</v>
      </c>
      <c r="J5986" t="s">
        <v>20</v>
      </c>
      <c r="K5986" t="s">
        <v>22</v>
      </c>
      <c r="L5986" t="s">
        <v>140</v>
      </c>
      <c r="M5986" t="s">
        <v>125</v>
      </c>
      <c r="N5986">
        <v>40.144750000000002</v>
      </c>
      <c r="O5986">
        <v>-111.60276500000001</v>
      </c>
      <c r="P5986">
        <v>4603.3193460000002</v>
      </c>
      <c r="Q5986">
        <v>1384</v>
      </c>
      <c r="R5986">
        <v>0</v>
      </c>
    </row>
    <row r="5987" spans="1:18" x14ac:dyDescent="0.25">
      <c r="A5987">
        <v>5986</v>
      </c>
      <c r="B5987">
        <v>94</v>
      </c>
      <c r="C5987" t="e">
        <f>-IoR3AGYFIihEPxvYUT4zF</f>
        <v>#NAME?</v>
      </c>
      <c r="D5987" t="s">
        <v>272</v>
      </c>
      <c r="E5987">
        <v>326.89400000000001</v>
      </c>
      <c r="F5987" t="s">
        <v>21</v>
      </c>
      <c r="G5987" t="s">
        <v>26</v>
      </c>
      <c r="H5987" t="s">
        <v>21</v>
      </c>
      <c r="I5987" t="s">
        <v>20</v>
      </c>
      <c r="J5987" t="s">
        <v>20</v>
      </c>
      <c r="K5987" t="s">
        <v>22</v>
      </c>
      <c r="L5987" t="s">
        <v>140</v>
      </c>
      <c r="M5987" t="s">
        <v>125</v>
      </c>
      <c r="N5987">
        <v>40.145873000000002</v>
      </c>
      <c r="O5987">
        <v>-111.603213</v>
      </c>
      <c r="P5987">
        <v>4584.8815290000002</v>
      </c>
      <c r="Q5987">
        <v>1384</v>
      </c>
      <c r="R5987">
        <v>0</v>
      </c>
    </row>
    <row r="5988" spans="1:18" x14ac:dyDescent="0.25">
      <c r="A5988">
        <v>5987</v>
      </c>
      <c r="B5988">
        <v>94</v>
      </c>
      <c r="C5988" t="e">
        <f>-IoR3Mz0GAmmnCFf9YJVfF</f>
        <v>#NAME?</v>
      </c>
      <c r="D5988" t="s">
        <v>272</v>
      </c>
      <c r="E5988">
        <v>326.95299999999997</v>
      </c>
      <c r="F5988" t="s">
        <v>21</v>
      </c>
      <c r="G5988" t="s">
        <v>26</v>
      </c>
      <c r="H5988" t="s">
        <v>21</v>
      </c>
      <c r="I5988" t="s">
        <v>20</v>
      </c>
      <c r="J5988" t="s">
        <v>20</v>
      </c>
      <c r="K5988" t="s">
        <v>22</v>
      </c>
      <c r="L5988" t="s">
        <v>140</v>
      </c>
      <c r="M5988" t="s">
        <v>125</v>
      </c>
      <c r="N5988">
        <v>40.146692000000002</v>
      </c>
      <c r="O5988">
        <v>-111.603488</v>
      </c>
      <c r="P5988">
        <v>4571.9359839999997</v>
      </c>
      <c r="Q5988">
        <v>1384</v>
      </c>
      <c r="R5988">
        <v>0</v>
      </c>
    </row>
    <row r="5989" spans="1:18" x14ac:dyDescent="0.25">
      <c r="A5989">
        <v>5988</v>
      </c>
      <c r="B5989">
        <v>94</v>
      </c>
      <c r="C5989" t="e">
        <f>-IoRASdaIEyh8C3brMfaDF</f>
        <v>#NAME?</v>
      </c>
      <c r="D5989" t="s">
        <v>272</v>
      </c>
      <c r="E5989">
        <v>327.02</v>
      </c>
      <c r="F5989" t="s">
        <v>21</v>
      </c>
      <c r="G5989" t="s">
        <v>26</v>
      </c>
      <c r="H5989" t="s">
        <v>21</v>
      </c>
      <c r="I5989" t="s">
        <v>20</v>
      </c>
      <c r="J5989" t="s">
        <v>20</v>
      </c>
      <c r="K5989" t="s">
        <v>22</v>
      </c>
      <c r="L5989" t="s">
        <v>140</v>
      </c>
      <c r="M5989" t="s">
        <v>125</v>
      </c>
      <c r="N5989">
        <v>40.147626000000002</v>
      </c>
      <c r="O5989">
        <v>-111.603803</v>
      </c>
      <c r="P5989">
        <v>4559.5579879999996</v>
      </c>
      <c r="Q5989">
        <v>1384</v>
      </c>
      <c r="R5989">
        <v>0</v>
      </c>
    </row>
    <row r="5990" spans="1:18" x14ac:dyDescent="0.25">
      <c r="A5990">
        <v>5989</v>
      </c>
      <c r="B5990">
        <v>94</v>
      </c>
      <c r="C5990" t="s">
        <v>772</v>
      </c>
      <c r="D5990" t="s">
        <v>272</v>
      </c>
      <c r="E5990">
        <v>327.685</v>
      </c>
      <c r="F5990" t="s">
        <v>21</v>
      </c>
      <c r="G5990" t="s">
        <v>26</v>
      </c>
      <c r="H5990" t="s">
        <v>21</v>
      </c>
      <c r="I5990" t="s">
        <v>20</v>
      </c>
      <c r="J5990" t="s">
        <v>20</v>
      </c>
      <c r="K5990" t="s">
        <v>22</v>
      </c>
      <c r="L5990" t="s">
        <v>140</v>
      </c>
      <c r="M5990" t="s">
        <v>125</v>
      </c>
      <c r="N5990">
        <v>40.155411000000001</v>
      </c>
      <c r="O5990">
        <v>-111.610394</v>
      </c>
      <c r="P5990">
        <v>4533.2248540000001</v>
      </c>
      <c r="Q5990">
        <v>1384</v>
      </c>
      <c r="R5990">
        <v>0</v>
      </c>
    </row>
    <row r="5991" spans="1:18" x14ac:dyDescent="0.25">
      <c r="A5991">
        <v>5990</v>
      </c>
      <c r="B5991">
        <v>94</v>
      </c>
      <c r="C5991" t="e">
        <f>-IoR6xyPIyDUSq7bw1ESMk</f>
        <v>#NAME?</v>
      </c>
      <c r="D5991" t="s">
        <v>272</v>
      </c>
      <c r="E5991">
        <v>327.77</v>
      </c>
      <c r="F5991" t="s">
        <v>21</v>
      </c>
      <c r="G5991" t="s">
        <v>26</v>
      </c>
      <c r="H5991" t="s">
        <v>21</v>
      </c>
      <c r="I5991" t="s">
        <v>20</v>
      </c>
      <c r="J5991" t="s">
        <v>20</v>
      </c>
      <c r="K5991" t="s">
        <v>22</v>
      </c>
      <c r="L5991" t="s">
        <v>140</v>
      </c>
      <c r="M5991" t="s">
        <v>125</v>
      </c>
      <c r="N5991">
        <v>40.156888000000002</v>
      </c>
      <c r="O5991">
        <v>-111.61057599999999</v>
      </c>
      <c r="P5991">
        <v>4529.0601720000004</v>
      </c>
      <c r="Q5991">
        <v>1384</v>
      </c>
      <c r="R5991">
        <v>0</v>
      </c>
    </row>
    <row r="5992" spans="1:18" x14ac:dyDescent="0.25">
      <c r="A5992">
        <v>5991</v>
      </c>
      <c r="B5992">
        <v>94</v>
      </c>
      <c r="C5992" t="e">
        <f>-JT6R1asFYTq5KGFGlgsMF</f>
        <v>#NAME?</v>
      </c>
      <c r="D5992" t="s">
        <v>773</v>
      </c>
      <c r="E5992">
        <v>327.78500000000003</v>
      </c>
      <c r="F5992" t="s">
        <v>21</v>
      </c>
      <c r="G5992" t="s">
        <v>26</v>
      </c>
      <c r="H5992" t="s">
        <v>21</v>
      </c>
      <c r="I5992" t="s">
        <v>20</v>
      </c>
      <c r="J5992" t="s">
        <v>20</v>
      </c>
      <c r="K5992" t="s">
        <v>22</v>
      </c>
      <c r="L5992" t="s">
        <v>23</v>
      </c>
      <c r="M5992" t="s">
        <v>194</v>
      </c>
      <c r="N5992">
        <v>40.157055999999997</v>
      </c>
      <c r="O5992">
        <v>-111.611502</v>
      </c>
      <c r="P5992">
        <v>4527.7912070000002</v>
      </c>
      <c r="Q5992">
        <v>5463</v>
      </c>
      <c r="R5992">
        <v>0</v>
      </c>
    </row>
    <row r="5993" spans="1:18" x14ac:dyDescent="0.25">
      <c r="A5993">
        <v>5992</v>
      </c>
      <c r="B5993">
        <v>94</v>
      </c>
      <c r="C5993" t="s">
        <v>774</v>
      </c>
      <c r="D5993" t="s">
        <v>773</v>
      </c>
      <c r="E5993">
        <v>327.798</v>
      </c>
      <c r="F5993" t="s">
        <v>21</v>
      </c>
      <c r="G5993" t="s">
        <v>26</v>
      </c>
      <c r="H5993" t="s">
        <v>21</v>
      </c>
      <c r="I5993" t="s">
        <v>20</v>
      </c>
      <c r="J5993" t="s">
        <v>20</v>
      </c>
      <c r="K5993" t="s">
        <v>22</v>
      </c>
      <c r="L5993" t="s">
        <v>23</v>
      </c>
      <c r="M5993" t="s">
        <v>194</v>
      </c>
      <c r="N5993">
        <v>40.157263999999998</v>
      </c>
      <c r="O5993">
        <v>-111.61135</v>
      </c>
      <c r="P5993">
        <v>4527.887995</v>
      </c>
      <c r="Q5993">
        <v>5463</v>
      </c>
      <c r="R5993">
        <v>0</v>
      </c>
    </row>
    <row r="5994" spans="1:18" x14ac:dyDescent="0.25">
      <c r="A5994">
        <v>5993</v>
      </c>
      <c r="B5994">
        <v>94</v>
      </c>
      <c r="C5994" t="e">
        <f>-IoR7_j0Hq97HLK7zUOatF</f>
        <v>#NAME?</v>
      </c>
      <c r="D5994" t="s">
        <v>272</v>
      </c>
      <c r="E5994">
        <v>327.95699999999999</v>
      </c>
      <c r="F5994" t="s">
        <v>21</v>
      </c>
      <c r="G5994" t="s">
        <v>26</v>
      </c>
      <c r="H5994" t="s">
        <v>21</v>
      </c>
      <c r="I5994" t="s">
        <v>20</v>
      </c>
      <c r="J5994" t="s">
        <v>20</v>
      </c>
      <c r="K5994" t="s">
        <v>22</v>
      </c>
      <c r="L5994" t="s">
        <v>140</v>
      </c>
      <c r="M5994" t="s">
        <v>125</v>
      </c>
      <c r="N5994">
        <v>40.159681999999997</v>
      </c>
      <c r="O5994">
        <v>-111.610675</v>
      </c>
      <c r="P5994">
        <v>4529.8252069999999</v>
      </c>
      <c r="Q5994">
        <v>1384</v>
      </c>
      <c r="R5994">
        <v>0</v>
      </c>
    </row>
    <row r="5995" spans="1:18" x14ac:dyDescent="0.25">
      <c r="A5995">
        <v>5994</v>
      </c>
      <c r="B5995">
        <v>94</v>
      </c>
      <c r="C5995" t="e">
        <f>-IOR9-X1IW9drM4PmOfSek</f>
        <v>#NAME?</v>
      </c>
      <c r="D5995" t="s">
        <v>272</v>
      </c>
      <c r="E5995">
        <v>328.07</v>
      </c>
      <c r="F5995" t="s">
        <v>19</v>
      </c>
      <c r="G5995" t="s">
        <v>20</v>
      </c>
      <c r="H5995" t="s">
        <v>19</v>
      </c>
      <c r="I5995">
        <v>77</v>
      </c>
      <c r="J5995" t="s">
        <v>20</v>
      </c>
      <c r="K5995" t="s">
        <v>22</v>
      </c>
      <c r="L5995" t="s">
        <v>140</v>
      </c>
      <c r="M5995" t="s">
        <v>125</v>
      </c>
      <c r="N5995">
        <v>40.161116999999997</v>
      </c>
      <c r="O5995">
        <v>-111.610665</v>
      </c>
      <c r="P5995">
        <v>4522.7538610000001</v>
      </c>
      <c r="Q5995">
        <v>1384</v>
      </c>
      <c r="R5995">
        <v>0</v>
      </c>
    </row>
    <row r="5996" spans="1:18" x14ac:dyDescent="0.25">
      <c r="A5996">
        <v>5995</v>
      </c>
      <c r="B5996">
        <v>94</v>
      </c>
      <c r="C5996" t="e">
        <f>-IoRBNT6IrykXdU_2nxaEV</f>
        <v>#NAME?</v>
      </c>
      <c r="D5996" t="s">
        <v>272</v>
      </c>
      <c r="E5996">
        <v>328.16500000000002</v>
      </c>
      <c r="F5996" t="s">
        <v>21</v>
      </c>
      <c r="G5996" t="s">
        <v>26</v>
      </c>
      <c r="H5996" t="s">
        <v>21</v>
      </c>
      <c r="I5996" t="s">
        <v>20</v>
      </c>
      <c r="J5996" t="s">
        <v>20</v>
      </c>
      <c r="K5996" t="s">
        <v>22</v>
      </c>
      <c r="L5996" t="s">
        <v>23</v>
      </c>
      <c r="M5996" t="s">
        <v>125</v>
      </c>
      <c r="N5996">
        <v>40.162475000000001</v>
      </c>
      <c r="O5996">
        <v>-111.610636</v>
      </c>
      <c r="P5996">
        <v>4526.873979</v>
      </c>
      <c r="Q5996">
        <v>1384</v>
      </c>
      <c r="R5996">
        <v>0</v>
      </c>
    </row>
    <row r="5997" spans="1:18" x14ac:dyDescent="0.25">
      <c r="A5997">
        <v>5996</v>
      </c>
      <c r="B5997">
        <v>94</v>
      </c>
      <c r="C5997" t="e">
        <f>-IoRCzQLG9DxYKUz-Boa6k</f>
        <v>#NAME?</v>
      </c>
      <c r="D5997" t="s">
        <v>272</v>
      </c>
      <c r="E5997">
        <v>328.26100000000002</v>
      </c>
      <c r="F5997" t="s">
        <v>19</v>
      </c>
      <c r="G5997" t="s">
        <v>20</v>
      </c>
      <c r="H5997" t="s">
        <v>21</v>
      </c>
      <c r="I5997" t="s">
        <v>20</v>
      </c>
      <c r="J5997" t="s">
        <v>20</v>
      </c>
      <c r="K5997" t="s">
        <v>22</v>
      </c>
      <c r="L5997" t="s">
        <v>23</v>
      </c>
      <c r="M5997" t="s">
        <v>125</v>
      </c>
      <c r="N5997">
        <v>40.163859000000002</v>
      </c>
      <c r="O5997">
        <v>-111.610632</v>
      </c>
      <c r="P5997">
        <v>4524.9138730000004</v>
      </c>
      <c r="Q5997">
        <v>1384</v>
      </c>
      <c r="R5997">
        <v>0</v>
      </c>
    </row>
    <row r="5998" spans="1:18" x14ac:dyDescent="0.25">
      <c r="A5998">
        <v>5997</v>
      </c>
      <c r="B5998">
        <v>94</v>
      </c>
      <c r="C5998" t="e">
        <f>-IoRH4KrIOTGONCY6urjeV</f>
        <v>#NAME?</v>
      </c>
      <c r="D5998" t="s">
        <v>272</v>
      </c>
      <c r="E5998">
        <v>328.36</v>
      </c>
      <c r="F5998" t="s">
        <v>21</v>
      </c>
      <c r="G5998" t="s">
        <v>26</v>
      </c>
      <c r="H5998" t="s">
        <v>21</v>
      </c>
      <c r="I5998" t="s">
        <v>20</v>
      </c>
      <c r="J5998" t="s">
        <v>20</v>
      </c>
      <c r="K5998" t="s">
        <v>22</v>
      </c>
      <c r="L5998" t="s">
        <v>23</v>
      </c>
      <c r="M5998" t="s">
        <v>125</v>
      </c>
      <c r="N5998">
        <v>40.165286000000002</v>
      </c>
      <c r="O5998">
        <v>-111.61062800000001</v>
      </c>
      <c r="P5998">
        <v>4522.6006049999996</v>
      </c>
      <c r="Q5998">
        <v>1384</v>
      </c>
      <c r="R5998">
        <v>0</v>
      </c>
    </row>
    <row r="5999" spans="1:18" x14ac:dyDescent="0.25">
      <c r="A5999">
        <v>5998</v>
      </c>
      <c r="B5999">
        <v>94</v>
      </c>
      <c r="C5999" t="e">
        <f>-IoRHcw8HaX2QY-L5MIqAV</f>
        <v>#NAME?</v>
      </c>
      <c r="D5999" t="s">
        <v>272</v>
      </c>
      <c r="E5999">
        <v>328.45699999999999</v>
      </c>
      <c r="F5999" t="s">
        <v>19</v>
      </c>
      <c r="G5999" t="s">
        <v>20</v>
      </c>
      <c r="H5999" t="s">
        <v>21</v>
      </c>
      <c r="I5999" t="s">
        <v>20</v>
      </c>
      <c r="J5999" t="s">
        <v>20</v>
      </c>
      <c r="K5999" t="s">
        <v>22</v>
      </c>
      <c r="L5999" t="s">
        <v>23</v>
      </c>
      <c r="M5999" t="s">
        <v>125</v>
      </c>
      <c r="N5999">
        <v>40.166677999999997</v>
      </c>
      <c r="O5999">
        <v>-111.61061599999999</v>
      </c>
      <c r="P5999">
        <v>4520.1104729999997</v>
      </c>
      <c r="Q5999">
        <v>1384</v>
      </c>
      <c r="R5999">
        <v>0</v>
      </c>
    </row>
    <row r="6000" spans="1:18" x14ac:dyDescent="0.25">
      <c r="A6000">
        <v>5999</v>
      </c>
      <c r="B6000">
        <v>94</v>
      </c>
      <c r="C6000" t="s">
        <v>775</v>
      </c>
      <c r="D6000" t="s">
        <v>272</v>
      </c>
      <c r="E6000">
        <v>351.66500000000002</v>
      </c>
      <c r="F6000" t="s">
        <v>21</v>
      </c>
      <c r="G6000" t="s">
        <v>26</v>
      </c>
      <c r="H6000" t="s">
        <v>21</v>
      </c>
      <c r="I6000" t="s">
        <v>20</v>
      </c>
      <c r="J6000" t="s">
        <v>20</v>
      </c>
      <c r="K6000" t="s">
        <v>22</v>
      </c>
      <c r="L6000" t="s">
        <v>84</v>
      </c>
      <c r="M6000" t="s">
        <v>125</v>
      </c>
      <c r="N6000">
        <v>40.400409000000003</v>
      </c>
      <c r="O6000">
        <v>-111.852661</v>
      </c>
      <c r="P6000">
        <v>4536.7725229999996</v>
      </c>
      <c r="Q6000">
        <v>1384</v>
      </c>
      <c r="R6000">
        <v>0</v>
      </c>
    </row>
    <row r="6001" spans="1:18" x14ac:dyDescent="0.25">
      <c r="A6001">
        <v>6000</v>
      </c>
      <c r="B6001">
        <v>94</v>
      </c>
      <c r="C6001" t="s">
        <v>776</v>
      </c>
      <c r="D6001" t="s">
        <v>272</v>
      </c>
      <c r="E6001">
        <v>351.69400000000002</v>
      </c>
      <c r="F6001" t="s">
        <v>21</v>
      </c>
      <c r="G6001" t="s">
        <v>20</v>
      </c>
      <c r="H6001" t="s">
        <v>21</v>
      </c>
      <c r="I6001" t="s">
        <v>20</v>
      </c>
      <c r="J6001" t="s">
        <v>20</v>
      </c>
      <c r="K6001" t="s">
        <v>22</v>
      </c>
      <c r="L6001" t="s">
        <v>84</v>
      </c>
      <c r="M6001" t="s">
        <v>125</v>
      </c>
      <c r="N6001">
        <v>40.400694999999999</v>
      </c>
      <c r="O6001">
        <v>-111.853053</v>
      </c>
      <c r="P6001">
        <v>4536.1428470000001</v>
      </c>
      <c r="Q6001">
        <v>1384</v>
      </c>
      <c r="R6001">
        <v>0</v>
      </c>
    </row>
    <row r="6002" spans="1:18" x14ac:dyDescent="0.25">
      <c r="A6002">
        <v>7001</v>
      </c>
      <c r="B6002">
        <v>94</v>
      </c>
      <c r="C6002">
        <v>27877906</v>
      </c>
      <c r="D6002" t="s">
        <v>245</v>
      </c>
      <c r="E6002">
        <v>25.652999999999999</v>
      </c>
      <c r="F6002" t="s">
        <v>21</v>
      </c>
      <c r="G6002" t="s">
        <v>26</v>
      </c>
      <c r="H6002" t="s">
        <v>21</v>
      </c>
      <c r="I6002" t="s">
        <v>20</v>
      </c>
      <c r="J6002" t="s">
        <v>20</v>
      </c>
      <c r="K6002" t="s">
        <v>22</v>
      </c>
      <c r="L6002" t="s">
        <v>97</v>
      </c>
      <c r="M6002" t="s">
        <v>98</v>
      </c>
      <c r="N6002">
        <v>40.956969000000001</v>
      </c>
      <c r="O6002">
        <v>-109.71295499999999</v>
      </c>
      <c r="P6002">
        <v>6411.835325</v>
      </c>
      <c r="Q6002">
        <v>1353</v>
      </c>
      <c r="R6002">
        <v>0</v>
      </c>
    </row>
    <row r="6003" spans="1:18" x14ac:dyDescent="0.25">
      <c r="A6003">
        <v>7002</v>
      </c>
      <c r="B6003">
        <v>94</v>
      </c>
      <c r="C6003">
        <v>31878598</v>
      </c>
      <c r="D6003" t="s">
        <v>61</v>
      </c>
      <c r="E6003">
        <v>25.655999999999999</v>
      </c>
      <c r="F6003" t="s">
        <v>21</v>
      </c>
      <c r="G6003" t="s">
        <v>26</v>
      </c>
      <c r="H6003" t="s">
        <v>21</v>
      </c>
      <c r="I6003" t="s">
        <v>20</v>
      </c>
      <c r="J6003" t="s">
        <v>20</v>
      </c>
      <c r="K6003" t="s">
        <v>22</v>
      </c>
      <c r="L6003" t="s">
        <v>35</v>
      </c>
      <c r="M6003" t="s">
        <v>328</v>
      </c>
      <c r="N6003">
        <v>40.46331</v>
      </c>
      <c r="O6003">
        <v>-111.46082199999999</v>
      </c>
      <c r="P6003">
        <v>5430.661591</v>
      </c>
      <c r="Q6003">
        <v>403</v>
      </c>
      <c r="R6003">
        <v>0</v>
      </c>
    </row>
    <row r="6004" spans="1:18" x14ac:dyDescent="0.25">
      <c r="A6004">
        <v>7003</v>
      </c>
      <c r="B6004">
        <v>94</v>
      </c>
      <c r="C6004">
        <v>28169084</v>
      </c>
      <c r="D6004" t="s">
        <v>220</v>
      </c>
      <c r="E6004">
        <v>25.658999999999999</v>
      </c>
      <c r="F6004" t="s">
        <v>21</v>
      </c>
      <c r="G6004" t="s">
        <v>26</v>
      </c>
      <c r="H6004" t="s">
        <v>21</v>
      </c>
      <c r="I6004" t="s">
        <v>20</v>
      </c>
      <c r="J6004" t="s">
        <v>20</v>
      </c>
      <c r="K6004" t="s">
        <v>27</v>
      </c>
      <c r="L6004" t="s">
        <v>28</v>
      </c>
      <c r="M6004" t="s">
        <v>29</v>
      </c>
      <c r="N6004">
        <v>37.568807</v>
      </c>
      <c r="O6004">
        <v>-112.05400299999999</v>
      </c>
      <c r="P6004">
        <v>5823.237443</v>
      </c>
      <c r="Q6004">
        <v>1328</v>
      </c>
      <c r="R6004">
        <v>0</v>
      </c>
    </row>
    <row r="6005" spans="1:18" x14ac:dyDescent="0.25">
      <c r="A6005">
        <v>7004</v>
      </c>
      <c r="B6005">
        <v>94</v>
      </c>
      <c r="C6005">
        <v>2613493</v>
      </c>
      <c r="D6005" t="s">
        <v>176</v>
      </c>
      <c r="E6005">
        <v>25.661000000000001</v>
      </c>
      <c r="F6005" t="s">
        <v>21</v>
      </c>
      <c r="G6005" t="s">
        <v>26</v>
      </c>
      <c r="H6005" t="s">
        <v>21</v>
      </c>
      <c r="I6005" t="s">
        <v>20</v>
      </c>
      <c r="J6005" t="s">
        <v>20</v>
      </c>
      <c r="K6005" t="s">
        <v>41</v>
      </c>
      <c r="L6005" t="s">
        <v>223</v>
      </c>
      <c r="M6005" t="s">
        <v>178</v>
      </c>
      <c r="N6005">
        <v>41.790860000000002</v>
      </c>
      <c r="O6005">
        <v>-112.149505</v>
      </c>
      <c r="P6005">
        <v>4313.6224750000001</v>
      </c>
      <c r="Q6005">
        <v>1329</v>
      </c>
      <c r="R6005">
        <v>0</v>
      </c>
    </row>
    <row r="6006" spans="1:18" x14ac:dyDescent="0.25">
      <c r="A6006">
        <v>7005</v>
      </c>
      <c r="B6006">
        <v>94</v>
      </c>
      <c r="C6006" t="e">
        <f>-JOiGlKiHtiNou8_zb0-lk</f>
        <v>#NAME?</v>
      </c>
      <c r="D6006" t="s">
        <v>244</v>
      </c>
      <c r="E6006">
        <v>25.666</v>
      </c>
      <c r="F6006" t="s">
        <v>21</v>
      </c>
      <c r="G6006" t="s">
        <v>26</v>
      </c>
      <c r="H6006" t="s">
        <v>21</v>
      </c>
      <c r="I6006" t="s">
        <v>20</v>
      </c>
      <c r="J6006" t="s">
        <v>20</v>
      </c>
      <c r="K6006" t="s">
        <v>27</v>
      </c>
      <c r="L6006" t="s">
        <v>266</v>
      </c>
      <c r="M6006" t="s">
        <v>58</v>
      </c>
      <c r="N6006">
        <v>38.661203</v>
      </c>
      <c r="O6006">
        <v>-111.833229</v>
      </c>
      <c r="P6006">
        <v>7022.7654350000003</v>
      </c>
      <c r="Q6006">
        <v>1340</v>
      </c>
      <c r="R6006">
        <v>0</v>
      </c>
    </row>
    <row r="6007" spans="1:18" x14ac:dyDescent="0.25">
      <c r="A6007">
        <v>7006</v>
      </c>
      <c r="B6007">
        <v>94</v>
      </c>
      <c r="C6007" t="e">
        <f>-Iowby6OGhL0lhl7kViQPV</f>
        <v>#NAME?</v>
      </c>
      <c r="D6007" t="s">
        <v>203</v>
      </c>
      <c r="E6007">
        <v>25.675000000000001</v>
      </c>
      <c r="F6007" t="s">
        <v>21</v>
      </c>
      <c r="G6007" t="s">
        <v>26</v>
      </c>
      <c r="H6007" t="s">
        <v>21</v>
      </c>
      <c r="I6007" t="s">
        <v>20</v>
      </c>
      <c r="J6007" t="s">
        <v>20</v>
      </c>
      <c r="K6007" t="s">
        <v>41</v>
      </c>
      <c r="L6007" t="s">
        <v>255</v>
      </c>
      <c r="M6007" t="s">
        <v>204</v>
      </c>
      <c r="N6007">
        <v>41.283096999999998</v>
      </c>
      <c r="O6007">
        <v>-111.65390600000001</v>
      </c>
      <c r="P6007">
        <v>5241.5578450000003</v>
      </c>
      <c r="Q6007">
        <v>1349</v>
      </c>
      <c r="R6007">
        <v>0</v>
      </c>
    </row>
    <row r="6008" spans="1:18" x14ac:dyDescent="0.25">
      <c r="A6008">
        <v>7007</v>
      </c>
      <c r="B6008">
        <v>94</v>
      </c>
      <c r="C6008" t="s">
        <v>777</v>
      </c>
      <c r="D6008" t="s">
        <v>172</v>
      </c>
      <c r="E6008">
        <v>25.693999999999999</v>
      </c>
      <c r="F6008" t="s">
        <v>21</v>
      </c>
      <c r="G6008" t="s">
        <v>20</v>
      </c>
      <c r="H6008" t="s">
        <v>21</v>
      </c>
      <c r="I6008" t="s">
        <v>20</v>
      </c>
      <c r="J6008" t="s">
        <v>20</v>
      </c>
      <c r="K6008" t="s">
        <v>22</v>
      </c>
      <c r="L6008" t="s">
        <v>155</v>
      </c>
      <c r="M6008" t="s">
        <v>174</v>
      </c>
      <c r="N6008">
        <v>39.697208000000003</v>
      </c>
      <c r="O6008">
        <v>-111.974436</v>
      </c>
      <c r="P6008">
        <v>5424.3008410000002</v>
      </c>
      <c r="Q6008">
        <v>1411</v>
      </c>
      <c r="R6008">
        <v>0</v>
      </c>
    </row>
    <row r="6009" spans="1:18" x14ac:dyDescent="0.25">
      <c r="A6009">
        <v>7008</v>
      </c>
      <c r="B6009">
        <v>94</v>
      </c>
      <c r="C6009">
        <v>27719146</v>
      </c>
      <c r="D6009" t="s">
        <v>217</v>
      </c>
      <c r="E6009">
        <v>25.699000000000002</v>
      </c>
      <c r="F6009" t="s">
        <v>21</v>
      </c>
      <c r="G6009" t="s">
        <v>26</v>
      </c>
      <c r="H6009" t="s">
        <v>21</v>
      </c>
      <c r="I6009" t="s">
        <v>20</v>
      </c>
      <c r="J6009" t="s">
        <v>20</v>
      </c>
      <c r="K6009" t="s">
        <v>27</v>
      </c>
      <c r="L6009" t="s">
        <v>162</v>
      </c>
      <c r="M6009" t="s">
        <v>163</v>
      </c>
      <c r="N6009">
        <v>37.402585999999999</v>
      </c>
      <c r="O6009">
        <v>-113.639026</v>
      </c>
      <c r="P6009">
        <v>5058.8451150000001</v>
      </c>
      <c r="Q6009">
        <v>304</v>
      </c>
      <c r="R6009">
        <v>0</v>
      </c>
    </row>
    <row r="6010" spans="1:18" x14ac:dyDescent="0.25">
      <c r="A6010">
        <v>7009</v>
      </c>
      <c r="B6010">
        <v>94</v>
      </c>
      <c r="C6010">
        <v>31311506</v>
      </c>
      <c r="D6010" t="s">
        <v>268</v>
      </c>
      <c r="E6010">
        <v>25.707000000000001</v>
      </c>
      <c r="F6010" t="s">
        <v>21</v>
      </c>
      <c r="G6010" t="s">
        <v>26</v>
      </c>
      <c r="H6010" t="s">
        <v>21</v>
      </c>
      <c r="I6010" t="s">
        <v>20</v>
      </c>
      <c r="J6010" t="s">
        <v>20</v>
      </c>
      <c r="K6010" t="s">
        <v>41</v>
      </c>
      <c r="L6010" t="s">
        <v>181</v>
      </c>
      <c r="M6010" t="s">
        <v>43</v>
      </c>
      <c r="N6010">
        <v>41.751753000000001</v>
      </c>
      <c r="O6010">
        <v>-112.43459300000001</v>
      </c>
      <c r="P6010">
        <v>4431.2564240000002</v>
      </c>
      <c r="Q6010">
        <v>1380</v>
      </c>
      <c r="R6010">
        <v>0</v>
      </c>
    </row>
    <row r="6011" spans="1:18" x14ac:dyDescent="0.25">
      <c r="A6011">
        <v>7010</v>
      </c>
      <c r="B6011">
        <v>94</v>
      </c>
      <c r="C6011" t="e">
        <f>-JXkV0DRGuqYajtehqvDRV</f>
        <v>#NAME?</v>
      </c>
      <c r="D6011" t="s">
        <v>203</v>
      </c>
      <c r="E6011">
        <v>22.986999999999998</v>
      </c>
      <c r="F6011" t="s">
        <v>21</v>
      </c>
      <c r="G6011" t="s">
        <v>20</v>
      </c>
      <c r="H6011" t="s">
        <v>21</v>
      </c>
      <c r="I6011" t="s">
        <v>20</v>
      </c>
      <c r="J6011" t="s">
        <v>20</v>
      </c>
      <c r="K6011" t="s">
        <v>41</v>
      </c>
      <c r="L6011" t="s">
        <v>255</v>
      </c>
      <c r="M6011" t="s">
        <v>204</v>
      </c>
      <c r="N6011">
        <v>41.264392999999998</v>
      </c>
      <c r="O6011">
        <v>-111.692346</v>
      </c>
      <c r="P6011">
        <v>5087.838444</v>
      </c>
      <c r="Q6011">
        <v>1349</v>
      </c>
      <c r="R6011">
        <v>0</v>
      </c>
    </row>
    <row r="6012" spans="1:18" x14ac:dyDescent="0.25">
      <c r="A6012">
        <v>7011</v>
      </c>
      <c r="B6012">
        <v>94</v>
      </c>
      <c r="C6012">
        <v>27415613</v>
      </c>
      <c r="D6012" t="s">
        <v>185</v>
      </c>
      <c r="E6012">
        <v>10.327999999999999</v>
      </c>
      <c r="F6012" t="s">
        <v>21</v>
      </c>
      <c r="G6012" t="s">
        <v>26</v>
      </c>
      <c r="H6012" t="s">
        <v>21</v>
      </c>
      <c r="I6012" t="s">
        <v>20</v>
      </c>
      <c r="J6012" t="s">
        <v>20</v>
      </c>
      <c r="K6012" t="s">
        <v>41</v>
      </c>
      <c r="L6012" t="s">
        <v>57</v>
      </c>
      <c r="M6012" t="s">
        <v>58</v>
      </c>
      <c r="N6012">
        <v>41.190789000000002</v>
      </c>
      <c r="O6012">
        <v>-112.08718</v>
      </c>
      <c r="P6012">
        <v>4188.4489709999998</v>
      </c>
      <c r="Q6012">
        <v>309</v>
      </c>
      <c r="R6012">
        <v>0</v>
      </c>
    </row>
    <row r="6013" spans="1:18" x14ac:dyDescent="0.25">
      <c r="A6013">
        <v>7012</v>
      </c>
      <c r="B6013">
        <v>94</v>
      </c>
      <c r="C6013" t="s">
        <v>778</v>
      </c>
      <c r="D6013" t="s">
        <v>272</v>
      </c>
      <c r="E6013">
        <v>428.447</v>
      </c>
      <c r="F6013" t="s">
        <v>21</v>
      </c>
      <c r="G6013" t="s">
        <v>26</v>
      </c>
      <c r="H6013" t="s">
        <v>21</v>
      </c>
      <c r="I6013" t="s">
        <v>20</v>
      </c>
      <c r="J6013" t="s">
        <v>20</v>
      </c>
      <c r="K6013" t="s">
        <v>41</v>
      </c>
      <c r="L6013" t="s">
        <v>177</v>
      </c>
      <c r="M6013" t="s">
        <v>46</v>
      </c>
      <c r="N6013">
        <v>41.417693</v>
      </c>
      <c r="O6013">
        <v>-112.035983</v>
      </c>
      <c r="P6013">
        <v>4298.5710689999996</v>
      </c>
      <c r="Q6013">
        <v>1384</v>
      </c>
      <c r="R6013">
        <v>0</v>
      </c>
    </row>
    <row r="6014" spans="1:18" x14ac:dyDescent="0.25">
      <c r="A6014">
        <v>7013</v>
      </c>
      <c r="B6014">
        <v>94</v>
      </c>
      <c r="C6014" t="e">
        <f>-Iow3AAHF5uIARmwIdQtWk</f>
        <v>#NAME?</v>
      </c>
      <c r="D6014" t="s">
        <v>113</v>
      </c>
      <c r="E6014">
        <v>4.26</v>
      </c>
      <c r="F6014" t="s">
        <v>21</v>
      </c>
      <c r="G6014" t="s">
        <v>20</v>
      </c>
      <c r="H6014" t="s">
        <v>21</v>
      </c>
      <c r="I6014" t="s">
        <v>20</v>
      </c>
      <c r="J6014" t="s">
        <v>20</v>
      </c>
      <c r="K6014" t="s">
        <v>41</v>
      </c>
      <c r="L6014" t="s">
        <v>87</v>
      </c>
      <c r="M6014" t="s">
        <v>58</v>
      </c>
      <c r="N6014">
        <v>41.137141999999997</v>
      </c>
      <c r="O6014">
        <v>-111.960617</v>
      </c>
      <c r="P6014">
        <v>4407.1125830000001</v>
      </c>
      <c r="Q6014">
        <v>1363</v>
      </c>
      <c r="R6014">
        <v>0</v>
      </c>
    </row>
    <row r="6015" spans="1:18" x14ac:dyDescent="0.25">
      <c r="A6015">
        <v>7014</v>
      </c>
      <c r="B6015">
        <v>94</v>
      </c>
      <c r="C6015">
        <v>27948020</v>
      </c>
      <c r="D6015" t="s">
        <v>265</v>
      </c>
      <c r="E6015">
        <v>4.26</v>
      </c>
      <c r="F6015" t="s">
        <v>21</v>
      </c>
      <c r="G6015" t="s">
        <v>26</v>
      </c>
      <c r="H6015" t="s">
        <v>21</v>
      </c>
      <c r="I6015" t="s">
        <v>20</v>
      </c>
      <c r="J6015" t="s">
        <v>20</v>
      </c>
      <c r="K6015" t="s">
        <v>27</v>
      </c>
      <c r="L6015" t="s">
        <v>266</v>
      </c>
      <c r="M6015" t="s">
        <v>267</v>
      </c>
      <c r="N6015">
        <v>38.454898</v>
      </c>
      <c r="O6015">
        <v>-111.615804</v>
      </c>
      <c r="P6015">
        <v>7131.9760690000003</v>
      </c>
      <c r="Q6015">
        <v>1371</v>
      </c>
      <c r="R6015">
        <v>0</v>
      </c>
    </row>
    <row r="6016" spans="1:18" x14ac:dyDescent="0.25">
      <c r="A6016">
        <v>7015</v>
      </c>
      <c r="B6016">
        <v>94</v>
      </c>
      <c r="C6016" t="e">
        <f>-JNVWM5aFYPj9vUN3y7bXF</f>
        <v>#NAME?</v>
      </c>
      <c r="D6016" t="s">
        <v>281</v>
      </c>
      <c r="E6016">
        <v>4.2779999999999996</v>
      </c>
      <c r="F6016" t="s">
        <v>21</v>
      </c>
      <c r="G6016" t="s">
        <v>20</v>
      </c>
      <c r="H6016" t="s">
        <v>21</v>
      </c>
      <c r="I6016" t="s">
        <v>20</v>
      </c>
      <c r="J6016" t="s">
        <v>20</v>
      </c>
      <c r="K6016" t="s">
        <v>22</v>
      </c>
      <c r="L6016" t="s">
        <v>193</v>
      </c>
      <c r="M6016" t="s">
        <v>174</v>
      </c>
      <c r="N6016">
        <v>39.944471999999998</v>
      </c>
      <c r="O6016">
        <v>-112.215324</v>
      </c>
      <c r="P6016">
        <v>5949.4338959999995</v>
      </c>
      <c r="Q6016">
        <v>1347</v>
      </c>
      <c r="R6016">
        <v>0</v>
      </c>
    </row>
    <row r="6017" spans="1:18" x14ac:dyDescent="0.25">
      <c r="A6017">
        <v>7016</v>
      </c>
      <c r="B6017">
        <v>94</v>
      </c>
      <c r="C6017">
        <v>1263840</v>
      </c>
      <c r="D6017" t="s">
        <v>189</v>
      </c>
      <c r="E6017">
        <v>4.2789999999999999</v>
      </c>
      <c r="F6017" t="s">
        <v>21</v>
      </c>
      <c r="G6017" t="s">
        <v>26</v>
      </c>
      <c r="H6017" t="s">
        <v>21</v>
      </c>
      <c r="I6017" t="s">
        <v>20</v>
      </c>
      <c r="J6017" t="s">
        <v>20</v>
      </c>
      <c r="K6017" t="s">
        <v>41</v>
      </c>
      <c r="L6017" t="s">
        <v>81</v>
      </c>
      <c r="M6017" t="s">
        <v>190</v>
      </c>
      <c r="N6017">
        <v>41.215128999999997</v>
      </c>
      <c r="O6017">
        <v>-111.948348</v>
      </c>
      <c r="P6017">
        <v>4440.6221169999999</v>
      </c>
      <c r="Q6017">
        <v>412</v>
      </c>
      <c r="R6017">
        <v>0</v>
      </c>
    </row>
    <row r="6018" spans="1:18" x14ac:dyDescent="0.25">
      <c r="A6018">
        <v>7017</v>
      </c>
      <c r="B6018">
        <v>94</v>
      </c>
      <c r="C6018">
        <v>31441748</v>
      </c>
      <c r="D6018" t="s">
        <v>254</v>
      </c>
      <c r="E6018">
        <v>4.2839999999999998</v>
      </c>
      <c r="F6018" t="s">
        <v>21</v>
      </c>
      <c r="G6018" t="s">
        <v>20</v>
      </c>
      <c r="H6018" t="s">
        <v>21</v>
      </c>
      <c r="I6018" t="s">
        <v>20</v>
      </c>
      <c r="J6018" t="s">
        <v>20</v>
      </c>
      <c r="K6018" t="s">
        <v>41</v>
      </c>
      <c r="L6018" t="s">
        <v>255</v>
      </c>
      <c r="M6018" t="s">
        <v>204</v>
      </c>
      <c r="N6018">
        <v>41.303764999999999</v>
      </c>
      <c r="O6018">
        <v>-111.826967</v>
      </c>
      <c r="P6018">
        <v>4912.8225750000001</v>
      </c>
      <c r="Q6018">
        <v>1429</v>
      </c>
      <c r="R6018">
        <v>0</v>
      </c>
    </row>
    <row r="6019" spans="1:18" x14ac:dyDescent="0.25">
      <c r="A6019">
        <v>7018</v>
      </c>
      <c r="B6019">
        <v>94</v>
      </c>
      <c r="C6019" t="e">
        <f>-IpZUuaTFM1l0c1qB7dKnF</f>
        <v>#NAME?</v>
      </c>
      <c r="D6019" t="s">
        <v>208</v>
      </c>
      <c r="E6019">
        <v>4.2859999999999996</v>
      </c>
      <c r="F6019" t="s">
        <v>21</v>
      </c>
      <c r="G6019" t="s">
        <v>26</v>
      </c>
      <c r="H6019" t="s">
        <v>21</v>
      </c>
      <c r="I6019" t="s">
        <v>20</v>
      </c>
      <c r="J6019" t="s">
        <v>20</v>
      </c>
      <c r="K6019" t="s">
        <v>31</v>
      </c>
      <c r="L6019" t="s">
        <v>209</v>
      </c>
      <c r="M6019" t="s">
        <v>131</v>
      </c>
      <c r="N6019">
        <v>40.640501</v>
      </c>
      <c r="O6019">
        <v>-111.49305699999999</v>
      </c>
      <c r="P6019">
        <v>7127.0457800000004</v>
      </c>
      <c r="Q6019">
        <v>357</v>
      </c>
      <c r="R6019">
        <v>0</v>
      </c>
    </row>
    <row r="6020" spans="1:18" x14ac:dyDescent="0.25">
      <c r="A6020">
        <v>7019</v>
      </c>
      <c r="B6020">
        <v>94</v>
      </c>
      <c r="C6020">
        <v>31386672</v>
      </c>
      <c r="D6020" t="s">
        <v>184</v>
      </c>
      <c r="E6020">
        <v>4.2910000000000004</v>
      </c>
      <c r="F6020" t="s">
        <v>21</v>
      </c>
      <c r="G6020" t="s">
        <v>26</v>
      </c>
      <c r="H6020" t="s">
        <v>21</v>
      </c>
      <c r="I6020" t="s">
        <v>20</v>
      </c>
      <c r="J6020" t="s">
        <v>20</v>
      </c>
      <c r="K6020" t="s">
        <v>27</v>
      </c>
      <c r="L6020" t="s">
        <v>54</v>
      </c>
      <c r="M6020" t="s">
        <v>55</v>
      </c>
      <c r="N6020">
        <v>37.706370999999997</v>
      </c>
      <c r="O6020">
        <v>-113.06275599999999</v>
      </c>
      <c r="P6020">
        <v>5622.3967929999999</v>
      </c>
      <c r="Q6020">
        <v>1410</v>
      </c>
      <c r="R6020">
        <v>0</v>
      </c>
    </row>
    <row r="6021" spans="1:18" x14ac:dyDescent="0.25">
      <c r="A6021">
        <v>7020</v>
      </c>
      <c r="B6021">
        <v>94</v>
      </c>
      <c r="C6021" t="e">
        <f>-Ip5EGSlInyqhDFaDww4TV</f>
        <v>#NAME?</v>
      </c>
      <c r="D6021" t="s">
        <v>348</v>
      </c>
      <c r="E6021">
        <v>4.2939999999999996</v>
      </c>
      <c r="F6021" t="s">
        <v>21</v>
      </c>
      <c r="G6021" t="s">
        <v>26</v>
      </c>
      <c r="H6021" t="s">
        <v>21</v>
      </c>
      <c r="I6021" t="s">
        <v>20</v>
      </c>
      <c r="J6021" t="s">
        <v>20</v>
      </c>
      <c r="K6021" t="s">
        <v>27</v>
      </c>
      <c r="L6021" t="s">
        <v>122</v>
      </c>
      <c r="M6021" t="s">
        <v>123</v>
      </c>
      <c r="N6021">
        <v>38.317965999999998</v>
      </c>
      <c r="O6021">
        <v>-110.674019</v>
      </c>
      <c r="P6021">
        <v>4423.5382639999998</v>
      </c>
      <c r="Q6021">
        <v>1388</v>
      </c>
      <c r="R6021">
        <v>0</v>
      </c>
    </row>
    <row r="6022" spans="1:18" x14ac:dyDescent="0.25">
      <c r="A6022">
        <v>7021</v>
      </c>
      <c r="B6022">
        <v>94</v>
      </c>
      <c r="C6022">
        <v>28476853</v>
      </c>
      <c r="D6022" t="s">
        <v>99</v>
      </c>
      <c r="E6022">
        <v>4.2990000000000004</v>
      </c>
      <c r="F6022" t="s">
        <v>19</v>
      </c>
      <c r="G6022" t="s">
        <v>20</v>
      </c>
      <c r="H6022" t="s">
        <v>21</v>
      </c>
      <c r="I6022" t="s">
        <v>20</v>
      </c>
      <c r="J6022" t="s">
        <v>20</v>
      </c>
      <c r="K6022" t="s">
        <v>41</v>
      </c>
      <c r="L6022" t="s">
        <v>81</v>
      </c>
      <c r="M6022" t="s">
        <v>82</v>
      </c>
      <c r="N6022">
        <v>41.210054</v>
      </c>
      <c r="O6022">
        <v>-111.95955600000001</v>
      </c>
      <c r="P6022">
        <v>4362.162053</v>
      </c>
      <c r="Q6022">
        <v>1376</v>
      </c>
      <c r="R6022">
        <v>0</v>
      </c>
    </row>
    <row r="6023" spans="1:18" x14ac:dyDescent="0.25">
      <c r="A6023">
        <v>7022</v>
      </c>
      <c r="B6023">
        <v>94</v>
      </c>
      <c r="C6023">
        <v>31759603</v>
      </c>
      <c r="D6023" t="s">
        <v>68</v>
      </c>
      <c r="E6023">
        <v>4.3029999999999999</v>
      </c>
      <c r="F6023" t="s">
        <v>21</v>
      </c>
      <c r="G6023" t="s">
        <v>26</v>
      </c>
      <c r="H6023" t="s">
        <v>21</v>
      </c>
      <c r="I6023" t="s">
        <v>20</v>
      </c>
      <c r="J6023" t="s">
        <v>20</v>
      </c>
      <c r="K6023" t="s">
        <v>31</v>
      </c>
      <c r="L6023" t="s">
        <v>69</v>
      </c>
      <c r="M6023" t="s">
        <v>70</v>
      </c>
      <c r="N6023">
        <v>40.674343</v>
      </c>
      <c r="O6023">
        <v>-111.87367500000001</v>
      </c>
      <c r="P6023">
        <v>4244.5438439999998</v>
      </c>
      <c r="Q6023">
        <v>431</v>
      </c>
      <c r="R6023">
        <v>0</v>
      </c>
    </row>
    <row r="6024" spans="1:18" x14ac:dyDescent="0.25">
      <c r="A6024">
        <v>7023</v>
      </c>
      <c r="B6024">
        <v>94</v>
      </c>
      <c r="C6024">
        <v>31592195</v>
      </c>
      <c r="D6024" t="s">
        <v>145</v>
      </c>
      <c r="E6024">
        <v>4.3070000000000004</v>
      </c>
      <c r="F6024" t="s">
        <v>21</v>
      </c>
      <c r="G6024" t="s">
        <v>26</v>
      </c>
      <c r="H6024" t="s">
        <v>21</v>
      </c>
      <c r="I6024" t="s">
        <v>20</v>
      </c>
      <c r="J6024" t="s">
        <v>20</v>
      </c>
      <c r="K6024" t="s">
        <v>27</v>
      </c>
      <c r="L6024" t="s">
        <v>146</v>
      </c>
      <c r="M6024" t="s">
        <v>147</v>
      </c>
      <c r="N6024">
        <v>37.872753000000003</v>
      </c>
      <c r="O6024">
        <v>-109.26388799999999</v>
      </c>
      <c r="P6024">
        <v>6712.3519349999997</v>
      </c>
      <c r="Q6024">
        <v>1291</v>
      </c>
      <c r="R6024">
        <v>0</v>
      </c>
    </row>
    <row r="6025" spans="1:18" x14ac:dyDescent="0.25">
      <c r="A6025">
        <v>7024</v>
      </c>
      <c r="B6025">
        <v>94</v>
      </c>
      <c r="C6025">
        <v>1008934</v>
      </c>
      <c r="D6025" t="s">
        <v>171</v>
      </c>
      <c r="E6025">
        <v>4.3099999999999996</v>
      </c>
      <c r="F6025" t="s">
        <v>21</v>
      </c>
      <c r="G6025" t="s">
        <v>26</v>
      </c>
      <c r="H6025" t="s">
        <v>21</v>
      </c>
      <c r="I6025" t="s">
        <v>20</v>
      </c>
      <c r="J6025" t="s">
        <v>20</v>
      </c>
      <c r="K6025" t="s">
        <v>31</v>
      </c>
      <c r="L6025" t="s">
        <v>78</v>
      </c>
      <c r="M6025" t="s">
        <v>79</v>
      </c>
      <c r="N6025">
        <v>40.696579999999997</v>
      </c>
      <c r="O6025">
        <v>-112.009508</v>
      </c>
      <c r="P6025">
        <v>4224.7360639999997</v>
      </c>
      <c r="Q6025">
        <v>346</v>
      </c>
      <c r="R6025">
        <v>0</v>
      </c>
    </row>
    <row r="6026" spans="1:18" x14ac:dyDescent="0.25">
      <c r="A6026">
        <v>7025</v>
      </c>
      <c r="B6026">
        <v>94</v>
      </c>
      <c r="C6026">
        <v>31530773</v>
      </c>
      <c r="D6026" t="s">
        <v>228</v>
      </c>
      <c r="E6026">
        <v>4.3109999999999999</v>
      </c>
      <c r="F6026" t="s">
        <v>21</v>
      </c>
      <c r="G6026" t="s">
        <v>26</v>
      </c>
      <c r="H6026" t="s">
        <v>21</v>
      </c>
      <c r="I6026" t="s">
        <v>20</v>
      </c>
      <c r="J6026" t="s">
        <v>20</v>
      </c>
      <c r="K6026" t="s">
        <v>22</v>
      </c>
      <c r="L6026" t="s">
        <v>155</v>
      </c>
      <c r="M6026" t="s">
        <v>76</v>
      </c>
      <c r="N6026">
        <v>39.528280000000002</v>
      </c>
      <c r="O6026">
        <v>-111.933829</v>
      </c>
      <c r="P6026">
        <v>5038.1679819999999</v>
      </c>
      <c r="Q6026">
        <v>320</v>
      </c>
      <c r="R6026">
        <v>0</v>
      </c>
    </row>
    <row r="6027" spans="1:18" x14ac:dyDescent="0.25">
      <c r="A6027">
        <v>7026</v>
      </c>
      <c r="B6027">
        <v>94</v>
      </c>
      <c r="C6027">
        <v>31444290</v>
      </c>
      <c r="D6027" t="s">
        <v>107</v>
      </c>
      <c r="E6027">
        <v>4.3150000000000004</v>
      </c>
      <c r="F6027" t="s">
        <v>21</v>
      </c>
      <c r="G6027" t="s">
        <v>26</v>
      </c>
      <c r="H6027" t="s">
        <v>21</v>
      </c>
      <c r="I6027" t="s">
        <v>20</v>
      </c>
      <c r="J6027" t="s">
        <v>20</v>
      </c>
      <c r="K6027" t="s">
        <v>41</v>
      </c>
      <c r="L6027" t="s">
        <v>81</v>
      </c>
      <c r="M6027" t="s">
        <v>93</v>
      </c>
      <c r="N6027">
        <v>41.255229</v>
      </c>
      <c r="O6027">
        <v>-111.97797</v>
      </c>
      <c r="P6027">
        <v>4225.3915139999999</v>
      </c>
      <c r="Q6027">
        <v>413</v>
      </c>
      <c r="R6027">
        <v>0</v>
      </c>
    </row>
    <row r="6028" spans="1:18" x14ac:dyDescent="0.25">
      <c r="A6028">
        <v>7027</v>
      </c>
      <c r="B6028">
        <v>94</v>
      </c>
      <c r="C6028" t="e">
        <f>-Ip5JvmQIeD00UaKnyn3UF</f>
        <v>#NAME?</v>
      </c>
      <c r="D6028" t="s">
        <v>208</v>
      </c>
      <c r="E6028">
        <v>4.3179999999999996</v>
      </c>
      <c r="F6028" t="s">
        <v>21</v>
      </c>
      <c r="G6028" t="s">
        <v>26</v>
      </c>
      <c r="H6028" t="s">
        <v>21</v>
      </c>
      <c r="I6028" t="s">
        <v>20</v>
      </c>
      <c r="J6028" t="s">
        <v>20</v>
      </c>
      <c r="K6028" t="s">
        <v>31</v>
      </c>
      <c r="L6028" t="s">
        <v>209</v>
      </c>
      <c r="M6028" t="s">
        <v>131</v>
      </c>
      <c r="N6028">
        <v>40.640963999999997</v>
      </c>
      <c r="O6028">
        <v>-111.493095</v>
      </c>
      <c r="P6028">
        <v>7114.1448030000001</v>
      </c>
      <c r="Q6028">
        <v>357</v>
      </c>
      <c r="R6028">
        <v>0</v>
      </c>
    </row>
    <row r="6029" spans="1:18" x14ac:dyDescent="0.25">
      <c r="A6029">
        <v>7028</v>
      </c>
      <c r="B6029">
        <v>94</v>
      </c>
      <c r="C6029">
        <v>31393491</v>
      </c>
      <c r="D6029" t="s">
        <v>114</v>
      </c>
      <c r="E6029">
        <v>4.32</v>
      </c>
      <c r="F6029" t="s">
        <v>21</v>
      </c>
      <c r="G6029" t="s">
        <v>26</v>
      </c>
      <c r="H6029" t="s">
        <v>21</v>
      </c>
      <c r="I6029" t="s">
        <v>20</v>
      </c>
      <c r="J6029" t="s">
        <v>20</v>
      </c>
      <c r="K6029" t="s">
        <v>41</v>
      </c>
      <c r="L6029" t="s">
        <v>87</v>
      </c>
      <c r="M6029" t="s">
        <v>82</v>
      </c>
      <c r="N6029">
        <v>41.103543999999999</v>
      </c>
      <c r="O6029">
        <v>-111.985873</v>
      </c>
      <c r="P6029">
        <v>4627.2478019999999</v>
      </c>
      <c r="Q6029">
        <v>405</v>
      </c>
      <c r="R6029">
        <v>0</v>
      </c>
    </row>
    <row r="6030" spans="1:18" x14ac:dyDescent="0.25">
      <c r="A6030">
        <v>7029</v>
      </c>
      <c r="B6030">
        <v>94</v>
      </c>
      <c r="C6030" t="s">
        <v>779</v>
      </c>
      <c r="D6030" t="s">
        <v>176</v>
      </c>
      <c r="E6030">
        <v>4.3259999999999996</v>
      </c>
      <c r="F6030" t="s">
        <v>21</v>
      </c>
      <c r="G6030" t="s">
        <v>26</v>
      </c>
      <c r="H6030" t="s">
        <v>21</v>
      </c>
      <c r="I6030" t="s">
        <v>20</v>
      </c>
      <c r="J6030" t="s">
        <v>20</v>
      </c>
      <c r="K6030" t="s">
        <v>41</v>
      </c>
      <c r="L6030" t="s">
        <v>177</v>
      </c>
      <c r="M6030" t="s">
        <v>178</v>
      </c>
      <c r="N6030">
        <v>41.530808999999998</v>
      </c>
      <c r="O6030">
        <v>-112.042737</v>
      </c>
      <c r="P6030">
        <v>4176.363437</v>
      </c>
      <c r="Q6030">
        <v>1329</v>
      </c>
      <c r="R6030">
        <v>0</v>
      </c>
    </row>
    <row r="6031" spans="1:18" x14ac:dyDescent="0.25">
      <c r="A6031">
        <v>7030</v>
      </c>
      <c r="B6031">
        <v>94</v>
      </c>
      <c r="C6031">
        <v>28881424</v>
      </c>
      <c r="D6031" t="s">
        <v>18</v>
      </c>
      <c r="E6031">
        <v>4.3310000000000004</v>
      </c>
      <c r="F6031" t="s">
        <v>19</v>
      </c>
      <c r="G6031" t="s">
        <v>20</v>
      </c>
      <c r="H6031" t="s">
        <v>19</v>
      </c>
      <c r="I6031">
        <v>189</v>
      </c>
      <c r="J6031" t="s">
        <v>20</v>
      </c>
      <c r="K6031" t="s">
        <v>22</v>
      </c>
      <c r="L6031" t="s">
        <v>23</v>
      </c>
      <c r="M6031" t="s">
        <v>24</v>
      </c>
      <c r="N6031">
        <v>40.255806999999997</v>
      </c>
      <c r="O6031">
        <v>-111.65861099999999</v>
      </c>
      <c r="P6031">
        <v>4567.7837259999997</v>
      </c>
      <c r="Q6031">
        <v>1281</v>
      </c>
      <c r="R6031">
        <v>0</v>
      </c>
    </row>
    <row r="6032" spans="1:18" x14ac:dyDescent="0.25">
      <c r="A6032">
        <v>7031</v>
      </c>
      <c r="B6032">
        <v>94</v>
      </c>
      <c r="C6032" t="e">
        <f>-IpP4NezF3uKf4ZxeeUIaF</f>
        <v>#NAME?</v>
      </c>
      <c r="D6032" t="s">
        <v>272</v>
      </c>
      <c r="E6032">
        <v>400.50099999999998</v>
      </c>
      <c r="F6032" t="s">
        <v>21</v>
      </c>
      <c r="G6032" t="s">
        <v>26</v>
      </c>
      <c r="H6032" t="s">
        <v>21</v>
      </c>
      <c r="I6032" t="s">
        <v>20</v>
      </c>
      <c r="J6032" t="s">
        <v>20</v>
      </c>
      <c r="K6032" t="s">
        <v>41</v>
      </c>
      <c r="L6032" t="s">
        <v>87</v>
      </c>
      <c r="M6032" t="s">
        <v>46</v>
      </c>
      <c r="N6032">
        <v>41.053120999999997</v>
      </c>
      <c r="O6032">
        <v>-111.910455</v>
      </c>
      <c r="P6032">
        <v>4732.7211040000002</v>
      </c>
      <c r="Q6032">
        <v>1384</v>
      </c>
      <c r="R6032">
        <v>0</v>
      </c>
    </row>
    <row r="6033" spans="1:18" x14ac:dyDescent="0.25">
      <c r="A6033">
        <v>7032</v>
      </c>
      <c r="B6033">
        <v>94</v>
      </c>
      <c r="C6033" t="e">
        <f>-IpZSSEeGlXTkbeV3t0LWF</f>
        <v>#NAME?</v>
      </c>
      <c r="D6033" t="s">
        <v>288</v>
      </c>
      <c r="E6033">
        <v>400.52699999999999</v>
      </c>
      <c r="F6033" t="s">
        <v>21</v>
      </c>
      <c r="G6033" t="s">
        <v>20</v>
      </c>
      <c r="H6033" t="s">
        <v>21</v>
      </c>
      <c r="I6033" t="s">
        <v>20</v>
      </c>
      <c r="J6033" t="s">
        <v>20</v>
      </c>
      <c r="K6033" t="s">
        <v>22</v>
      </c>
      <c r="L6033" t="s">
        <v>97</v>
      </c>
      <c r="M6033" t="s">
        <v>98</v>
      </c>
      <c r="N6033">
        <v>40.959831000000001</v>
      </c>
      <c r="O6033">
        <v>-109.469702</v>
      </c>
      <c r="P6033">
        <v>6516.5458840000001</v>
      </c>
      <c r="Q6033">
        <v>350</v>
      </c>
      <c r="R6033">
        <v>0</v>
      </c>
    </row>
    <row r="6034" spans="1:18" x14ac:dyDescent="0.25">
      <c r="A6034">
        <v>7033</v>
      </c>
      <c r="B6034">
        <v>94</v>
      </c>
      <c r="C6034">
        <v>31594688</v>
      </c>
      <c r="D6034" t="s">
        <v>288</v>
      </c>
      <c r="E6034">
        <v>400.68</v>
      </c>
      <c r="F6034" t="s">
        <v>21</v>
      </c>
      <c r="G6034" t="s">
        <v>26</v>
      </c>
      <c r="H6034" t="s">
        <v>21</v>
      </c>
      <c r="I6034" t="s">
        <v>20</v>
      </c>
      <c r="J6034" t="s">
        <v>20</v>
      </c>
      <c r="K6034" t="s">
        <v>22</v>
      </c>
      <c r="L6034" t="s">
        <v>97</v>
      </c>
      <c r="M6034" t="s">
        <v>98</v>
      </c>
      <c r="N6034">
        <v>40.962049999999998</v>
      </c>
      <c r="O6034">
        <v>-109.469492</v>
      </c>
      <c r="P6034">
        <v>6502.5346220000001</v>
      </c>
      <c r="Q6034">
        <v>350</v>
      </c>
      <c r="R6034">
        <v>0</v>
      </c>
    </row>
    <row r="6035" spans="1:18" x14ac:dyDescent="0.25">
      <c r="A6035">
        <v>7034</v>
      </c>
      <c r="B6035">
        <v>94</v>
      </c>
      <c r="C6035">
        <v>31191350</v>
      </c>
      <c r="D6035" t="s">
        <v>414</v>
      </c>
      <c r="E6035">
        <v>4.5049999999999999</v>
      </c>
      <c r="F6035" t="s">
        <v>21</v>
      </c>
      <c r="G6035" t="s">
        <v>26</v>
      </c>
      <c r="H6035" t="s">
        <v>21</v>
      </c>
      <c r="I6035" t="s">
        <v>20</v>
      </c>
      <c r="J6035" t="s">
        <v>20</v>
      </c>
      <c r="K6035" t="s">
        <v>27</v>
      </c>
      <c r="L6035" t="s">
        <v>350</v>
      </c>
      <c r="M6035" t="s">
        <v>58</v>
      </c>
      <c r="N6035">
        <v>39.146832000000003</v>
      </c>
      <c r="O6035">
        <v>-111.741505</v>
      </c>
      <c r="P6035">
        <v>5284.6449919999995</v>
      </c>
      <c r="Q6035">
        <v>336</v>
      </c>
      <c r="R6035">
        <v>0</v>
      </c>
    </row>
    <row r="6036" spans="1:18" x14ac:dyDescent="0.25">
      <c r="A6036">
        <v>7035</v>
      </c>
      <c r="B6036">
        <v>94</v>
      </c>
      <c r="C6036">
        <v>1009031</v>
      </c>
      <c r="D6036" t="s">
        <v>171</v>
      </c>
      <c r="E6036">
        <v>4.5069999999999997</v>
      </c>
      <c r="F6036" t="s">
        <v>19</v>
      </c>
      <c r="G6036" t="s">
        <v>20</v>
      </c>
      <c r="H6036" t="s">
        <v>21</v>
      </c>
      <c r="I6036" t="s">
        <v>20</v>
      </c>
      <c r="J6036" t="s">
        <v>20</v>
      </c>
      <c r="K6036" t="s">
        <v>31</v>
      </c>
      <c r="L6036" t="s">
        <v>78</v>
      </c>
      <c r="M6036" t="s">
        <v>79</v>
      </c>
      <c r="N6036">
        <v>40.696579999999997</v>
      </c>
      <c r="O6036">
        <v>-112.00574899999999</v>
      </c>
      <c r="P6036">
        <v>4221.4652120000001</v>
      </c>
      <c r="Q6036">
        <v>346</v>
      </c>
      <c r="R6036">
        <v>0</v>
      </c>
    </row>
    <row r="6037" spans="1:18" x14ac:dyDescent="0.25">
      <c r="A6037">
        <v>7036</v>
      </c>
      <c r="B6037">
        <v>94</v>
      </c>
      <c r="C6037">
        <v>27375366</v>
      </c>
      <c r="D6037" t="s">
        <v>185</v>
      </c>
      <c r="E6037">
        <v>4.5090000000000003</v>
      </c>
      <c r="F6037" t="s">
        <v>21</v>
      </c>
      <c r="G6037" t="s">
        <v>26</v>
      </c>
      <c r="H6037" t="s">
        <v>19</v>
      </c>
      <c r="I6037">
        <v>110</v>
      </c>
      <c r="J6037" t="s">
        <v>20</v>
      </c>
      <c r="K6037" t="s">
        <v>41</v>
      </c>
      <c r="L6037" t="s">
        <v>57</v>
      </c>
      <c r="M6037" t="s">
        <v>58</v>
      </c>
      <c r="N6037">
        <v>41.139865999999998</v>
      </c>
      <c r="O6037">
        <v>-112.112528</v>
      </c>
      <c r="P6037">
        <v>4182.4990749999997</v>
      </c>
      <c r="Q6037">
        <v>309</v>
      </c>
      <c r="R6037">
        <v>0</v>
      </c>
    </row>
    <row r="6038" spans="1:18" x14ac:dyDescent="0.25">
      <c r="A6038">
        <v>7037</v>
      </c>
      <c r="B6038">
        <v>94</v>
      </c>
      <c r="C6038">
        <v>31792441</v>
      </c>
      <c r="D6038" t="s">
        <v>99</v>
      </c>
      <c r="E6038">
        <v>4.5149999999999997</v>
      </c>
      <c r="F6038" t="s">
        <v>21</v>
      </c>
      <c r="G6038" t="s">
        <v>20</v>
      </c>
      <c r="H6038" t="s">
        <v>21</v>
      </c>
      <c r="I6038" t="s">
        <v>20</v>
      </c>
      <c r="J6038" t="s">
        <v>20</v>
      </c>
      <c r="K6038" t="s">
        <v>41</v>
      </c>
      <c r="L6038" t="s">
        <v>81</v>
      </c>
      <c r="M6038" t="s">
        <v>82</v>
      </c>
      <c r="N6038">
        <v>41.210000999999998</v>
      </c>
      <c r="O6038">
        <v>-111.955389</v>
      </c>
      <c r="P6038">
        <v>4395.0114460000004</v>
      </c>
      <c r="Q6038">
        <v>1376</v>
      </c>
      <c r="R6038">
        <v>0</v>
      </c>
    </row>
    <row r="6039" spans="1:18" x14ac:dyDescent="0.25">
      <c r="A6039">
        <v>7038</v>
      </c>
      <c r="B6039">
        <v>94</v>
      </c>
      <c r="C6039">
        <v>31273816</v>
      </c>
      <c r="D6039" t="s">
        <v>241</v>
      </c>
      <c r="E6039">
        <v>4.5179999999999998</v>
      </c>
      <c r="F6039" t="s">
        <v>21</v>
      </c>
      <c r="G6039" t="s">
        <v>26</v>
      </c>
      <c r="H6039" t="s">
        <v>21</v>
      </c>
      <c r="I6039" t="s">
        <v>20</v>
      </c>
      <c r="J6039" t="s">
        <v>20</v>
      </c>
      <c r="K6039" t="s">
        <v>27</v>
      </c>
      <c r="L6039" t="s">
        <v>242</v>
      </c>
      <c r="M6039" t="s">
        <v>243</v>
      </c>
      <c r="N6039">
        <v>38.825254999999999</v>
      </c>
      <c r="O6039">
        <v>-111.32512199999999</v>
      </c>
      <c r="P6039">
        <v>6151.229945</v>
      </c>
      <c r="Q6039">
        <v>1327</v>
      </c>
      <c r="R6039">
        <v>0</v>
      </c>
    </row>
    <row r="6040" spans="1:18" x14ac:dyDescent="0.25">
      <c r="A6040">
        <v>7039</v>
      </c>
      <c r="B6040">
        <v>94</v>
      </c>
      <c r="C6040">
        <v>2836192</v>
      </c>
      <c r="D6040" t="s">
        <v>113</v>
      </c>
      <c r="E6040">
        <v>4.5250000000000004</v>
      </c>
      <c r="F6040" t="s">
        <v>21</v>
      </c>
      <c r="G6040" t="s">
        <v>26</v>
      </c>
      <c r="H6040" t="s">
        <v>21</v>
      </c>
      <c r="I6040" t="s">
        <v>20</v>
      </c>
      <c r="J6040" t="s">
        <v>20</v>
      </c>
      <c r="K6040" t="s">
        <v>41</v>
      </c>
      <c r="L6040" t="s">
        <v>87</v>
      </c>
      <c r="M6040" t="s">
        <v>58</v>
      </c>
      <c r="N6040">
        <v>41.134782000000001</v>
      </c>
      <c r="O6040">
        <v>-111.956902</v>
      </c>
      <c r="P6040">
        <v>4426.6768700000002</v>
      </c>
      <c r="Q6040">
        <v>1363</v>
      </c>
      <c r="R6040">
        <v>0</v>
      </c>
    </row>
    <row r="6041" spans="1:18" x14ac:dyDescent="0.25">
      <c r="A6041">
        <v>7040</v>
      </c>
      <c r="B6041">
        <v>94</v>
      </c>
      <c r="C6041">
        <v>31292949</v>
      </c>
      <c r="D6041" t="s">
        <v>203</v>
      </c>
      <c r="E6041">
        <v>3.9630000000000001</v>
      </c>
      <c r="F6041" t="s">
        <v>19</v>
      </c>
      <c r="G6041" t="s">
        <v>20</v>
      </c>
      <c r="H6041" t="s">
        <v>21</v>
      </c>
      <c r="I6041" t="s">
        <v>20</v>
      </c>
      <c r="J6041" t="s">
        <v>20</v>
      </c>
      <c r="K6041" t="s">
        <v>41</v>
      </c>
      <c r="L6041" t="s">
        <v>81</v>
      </c>
      <c r="M6041" t="s">
        <v>204</v>
      </c>
      <c r="N6041">
        <v>41.244624000000002</v>
      </c>
      <c r="O6041">
        <v>-112.016846</v>
      </c>
      <c r="P6041">
        <v>4206.740272</v>
      </c>
      <c r="Q6041">
        <v>1349</v>
      </c>
      <c r="R6041">
        <v>0</v>
      </c>
    </row>
    <row r="6042" spans="1:18" x14ac:dyDescent="0.25">
      <c r="A6042">
        <v>7041</v>
      </c>
      <c r="B6042">
        <v>94</v>
      </c>
      <c r="C6042">
        <v>31631442</v>
      </c>
      <c r="D6042" t="s">
        <v>332</v>
      </c>
      <c r="E6042">
        <v>3.9660000000000002</v>
      </c>
      <c r="F6042" t="s">
        <v>21</v>
      </c>
      <c r="G6042" t="s">
        <v>26</v>
      </c>
      <c r="H6042" t="s">
        <v>21</v>
      </c>
      <c r="I6042" t="s">
        <v>20</v>
      </c>
      <c r="J6042" t="s">
        <v>20</v>
      </c>
      <c r="K6042" t="s">
        <v>31</v>
      </c>
      <c r="L6042" t="s">
        <v>282</v>
      </c>
      <c r="M6042" t="s">
        <v>206</v>
      </c>
      <c r="N6042">
        <v>40.566938</v>
      </c>
      <c r="O6042">
        <v>-112.367515</v>
      </c>
      <c r="P6042">
        <v>4452.574415</v>
      </c>
      <c r="Q6042">
        <v>1399</v>
      </c>
      <c r="R6042">
        <v>0</v>
      </c>
    </row>
    <row r="6043" spans="1:18" x14ac:dyDescent="0.25">
      <c r="A6043">
        <v>7042</v>
      </c>
      <c r="B6043">
        <v>94</v>
      </c>
      <c r="C6043">
        <v>31430562</v>
      </c>
      <c r="D6043" t="s">
        <v>303</v>
      </c>
      <c r="E6043">
        <v>3.968</v>
      </c>
      <c r="F6043" t="s">
        <v>21</v>
      </c>
      <c r="G6043" t="s">
        <v>26</v>
      </c>
      <c r="H6043" t="s">
        <v>21</v>
      </c>
      <c r="I6043" t="s">
        <v>20</v>
      </c>
      <c r="J6043" t="s">
        <v>20</v>
      </c>
      <c r="K6043" t="s">
        <v>27</v>
      </c>
      <c r="L6043" t="s">
        <v>72</v>
      </c>
      <c r="M6043" t="s">
        <v>73</v>
      </c>
      <c r="N6043">
        <v>37.161574999999999</v>
      </c>
      <c r="O6043">
        <v>-113.389754</v>
      </c>
      <c r="P6043">
        <v>2730.9539949999998</v>
      </c>
      <c r="Q6043">
        <v>1326</v>
      </c>
      <c r="R6043">
        <v>0</v>
      </c>
    </row>
    <row r="6044" spans="1:18" x14ac:dyDescent="0.25">
      <c r="A6044">
        <v>7043</v>
      </c>
      <c r="B6044">
        <v>94</v>
      </c>
      <c r="C6044">
        <v>27599607</v>
      </c>
      <c r="D6044" t="s">
        <v>110</v>
      </c>
      <c r="E6044">
        <v>3.9689999999999999</v>
      </c>
      <c r="F6044" t="s">
        <v>21</v>
      </c>
      <c r="G6044" t="s">
        <v>20</v>
      </c>
      <c r="H6044" t="s">
        <v>21</v>
      </c>
      <c r="I6044" t="s">
        <v>20</v>
      </c>
      <c r="J6044" t="s">
        <v>20</v>
      </c>
      <c r="K6044" t="s">
        <v>27</v>
      </c>
      <c r="L6044" t="s">
        <v>111</v>
      </c>
      <c r="M6044" t="s">
        <v>112</v>
      </c>
      <c r="N6044">
        <v>39.223348999999999</v>
      </c>
      <c r="O6044">
        <v>-111.070446</v>
      </c>
      <c r="P6044">
        <v>5834.7816510000002</v>
      </c>
      <c r="Q6044">
        <v>1361</v>
      </c>
      <c r="R6044">
        <v>0</v>
      </c>
    </row>
    <row r="6045" spans="1:18" x14ac:dyDescent="0.25">
      <c r="A6045">
        <v>7044</v>
      </c>
      <c r="B6045">
        <v>94</v>
      </c>
      <c r="C6045">
        <v>1418488</v>
      </c>
      <c r="D6045" t="s">
        <v>109</v>
      </c>
      <c r="E6045">
        <v>3.9740000000000002</v>
      </c>
      <c r="F6045" t="s">
        <v>21</v>
      </c>
      <c r="G6045" t="s">
        <v>26</v>
      </c>
      <c r="H6045" t="s">
        <v>21</v>
      </c>
      <c r="I6045" t="s">
        <v>20</v>
      </c>
      <c r="J6045" t="s">
        <v>20</v>
      </c>
      <c r="K6045" t="s">
        <v>41</v>
      </c>
      <c r="L6045" t="s">
        <v>42</v>
      </c>
      <c r="M6045" t="s">
        <v>73</v>
      </c>
      <c r="N6045">
        <v>41.619767000000003</v>
      </c>
      <c r="O6045">
        <v>-111.832694</v>
      </c>
      <c r="P6045">
        <v>4749.0258679999997</v>
      </c>
      <c r="Q6045">
        <v>345</v>
      </c>
      <c r="R6045">
        <v>0</v>
      </c>
    </row>
    <row r="6046" spans="1:18" x14ac:dyDescent="0.25">
      <c r="A6046">
        <v>7045</v>
      </c>
      <c r="B6046">
        <v>94</v>
      </c>
      <c r="C6046" t="s">
        <v>780</v>
      </c>
      <c r="D6046" t="s">
        <v>272</v>
      </c>
      <c r="E6046">
        <v>336.52600000000001</v>
      </c>
      <c r="F6046" t="s">
        <v>19</v>
      </c>
      <c r="G6046" t="s">
        <v>20</v>
      </c>
      <c r="H6046" t="s">
        <v>21</v>
      </c>
      <c r="I6046" t="s">
        <v>20</v>
      </c>
      <c r="J6046" t="s">
        <v>20</v>
      </c>
      <c r="K6046" t="s">
        <v>22</v>
      </c>
      <c r="L6046" t="s">
        <v>23</v>
      </c>
      <c r="M6046" t="s">
        <v>125</v>
      </c>
      <c r="N6046">
        <v>40.25656</v>
      </c>
      <c r="O6046">
        <v>-111.672524</v>
      </c>
      <c r="P6046">
        <v>4551.9877710000001</v>
      </c>
      <c r="Q6046">
        <v>1384</v>
      </c>
      <c r="R6046">
        <v>0</v>
      </c>
    </row>
    <row r="6047" spans="1:18" x14ac:dyDescent="0.25">
      <c r="A6047">
        <v>7046</v>
      </c>
      <c r="B6047">
        <v>94</v>
      </c>
      <c r="C6047" t="e">
        <f>-IoSaPQWHMy95pwsY7I9ZF</f>
        <v>#NAME?</v>
      </c>
      <c r="D6047" t="s">
        <v>272</v>
      </c>
      <c r="E6047">
        <v>336.73599999999999</v>
      </c>
      <c r="F6047" t="s">
        <v>19</v>
      </c>
      <c r="G6047" t="s">
        <v>20</v>
      </c>
      <c r="H6047" t="s">
        <v>21</v>
      </c>
      <c r="I6047" t="s">
        <v>20</v>
      </c>
      <c r="J6047" t="s">
        <v>20</v>
      </c>
      <c r="K6047" t="s">
        <v>22</v>
      </c>
      <c r="L6047" t="s">
        <v>23</v>
      </c>
      <c r="M6047" t="s">
        <v>125</v>
      </c>
      <c r="N6047">
        <v>40.259025999999999</v>
      </c>
      <c r="O6047">
        <v>-111.674806</v>
      </c>
      <c r="P6047">
        <v>4594.1300380000002</v>
      </c>
      <c r="Q6047">
        <v>1384</v>
      </c>
      <c r="R6047">
        <v>0</v>
      </c>
    </row>
    <row r="6048" spans="1:18" x14ac:dyDescent="0.25">
      <c r="A6048">
        <v>7047</v>
      </c>
      <c r="B6048">
        <v>94</v>
      </c>
      <c r="C6048" t="e">
        <f>-IoSbdLrI8PyP-vA4AZYdk</f>
        <v>#NAME?</v>
      </c>
      <c r="D6048" t="s">
        <v>272</v>
      </c>
      <c r="E6048">
        <v>336.94200000000001</v>
      </c>
      <c r="F6048" t="s">
        <v>21</v>
      </c>
      <c r="G6048" t="s">
        <v>20</v>
      </c>
      <c r="H6048" t="s">
        <v>21</v>
      </c>
      <c r="I6048" t="s">
        <v>20</v>
      </c>
      <c r="J6048" t="s">
        <v>20</v>
      </c>
      <c r="K6048" t="s">
        <v>22</v>
      </c>
      <c r="L6048" t="s">
        <v>23</v>
      </c>
      <c r="M6048" t="s">
        <v>125</v>
      </c>
      <c r="N6048">
        <v>40.261437000000001</v>
      </c>
      <c r="O6048">
        <v>-111.677054</v>
      </c>
      <c r="P6048">
        <v>4635.8518480000002</v>
      </c>
      <c r="Q6048">
        <v>1384</v>
      </c>
      <c r="R6048">
        <v>0</v>
      </c>
    </row>
    <row r="6049" spans="1:18" x14ac:dyDescent="0.25">
      <c r="A6049">
        <v>7048</v>
      </c>
      <c r="B6049">
        <v>94</v>
      </c>
      <c r="C6049" t="e">
        <f>-Ip0CDf0Ft5nh9KnuGl4ek</f>
        <v>#NAME?</v>
      </c>
      <c r="D6049" t="s">
        <v>272</v>
      </c>
      <c r="E6049">
        <v>374.97800000000001</v>
      </c>
      <c r="F6049" t="s">
        <v>21</v>
      </c>
      <c r="G6049" t="s">
        <v>26</v>
      </c>
      <c r="H6049" t="s">
        <v>21</v>
      </c>
      <c r="I6049" t="s">
        <v>20</v>
      </c>
      <c r="J6049" t="s">
        <v>20</v>
      </c>
      <c r="K6049" t="s">
        <v>31</v>
      </c>
      <c r="L6049" t="s">
        <v>66</v>
      </c>
      <c r="M6049" t="s">
        <v>49</v>
      </c>
      <c r="N6049">
        <v>40.70729</v>
      </c>
      <c r="O6049">
        <v>-111.88828700000001</v>
      </c>
      <c r="P6049">
        <v>4198.6077990000003</v>
      </c>
      <c r="Q6049">
        <v>1384</v>
      </c>
      <c r="R6049">
        <v>0</v>
      </c>
    </row>
    <row r="6050" spans="1:18" x14ac:dyDescent="0.25">
      <c r="A6050">
        <v>7049</v>
      </c>
      <c r="B6050">
        <v>94</v>
      </c>
      <c r="C6050" t="e">
        <f>-Ip0CZ4wG2qyiwlyQg1msk</f>
        <v>#NAME?</v>
      </c>
      <c r="D6050" t="s">
        <v>272</v>
      </c>
      <c r="E6050">
        <v>374.98700000000002</v>
      </c>
      <c r="F6050" t="s">
        <v>21</v>
      </c>
      <c r="G6050" t="s">
        <v>26</v>
      </c>
      <c r="H6050" t="s">
        <v>21</v>
      </c>
      <c r="I6050" t="s">
        <v>20</v>
      </c>
      <c r="J6050" t="s">
        <v>20</v>
      </c>
      <c r="K6050" t="s">
        <v>31</v>
      </c>
      <c r="L6050" t="s">
        <v>66</v>
      </c>
      <c r="M6050" t="s">
        <v>49</v>
      </c>
      <c r="N6050">
        <v>40.707414</v>
      </c>
      <c r="O6050">
        <v>-111.88828599999999</v>
      </c>
      <c r="P6050">
        <v>4198.1778649999997</v>
      </c>
      <c r="Q6050">
        <v>1384</v>
      </c>
      <c r="R6050">
        <v>0</v>
      </c>
    </row>
    <row r="6051" spans="1:18" x14ac:dyDescent="0.25">
      <c r="A6051">
        <v>7050</v>
      </c>
      <c r="B6051">
        <v>94</v>
      </c>
      <c r="C6051" t="e">
        <f>-Ip0EdETIjTQzlUwne0cJk</f>
        <v>#NAME?</v>
      </c>
      <c r="D6051" t="s">
        <v>272</v>
      </c>
      <c r="E6051">
        <v>375.096</v>
      </c>
      <c r="F6051" t="s">
        <v>21</v>
      </c>
      <c r="G6051" t="s">
        <v>26</v>
      </c>
      <c r="H6051" t="s">
        <v>21</v>
      </c>
      <c r="I6051" t="s">
        <v>20</v>
      </c>
      <c r="J6051" t="s">
        <v>20</v>
      </c>
      <c r="K6051" t="s">
        <v>31</v>
      </c>
      <c r="L6051" t="s">
        <v>66</v>
      </c>
      <c r="M6051" t="s">
        <v>49</v>
      </c>
      <c r="N6051">
        <v>40.709018</v>
      </c>
      <c r="O6051">
        <v>-111.888274</v>
      </c>
      <c r="P6051">
        <v>4196.4188029999996</v>
      </c>
      <c r="Q6051">
        <v>1384</v>
      </c>
      <c r="R6051">
        <v>0</v>
      </c>
    </row>
    <row r="6052" spans="1:18" x14ac:dyDescent="0.25">
      <c r="A6052">
        <v>7051</v>
      </c>
      <c r="B6052">
        <v>94</v>
      </c>
      <c r="C6052" t="e">
        <f>-Ip0FRHZHieOzQEPpEyAjF</f>
        <v>#NAME?</v>
      </c>
      <c r="D6052" t="s">
        <v>272</v>
      </c>
      <c r="E6052">
        <v>375.16500000000002</v>
      </c>
      <c r="F6052" t="s">
        <v>21</v>
      </c>
      <c r="G6052" t="s">
        <v>26</v>
      </c>
      <c r="H6052" t="s">
        <v>21</v>
      </c>
      <c r="I6052" t="s">
        <v>20</v>
      </c>
      <c r="J6052" t="s">
        <v>20</v>
      </c>
      <c r="K6052" t="s">
        <v>31</v>
      </c>
      <c r="L6052" t="s">
        <v>66</v>
      </c>
      <c r="M6052" t="s">
        <v>49</v>
      </c>
      <c r="N6052">
        <v>40.710040999999997</v>
      </c>
      <c r="O6052">
        <v>-111.888175</v>
      </c>
      <c r="P6052">
        <v>4195.4022240000004</v>
      </c>
      <c r="Q6052">
        <v>1384</v>
      </c>
      <c r="R6052">
        <v>0</v>
      </c>
    </row>
    <row r="6053" spans="1:18" x14ac:dyDescent="0.25">
      <c r="A6053">
        <v>7052</v>
      </c>
      <c r="B6053">
        <v>94</v>
      </c>
      <c r="C6053" t="e">
        <f>-Ip0GuMuIviAjl1wm1gIUF</f>
        <v>#NAME?</v>
      </c>
      <c r="D6053" t="s">
        <v>272</v>
      </c>
      <c r="E6053">
        <v>375.22899999999998</v>
      </c>
      <c r="F6053" t="s">
        <v>21</v>
      </c>
      <c r="G6053" t="s">
        <v>26</v>
      </c>
      <c r="H6053" t="s">
        <v>21</v>
      </c>
      <c r="I6053" t="s">
        <v>20</v>
      </c>
      <c r="J6053" t="s">
        <v>20</v>
      </c>
      <c r="K6053" t="s">
        <v>31</v>
      </c>
      <c r="L6053" t="s">
        <v>66</v>
      </c>
      <c r="M6053" t="s">
        <v>49</v>
      </c>
      <c r="N6053">
        <v>40.710959000000003</v>
      </c>
      <c r="O6053">
        <v>-111.888273</v>
      </c>
      <c r="P6053">
        <v>4195.8769309999998</v>
      </c>
      <c r="Q6053">
        <v>1384</v>
      </c>
      <c r="R6053">
        <v>0</v>
      </c>
    </row>
    <row r="6054" spans="1:18" x14ac:dyDescent="0.25">
      <c r="A6054">
        <v>7053</v>
      </c>
      <c r="B6054">
        <v>94</v>
      </c>
      <c r="C6054" t="s">
        <v>781</v>
      </c>
      <c r="D6054" t="s">
        <v>272</v>
      </c>
      <c r="E6054">
        <v>375.34699999999998</v>
      </c>
      <c r="F6054" t="s">
        <v>19</v>
      </c>
      <c r="G6054" t="s">
        <v>20</v>
      </c>
      <c r="H6054" t="s">
        <v>21</v>
      </c>
      <c r="I6054" t="s">
        <v>20</v>
      </c>
      <c r="J6054" t="s">
        <v>20</v>
      </c>
      <c r="K6054" t="s">
        <v>31</v>
      </c>
      <c r="L6054" t="s">
        <v>66</v>
      </c>
      <c r="M6054" t="s">
        <v>49</v>
      </c>
      <c r="N6054">
        <v>40.712688999999997</v>
      </c>
      <c r="O6054">
        <v>-111.888262</v>
      </c>
      <c r="P6054">
        <v>4196.4318380000004</v>
      </c>
      <c r="Q6054">
        <v>1384</v>
      </c>
      <c r="R6054">
        <v>0</v>
      </c>
    </row>
    <row r="6055" spans="1:18" x14ac:dyDescent="0.25">
      <c r="A6055">
        <v>7054</v>
      </c>
      <c r="B6055">
        <v>94</v>
      </c>
      <c r="C6055" t="e">
        <f>-Ip0KnC0GXXn2nrOwmf0WV</f>
        <v>#NAME?</v>
      </c>
      <c r="D6055" t="s">
        <v>272</v>
      </c>
      <c r="E6055">
        <v>375.40699999999998</v>
      </c>
      <c r="F6055" t="s">
        <v>21</v>
      </c>
      <c r="G6055" t="s">
        <v>26</v>
      </c>
      <c r="H6055" t="s">
        <v>21</v>
      </c>
      <c r="I6055" t="s">
        <v>20</v>
      </c>
      <c r="J6055" t="s">
        <v>20</v>
      </c>
      <c r="K6055" t="s">
        <v>31</v>
      </c>
      <c r="L6055" t="s">
        <v>66</v>
      </c>
      <c r="M6055" t="s">
        <v>49</v>
      </c>
      <c r="N6055">
        <v>40.713574000000001</v>
      </c>
      <c r="O6055">
        <v>-111.888181</v>
      </c>
      <c r="P6055">
        <v>4196.2350809999998</v>
      </c>
      <c r="Q6055">
        <v>1384</v>
      </c>
      <c r="R6055">
        <v>0</v>
      </c>
    </row>
    <row r="6056" spans="1:18" x14ac:dyDescent="0.25">
      <c r="A6056">
        <v>7055</v>
      </c>
      <c r="B6056">
        <v>94</v>
      </c>
      <c r="C6056" t="s">
        <v>782</v>
      </c>
      <c r="D6056" t="s">
        <v>272</v>
      </c>
      <c r="E6056">
        <v>375.47</v>
      </c>
      <c r="F6056" t="s">
        <v>21</v>
      </c>
      <c r="G6056" t="s">
        <v>26</v>
      </c>
      <c r="H6056" t="s">
        <v>21</v>
      </c>
      <c r="I6056" t="s">
        <v>20</v>
      </c>
      <c r="J6056" t="s">
        <v>20</v>
      </c>
      <c r="K6056" t="s">
        <v>31</v>
      </c>
      <c r="L6056" t="s">
        <v>66</v>
      </c>
      <c r="M6056" t="s">
        <v>49</v>
      </c>
      <c r="N6056">
        <v>40.714489</v>
      </c>
      <c r="O6056">
        <v>-111.888246</v>
      </c>
      <c r="P6056">
        <v>4196.4561739999999</v>
      </c>
      <c r="Q6056">
        <v>1384</v>
      </c>
      <c r="R6056">
        <v>0</v>
      </c>
    </row>
    <row r="6057" spans="1:18" x14ac:dyDescent="0.25">
      <c r="A6057">
        <v>7056</v>
      </c>
      <c r="B6057">
        <v>94</v>
      </c>
      <c r="C6057" t="e">
        <f>-Ip0OKtmIxeo33eFIZu1nF</f>
        <v>#NAME?</v>
      </c>
      <c r="D6057" t="s">
        <v>272</v>
      </c>
      <c r="E6057">
        <v>375.53199999999998</v>
      </c>
      <c r="F6057" t="s">
        <v>21</v>
      </c>
      <c r="G6057" t="s">
        <v>26</v>
      </c>
      <c r="H6057" t="s">
        <v>21</v>
      </c>
      <c r="I6057" t="s">
        <v>20</v>
      </c>
      <c r="J6057" t="s">
        <v>20</v>
      </c>
      <c r="K6057" t="s">
        <v>31</v>
      </c>
      <c r="L6057" t="s">
        <v>66</v>
      </c>
      <c r="M6057" t="s">
        <v>49</v>
      </c>
      <c r="N6057">
        <v>40.715392999999999</v>
      </c>
      <c r="O6057">
        <v>-111.88817899999999</v>
      </c>
      <c r="P6057">
        <v>4196.5554620000003</v>
      </c>
      <c r="Q6057">
        <v>1384</v>
      </c>
      <c r="R6057">
        <v>0</v>
      </c>
    </row>
    <row r="6058" spans="1:18" x14ac:dyDescent="0.25">
      <c r="A6058">
        <v>7057</v>
      </c>
      <c r="B6058">
        <v>94</v>
      </c>
      <c r="C6058" t="s">
        <v>783</v>
      </c>
      <c r="D6058" t="s">
        <v>272</v>
      </c>
      <c r="E6058">
        <v>375.59399999999999</v>
      </c>
      <c r="F6058" t="s">
        <v>21</v>
      </c>
      <c r="G6058" t="s">
        <v>26</v>
      </c>
      <c r="H6058" t="s">
        <v>21</v>
      </c>
      <c r="I6058" t="s">
        <v>20</v>
      </c>
      <c r="J6058" t="s">
        <v>20</v>
      </c>
      <c r="K6058" t="s">
        <v>31</v>
      </c>
      <c r="L6058" t="s">
        <v>66</v>
      </c>
      <c r="M6058" t="s">
        <v>49</v>
      </c>
      <c r="N6058">
        <v>40.716306000000003</v>
      </c>
      <c r="O6058">
        <v>-111.888244</v>
      </c>
      <c r="P6058">
        <v>4196.950992</v>
      </c>
      <c r="Q6058">
        <v>1384</v>
      </c>
      <c r="R6058">
        <v>0</v>
      </c>
    </row>
    <row r="6059" spans="1:18" x14ac:dyDescent="0.25">
      <c r="A6059">
        <v>7058</v>
      </c>
      <c r="B6059">
        <v>94</v>
      </c>
      <c r="C6059" t="e">
        <f>-Ip0PGemH8iWSFKw_xjbrF</f>
        <v>#NAME?</v>
      </c>
      <c r="D6059" t="s">
        <v>272</v>
      </c>
      <c r="E6059">
        <v>375.649</v>
      </c>
      <c r="F6059" t="s">
        <v>21</v>
      </c>
      <c r="G6059" t="s">
        <v>26</v>
      </c>
      <c r="H6059" t="s">
        <v>21</v>
      </c>
      <c r="I6059" t="s">
        <v>20</v>
      </c>
      <c r="J6059" t="s">
        <v>20</v>
      </c>
      <c r="K6059" t="s">
        <v>31</v>
      </c>
      <c r="L6059" t="s">
        <v>66</v>
      </c>
      <c r="M6059" t="s">
        <v>49</v>
      </c>
      <c r="N6059">
        <v>40.717103000000002</v>
      </c>
      <c r="O6059">
        <v>-111.888177</v>
      </c>
      <c r="P6059">
        <v>4196.9781659999999</v>
      </c>
      <c r="Q6059">
        <v>1384</v>
      </c>
      <c r="R6059">
        <v>0</v>
      </c>
    </row>
    <row r="6060" spans="1:18" x14ac:dyDescent="0.25">
      <c r="A6060">
        <v>7059</v>
      </c>
      <c r="B6060">
        <v>94</v>
      </c>
      <c r="C6060" t="s">
        <v>784</v>
      </c>
      <c r="D6060" t="s">
        <v>272</v>
      </c>
      <c r="E6060">
        <v>375.70499999999998</v>
      </c>
      <c r="F6060" t="s">
        <v>19</v>
      </c>
      <c r="G6060" t="s">
        <v>20</v>
      </c>
      <c r="H6060" t="s">
        <v>21</v>
      </c>
      <c r="I6060" t="s">
        <v>20</v>
      </c>
      <c r="J6060" t="s">
        <v>20</v>
      </c>
      <c r="K6060" t="s">
        <v>31</v>
      </c>
      <c r="L6060" t="s">
        <v>66</v>
      </c>
      <c r="M6060" t="s">
        <v>49</v>
      </c>
      <c r="N6060">
        <v>40.717913000000003</v>
      </c>
      <c r="O6060">
        <v>-111.888239</v>
      </c>
      <c r="P6060">
        <v>4197.3746789999996</v>
      </c>
      <c r="Q6060">
        <v>1384</v>
      </c>
      <c r="R6060">
        <v>0</v>
      </c>
    </row>
    <row r="6061" spans="1:18" x14ac:dyDescent="0.25">
      <c r="A6061">
        <v>7060</v>
      </c>
      <c r="B6061">
        <v>94</v>
      </c>
      <c r="C6061" t="e">
        <f>-Ip0TkesHNytGRq7q4HXDF</f>
        <v>#NAME?</v>
      </c>
      <c r="D6061" t="s">
        <v>272</v>
      </c>
      <c r="E6061">
        <v>375.75</v>
      </c>
      <c r="F6061" t="s">
        <v>19</v>
      </c>
      <c r="G6061" t="s">
        <v>20</v>
      </c>
      <c r="H6061" t="s">
        <v>21</v>
      </c>
      <c r="I6061" t="s">
        <v>20</v>
      </c>
      <c r="J6061" t="s">
        <v>20</v>
      </c>
      <c r="K6061" t="s">
        <v>31</v>
      </c>
      <c r="L6061" t="s">
        <v>66</v>
      </c>
      <c r="M6061" t="s">
        <v>49</v>
      </c>
      <c r="N6061">
        <v>40.718587999999997</v>
      </c>
      <c r="O6061">
        <v>-111.88824700000001</v>
      </c>
      <c r="P6061">
        <v>4197.3735939999997</v>
      </c>
      <c r="Q6061">
        <v>1384</v>
      </c>
      <c r="R6061">
        <v>0</v>
      </c>
    </row>
    <row r="6062" spans="1:18" x14ac:dyDescent="0.25">
      <c r="A6062">
        <v>7061</v>
      </c>
      <c r="B6062">
        <v>94</v>
      </c>
      <c r="C6062" t="e">
        <f>-Ip0ZhiKFwiY-jEZfEjkKF</f>
        <v>#NAME?</v>
      </c>
      <c r="D6062" t="s">
        <v>272</v>
      </c>
      <c r="E6062">
        <v>375.81</v>
      </c>
      <c r="F6062" t="s">
        <v>21</v>
      </c>
      <c r="G6062" t="s">
        <v>26</v>
      </c>
      <c r="H6062" t="s">
        <v>21</v>
      </c>
      <c r="I6062" t="s">
        <v>20</v>
      </c>
      <c r="J6062" t="s">
        <v>20</v>
      </c>
      <c r="K6062" t="s">
        <v>31</v>
      </c>
      <c r="L6062" t="s">
        <v>66</v>
      </c>
      <c r="M6062" t="s">
        <v>49</v>
      </c>
      <c r="N6062">
        <v>40.719453999999999</v>
      </c>
      <c r="O6062">
        <v>-111.88815099999999</v>
      </c>
      <c r="P6062">
        <v>4196.8432430000003</v>
      </c>
      <c r="Q6062">
        <v>1384</v>
      </c>
      <c r="R6062">
        <v>0</v>
      </c>
    </row>
    <row r="6063" spans="1:18" x14ac:dyDescent="0.25">
      <c r="A6063">
        <v>7062</v>
      </c>
      <c r="B6063">
        <v>94</v>
      </c>
      <c r="C6063" t="e">
        <f>-Ip0Zv_JFsqdVYOd7sbyFV</f>
        <v>#NAME?</v>
      </c>
      <c r="D6063" t="s">
        <v>272</v>
      </c>
      <c r="E6063">
        <v>375.863</v>
      </c>
      <c r="F6063" t="s">
        <v>21</v>
      </c>
      <c r="G6063" t="s">
        <v>26</v>
      </c>
      <c r="H6063" t="s">
        <v>21</v>
      </c>
      <c r="I6063" t="s">
        <v>20</v>
      </c>
      <c r="J6063" t="s">
        <v>20</v>
      </c>
      <c r="K6063" t="s">
        <v>31</v>
      </c>
      <c r="L6063" t="s">
        <v>66</v>
      </c>
      <c r="M6063" t="s">
        <v>49</v>
      </c>
      <c r="N6063">
        <v>40.720236999999997</v>
      </c>
      <c r="O6063">
        <v>-111.88824700000001</v>
      </c>
      <c r="P6063">
        <v>4197.5591750000003</v>
      </c>
      <c r="Q6063">
        <v>1384</v>
      </c>
      <c r="R6063">
        <v>0</v>
      </c>
    </row>
    <row r="6064" spans="1:18" x14ac:dyDescent="0.25">
      <c r="A6064">
        <v>7063</v>
      </c>
      <c r="B6064">
        <v>94</v>
      </c>
      <c r="C6064">
        <v>31193495</v>
      </c>
      <c r="D6064" t="s">
        <v>374</v>
      </c>
      <c r="E6064">
        <v>2.016</v>
      </c>
      <c r="F6064" t="s">
        <v>21</v>
      </c>
      <c r="G6064" t="s">
        <v>26</v>
      </c>
      <c r="H6064" t="s">
        <v>21</v>
      </c>
      <c r="I6064" t="s">
        <v>20</v>
      </c>
      <c r="J6064" t="s">
        <v>20</v>
      </c>
      <c r="K6064" t="s">
        <v>22</v>
      </c>
      <c r="L6064" t="s">
        <v>234</v>
      </c>
      <c r="M6064" t="s">
        <v>169</v>
      </c>
      <c r="N6064">
        <v>40.399011999999999</v>
      </c>
      <c r="O6064">
        <v>-109.346073</v>
      </c>
      <c r="P6064">
        <v>4783.515942</v>
      </c>
      <c r="Q6064">
        <v>1422</v>
      </c>
      <c r="R6064">
        <v>0</v>
      </c>
    </row>
    <row r="6065" spans="1:18" x14ac:dyDescent="0.25">
      <c r="A6065">
        <v>7064</v>
      </c>
      <c r="B6065">
        <v>94</v>
      </c>
      <c r="C6065" t="e">
        <f>-JWSoUjPIu515PQ0TrS61k</f>
        <v>#NAME?</v>
      </c>
      <c r="D6065" t="s">
        <v>114</v>
      </c>
      <c r="E6065">
        <v>2.0169999999999999</v>
      </c>
      <c r="F6065" t="s">
        <v>19</v>
      </c>
      <c r="G6065" t="s">
        <v>20</v>
      </c>
      <c r="H6065" t="s">
        <v>21</v>
      </c>
      <c r="I6065" t="s">
        <v>20</v>
      </c>
      <c r="J6065" t="s">
        <v>20</v>
      </c>
      <c r="K6065" t="s">
        <v>41</v>
      </c>
      <c r="L6065" t="s">
        <v>87</v>
      </c>
      <c r="M6065" t="s">
        <v>256</v>
      </c>
      <c r="N6065">
        <v>41.105860999999997</v>
      </c>
      <c r="O6065">
        <v>-112.02871500000001</v>
      </c>
      <c r="P6065">
        <v>4380.1870570000001</v>
      </c>
      <c r="Q6065">
        <v>405</v>
      </c>
      <c r="R6065">
        <v>0</v>
      </c>
    </row>
    <row r="6066" spans="1:18" x14ac:dyDescent="0.25">
      <c r="A6066">
        <v>7065</v>
      </c>
      <c r="B6066">
        <v>94</v>
      </c>
      <c r="C6066">
        <v>31651173</v>
      </c>
      <c r="D6066" t="s">
        <v>249</v>
      </c>
      <c r="E6066">
        <v>2.0219999999999998</v>
      </c>
      <c r="F6066" t="s">
        <v>21</v>
      </c>
      <c r="G6066" t="s">
        <v>20</v>
      </c>
      <c r="H6066" t="s">
        <v>21</v>
      </c>
      <c r="I6066" t="s">
        <v>20</v>
      </c>
      <c r="J6066" t="s">
        <v>20</v>
      </c>
      <c r="K6066" t="s">
        <v>31</v>
      </c>
      <c r="L6066" t="s">
        <v>89</v>
      </c>
      <c r="M6066" t="s">
        <v>24</v>
      </c>
      <c r="N6066">
        <v>40.486165999999997</v>
      </c>
      <c r="O6066">
        <v>-111.907004</v>
      </c>
      <c r="P6066">
        <v>4424.1415310000002</v>
      </c>
      <c r="Q6066">
        <v>337</v>
      </c>
      <c r="R6066">
        <v>0</v>
      </c>
    </row>
    <row r="6067" spans="1:18" x14ac:dyDescent="0.25">
      <c r="A6067">
        <v>7066</v>
      </c>
      <c r="B6067">
        <v>94</v>
      </c>
      <c r="C6067">
        <v>31406549</v>
      </c>
      <c r="D6067" t="s">
        <v>74</v>
      </c>
      <c r="E6067">
        <v>2.0219999999999998</v>
      </c>
      <c r="F6067" t="s">
        <v>21</v>
      </c>
      <c r="G6067" t="s">
        <v>26</v>
      </c>
      <c r="H6067" t="s">
        <v>21</v>
      </c>
      <c r="I6067" t="s">
        <v>20</v>
      </c>
      <c r="J6067" t="s">
        <v>20</v>
      </c>
      <c r="K6067" t="s">
        <v>27</v>
      </c>
      <c r="L6067" t="s">
        <v>75</v>
      </c>
      <c r="M6067" t="s">
        <v>76</v>
      </c>
      <c r="N6067">
        <v>38.763911</v>
      </c>
      <c r="O6067">
        <v>-112.084771</v>
      </c>
      <c r="P6067">
        <v>5252.8905139999997</v>
      </c>
      <c r="Q6067">
        <v>332</v>
      </c>
      <c r="R6067">
        <v>0</v>
      </c>
    </row>
    <row r="6068" spans="1:18" x14ac:dyDescent="0.25">
      <c r="A6068">
        <v>7067</v>
      </c>
      <c r="B6068">
        <v>94</v>
      </c>
      <c r="C6068" t="s">
        <v>785</v>
      </c>
      <c r="D6068" t="s">
        <v>192</v>
      </c>
      <c r="E6068">
        <v>7.0069999999999997</v>
      </c>
      <c r="F6068" t="s">
        <v>21</v>
      </c>
      <c r="G6068" t="s">
        <v>26</v>
      </c>
      <c r="H6068" t="s">
        <v>21</v>
      </c>
      <c r="I6068" t="s">
        <v>20</v>
      </c>
      <c r="J6068" t="s">
        <v>20</v>
      </c>
      <c r="K6068" t="s">
        <v>22</v>
      </c>
      <c r="L6068" t="s">
        <v>140</v>
      </c>
      <c r="M6068" t="s">
        <v>125</v>
      </c>
      <c r="N6068">
        <v>40.161378999999997</v>
      </c>
      <c r="O6068">
        <v>-111.649822</v>
      </c>
      <c r="P6068">
        <v>4451.2841090000002</v>
      </c>
      <c r="Q6068">
        <v>1375</v>
      </c>
      <c r="R6068">
        <v>0</v>
      </c>
    </row>
    <row r="6069" spans="1:18" x14ac:dyDescent="0.25">
      <c r="A6069">
        <v>7068</v>
      </c>
      <c r="B6069">
        <v>94</v>
      </c>
      <c r="C6069">
        <v>1385558</v>
      </c>
      <c r="D6069" t="s">
        <v>100</v>
      </c>
      <c r="E6069">
        <v>7.008</v>
      </c>
      <c r="F6069" t="s">
        <v>19</v>
      </c>
      <c r="G6069" t="s">
        <v>20</v>
      </c>
      <c r="H6069" t="s">
        <v>21</v>
      </c>
      <c r="I6069" t="s">
        <v>20</v>
      </c>
      <c r="J6069" t="s">
        <v>20</v>
      </c>
      <c r="K6069" t="s">
        <v>41</v>
      </c>
      <c r="L6069" t="s">
        <v>57</v>
      </c>
      <c r="M6069" t="s">
        <v>46</v>
      </c>
      <c r="N6069">
        <v>41.132629000000001</v>
      </c>
      <c r="O6069">
        <v>-112.064486</v>
      </c>
      <c r="P6069">
        <v>4318.5834139999997</v>
      </c>
      <c r="Q6069">
        <v>1396</v>
      </c>
      <c r="R6069">
        <v>0</v>
      </c>
    </row>
    <row r="6070" spans="1:18" x14ac:dyDescent="0.25">
      <c r="A6070">
        <v>7069</v>
      </c>
      <c r="B6070">
        <v>94</v>
      </c>
      <c r="C6070">
        <v>551331</v>
      </c>
      <c r="D6070" t="s">
        <v>77</v>
      </c>
      <c r="E6070">
        <v>7.0090000000000003</v>
      </c>
      <c r="F6070" t="s">
        <v>19</v>
      </c>
      <c r="G6070" t="s">
        <v>20</v>
      </c>
      <c r="H6070" t="s">
        <v>21</v>
      </c>
      <c r="I6070" t="s">
        <v>20</v>
      </c>
      <c r="J6070" t="s">
        <v>20</v>
      </c>
      <c r="K6070" t="s">
        <v>31</v>
      </c>
      <c r="L6070" t="s">
        <v>78</v>
      </c>
      <c r="M6070" t="s">
        <v>79</v>
      </c>
      <c r="N6070">
        <v>40.740203000000001</v>
      </c>
      <c r="O6070">
        <v>-112.024925</v>
      </c>
      <c r="P6070">
        <v>4180.1226820000002</v>
      </c>
      <c r="Q6070">
        <v>1436</v>
      </c>
      <c r="R6070">
        <v>0</v>
      </c>
    </row>
    <row r="6071" spans="1:18" x14ac:dyDescent="0.25">
      <c r="A6071">
        <v>7070</v>
      </c>
      <c r="B6071">
        <v>94</v>
      </c>
      <c r="C6071">
        <v>31395739</v>
      </c>
      <c r="D6071" t="s">
        <v>114</v>
      </c>
      <c r="E6071">
        <v>7.0119999999999996</v>
      </c>
      <c r="F6071" t="s">
        <v>21</v>
      </c>
      <c r="G6071" t="s">
        <v>26</v>
      </c>
      <c r="H6071" t="s">
        <v>21</v>
      </c>
      <c r="I6071" t="s">
        <v>20</v>
      </c>
      <c r="J6071" t="s">
        <v>20</v>
      </c>
      <c r="K6071" t="s">
        <v>41</v>
      </c>
      <c r="L6071" t="s">
        <v>87</v>
      </c>
      <c r="M6071" t="s">
        <v>82</v>
      </c>
      <c r="N6071">
        <v>41.101529999999997</v>
      </c>
      <c r="O6071">
        <v>-111.934445</v>
      </c>
      <c r="P6071">
        <v>4764.2376350000004</v>
      </c>
      <c r="Q6071">
        <v>405</v>
      </c>
      <c r="R6071">
        <v>0</v>
      </c>
    </row>
    <row r="6072" spans="1:18" x14ac:dyDescent="0.25">
      <c r="A6072">
        <v>7071</v>
      </c>
      <c r="B6072">
        <v>94</v>
      </c>
      <c r="C6072">
        <v>31191282</v>
      </c>
      <c r="D6072" t="s">
        <v>310</v>
      </c>
      <c r="E6072">
        <v>7.0129999999999999</v>
      </c>
      <c r="F6072" t="s">
        <v>21</v>
      </c>
      <c r="G6072" t="s">
        <v>26</v>
      </c>
      <c r="H6072" t="s">
        <v>21</v>
      </c>
      <c r="I6072" t="s">
        <v>20</v>
      </c>
      <c r="J6072" t="s">
        <v>20</v>
      </c>
      <c r="K6072" t="s">
        <v>31</v>
      </c>
      <c r="L6072" t="s">
        <v>285</v>
      </c>
      <c r="M6072" t="s">
        <v>206</v>
      </c>
      <c r="N6072">
        <v>40.625754999999998</v>
      </c>
      <c r="O6072">
        <v>-112.508381</v>
      </c>
      <c r="P6072">
        <v>4285.7036179999996</v>
      </c>
      <c r="Q6072">
        <v>1414</v>
      </c>
      <c r="R6072">
        <v>0</v>
      </c>
    </row>
    <row r="6073" spans="1:18" x14ac:dyDescent="0.25">
      <c r="A6073">
        <v>7072</v>
      </c>
      <c r="B6073">
        <v>94</v>
      </c>
      <c r="C6073">
        <v>1033371</v>
      </c>
      <c r="D6073" t="s">
        <v>171</v>
      </c>
      <c r="E6073">
        <v>7.0140000000000002</v>
      </c>
      <c r="F6073" t="s">
        <v>19</v>
      </c>
      <c r="G6073" t="s">
        <v>20</v>
      </c>
      <c r="H6073" t="s">
        <v>21</v>
      </c>
      <c r="I6073" t="s">
        <v>20</v>
      </c>
      <c r="J6073" t="s">
        <v>20</v>
      </c>
      <c r="K6073" t="s">
        <v>31</v>
      </c>
      <c r="L6073" t="s">
        <v>362</v>
      </c>
      <c r="M6073" t="s">
        <v>79</v>
      </c>
      <c r="N6073">
        <v>40.696663999999998</v>
      </c>
      <c r="O6073">
        <v>-111.95801899999999</v>
      </c>
      <c r="P6073">
        <v>4198.7466599999998</v>
      </c>
      <c r="Q6073">
        <v>346</v>
      </c>
      <c r="R6073">
        <v>0</v>
      </c>
    </row>
    <row r="6074" spans="1:18" x14ac:dyDescent="0.25">
      <c r="A6074">
        <v>7073</v>
      </c>
      <c r="B6074">
        <v>94</v>
      </c>
      <c r="C6074">
        <v>31259820</v>
      </c>
      <c r="D6074" t="s">
        <v>303</v>
      </c>
      <c r="E6074">
        <v>7.0220000000000002</v>
      </c>
      <c r="F6074" t="s">
        <v>21</v>
      </c>
      <c r="G6074" t="s">
        <v>26</v>
      </c>
      <c r="H6074" t="s">
        <v>21</v>
      </c>
      <c r="I6074" t="s">
        <v>20</v>
      </c>
      <c r="J6074" t="s">
        <v>20</v>
      </c>
      <c r="K6074" t="s">
        <v>27</v>
      </c>
      <c r="L6074" t="s">
        <v>72</v>
      </c>
      <c r="M6074" t="s">
        <v>73</v>
      </c>
      <c r="N6074">
        <v>37.175275999999997</v>
      </c>
      <c r="O6074">
        <v>-113.337822</v>
      </c>
      <c r="P6074">
        <v>3145.1937029999999</v>
      </c>
      <c r="Q6074">
        <v>1326</v>
      </c>
      <c r="R6074">
        <v>0</v>
      </c>
    </row>
    <row r="6075" spans="1:18" x14ac:dyDescent="0.25">
      <c r="A6075">
        <v>7074</v>
      </c>
      <c r="B6075">
        <v>94</v>
      </c>
      <c r="C6075">
        <v>28161430</v>
      </c>
      <c r="D6075" t="s">
        <v>233</v>
      </c>
      <c r="E6075">
        <v>7.0270000000000001</v>
      </c>
      <c r="F6075" t="s">
        <v>21</v>
      </c>
      <c r="G6075" t="s">
        <v>26</v>
      </c>
      <c r="H6075" t="s">
        <v>21</v>
      </c>
      <c r="I6075" t="s">
        <v>20</v>
      </c>
      <c r="J6075" t="s">
        <v>20</v>
      </c>
      <c r="K6075" t="s">
        <v>22</v>
      </c>
      <c r="L6075" t="s">
        <v>234</v>
      </c>
      <c r="M6075" t="s">
        <v>235</v>
      </c>
      <c r="N6075">
        <v>40.048015999999997</v>
      </c>
      <c r="O6075">
        <v>-109.188604</v>
      </c>
      <c r="P6075">
        <v>5193.2165809999997</v>
      </c>
      <c r="Q6075">
        <v>1354</v>
      </c>
      <c r="R6075">
        <v>0</v>
      </c>
    </row>
    <row r="6076" spans="1:18" x14ac:dyDescent="0.25">
      <c r="A6076">
        <v>7075</v>
      </c>
      <c r="B6076">
        <v>94</v>
      </c>
      <c r="C6076">
        <v>31448357</v>
      </c>
      <c r="D6076" t="s">
        <v>91</v>
      </c>
      <c r="E6076">
        <v>7.2880000000000003</v>
      </c>
      <c r="F6076" t="s">
        <v>21</v>
      </c>
      <c r="G6076" t="s">
        <v>26</v>
      </c>
      <c r="H6076" t="s">
        <v>21</v>
      </c>
      <c r="I6076" t="s">
        <v>20</v>
      </c>
      <c r="J6076" t="s">
        <v>20</v>
      </c>
      <c r="K6076" t="s">
        <v>41</v>
      </c>
      <c r="L6076" t="s">
        <v>42</v>
      </c>
      <c r="M6076" t="s">
        <v>73</v>
      </c>
      <c r="N6076">
        <v>41.710619000000001</v>
      </c>
      <c r="O6076">
        <v>-111.979163</v>
      </c>
      <c r="P6076">
        <v>4447.5996999999998</v>
      </c>
      <c r="Q6076">
        <v>1339</v>
      </c>
      <c r="R6076">
        <v>0</v>
      </c>
    </row>
    <row r="6077" spans="1:18" x14ac:dyDescent="0.25">
      <c r="A6077">
        <v>7076</v>
      </c>
      <c r="B6077">
        <v>94</v>
      </c>
      <c r="C6077">
        <v>31780728</v>
      </c>
      <c r="D6077" t="s">
        <v>272</v>
      </c>
      <c r="E6077">
        <v>7.2930000000000001</v>
      </c>
      <c r="F6077" t="s">
        <v>21</v>
      </c>
      <c r="G6077" t="s">
        <v>26</v>
      </c>
      <c r="H6077" t="s">
        <v>21</v>
      </c>
      <c r="I6077" t="s">
        <v>20</v>
      </c>
      <c r="J6077" t="s">
        <v>20</v>
      </c>
      <c r="K6077" t="s">
        <v>27</v>
      </c>
      <c r="L6077" t="s">
        <v>259</v>
      </c>
      <c r="M6077" t="s">
        <v>214</v>
      </c>
      <c r="N6077">
        <v>37.077520999999997</v>
      </c>
      <c r="O6077">
        <v>-111.662425</v>
      </c>
      <c r="P6077">
        <v>4036.9532380000001</v>
      </c>
      <c r="Q6077">
        <v>1384</v>
      </c>
      <c r="R6077">
        <v>0</v>
      </c>
    </row>
    <row r="6078" spans="1:18" x14ac:dyDescent="0.25">
      <c r="A6078">
        <v>7077</v>
      </c>
      <c r="B6078">
        <v>94</v>
      </c>
      <c r="C6078">
        <v>2368113</v>
      </c>
      <c r="D6078" t="s">
        <v>113</v>
      </c>
      <c r="E6078">
        <v>7.3029999999999999</v>
      </c>
      <c r="F6078" t="s">
        <v>21</v>
      </c>
      <c r="G6078" t="s">
        <v>26</v>
      </c>
      <c r="H6078" t="s">
        <v>21</v>
      </c>
      <c r="I6078" t="s">
        <v>20</v>
      </c>
      <c r="J6078" t="s">
        <v>20</v>
      </c>
      <c r="K6078" t="s">
        <v>41</v>
      </c>
      <c r="L6078" t="s">
        <v>87</v>
      </c>
      <c r="M6078" t="s">
        <v>58</v>
      </c>
      <c r="N6078">
        <v>41.127977999999999</v>
      </c>
      <c r="O6078">
        <v>-111.909081</v>
      </c>
      <c r="P6078">
        <v>4513.7020860000002</v>
      </c>
      <c r="Q6078">
        <v>1363</v>
      </c>
      <c r="R6078">
        <v>0</v>
      </c>
    </row>
    <row r="6079" spans="1:18" x14ac:dyDescent="0.25">
      <c r="A6079">
        <v>7078</v>
      </c>
      <c r="B6079">
        <v>94</v>
      </c>
      <c r="C6079">
        <v>1494151</v>
      </c>
      <c r="D6079" t="s">
        <v>88</v>
      </c>
      <c r="E6079">
        <v>7.3040000000000003</v>
      </c>
      <c r="F6079" t="s">
        <v>21</v>
      </c>
      <c r="G6079" t="s">
        <v>26</v>
      </c>
      <c r="H6079" t="s">
        <v>21</v>
      </c>
      <c r="I6079" t="s">
        <v>20</v>
      </c>
      <c r="J6079" t="s">
        <v>20</v>
      </c>
      <c r="K6079" t="s">
        <v>31</v>
      </c>
      <c r="L6079" t="s">
        <v>89</v>
      </c>
      <c r="M6079" t="s">
        <v>90</v>
      </c>
      <c r="N6079">
        <v>40.545634999999997</v>
      </c>
      <c r="O6079">
        <v>-111.87223299999999</v>
      </c>
      <c r="P6079">
        <v>4483.766533</v>
      </c>
      <c r="Q6079">
        <v>318</v>
      </c>
      <c r="R6079">
        <v>0</v>
      </c>
    </row>
    <row r="6080" spans="1:18" x14ac:dyDescent="0.25">
      <c r="A6080">
        <v>7079</v>
      </c>
      <c r="B6080">
        <v>94</v>
      </c>
      <c r="C6080">
        <v>31584507</v>
      </c>
      <c r="D6080" t="s">
        <v>409</v>
      </c>
      <c r="E6080">
        <v>7.3070000000000004</v>
      </c>
      <c r="F6080" t="s">
        <v>21</v>
      </c>
      <c r="G6080" t="s">
        <v>20</v>
      </c>
      <c r="H6080" t="s">
        <v>21</v>
      </c>
      <c r="I6080" t="s">
        <v>20</v>
      </c>
      <c r="J6080" t="s">
        <v>20</v>
      </c>
      <c r="K6080" t="s">
        <v>27</v>
      </c>
      <c r="L6080" t="s">
        <v>51</v>
      </c>
      <c r="M6080" t="s">
        <v>117</v>
      </c>
      <c r="N6080">
        <v>38.047550000000001</v>
      </c>
      <c r="O6080">
        <v>-112.572222</v>
      </c>
      <c r="P6080">
        <v>7145.8493820000003</v>
      </c>
      <c r="Q6080">
        <v>1337</v>
      </c>
      <c r="R6080">
        <v>0</v>
      </c>
    </row>
    <row r="6081" spans="1:18" x14ac:dyDescent="0.25">
      <c r="A6081">
        <v>7080</v>
      </c>
      <c r="B6081">
        <v>94</v>
      </c>
      <c r="C6081">
        <v>31496523</v>
      </c>
      <c r="D6081" t="s">
        <v>317</v>
      </c>
      <c r="E6081">
        <v>7.3330000000000002</v>
      </c>
      <c r="F6081" t="s">
        <v>21</v>
      </c>
      <c r="G6081" t="s">
        <v>20</v>
      </c>
      <c r="H6081" t="s">
        <v>21</v>
      </c>
      <c r="I6081" t="s">
        <v>20</v>
      </c>
      <c r="J6081" t="s">
        <v>20</v>
      </c>
      <c r="K6081" t="s">
        <v>27</v>
      </c>
      <c r="L6081" t="s">
        <v>211</v>
      </c>
      <c r="M6081" t="s">
        <v>212</v>
      </c>
      <c r="N6081">
        <v>37.061689000000001</v>
      </c>
      <c r="O6081">
        <v>-110.076257</v>
      </c>
      <c r="P6081">
        <v>5368.8065020000004</v>
      </c>
      <c r="Q6081">
        <v>1432</v>
      </c>
      <c r="R6081">
        <v>0</v>
      </c>
    </row>
    <row r="6082" spans="1:18" x14ac:dyDescent="0.25">
      <c r="A6082">
        <v>7081</v>
      </c>
      <c r="B6082">
        <v>94</v>
      </c>
      <c r="C6082">
        <v>1385565</v>
      </c>
      <c r="D6082" t="s">
        <v>100</v>
      </c>
      <c r="E6082">
        <v>7.3330000000000002</v>
      </c>
      <c r="F6082" t="s">
        <v>21</v>
      </c>
      <c r="G6082" t="s">
        <v>26</v>
      </c>
      <c r="H6082" t="s">
        <v>21</v>
      </c>
      <c r="I6082" t="s">
        <v>20</v>
      </c>
      <c r="J6082" t="s">
        <v>20</v>
      </c>
      <c r="K6082" t="s">
        <v>41</v>
      </c>
      <c r="L6082" t="s">
        <v>57</v>
      </c>
      <c r="M6082" t="s">
        <v>46</v>
      </c>
      <c r="N6082">
        <v>41.137343999999999</v>
      </c>
      <c r="O6082">
        <v>-112.064429</v>
      </c>
      <c r="P6082">
        <v>4295.5939939999998</v>
      </c>
      <c r="Q6082">
        <v>1396</v>
      </c>
      <c r="R6082">
        <v>0</v>
      </c>
    </row>
    <row r="6083" spans="1:18" x14ac:dyDescent="0.25">
      <c r="A6083">
        <v>7082</v>
      </c>
      <c r="B6083">
        <v>94</v>
      </c>
      <c r="C6083" t="e">
        <f>-IpUiF3gFbmwk16msE816F</f>
        <v>#NAME?</v>
      </c>
      <c r="D6083" t="s">
        <v>284</v>
      </c>
      <c r="E6083">
        <v>7.3419999999999996</v>
      </c>
      <c r="F6083" t="s">
        <v>21</v>
      </c>
      <c r="G6083" t="s">
        <v>20</v>
      </c>
      <c r="H6083" t="s">
        <v>21</v>
      </c>
      <c r="I6083" t="s">
        <v>20</v>
      </c>
      <c r="J6083" t="s">
        <v>20</v>
      </c>
      <c r="K6083" t="s">
        <v>31</v>
      </c>
      <c r="L6083" t="s">
        <v>285</v>
      </c>
      <c r="M6083" t="s">
        <v>206</v>
      </c>
      <c r="N6083">
        <v>40.331533999999998</v>
      </c>
      <c r="O6083">
        <v>-112.74437500000001</v>
      </c>
      <c r="P6083">
        <v>4587.2249700000002</v>
      </c>
      <c r="Q6083">
        <v>407</v>
      </c>
      <c r="R6083">
        <v>0</v>
      </c>
    </row>
    <row r="6084" spans="1:18" x14ac:dyDescent="0.25">
      <c r="A6084">
        <v>7083</v>
      </c>
      <c r="B6084">
        <v>94</v>
      </c>
      <c r="C6084">
        <v>31396111</v>
      </c>
      <c r="D6084" t="s">
        <v>114</v>
      </c>
      <c r="E6084">
        <v>7.3440000000000003</v>
      </c>
      <c r="F6084" t="s">
        <v>21</v>
      </c>
      <c r="G6084" t="s">
        <v>26</v>
      </c>
      <c r="H6084" t="s">
        <v>21</v>
      </c>
      <c r="I6084" t="s">
        <v>20</v>
      </c>
      <c r="J6084" t="s">
        <v>20</v>
      </c>
      <c r="K6084" t="s">
        <v>41</v>
      </c>
      <c r="L6084" t="s">
        <v>87</v>
      </c>
      <c r="M6084" t="s">
        <v>82</v>
      </c>
      <c r="N6084">
        <v>41.103195999999997</v>
      </c>
      <c r="O6084">
        <v>-111.928505</v>
      </c>
      <c r="P6084">
        <v>4794.0736969999998</v>
      </c>
      <c r="Q6084">
        <v>405</v>
      </c>
      <c r="R6084">
        <v>0</v>
      </c>
    </row>
    <row r="6085" spans="1:18" x14ac:dyDescent="0.25">
      <c r="A6085">
        <v>7084</v>
      </c>
      <c r="B6085">
        <v>94</v>
      </c>
      <c r="C6085">
        <v>31648113</v>
      </c>
      <c r="D6085" t="s">
        <v>88</v>
      </c>
      <c r="E6085">
        <v>7.3529999999999998</v>
      </c>
      <c r="F6085" t="s">
        <v>21</v>
      </c>
      <c r="G6085" t="s">
        <v>26</v>
      </c>
      <c r="H6085" t="s">
        <v>21</v>
      </c>
      <c r="I6085" t="s">
        <v>20</v>
      </c>
      <c r="J6085" t="s">
        <v>20</v>
      </c>
      <c r="K6085" t="s">
        <v>31</v>
      </c>
      <c r="L6085" t="s">
        <v>89</v>
      </c>
      <c r="M6085" t="s">
        <v>90</v>
      </c>
      <c r="N6085">
        <v>40.546340999999998</v>
      </c>
      <c r="O6085">
        <v>-111.872281</v>
      </c>
      <c r="P6085">
        <v>4485.1441189999996</v>
      </c>
      <c r="Q6085">
        <v>318</v>
      </c>
      <c r="R6085">
        <v>0</v>
      </c>
    </row>
    <row r="6086" spans="1:18" x14ac:dyDescent="0.25">
      <c r="A6086">
        <v>7085</v>
      </c>
      <c r="B6086">
        <v>94</v>
      </c>
      <c r="C6086">
        <v>31194122</v>
      </c>
      <c r="D6086" t="s">
        <v>310</v>
      </c>
      <c r="E6086">
        <v>20.329999999999998</v>
      </c>
      <c r="F6086" t="s">
        <v>21</v>
      </c>
      <c r="G6086" t="s">
        <v>26</v>
      </c>
      <c r="H6086" t="s">
        <v>21</v>
      </c>
      <c r="I6086" t="s">
        <v>20</v>
      </c>
      <c r="J6086" t="s">
        <v>20</v>
      </c>
      <c r="K6086" t="s">
        <v>31</v>
      </c>
      <c r="L6086" t="s">
        <v>285</v>
      </c>
      <c r="M6086" t="s">
        <v>206</v>
      </c>
      <c r="N6086">
        <v>40.653072000000002</v>
      </c>
      <c r="O6086">
        <v>-112.29132300000001</v>
      </c>
      <c r="P6086">
        <v>4217.382122</v>
      </c>
      <c r="Q6086">
        <v>1414</v>
      </c>
      <c r="R6086">
        <v>0</v>
      </c>
    </row>
    <row r="6087" spans="1:18" x14ac:dyDescent="0.25">
      <c r="A6087">
        <v>7086</v>
      </c>
      <c r="B6087">
        <v>94</v>
      </c>
      <c r="C6087">
        <v>31472973</v>
      </c>
      <c r="D6087" t="s">
        <v>348</v>
      </c>
      <c r="E6087">
        <v>20.335999999999999</v>
      </c>
      <c r="F6087" t="s">
        <v>21</v>
      </c>
      <c r="G6087" t="s">
        <v>26</v>
      </c>
      <c r="H6087" t="s">
        <v>21</v>
      </c>
      <c r="I6087" t="s">
        <v>20</v>
      </c>
      <c r="J6087" t="s">
        <v>20</v>
      </c>
      <c r="K6087" t="s">
        <v>27</v>
      </c>
      <c r="L6087" t="s">
        <v>122</v>
      </c>
      <c r="M6087" t="s">
        <v>123</v>
      </c>
      <c r="N6087">
        <v>38.097183000000001</v>
      </c>
      <c r="O6087">
        <v>-110.62159800000001</v>
      </c>
      <c r="P6087">
        <v>5020.017057</v>
      </c>
      <c r="Q6087">
        <v>1388</v>
      </c>
      <c r="R6087">
        <v>0</v>
      </c>
    </row>
    <row r="6088" spans="1:18" x14ac:dyDescent="0.25">
      <c r="A6088">
        <v>7087</v>
      </c>
      <c r="B6088">
        <v>94</v>
      </c>
      <c r="C6088">
        <v>31706263</v>
      </c>
      <c r="D6088" t="s">
        <v>323</v>
      </c>
      <c r="E6088">
        <v>20.341000000000001</v>
      </c>
      <c r="F6088" t="s">
        <v>21</v>
      </c>
      <c r="G6088" t="s">
        <v>26</v>
      </c>
      <c r="H6088" t="s">
        <v>21</v>
      </c>
      <c r="I6088" t="s">
        <v>20</v>
      </c>
      <c r="J6088" t="s">
        <v>20</v>
      </c>
      <c r="K6088" t="s">
        <v>31</v>
      </c>
      <c r="L6088" t="s">
        <v>130</v>
      </c>
      <c r="M6088" t="s">
        <v>131</v>
      </c>
      <c r="N6088">
        <v>40.725684000000001</v>
      </c>
      <c r="O6088">
        <v>-111.330735</v>
      </c>
      <c r="P6088">
        <v>6233.2081680000001</v>
      </c>
      <c r="Q6088">
        <v>1345</v>
      </c>
      <c r="R6088">
        <v>0</v>
      </c>
    </row>
    <row r="6089" spans="1:18" x14ac:dyDescent="0.25">
      <c r="A6089">
        <v>7088</v>
      </c>
      <c r="B6089">
        <v>94</v>
      </c>
      <c r="C6089">
        <v>31660235</v>
      </c>
      <c r="D6089" t="s">
        <v>187</v>
      </c>
      <c r="E6089">
        <v>2.54</v>
      </c>
      <c r="F6089" t="s">
        <v>19</v>
      </c>
      <c r="G6089" t="s">
        <v>20</v>
      </c>
      <c r="H6089" t="s">
        <v>21</v>
      </c>
      <c r="I6089" t="s">
        <v>20</v>
      </c>
      <c r="J6089" t="s">
        <v>20</v>
      </c>
      <c r="K6089" t="s">
        <v>31</v>
      </c>
      <c r="L6089" t="s">
        <v>188</v>
      </c>
      <c r="M6089" t="s">
        <v>90</v>
      </c>
      <c r="N6089">
        <v>40.770980999999999</v>
      </c>
      <c r="O6089">
        <v>-111.844908</v>
      </c>
      <c r="P6089">
        <v>4738.4292610000002</v>
      </c>
      <c r="Q6089">
        <v>435</v>
      </c>
      <c r="R6089">
        <v>0</v>
      </c>
    </row>
    <row r="6090" spans="1:18" x14ac:dyDescent="0.25">
      <c r="A6090">
        <v>7089</v>
      </c>
      <c r="B6090">
        <v>94</v>
      </c>
      <c r="C6090">
        <v>31191079</v>
      </c>
      <c r="D6090" t="s">
        <v>309</v>
      </c>
      <c r="E6090">
        <v>2.5470000000000002</v>
      </c>
      <c r="F6090" t="s">
        <v>21</v>
      </c>
      <c r="G6090" t="s">
        <v>26</v>
      </c>
      <c r="H6090" t="s">
        <v>21</v>
      </c>
      <c r="I6090" t="s">
        <v>20</v>
      </c>
      <c r="J6090" t="s">
        <v>20</v>
      </c>
      <c r="K6090" t="s">
        <v>22</v>
      </c>
      <c r="L6090" t="s">
        <v>198</v>
      </c>
      <c r="M6090" t="s">
        <v>125</v>
      </c>
      <c r="N6090">
        <v>40.077812000000002</v>
      </c>
      <c r="O6090">
        <v>-111.78780399999999</v>
      </c>
      <c r="P6090">
        <v>4462.0446190000002</v>
      </c>
      <c r="Q6090">
        <v>339</v>
      </c>
      <c r="R6090">
        <v>0</v>
      </c>
    </row>
    <row r="6091" spans="1:18" x14ac:dyDescent="0.25">
      <c r="A6091">
        <v>7090</v>
      </c>
      <c r="B6091">
        <v>94</v>
      </c>
      <c r="C6091">
        <v>31798017</v>
      </c>
      <c r="D6091" t="s">
        <v>180</v>
      </c>
      <c r="E6091">
        <v>2.548</v>
      </c>
      <c r="F6091" t="s">
        <v>21</v>
      </c>
      <c r="G6091" t="s">
        <v>20</v>
      </c>
      <c r="H6091" t="s">
        <v>21</v>
      </c>
      <c r="I6091" t="s">
        <v>20</v>
      </c>
      <c r="J6091" t="s">
        <v>20</v>
      </c>
      <c r="K6091" t="s">
        <v>41</v>
      </c>
      <c r="L6091" t="s">
        <v>181</v>
      </c>
      <c r="M6091" t="s">
        <v>117</v>
      </c>
      <c r="N6091">
        <v>41.741421000000003</v>
      </c>
      <c r="O6091">
        <v>-112.151832</v>
      </c>
      <c r="P6091">
        <v>4283.1459430000004</v>
      </c>
      <c r="Q6091">
        <v>1379</v>
      </c>
      <c r="R6091">
        <v>0</v>
      </c>
    </row>
    <row r="6092" spans="1:18" x14ac:dyDescent="0.25">
      <c r="A6092">
        <v>7091</v>
      </c>
      <c r="B6092">
        <v>94</v>
      </c>
      <c r="C6092">
        <v>31194017</v>
      </c>
      <c r="D6092" t="s">
        <v>374</v>
      </c>
      <c r="E6092">
        <v>2.5489999999999999</v>
      </c>
      <c r="F6092" t="s">
        <v>21</v>
      </c>
      <c r="G6092" t="s">
        <v>26</v>
      </c>
      <c r="H6092" t="s">
        <v>21</v>
      </c>
      <c r="I6092" t="s">
        <v>20</v>
      </c>
      <c r="J6092" t="s">
        <v>20</v>
      </c>
      <c r="K6092" t="s">
        <v>22</v>
      </c>
      <c r="L6092" t="s">
        <v>234</v>
      </c>
      <c r="M6092" t="s">
        <v>169</v>
      </c>
      <c r="N6092">
        <v>40.406027999999999</v>
      </c>
      <c r="O6092">
        <v>-109.34198499999999</v>
      </c>
      <c r="P6092">
        <v>4718.387393</v>
      </c>
      <c r="Q6092">
        <v>1422</v>
      </c>
      <c r="R6092">
        <v>0</v>
      </c>
    </row>
    <row r="6093" spans="1:18" x14ac:dyDescent="0.25">
      <c r="A6093">
        <v>7092</v>
      </c>
      <c r="B6093">
        <v>94</v>
      </c>
      <c r="C6093">
        <v>522513</v>
      </c>
      <c r="D6093" t="s">
        <v>44</v>
      </c>
      <c r="E6093">
        <v>2.5510000000000002</v>
      </c>
      <c r="F6093" t="s">
        <v>21</v>
      </c>
      <c r="G6093" t="s">
        <v>26</v>
      </c>
      <c r="H6093" t="s">
        <v>21</v>
      </c>
      <c r="I6093" t="s">
        <v>20</v>
      </c>
      <c r="J6093" t="s">
        <v>20</v>
      </c>
      <c r="K6093" t="s">
        <v>41</v>
      </c>
      <c r="L6093" t="s">
        <v>45</v>
      </c>
      <c r="M6093" t="s">
        <v>46</v>
      </c>
      <c r="N6093">
        <v>40.914355</v>
      </c>
      <c r="O6093">
        <v>-111.878969</v>
      </c>
      <c r="P6093">
        <v>4237.1264430000001</v>
      </c>
      <c r="Q6093">
        <v>1395</v>
      </c>
      <c r="R6093">
        <v>0</v>
      </c>
    </row>
    <row r="6094" spans="1:18" x14ac:dyDescent="0.25">
      <c r="A6094">
        <v>7093</v>
      </c>
      <c r="B6094">
        <v>94</v>
      </c>
      <c r="C6094" t="e">
        <f>-IouxeC0GLyWBchAJjZqYV</f>
        <v>#NAME?</v>
      </c>
      <c r="D6094" t="s">
        <v>175</v>
      </c>
      <c r="E6094">
        <v>2.552</v>
      </c>
      <c r="F6094" t="s">
        <v>21</v>
      </c>
      <c r="G6094" t="s">
        <v>26</v>
      </c>
      <c r="H6094" t="s">
        <v>21</v>
      </c>
      <c r="I6094" t="s">
        <v>20</v>
      </c>
      <c r="J6094" t="s">
        <v>20</v>
      </c>
      <c r="K6094" t="s">
        <v>41</v>
      </c>
      <c r="L6094" t="s">
        <v>87</v>
      </c>
      <c r="M6094" t="s">
        <v>93</v>
      </c>
      <c r="N6094">
        <v>41.065505999999999</v>
      </c>
      <c r="O6094">
        <v>-111.918474</v>
      </c>
      <c r="P6094">
        <v>4692.9354620000004</v>
      </c>
      <c r="Q6094">
        <v>1397</v>
      </c>
      <c r="R6094">
        <v>0</v>
      </c>
    </row>
    <row r="6095" spans="1:18" x14ac:dyDescent="0.25">
      <c r="A6095">
        <v>7094</v>
      </c>
      <c r="B6095">
        <v>94</v>
      </c>
      <c r="C6095">
        <v>31749774</v>
      </c>
      <c r="D6095" t="s">
        <v>156</v>
      </c>
      <c r="E6095">
        <v>2.5539999999999998</v>
      </c>
      <c r="F6095" t="s">
        <v>21</v>
      </c>
      <c r="G6095" t="s">
        <v>26</v>
      </c>
      <c r="H6095" t="s">
        <v>21</v>
      </c>
      <c r="I6095" t="s">
        <v>20</v>
      </c>
      <c r="J6095" t="s">
        <v>20</v>
      </c>
      <c r="K6095" t="s">
        <v>41</v>
      </c>
      <c r="L6095" t="s">
        <v>81</v>
      </c>
      <c r="M6095" t="s">
        <v>93</v>
      </c>
      <c r="N6095">
        <v>41.296427999999999</v>
      </c>
      <c r="O6095">
        <v>-111.96892</v>
      </c>
      <c r="P6095">
        <v>4307.7770119999996</v>
      </c>
      <c r="Q6095">
        <v>424</v>
      </c>
      <c r="R6095">
        <v>0</v>
      </c>
    </row>
    <row r="6096" spans="1:18" x14ac:dyDescent="0.25">
      <c r="A6096">
        <v>7095</v>
      </c>
      <c r="B6096">
        <v>94</v>
      </c>
      <c r="C6096">
        <v>31434912</v>
      </c>
      <c r="D6096" t="s">
        <v>333</v>
      </c>
      <c r="E6096">
        <v>20.983000000000001</v>
      </c>
      <c r="F6096" t="s">
        <v>19</v>
      </c>
      <c r="G6096" t="s">
        <v>20</v>
      </c>
      <c r="H6096" t="s">
        <v>19</v>
      </c>
      <c r="I6096">
        <v>201</v>
      </c>
      <c r="J6096" t="s">
        <v>20</v>
      </c>
      <c r="K6096" t="s">
        <v>31</v>
      </c>
      <c r="L6096" t="s">
        <v>78</v>
      </c>
      <c r="M6096" t="s">
        <v>49</v>
      </c>
      <c r="N6096">
        <v>40.725161999999997</v>
      </c>
      <c r="O6096">
        <v>-111.986476</v>
      </c>
      <c r="P6096">
        <v>4213.0436490000002</v>
      </c>
      <c r="Q6096">
        <v>1426</v>
      </c>
      <c r="R6096">
        <v>0</v>
      </c>
    </row>
    <row r="6097" spans="1:18" x14ac:dyDescent="0.25">
      <c r="A6097">
        <v>7096</v>
      </c>
      <c r="B6097">
        <v>94</v>
      </c>
      <c r="C6097" t="e">
        <f>-JRa4reRG85IlSIVrKqvmV</f>
        <v>#NAME?</v>
      </c>
      <c r="D6097" t="s">
        <v>233</v>
      </c>
      <c r="E6097">
        <v>20.986000000000001</v>
      </c>
      <c r="F6097" t="s">
        <v>21</v>
      </c>
      <c r="G6097" t="s">
        <v>26</v>
      </c>
      <c r="H6097" t="s">
        <v>21</v>
      </c>
      <c r="I6097" t="s">
        <v>20</v>
      </c>
      <c r="J6097" t="s">
        <v>20</v>
      </c>
      <c r="K6097" t="s">
        <v>22</v>
      </c>
      <c r="L6097" t="s">
        <v>234</v>
      </c>
      <c r="M6097" t="s">
        <v>235</v>
      </c>
      <c r="N6097">
        <v>40.199423000000003</v>
      </c>
      <c r="O6097">
        <v>-109.340925</v>
      </c>
      <c r="P6097">
        <v>5544.4076050000003</v>
      </c>
      <c r="Q6097">
        <v>1354</v>
      </c>
      <c r="R6097">
        <v>0</v>
      </c>
    </row>
    <row r="6098" spans="1:18" x14ac:dyDescent="0.25">
      <c r="A6098">
        <v>7097</v>
      </c>
      <c r="B6098">
        <v>94</v>
      </c>
      <c r="C6098" t="s">
        <v>786</v>
      </c>
      <c r="D6098" t="s">
        <v>213</v>
      </c>
      <c r="E6098">
        <v>220.041</v>
      </c>
      <c r="F6098" t="s">
        <v>21</v>
      </c>
      <c r="G6098" t="s">
        <v>20</v>
      </c>
      <c r="H6098" t="s">
        <v>21</v>
      </c>
      <c r="I6098" t="s">
        <v>20</v>
      </c>
      <c r="J6098" t="s">
        <v>20</v>
      </c>
      <c r="K6098" t="s">
        <v>27</v>
      </c>
      <c r="L6098" t="s">
        <v>307</v>
      </c>
      <c r="M6098" t="s">
        <v>159</v>
      </c>
      <c r="N6098">
        <v>39.831752999999999</v>
      </c>
      <c r="O6098">
        <v>-110.966489</v>
      </c>
      <c r="P6098">
        <v>7133.3461360000001</v>
      </c>
      <c r="Q6098">
        <v>1332</v>
      </c>
      <c r="R6098">
        <v>0</v>
      </c>
    </row>
    <row r="6099" spans="1:18" x14ac:dyDescent="0.25">
      <c r="A6099">
        <v>7098</v>
      </c>
      <c r="B6099">
        <v>94</v>
      </c>
      <c r="C6099">
        <v>31678337</v>
      </c>
      <c r="D6099" t="s">
        <v>213</v>
      </c>
      <c r="E6099">
        <v>220.34100000000001</v>
      </c>
      <c r="F6099" t="s">
        <v>21</v>
      </c>
      <c r="G6099" t="s">
        <v>26</v>
      </c>
      <c r="H6099" t="s">
        <v>21</v>
      </c>
      <c r="I6099" t="s">
        <v>20</v>
      </c>
      <c r="J6099" t="s">
        <v>20</v>
      </c>
      <c r="K6099" t="s">
        <v>27</v>
      </c>
      <c r="L6099" t="s">
        <v>307</v>
      </c>
      <c r="M6099" t="s">
        <v>159</v>
      </c>
      <c r="N6099">
        <v>39.829903000000002</v>
      </c>
      <c r="O6099">
        <v>-110.96142500000001</v>
      </c>
      <c r="P6099">
        <v>7129.2728779999998</v>
      </c>
      <c r="Q6099">
        <v>1332</v>
      </c>
      <c r="R6099">
        <v>0</v>
      </c>
    </row>
    <row r="6100" spans="1:18" x14ac:dyDescent="0.25">
      <c r="A6100">
        <v>7099</v>
      </c>
      <c r="B6100">
        <v>94</v>
      </c>
      <c r="C6100">
        <v>31678348</v>
      </c>
      <c r="D6100" t="s">
        <v>213</v>
      </c>
      <c r="E6100">
        <v>221.072</v>
      </c>
      <c r="F6100" t="s">
        <v>21</v>
      </c>
      <c r="G6100" t="s">
        <v>26</v>
      </c>
      <c r="H6100" t="s">
        <v>21</v>
      </c>
      <c r="I6100" t="s">
        <v>20</v>
      </c>
      <c r="J6100" t="s">
        <v>20</v>
      </c>
      <c r="K6100" t="s">
        <v>27</v>
      </c>
      <c r="L6100" t="s">
        <v>307</v>
      </c>
      <c r="M6100" t="s">
        <v>159</v>
      </c>
      <c r="N6100">
        <v>39.824654000000002</v>
      </c>
      <c r="O6100">
        <v>-110.949501</v>
      </c>
      <c r="P6100">
        <v>7119.0193870000003</v>
      </c>
      <c r="Q6100">
        <v>1332</v>
      </c>
      <c r="R6100">
        <v>0</v>
      </c>
    </row>
    <row r="6101" spans="1:18" x14ac:dyDescent="0.25">
      <c r="A6101">
        <v>7100</v>
      </c>
      <c r="B6101">
        <v>94</v>
      </c>
      <c r="C6101">
        <v>31683759</v>
      </c>
      <c r="D6101" t="s">
        <v>213</v>
      </c>
      <c r="E6101">
        <v>224.28200000000001</v>
      </c>
      <c r="F6101" t="s">
        <v>21</v>
      </c>
      <c r="G6101" t="s">
        <v>20</v>
      </c>
      <c r="H6101" t="s">
        <v>21</v>
      </c>
      <c r="I6101" t="s">
        <v>20</v>
      </c>
      <c r="J6101" t="s">
        <v>20</v>
      </c>
      <c r="K6101" t="s">
        <v>27</v>
      </c>
      <c r="L6101" t="s">
        <v>307</v>
      </c>
      <c r="M6101" t="s">
        <v>159</v>
      </c>
      <c r="N6101">
        <v>39.787869000000001</v>
      </c>
      <c r="O6101">
        <v>-110.928832</v>
      </c>
      <c r="P6101">
        <v>6678.4547190000003</v>
      </c>
      <c r="Q6101">
        <v>1332</v>
      </c>
      <c r="R6101">
        <v>0</v>
      </c>
    </row>
    <row r="6102" spans="1:18" x14ac:dyDescent="0.25">
      <c r="A6102">
        <v>7101</v>
      </c>
      <c r="B6102">
        <v>94</v>
      </c>
      <c r="C6102">
        <v>27880996</v>
      </c>
      <c r="D6102" t="s">
        <v>91</v>
      </c>
      <c r="E6102">
        <v>25.777000000000001</v>
      </c>
      <c r="F6102" t="s">
        <v>21</v>
      </c>
      <c r="G6102" t="s">
        <v>26</v>
      </c>
      <c r="H6102" t="s">
        <v>21</v>
      </c>
      <c r="I6102" t="s">
        <v>20</v>
      </c>
      <c r="J6102" t="s">
        <v>20</v>
      </c>
      <c r="K6102" t="s">
        <v>41</v>
      </c>
      <c r="L6102" t="s">
        <v>95</v>
      </c>
      <c r="M6102" t="s">
        <v>73</v>
      </c>
      <c r="N6102">
        <v>41.939064999999999</v>
      </c>
      <c r="O6102">
        <v>-111.953574</v>
      </c>
      <c r="P6102">
        <v>4420.2117239999998</v>
      </c>
      <c r="Q6102">
        <v>1339</v>
      </c>
      <c r="R6102">
        <v>0</v>
      </c>
    </row>
    <row r="6103" spans="1:18" x14ac:dyDescent="0.25">
      <c r="A6103">
        <v>7102</v>
      </c>
      <c r="B6103">
        <v>94</v>
      </c>
      <c r="C6103">
        <v>31307349</v>
      </c>
      <c r="D6103" t="s">
        <v>116</v>
      </c>
      <c r="E6103">
        <v>25.777000000000001</v>
      </c>
      <c r="F6103" t="s">
        <v>21</v>
      </c>
      <c r="G6103" t="s">
        <v>26</v>
      </c>
      <c r="H6103" t="s">
        <v>21</v>
      </c>
      <c r="I6103" t="s">
        <v>20</v>
      </c>
      <c r="J6103" t="s">
        <v>20</v>
      </c>
      <c r="K6103" t="s">
        <v>41</v>
      </c>
      <c r="L6103" t="s">
        <v>42</v>
      </c>
      <c r="M6103" t="s">
        <v>43</v>
      </c>
      <c r="N6103">
        <v>41.719290999999998</v>
      </c>
      <c r="O6103">
        <v>-111.835325</v>
      </c>
      <c r="P6103">
        <v>4457.550491</v>
      </c>
      <c r="Q6103">
        <v>324</v>
      </c>
      <c r="R6103">
        <v>0</v>
      </c>
    </row>
    <row r="6104" spans="1:18" x14ac:dyDescent="0.25">
      <c r="A6104">
        <v>7103</v>
      </c>
      <c r="B6104">
        <v>94</v>
      </c>
      <c r="C6104">
        <v>31328505</v>
      </c>
      <c r="D6104" t="s">
        <v>278</v>
      </c>
      <c r="E6104">
        <v>37.710999999999999</v>
      </c>
      <c r="F6104" t="s">
        <v>21</v>
      </c>
      <c r="G6104" t="s">
        <v>26</v>
      </c>
      <c r="H6104" t="s">
        <v>21</v>
      </c>
      <c r="I6104" t="s">
        <v>20</v>
      </c>
      <c r="J6104" t="s">
        <v>20</v>
      </c>
      <c r="K6104" t="s">
        <v>27</v>
      </c>
      <c r="L6104" t="s">
        <v>279</v>
      </c>
      <c r="M6104" t="s">
        <v>280</v>
      </c>
      <c r="N6104">
        <v>37.493077999999997</v>
      </c>
      <c r="O6104">
        <v>-112.55943499999999</v>
      </c>
      <c r="P6104">
        <v>7732.1115129999998</v>
      </c>
      <c r="Q6104">
        <v>1330</v>
      </c>
      <c r="R6104">
        <v>0</v>
      </c>
    </row>
    <row r="6105" spans="1:18" x14ac:dyDescent="0.25">
      <c r="A6105">
        <v>7104</v>
      </c>
      <c r="B6105">
        <v>94</v>
      </c>
      <c r="C6105">
        <v>31412014</v>
      </c>
      <c r="D6105" t="s">
        <v>63</v>
      </c>
      <c r="E6105">
        <v>37.719000000000001</v>
      </c>
      <c r="F6105" t="s">
        <v>21</v>
      </c>
      <c r="G6105" t="s">
        <v>26</v>
      </c>
      <c r="H6105" t="s">
        <v>21</v>
      </c>
      <c r="I6105" t="s">
        <v>20</v>
      </c>
      <c r="J6105" t="s">
        <v>20</v>
      </c>
      <c r="K6105" t="s">
        <v>27</v>
      </c>
      <c r="L6105" t="s">
        <v>266</v>
      </c>
      <c r="M6105" t="s">
        <v>29</v>
      </c>
      <c r="N6105">
        <v>38.50844</v>
      </c>
      <c r="O6105">
        <v>-111.88135200000001</v>
      </c>
      <c r="P6105">
        <v>6847.5001110000003</v>
      </c>
      <c r="Q6105">
        <v>1365</v>
      </c>
      <c r="R6105">
        <v>0</v>
      </c>
    </row>
    <row r="6106" spans="1:18" x14ac:dyDescent="0.25">
      <c r="A6106">
        <v>7105</v>
      </c>
      <c r="B6106">
        <v>94</v>
      </c>
      <c r="C6106">
        <v>31502871</v>
      </c>
      <c r="D6106" t="s">
        <v>317</v>
      </c>
      <c r="E6106">
        <v>37.722000000000001</v>
      </c>
      <c r="F6106" t="s">
        <v>21</v>
      </c>
      <c r="G6106" t="s">
        <v>26</v>
      </c>
      <c r="H6106" t="s">
        <v>21</v>
      </c>
      <c r="I6106" t="s">
        <v>20</v>
      </c>
      <c r="J6106" t="s">
        <v>20</v>
      </c>
      <c r="K6106" t="s">
        <v>27</v>
      </c>
      <c r="L6106" t="s">
        <v>211</v>
      </c>
      <c r="M6106" t="s">
        <v>212</v>
      </c>
      <c r="N6106">
        <v>37.273587999999997</v>
      </c>
      <c r="O6106">
        <v>-109.677921</v>
      </c>
      <c r="P6106">
        <v>4337.3847660000001</v>
      </c>
      <c r="Q6106">
        <v>1432</v>
      </c>
      <c r="R6106">
        <v>0</v>
      </c>
    </row>
    <row r="6107" spans="1:18" x14ac:dyDescent="0.25">
      <c r="A6107">
        <v>7106</v>
      </c>
      <c r="B6107">
        <v>94</v>
      </c>
      <c r="C6107">
        <v>31285818</v>
      </c>
      <c r="D6107" t="s">
        <v>241</v>
      </c>
      <c r="E6107">
        <v>37.725000000000001</v>
      </c>
      <c r="F6107" t="s">
        <v>21</v>
      </c>
      <c r="G6107" t="s">
        <v>26</v>
      </c>
      <c r="H6107" t="s">
        <v>21</v>
      </c>
      <c r="I6107" t="s">
        <v>20</v>
      </c>
      <c r="J6107" t="s">
        <v>20</v>
      </c>
      <c r="K6107" t="s">
        <v>27</v>
      </c>
      <c r="L6107" t="s">
        <v>111</v>
      </c>
      <c r="M6107" t="s">
        <v>243</v>
      </c>
      <c r="N6107">
        <v>39.211351999999998</v>
      </c>
      <c r="O6107">
        <v>-111.021997</v>
      </c>
      <c r="P6107">
        <v>5614.6884879999998</v>
      </c>
      <c r="Q6107">
        <v>1327</v>
      </c>
      <c r="R6107">
        <v>0</v>
      </c>
    </row>
    <row r="6108" spans="1:18" x14ac:dyDescent="0.25">
      <c r="A6108">
        <v>7107</v>
      </c>
      <c r="B6108">
        <v>94</v>
      </c>
      <c r="C6108" t="s">
        <v>787</v>
      </c>
      <c r="D6108" t="s">
        <v>124</v>
      </c>
      <c r="E6108">
        <v>37.732999999999997</v>
      </c>
      <c r="F6108" t="s">
        <v>21</v>
      </c>
      <c r="G6108" t="s">
        <v>26</v>
      </c>
      <c r="H6108" t="s">
        <v>21</v>
      </c>
      <c r="I6108" t="s">
        <v>20</v>
      </c>
      <c r="J6108" t="s">
        <v>20</v>
      </c>
      <c r="K6108" t="s">
        <v>31</v>
      </c>
      <c r="L6108" t="s">
        <v>89</v>
      </c>
      <c r="M6108" t="s">
        <v>125</v>
      </c>
      <c r="N6108">
        <v>40.457540000000002</v>
      </c>
      <c r="O6108">
        <v>-111.940449</v>
      </c>
      <c r="P6108">
        <v>4609.7196979999999</v>
      </c>
      <c r="Q6108">
        <v>1368</v>
      </c>
      <c r="R6108">
        <v>0</v>
      </c>
    </row>
    <row r="6109" spans="1:18" x14ac:dyDescent="0.25">
      <c r="A6109">
        <v>7108</v>
      </c>
      <c r="B6109">
        <v>94</v>
      </c>
      <c r="C6109">
        <v>31743394</v>
      </c>
      <c r="D6109" t="s">
        <v>290</v>
      </c>
      <c r="E6109">
        <v>37.75</v>
      </c>
      <c r="F6109" t="s">
        <v>21</v>
      </c>
      <c r="G6109" t="s">
        <v>20</v>
      </c>
      <c r="H6109" t="s">
        <v>21</v>
      </c>
      <c r="I6109" t="s">
        <v>20</v>
      </c>
      <c r="J6109" t="s">
        <v>20</v>
      </c>
      <c r="K6109" t="s">
        <v>41</v>
      </c>
      <c r="L6109" t="s">
        <v>291</v>
      </c>
      <c r="M6109" t="s">
        <v>238</v>
      </c>
      <c r="N6109">
        <v>41.676485999999997</v>
      </c>
      <c r="O6109">
        <v>-113.542208</v>
      </c>
      <c r="P6109">
        <v>5095.729781</v>
      </c>
      <c r="Q6109">
        <v>1343</v>
      </c>
      <c r="R6109">
        <v>0</v>
      </c>
    </row>
    <row r="6110" spans="1:18" x14ac:dyDescent="0.25">
      <c r="A6110">
        <v>7109</v>
      </c>
      <c r="B6110">
        <v>94</v>
      </c>
      <c r="C6110" t="e">
        <f>-Iopv7xsFL9eYF-qwHen3V</f>
        <v>#NAME?</v>
      </c>
      <c r="D6110" t="s">
        <v>217</v>
      </c>
      <c r="E6110">
        <v>3.0609999999999999</v>
      </c>
      <c r="F6110" t="s">
        <v>21</v>
      </c>
      <c r="G6110" t="s">
        <v>26</v>
      </c>
      <c r="H6110" t="s">
        <v>21</v>
      </c>
      <c r="I6110" t="s">
        <v>20</v>
      </c>
      <c r="J6110" t="s">
        <v>20</v>
      </c>
      <c r="K6110" t="s">
        <v>27</v>
      </c>
      <c r="L6110" t="s">
        <v>72</v>
      </c>
      <c r="M6110" t="s">
        <v>163</v>
      </c>
      <c r="N6110">
        <v>37.122971999999997</v>
      </c>
      <c r="O6110">
        <v>-113.599598</v>
      </c>
      <c r="P6110">
        <v>2812.7451259999998</v>
      </c>
      <c r="Q6110">
        <v>304</v>
      </c>
      <c r="R6110">
        <v>0</v>
      </c>
    </row>
    <row r="6111" spans="1:18" x14ac:dyDescent="0.25">
      <c r="A6111">
        <v>7110</v>
      </c>
      <c r="B6111">
        <v>94</v>
      </c>
      <c r="C6111">
        <v>1243361</v>
      </c>
      <c r="D6111" t="s">
        <v>189</v>
      </c>
      <c r="E6111">
        <v>3.0659999999999998</v>
      </c>
      <c r="F6111" t="s">
        <v>19</v>
      </c>
      <c r="G6111" t="s">
        <v>20</v>
      </c>
      <c r="H6111" t="s">
        <v>21</v>
      </c>
      <c r="I6111" t="s">
        <v>20</v>
      </c>
      <c r="J6111" t="s">
        <v>20</v>
      </c>
      <c r="K6111" t="s">
        <v>41</v>
      </c>
      <c r="L6111" t="s">
        <v>81</v>
      </c>
      <c r="M6111" t="s">
        <v>190</v>
      </c>
      <c r="N6111">
        <v>41.197602000000003</v>
      </c>
      <c r="O6111">
        <v>-111.94874900000001</v>
      </c>
      <c r="P6111">
        <v>4512.2015110000002</v>
      </c>
      <c r="Q6111">
        <v>412</v>
      </c>
      <c r="R6111">
        <v>0</v>
      </c>
    </row>
    <row r="6112" spans="1:18" x14ac:dyDescent="0.25">
      <c r="A6112">
        <v>7111</v>
      </c>
      <c r="B6112">
        <v>94</v>
      </c>
      <c r="C6112">
        <v>31395048</v>
      </c>
      <c r="D6112" t="s">
        <v>399</v>
      </c>
      <c r="E6112">
        <v>3.069</v>
      </c>
      <c r="F6112" t="s">
        <v>21</v>
      </c>
      <c r="G6112" t="s">
        <v>26</v>
      </c>
      <c r="H6112" t="s">
        <v>19</v>
      </c>
      <c r="I6112">
        <v>15</v>
      </c>
      <c r="J6112" t="s">
        <v>20</v>
      </c>
      <c r="K6112" t="s">
        <v>27</v>
      </c>
      <c r="L6112" t="s">
        <v>400</v>
      </c>
      <c r="M6112" t="s">
        <v>166</v>
      </c>
      <c r="N6112">
        <v>38.615855000000003</v>
      </c>
      <c r="O6112">
        <v>-112.61173599999999</v>
      </c>
      <c r="P6112">
        <v>5880.8044140000002</v>
      </c>
      <c r="Q6112">
        <v>1431</v>
      </c>
      <c r="R6112">
        <v>0</v>
      </c>
    </row>
    <row r="6113" spans="1:18" x14ac:dyDescent="0.25">
      <c r="A6113">
        <v>7112</v>
      </c>
      <c r="B6113">
        <v>94</v>
      </c>
      <c r="C6113">
        <v>31391983</v>
      </c>
      <c r="D6113" t="s">
        <v>114</v>
      </c>
      <c r="E6113">
        <v>3.2269999999999999</v>
      </c>
      <c r="F6113" t="s">
        <v>19</v>
      </c>
      <c r="G6113" t="s">
        <v>20</v>
      </c>
      <c r="H6113" t="s">
        <v>21</v>
      </c>
      <c r="I6113" t="s">
        <v>20</v>
      </c>
      <c r="J6113" t="s">
        <v>20</v>
      </c>
      <c r="K6113" t="s">
        <v>41</v>
      </c>
      <c r="L6113" t="s">
        <v>87</v>
      </c>
      <c r="M6113" t="s">
        <v>82</v>
      </c>
      <c r="N6113">
        <v>41.103527999999997</v>
      </c>
      <c r="O6113">
        <v>-112.006878</v>
      </c>
      <c r="P6113">
        <v>4474.7272059999996</v>
      </c>
      <c r="Q6113">
        <v>405</v>
      </c>
      <c r="R6113">
        <v>0</v>
      </c>
    </row>
    <row r="6114" spans="1:18" x14ac:dyDescent="0.25">
      <c r="A6114">
        <v>7113</v>
      </c>
      <c r="B6114">
        <v>94</v>
      </c>
      <c r="C6114">
        <v>31192688</v>
      </c>
      <c r="D6114" t="s">
        <v>153</v>
      </c>
      <c r="E6114">
        <v>3.2290000000000001</v>
      </c>
      <c r="F6114" t="s">
        <v>21</v>
      </c>
      <c r="G6114" t="s">
        <v>26</v>
      </c>
      <c r="H6114" t="s">
        <v>21</v>
      </c>
      <c r="I6114" t="s">
        <v>20</v>
      </c>
      <c r="J6114" t="s">
        <v>20</v>
      </c>
      <c r="K6114" t="s">
        <v>22</v>
      </c>
      <c r="L6114" t="s">
        <v>84</v>
      </c>
      <c r="M6114" t="s">
        <v>85</v>
      </c>
      <c r="N6114">
        <v>40.402797999999997</v>
      </c>
      <c r="O6114">
        <v>-111.748051</v>
      </c>
      <c r="P6114">
        <v>4818.7913740000004</v>
      </c>
      <c r="R6114">
        <v>0</v>
      </c>
    </row>
    <row r="6115" spans="1:18" x14ac:dyDescent="0.25">
      <c r="A6115">
        <v>7114</v>
      </c>
      <c r="B6115">
        <v>94</v>
      </c>
      <c r="C6115">
        <v>28401078</v>
      </c>
      <c r="D6115" t="s">
        <v>99</v>
      </c>
      <c r="E6115">
        <v>3.2290000000000001</v>
      </c>
      <c r="F6115" t="s">
        <v>21</v>
      </c>
      <c r="G6115" t="s">
        <v>20</v>
      </c>
      <c r="H6115" t="s">
        <v>21</v>
      </c>
      <c r="I6115" t="s">
        <v>20</v>
      </c>
      <c r="J6115" t="s">
        <v>20</v>
      </c>
      <c r="K6115" t="s">
        <v>41</v>
      </c>
      <c r="L6115" t="s">
        <v>81</v>
      </c>
      <c r="M6115" t="s">
        <v>82</v>
      </c>
      <c r="N6115">
        <v>41.208264999999997</v>
      </c>
      <c r="O6115">
        <v>-111.980582</v>
      </c>
      <c r="P6115">
        <v>4264.2819140000001</v>
      </c>
      <c r="Q6115">
        <v>1376</v>
      </c>
      <c r="R6115">
        <v>0</v>
      </c>
    </row>
    <row r="6116" spans="1:18" x14ac:dyDescent="0.25">
      <c r="A6116">
        <v>7115</v>
      </c>
      <c r="B6116">
        <v>94</v>
      </c>
      <c r="C6116">
        <v>486443</v>
      </c>
      <c r="D6116" t="s">
        <v>83</v>
      </c>
      <c r="E6116">
        <v>3.2309999999999999</v>
      </c>
      <c r="F6116" t="s">
        <v>21</v>
      </c>
      <c r="G6116" t="s">
        <v>26</v>
      </c>
      <c r="H6116" t="s">
        <v>21</v>
      </c>
      <c r="I6116" t="s">
        <v>20</v>
      </c>
      <c r="J6116" t="s">
        <v>20</v>
      </c>
      <c r="K6116" t="s">
        <v>22</v>
      </c>
      <c r="L6116" t="s">
        <v>84</v>
      </c>
      <c r="M6116" t="s">
        <v>85</v>
      </c>
      <c r="N6116">
        <v>40.422325000000001</v>
      </c>
      <c r="O6116">
        <v>-111.786413</v>
      </c>
      <c r="P6116">
        <v>4838.3123779999996</v>
      </c>
      <c r="Q6116">
        <v>319</v>
      </c>
      <c r="R6116">
        <v>0</v>
      </c>
    </row>
    <row r="6117" spans="1:18" x14ac:dyDescent="0.25">
      <c r="A6117">
        <v>7116</v>
      </c>
      <c r="B6117">
        <v>94</v>
      </c>
      <c r="C6117">
        <v>31654304</v>
      </c>
      <c r="D6117" t="s">
        <v>363</v>
      </c>
      <c r="E6117">
        <v>3.2309999999999999</v>
      </c>
      <c r="F6117" t="s">
        <v>21</v>
      </c>
      <c r="G6117" t="s">
        <v>20</v>
      </c>
      <c r="H6117" t="s">
        <v>21</v>
      </c>
      <c r="I6117" t="s">
        <v>20</v>
      </c>
      <c r="J6117" t="s">
        <v>20</v>
      </c>
      <c r="K6117" t="s">
        <v>41</v>
      </c>
      <c r="L6117" t="s">
        <v>95</v>
      </c>
      <c r="M6117" t="s">
        <v>73</v>
      </c>
      <c r="N6117">
        <v>41.845011</v>
      </c>
      <c r="O6117">
        <v>-111.927235</v>
      </c>
      <c r="P6117">
        <v>4363.9511730000004</v>
      </c>
      <c r="Q6117">
        <v>356</v>
      </c>
      <c r="R6117">
        <v>0</v>
      </c>
    </row>
    <row r="6118" spans="1:18" x14ac:dyDescent="0.25">
      <c r="A6118">
        <v>7117</v>
      </c>
      <c r="B6118">
        <v>94</v>
      </c>
      <c r="C6118">
        <v>31194326</v>
      </c>
      <c r="D6118" t="s">
        <v>305</v>
      </c>
      <c r="E6118">
        <v>3.2330000000000001</v>
      </c>
      <c r="F6118" t="s">
        <v>21</v>
      </c>
      <c r="G6118" t="s">
        <v>26</v>
      </c>
      <c r="H6118" t="s">
        <v>21</v>
      </c>
      <c r="I6118" t="s">
        <v>20</v>
      </c>
      <c r="J6118" t="s">
        <v>20</v>
      </c>
      <c r="K6118" t="s">
        <v>22</v>
      </c>
      <c r="L6118" t="s">
        <v>133</v>
      </c>
      <c r="M6118" t="s">
        <v>235</v>
      </c>
      <c r="N6118">
        <v>40.128084999999999</v>
      </c>
      <c r="O6118">
        <v>-109.663786</v>
      </c>
      <c r="P6118">
        <v>4654.3650889999999</v>
      </c>
      <c r="Q6118">
        <v>1383</v>
      </c>
      <c r="R6118">
        <v>0</v>
      </c>
    </row>
    <row r="6119" spans="1:18" x14ac:dyDescent="0.25">
      <c r="A6119">
        <v>7118</v>
      </c>
      <c r="B6119">
        <v>94</v>
      </c>
      <c r="C6119">
        <v>630239</v>
      </c>
      <c r="D6119" t="s">
        <v>262</v>
      </c>
      <c r="E6119">
        <v>3.234</v>
      </c>
      <c r="F6119" t="s">
        <v>19</v>
      </c>
      <c r="G6119" t="s">
        <v>20</v>
      </c>
      <c r="H6119" t="s">
        <v>21</v>
      </c>
      <c r="I6119" t="s">
        <v>20</v>
      </c>
      <c r="J6119" t="s">
        <v>20</v>
      </c>
      <c r="K6119" t="s">
        <v>22</v>
      </c>
      <c r="L6119" t="s">
        <v>263</v>
      </c>
      <c r="M6119" t="s">
        <v>24</v>
      </c>
      <c r="N6119">
        <v>40.373801</v>
      </c>
      <c r="O6119">
        <v>-111.85730100000001</v>
      </c>
      <c r="P6119">
        <v>4459.1195589999998</v>
      </c>
      <c r="Q6119">
        <v>1419</v>
      </c>
      <c r="R6119">
        <v>0</v>
      </c>
    </row>
    <row r="6120" spans="1:18" x14ac:dyDescent="0.25">
      <c r="A6120">
        <v>7119</v>
      </c>
      <c r="B6120">
        <v>94</v>
      </c>
      <c r="C6120">
        <v>31489178</v>
      </c>
      <c r="D6120" t="s">
        <v>164</v>
      </c>
      <c r="E6120">
        <v>3.242</v>
      </c>
      <c r="F6120" t="s">
        <v>21</v>
      </c>
      <c r="G6120" t="s">
        <v>26</v>
      </c>
      <c r="H6120" t="s">
        <v>21</v>
      </c>
      <c r="I6120" t="s">
        <v>20</v>
      </c>
      <c r="J6120" t="s">
        <v>20</v>
      </c>
      <c r="K6120" t="s">
        <v>27</v>
      </c>
      <c r="L6120" t="s">
        <v>165</v>
      </c>
      <c r="M6120" t="s">
        <v>166</v>
      </c>
      <c r="N6120">
        <v>38.979796</v>
      </c>
      <c r="O6120">
        <v>-112.323719</v>
      </c>
      <c r="P6120">
        <v>5001.2016910000002</v>
      </c>
      <c r="Q6120">
        <v>1390</v>
      </c>
      <c r="R6120">
        <v>0</v>
      </c>
    </row>
    <row r="6121" spans="1:18" x14ac:dyDescent="0.25">
      <c r="A6121">
        <v>7120</v>
      </c>
      <c r="B6121">
        <v>94</v>
      </c>
      <c r="C6121">
        <v>31322980</v>
      </c>
      <c r="D6121" t="s">
        <v>333</v>
      </c>
      <c r="E6121">
        <v>3.2429999999999999</v>
      </c>
      <c r="F6121" t="s">
        <v>19</v>
      </c>
      <c r="G6121" t="s">
        <v>20</v>
      </c>
      <c r="H6121" t="s">
        <v>19</v>
      </c>
      <c r="I6121">
        <v>68</v>
      </c>
      <c r="J6121" t="s">
        <v>20</v>
      </c>
      <c r="K6121" t="s">
        <v>31</v>
      </c>
      <c r="L6121" t="s">
        <v>89</v>
      </c>
      <c r="M6121" t="s">
        <v>49</v>
      </c>
      <c r="N6121">
        <v>40.500694000000003</v>
      </c>
      <c r="O6121">
        <v>-111.93873000000001</v>
      </c>
      <c r="P6121">
        <v>4399.8131860000003</v>
      </c>
      <c r="Q6121">
        <v>1426</v>
      </c>
      <c r="R6121">
        <v>0</v>
      </c>
    </row>
    <row r="6122" spans="1:18" x14ac:dyDescent="0.25">
      <c r="A6122">
        <v>7121</v>
      </c>
      <c r="B6122">
        <v>94</v>
      </c>
      <c r="C6122">
        <v>1140646</v>
      </c>
      <c r="D6122" t="s">
        <v>56</v>
      </c>
      <c r="E6122">
        <v>3.2440000000000002</v>
      </c>
      <c r="F6122" t="s">
        <v>21</v>
      </c>
      <c r="G6122" t="s">
        <v>26</v>
      </c>
      <c r="H6122" t="s">
        <v>21</v>
      </c>
      <c r="I6122" t="s">
        <v>20</v>
      </c>
      <c r="J6122" t="s">
        <v>20</v>
      </c>
      <c r="K6122" t="s">
        <v>41</v>
      </c>
      <c r="L6122" t="s">
        <v>57</v>
      </c>
      <c r="M6122" t="s">
        <v>58</v>
      </c>
      <c r="N6122">
        <v>41.161631999999997</v>
      </c>
      <c r="O6122">
        <v>-112.061357</v>
      </c>
      <c r="P6122">
        <v>4261.482438</v>
      </c>
      <c r="Q6122">
        <v>1459</v>
      </c>
      <c r="R6122">
        <v>0</v>
      </c>
    </row>
    <row r="6123" spans="1:18" x14ac:dyDescent="0.25">
      <c r="A6123">
        <v>7122</v>
      </c>
      <c r="B6123">
        <v>94</v>
      </c>
      <c r="C6123">
        <v>31192905</v>
      </c>
      <c r="D6123" t="s">
        <v>150</v>
      </c>
      <c r="E6123">
        <v>3.2450000000000001</v>
      </c>
      <c r="F6123" t="s">
        <v>21</v>
      </c>
      <c r="G6123" t="s">
        <v>26</v>
      </c>
      <c r="H6123" t="s">
        <v>21</v>
      </c>
      <c r="I6123" t="s">
        <v>20</v>
      </c>
      <c r="J6123" t="s">
        <v>20</v>
      </c>
      <c r="K6123" t="s">
        <v>27</v>
      </c>
      <c r="L6123" t="s">
        <v>151</v>
      </c>
      <c r="M6123" t="s">
        <v>152</v>
      </c>
      <c r="N6123">
        <v>38.991079999999997</v>
      </c>
      <c r="O6123">
        <v>-110.13220200000001</v>
      </c>
      <c r="P6123">
        <v>4070.2124370000001</v>
      </c>
      <c r="Q6123">
        <v>1336</v>
      </c>
      <c r="R6123">
        <v>0</v>
      </c>
    </row>
    <row r="6124" spans="1:18" x14ac:dyDescent="0.25">
      <c r="A6124">
        <v>7123</v>
      </c>
      <c r="B6124">
        <v>94</v>
      </c>
      <c r="C6124" t="e">
        <f>-JNVVglmGeuv3SmleaGd0F</f>
        <v>#NAME?</v>
      </c>
      <c r="D6124" t="s">
        <v>281</v>
      </c>
      <c r="E6124">
        <v>3.2450000000000001</v>
      </c>
      <c r="F6124" t="s">
        <v>21</v>
      </c>
      <c r="G6124" t="s">
        <v>20</v>
      </c>
      <c r="H6124" t="s">
        <v>21</v>
      </c>
      <c r="I6124" t="s">
        <v>20</v>
      </c>
      <c r="J6124" t="s">
        <v>20</v>
      </c>
      <c r="K6124" t="s">
        <v>22</v>
      </c>
      <c r="L6124" t="s">
        <v>193</v>
      </c>
      <c r="M6124" t="s">
        <v>174</v>
      </c>
      <c r="N6124">
        <v>39.943202999999997</v>
      </c>
      <c r="O6124">
        <v>-112.196071</v>
      </c>
      <c r="P6124">
        <v>5889.8849749999999</v>
      </c>
      <c r="Q6124">
        <v>1347</v>
      </c>
      <c r="R6124">
        <v>0</v>
      </c>
    </row>
    <row r="6125" spans="1:18" x14ac:dyDescent="0.25">
      <c r="A6125">
        <v>7124</v>
      </c>
      <c r="B6125">
        <v>94</v>
      </c>
      <c r="C6125">
        <v>31318895</v>
      </c>
      <c r="D6125" t="s">
        <v>413</v>
      </c>
      <c r="E6125">
        <v>3.2490000000000001</v>
      </c>
      <c r="F6125" t="s">
        <v>21</v>
      </c>
      <c r="G6125" t="s">
        <v>26</v>
      </c>
      <c r="H6125" t="s">
        <v>21</v>
      </c>
      <c r="I6125" t="s">
        <v>20</v>
      </c>
      <c r="J6125" t="s">
        <v>20</v>
      </c>
      <c r="K6125" t="s">
        <v>31</v>
      </c>
      <c r="L6125" t="s">
        <v>78</v>
      </c>
      <c r="M6125" t="s">
        <v>206</v>
      </c>
      <c r="N6125">
        <v>40.726084999999998</v>
      </c>
      <c r="O6125">
        <v>-112.16275400000001</v>
      </c>
      <c r="P6125">
        <v>4190.3821930000004</v>
      </c>
      <c r="Q6125">
        <v>411</v>
      </c>
      <c r="R6125">
        <v>0</v>
      </c>
    </row>
    <row r="6126" spans="1:18" x14ac:dyDescent="0.25">
      <c r="A6126">
        <v>7125</v>
      </c>
      <c r="B6126">
        <v>94</v>
      </c>
      <c r="C6126">
        <v>875886</v>
      </c>
      <c r="D6126" t="s">
        <v>115</v>
      </c>
      <c r="E6126">
        <v>3.2549999999999999</v>
      </c>
      <c r="F6126" t="s">
        <v>21</v>
      </c>
      <c r="G6126" t="s">
        <v>26</v>
      </c>
      <c r="H6126" t="s">
        <v>21</v>
      </c>
      <c r="I6126" t="s">
        <v>20</v>
      </c>
      <c r="J6126" t="s">
        <v>20</v>
      </c>
      <c r="K6126" t="s">
        <v>31</v>
      </c>
      <c r="L6126" t="s">
        <v>48</v>
      </c>
      <c r="M6126" t="s">
        <v>70</v>
      </c>
      <c r="N6126">
        <v>40.653033999999998</v>
      </c>
      <c r="O6126">
        <v>-112.015052</v>
      </c>
      <c r="P6126">
        <v>4647.6043090000003</v>
      </c>
      <c r="Q6126">
        <v>1437</v>
      </c>
      <c r="R6126">
        <v>0</v>
      </c>
    </row>
    <row r="6127" spans="1:18" x14ac:dyDescent="0.25">
      <c r="A6127">
        <v>7126</v>
      </c>
      <c r="B6127">
        <v>94</v>
      </c>
      <c r="C6127">
        <v>31601072</v>
      </c>
      <c r="D6127" t="s">
        <v>50</v>
      </c>
      <c r="E6127">
        <v>3.2559999999999998</v>
      </c>
      <c r="F6127" t="s">
        <v>21</v>
      </c>
      <c r="G6127" t="s">
        <v>26</v>
      </c>
      <c r="H6127" t="s">
        <v>21</v>
      </c>
      <c r="I6127" t="s">
        <v>20</v>
      </c>
      <c r="J6127" t="s">
        <v>20</v>
      </c>
      <c r="K6127" t="s">
        <v>27</v>
      </c>
      <c r="L6127" t="s">
        <v>51</v>
      </c>
      <c r="M6127" t="s">
        <v>52</v>
      </c>
      <c r="N6127">
        <v>37.838630999999999</v>
      </c>
      <c r="O6127">
        <v>-112.819793</v>
      </c>
      <c r="P6127">
        <v>6005.3321999999998</v>
      </c>
      <c r="Q6127">
        <v>1418</v>
      </c>
      <c r="R6127">
        <v>0</v>
      </c>
    </row>
    <row r="6128" spans="1:18" x14ac:dyDescent="0.25">
      <c r="A6128">
        <v>7127</v>
      </c>
      <c r="B6128">
        <v>94</v>
      </c>
      <c r="C6128">
        <v>31192837</v>
      </c>
      <c r="D6128" t="s">
        <v>153</v>
      </c>
      <c r="E6128">
        <v>4.5309999999999997</v>
      </c>
      <c r="F6128" t="s">
        <v>21</v>
      </c>
      <c r="G6128" t="s">
        <v>26</v>
      </c>
      <c r="H6128" t="s">
        <v>21</v>
      </c>
      <c r="I6128" t="s">
        <v>20</v>
      </c>
      <c r="J6128" t="s">
        <v>20</v>
      </c>
      <c r="K6128" t="s">
        <v>22</v>
      </c>
      <c r="L6128" t="s">
        <v>84</v>
      </c>
      <c r="M6128" t="s">
        <v>85</v>
      </c>
      <c r="N6128">
        <v>40.421228999999997</v>
      </c>
      <c r="O6128">
        <v>-111.752281</v>
      </c>
      <c r="P6128">
        <v>5050.8633710000004</v>
      </c>
      <c r="R6128">
        <v>0</v>
      </c>
    </row>
    <row r="6129" spans="1:18" x14ac:dyDescent="0.25">
      <c r="A6129">
        <v>7128</v>
      </c>
      <c r="B6129">
        <v>94</v>
      </c>
      <c r="C6129">
        <v>27375377</v>
      </c>
      <c r="D6129" t="s">
        <v>185</v>
      </c>
      <c r="E6129">
        <v>4.532</v>
      </c>
      <c r="F6129" t="s">
        <v>21</v>
      </c>
      <c r="G6129" t="s">
        <v>26</v>
      </c>
      <c r="H6129" t="s">
        <v>21</v>
      </c>
      <c r="I6129" t="s">
        <v>20</v>
      </c>
      <c r="J6129" t="s">
        <v>20</v>
      </c>
      <c r="K6129" t="s">
        <v>41</v>
      </c>
      <c r="L6129" t="s">
        <v>57</v>
      </c>
      <c r="M6129" t="s">
        <v>58</v>
      </c>
      <c r="N6129">
        <v>41.139873000000001</v>
      </c>
      <c r="O6129">
        <v>-112.11297999999999</v>
      </c>
      <c r="P6129">
        <v>4182.6454780000004</v>
      </c>
      <c r="Q6129">
        <v>309</v>
      </c>
      <c r="R6129">
        <v>0</v>
      </c>
    </row>
    <row r="6130" spans="1:18" x14ac:dyDescent="0.25">
      <c r="A6130">
        <v>7129</v>
      </c>
      <c r="B6130">
        <v>94</v>
      </c>
      <c r="C6130">
        <v>31503623</v>
      </c>
      <c r="D6130" t="s">
        <v>292</v>
      </c>
      <c r="E6130">
        <v>4.5330000000000004</v>
      </c>
      <c r="F6130" t="s">
        <v>21</v>
      </c>
      <c r="G6130" t="s">
        <v>20</v>
      </c>
      <c r="H6130" t="s">
        <v>21</v>
      </c>
      <c r="I6130" t="s">
        <v>20</v>
      </c>
      <c r="J6130" t="s">
        <v>20</v>
      </c>
      <c r="K6130" t="s">
        <v>22</v>
      </c>
      <c r="L6130" t="s">
        <v>253</v>
      </c>
      <c r="M6130" t="s">
        <v>134</v>
      </c>
      <c r="N6130">
        <v>40.227533999999999</v>
      </c>
      <c r="O6130">
        <v>-110.389303</v>
      </c>
      <c r="P6130">
        <v>5865.7240380000003</v>
      </c>
      <c r="Q6130">
        <v>323</v>
      </c>
      <c r="R6130">
        <v>0</v>
      </c>
    </row>
    <row r="6131" spans="1:18" x14ac:dyDescent="0.25">
      <c r="A6131">
        <v>7130</v>
      </c>
      <c r="B6131">
        <v>94</v>
      </c>
      <c r="C6131">
        <v>31296202</v>
      </c>
      <c r="D6131" t="s">
        <v>338</v>
      </c>
      <c r="E6131">
        <v>4.5380000000000003</v>
      </c>
      <c r="F6131" t="s">
        <v>21</v>
      </c>
      <c r="G6131" t="s">
        <v>20</v>
      </c>
      <c r="H6131" t="s">
        <v>21</v>
      </c>
      <c r="I6131" t="s">
        <v>20</v>
      </c>
      <c r="J6131" t="s">
        <v>20</v>
      </c>
      <c r="K6131" t="s">
        <v>27</v>
      </c>
      <c r="L6131" t="s">
        <v>72</v>
      </c>
      <c r="M6131" t="s">
        <v>73</v>
      </c>
      <c r="N6131">
        <v>37.035995999999997</v>
      </c>
      <c r="O6131">
        <v>-113.06747799999999</v>
      </c>
      <c r="P6131">
        <v>4782.7961329999998</v>
      </c>
      <c r="Q6131">
        <v>315</v>
      </c>
      <c r="R6131">
        <v>0</v>
      </c>
    </row>
    <row r="6132" spans="1:18" x14ac:dyDescent="0.25">
      <c r="A6132">
        <v>7131</v>
      </c>
      <c r="B6132">
        <v>94</v>
      </c>
      <c r="C6132">
        <v>31193804</v>
      </c>
      <c r="D6132" t="s">
        <v>126</v>
      </c>
      <c r="E6132">
        <v>4.5380000000000003</v>
      </c>
      <c r="F6132" t="s">
        <v>21</v>
      </c>
      <c r="G6132" t="s">
        <v>26</v>
      </c>
      <c r="H6132" t="s">
        <v>21</v>
      </c>
      <c r="I6132" t="s">
        <v>20</v>
      </c>
      <c r="J6132" t="s">
        <v>20</v>
      </c>
      <c r="K6132" t="s">
        <v>41</v>
      </c>
      <c r="L6132" t="s">
        <v>57</v>
      </c>
      <c r="M6132" t="s">
        <v>93</v>
      </c>
      <c r="N6132">
        <v>41.256843000000003</v>
      </c>
      <c r="O6132">
        <v>-112.092437</v>
      </c>
      <c r="P6132">
        <v>4181.1762849999996</v>
      </c>
      <c r="Q6132">
        <v>1412</v>
      </c>
      <c r="R6132">
        <v>0</v>
      </c>
    </row>
    <row r="6133" spans="1:18" x14ac:dyDescent="0.25">
      <c r="A6133">
        <v>7132</v>
      </c>
      <c r="B6133">
        <v>94</v>
      </c>
      <c r="C6133">
        <v>31401041</v>
      </c>
      <c r="D6133" t="s">
        <v>224</v>
      </c>
      <c r="E6133">
        <v>4.5389999999999997</v>
      </c>
      <c r="F6133" t="s">
        <v>21</v>
      </c>
      <c r="G6133" t="s">
        <v>26</v>
      </c>
      <c r="H6133" t="s">
        <v>21</v>
      </c>
      <c r="I6133" t="s">
        <v>20</v>
      </c>
      <c r="J6133" t="s">
        <v>20</v>
      </c>
      <c r="K6133" t="s">
        <v>22</v>
      </c>
      <c r="L6133" t="s">
        <v>198</v>
      </c>
      <c r="M6133" t="s">
        <v>194</v>
      </c>
      <c r="N6133">
        <v>40.033126000000003</v>
      </c>
      <c r="O6133">
        <v>-111.73424799999999</v>
      </c>
      <c r="P6133">
        <v>4702.0413189999999</v>
      </c>
      <c r="Q6133">
        <v>408</v>
      </c>
      <c r="R6133">
        <v>0</v>
      </c>
    </row>
    <row r="6134" spans="1:18" x14ac:dyDescent="0.25">
      <c r="A6134">
        <v>7133</v>
      </c>
      <c r="B6134">
        <v>94</v>
      </c>
      <c r="C6134">
        <v>1371428</v>
      </c>
      <c r="D6134" t="s">
        <v>100</v>
      </c>
      <c r="E6134">
        <v>4.5439999999999996</v>
      </c>
      <c r="F6134" t="s">
        <v>21</v>
      </c>
      <c r="G6134" t="s">
        <v>26</v>
      </c>
      <c r="H6134" t="s">
        <v>21</v>
      </c>
      <c r="I6134" t="s">
        <v>20</v>
      </c>
      <c r="J6134" t="s">
        <v>20</v>
      </c>
      <c r="K6134" t="s">
        <v>41</v>
      </c>
      <c r="L6134" t="s">
        <v>57</v>
      </c>
      <c r="M6134" t="s">
        <v>46</v>
      </c>
      <c r="N6134">
        <v>41.096933</v>
      </c>
      <c r="O6134">
        <v>-112.06461</v>
      </c>
      <c r="P6134">
        <v>4242.7688989999997</v>
      </c>
      <c r="Q6134">
        <v>1396</v>
      </c>
      <c r="R6134">
        <v>0</v>
      </c>
    </row>
    <row r="6135" spans="1:18" x14ac:dyDescent="0.25">
      <c r="A6135">
        <v>7134</v>
      </c>
      <c r="B6135">
        <v>94</v>
      </c>
      <c r="C6135">
        <v>27599618</v>
      </c>
      <c r="D6135" t="s">
        <v>110</v>
      </c>
      <c r="E6135">
        <v>4.5469999999999997</v>
      </c>
      <c r="F6135" t="s">
        <v>21</v>
      </c>
      <c r="G6135" t="s">
        <v>26</v>
      </c>
      <c r="H6135" t="s">
        <v>21</v>
      </c>
      <c r="I6135" t="s">
        <v>20</v>
      </c>
      <c r="J6135" t="s">
        <v>20</v>
      </c>
      <c r="K6135" t="s">
        <v>27</v>
      </c>
      <c r="L6135" t="s">
        <v>111</v>
      </c>
      <c r="M6135" t="s">
        <v>112</v>
      </c>
      <c r="N6135">
        <v>39.230746000000003</v>
      </c>
      <c r="O6135">
        <v>-111.07541999999999</v>
      </c>
      <c r="P6135">
        <v>5857.2625790000002</v>
      </c>
      <c r="Q6135">
        <v>1361</v>
      </c>
      <c r="R6135">
        <v>0</v>
      </c>
    </row>
    <row r="6136" spans="1:18" x14ac:dyDescent="0.25">
      <c r="A6136">
        <v>7135</v>
      </c>
      <c r="B6136">
        <v>94</v>
      </c>
      <c r="C6136">
        <v>31399983</v>
      </c>
      <c r="D6136" t="s">
        <v>250</v>
      </c>
      <c r="E6136">
        <v>4.5469999999999997</v>
      </c>
      <c r="F6136" t="s">
        <v>21</v>
      </c>
      <c r="G6136" t="s">
        <v>26</v>
      </c>
      <c r="H6136" t="s">
        <v>21</v>
      </c>
      <c r="I6136" t="s">
        <v>20</v>
      </c>
      <c r="J6136" t="s">
        <v>20</v>
      </c>
      <c r="K6136" t="s">
        <v>27</v>
      </c>
      <c r="L6136" t="s">
        <v>75</v>
      </c>
      <c r="M6136" t="s">
        <v>76</v>
      </c>
      <c r="N6136">
        <v>38.773186000000003</v>
      </c>
      <c r="O6136">
        <v>-111.984746</v>
      </c>
      <c r="P6136">
        <v>5248.0357990000002</v>
      </c>
      <c r="Q6136">
        <v>1404</v>
      </c>
      <c r="R6136">
        <v>0</v>
      </c>
    </row>
    <row r="6137" spans="1:18" x14ac:dyDescent="0.25">
      <c r="A6137">
        <v>7136</v>
      </c>
      <c r="B6137">
        <v>94</v>
      </c>
      <c r="C6137">
        <v>1266368</v>
      </c>
      <c r="D6137" t="s">
        <v>128</v>
      </c>
      <c r="E6137">
        <v>4.5490000000000004</v>
      </c>
      <c r="F6137" t="s">
        <v>21</v>
      </c>
      <c r="G6137" t="s">
        <v>26</v>
      </c>
      <c r="H6137" t="s">
        <v>21</v>
      </c>
      <c r="I6137" t="s">
        <v>20</v>
      </c>
      <c r="J6137" t="s">
        <v>20</v>
      </c>
      <c r="K6137" t="s">
        <v>41</v>
      </c>
      <c r="L6137" t="s">
        <v>95</v>
      </c>
      <c r="M6137" t="s">
        <v>73</v>
      </c>
      <c r="N6137">
        <v>41.763554999999997</v>
      </c>
      <c r="O6137">
        <v>-111.85863999999999</v>
      </c>
      <c r="P6137">
        <v>4404.1818970000004</v>
      </c>
      <c r="Q6137">
        <v>5943</v>
      </c>
      <c r="R6137">
        <v>0</v>
      </c>
    </row>
    <row r="6138" spans="1:18" x14ac:dyDescent="0.25">
      <c r="A6138">
        <v>7137</v>
      </c>
      <c r="B6138">
        <v>94</v>
      </c>
      <c r="C6138">
        <v>27728963</v>
      </c>
      <c r="D6138" t="s">
        <v>217</v>
      </c>
      <c r="E6138">
        <v>41.898000000000003</v>
      </c>
      <c r="F6138" t="s">
        <v>21</v>
      </c>
      <c r="G6138" t="s">
        <v>26</v>
      </c>
      <c r="H6138" t="s">
        <v>21</v>
      </c>
      <c r="I6138" t="s">
        <v>20</v>
      </c>
      <c r="J6138" t="s">
        <v>20</v>
      </c>
      <c r="K6138" t="s">
        <v>27</v>
      </c>
      <c r="L6138" t="s">
        <v>162</v>
      </c>
      <c r="M6138" t="s">
        <v>163</v>
      </c>
      <c r="N6138">
        <v>37.585037</v>
      </c>
      <c r="O6138">
        <v>-113.68006200000001</v>
      </c>
      <c r="P6138">
        <v>5249.121975</v>
      </c>
      <c r="Q6138">
        <v>304</v>
      </c>
      <c r="R6138">
        <v>0</v>
      </c>
    </row>
    <row r="6139" spans="1:18" x14ac:dyDescent="0.25">
      <c r="A6139">
        <v>7138</v>
      </c>
      <c r="B6139">
        <v>94</v>
      </c>
      <c r="C6139" t="e">
        <f>-JYlTpOWFl1aDvq_cvzT7F</f>
        <v>#NAME?</v>
      </c>
      <c r="D6139" t="s">
        <v>129</v>
      </c>
      <c r="E6139">
        <v>41.9</v>
      </c>
      <c r="F6139" t="s">
        <v>21</v>
      </c>
      <c r="G6139" t="s">
        <v>26</v>
      </c>
      <c r="H6139" t="s">
        <v>21</v>
      </c>
      <c r="I6139" t="s">
        <v>20</v>
      </c>
      <c r="J6139" t="s">
        <v>20</v>
      </c>
      <c r="K6139" t="s">
        <v>31</v>
      </c>
      <c r="L6139" t="s">
        <v>130</v>
      </c>
      <c r="M6139" t="s">
        <v>328</v>
      </c>
      <c r="N6139">
        <v>40.825668999999998</v>
      </c>
      <c r="O6139">
        <v>-110.862888</v>
      </c>
      <c r="P6139">
        <v>8947.609375</v>
      </c>
      <c r="Q6139">
        <v>340</v>
      </c>
      <c r="R6139">
        <v>0</v>
      </c>
    </row>
    <row r="6140" spans="1:18" x14ac:dyDescent="0.25">
      <c r="A6140">
        <v>7139</v>
      </c>
      <c r="B6140">
        <v>94</v>
      </c>
      <c r="C6140">
        <v>31400156</v>
      </c>
      <c r="D6140" t="s">
        <v>124</v>
      </c>
      <c r="E6140">
        <v>41.917999999999999</v>
      </c>
      <c r="F6140" t="s">
        <v>21</v>
      </c>
      <c r="G6140" t="s">
        <v>26</v>
      </c>
      <c r="H6140" t="s">
        <v>21</v>
      </c>
      <c r="I6140" t="s">
        <v>20</v>
      </c>
      <c r="J6140" t="s">
        <v>20</v>
      </c>
      <c r="K6140" t="s">
        <v>31</v>
      </c>
      <c r="L6140" t="s">
        <v>89</v>
      </c>
      <c r="M6140" t="s">
        <v>125</v>
      </c>
      <c r="N6140">
        <v>40.516576000000001</v>
      </c>
      <c r="O6140">
        <v>-111.938731</v>
      </c>
      <c r="P6140">
        <v>4382.1233460000003</v>
      </c>
      <c r="Q6140">
        <v>1368</v>
      </c>
      <c r="R6140">
        <v>0</v>
      </c>
    </row>
    <row r="6141" spans="1:18" x14ac:dyDescent="0.25">
      <c r="A6141">
        <v>7140</v>
      </c>
      <c r="B6141">
        <v>94</v>
      </c>
      <c r="C6141">
        <v>31286789</v>
      </c>
      <c r="D6141" t="s">
        <v>241</v>
      </c>
      <c r="E6141">
        <v>41.923000000000002</v>
      </c>
      <c r="F6141" t="s">
        <v>21</v>
      </c>
      <c r="G6141" t="s">
        <v>26</v>
      </c>
      <c r="H6141" t="s">
        <v>21</v>
      </c>
      <c r="I6141" t="s">
        <v>20</v>
      </c>
      <c r="J6141" t="s">
        <v>20</v>
      </c>
      <c r="K6141" t="s">
        <v>27</v>
      </c>
      <c r="L6141" t="s">
        <v>111</v>
      </c>
      <c r="M6141" t="s">
        <v>243</v>
      </c>
      <c r="N6141">
        <v>39.255122</v>
      </c>
      <c r="O6141">
        <v>-110.98473</v>
      </c>
      <c r="P6141">
        <v>5635.4052000000001</v>
      </c>
      <c r="Q6141">
        <v>1327</v>
      </c>
      <c r="R6141">
        <v>0</v>
      </c>
    </row>
    <row r="6142" spans="1:18" x14ac:dyDescent="0.25">
      <c r="A6142">
        <v>7141</v>
      </c>
      <c r="B6142">
        <v>94</v>
      </c>
      <c r="C6142" t="e">
        <f>-IpU2WbeFtivIJj2rRye_V</f>
        <v>#NAME?</v>
      </c>
      <c r="D6142" t="s">
        <v>272</v>
      </c>
      <c r="E6142">
        <v>412.98099999999999</v>
      </c>
      <c r="F6142" t="s">
        <v>21</v>
      </c>
      <c r="G6142" t="s">
        <v>26</v>
      </c>
      <c r="H6142" t="s">
        <v>21</v>
      </c>
      <c r="I6142" t="s">
        <v>20</v>
      </c>
      <c r="J6142" t="s">
        <v>20</v>
      </c>
      <c r="K6142" t="s">
        <v>41</v>
      </c>
      <c r="L6142" t="s">
        <v>81</v>
      </c>
      <c r="M6142" t="s">
        <v>46</v>
      </c>
      <c r="N6142">
        <v>41.209187999999997</v>
      </c>
      <c r="O6142">
        <v>-111.970733</v>
      </c>
      <c r="P6142">
        <v>4270.6005910000003</v>
      </c>
      <c r="Q6142">
        <v>1384</v>
      </c>
      <c r="R6142">
        <v>0</v>
      </c>
    </row>
    <row r="6143" spans="1:18" x14ac:dyDescent="0.25">
      <c r="A6143">
        <v>7142</v>
      </c>
      <c r="B6143">
        <v>94</v>
      </c>
      <c r="C6143" t="e">
        <f>-IpU2hBHFjeYFDpdRZsx_V</f>
        <v>#NAME?</v>
      </c>
      <c r="D6143" t="s">
        <v>272</v>
      </c>
      <c r="E6143">
        <v>413.05500000000001</v>
      </c>
      <c r="F6143" t="s">
        <v>19</v>
      </c>
      <c r="G6143" t="s">
        <v>20</v>
      </c>
      <c r="H6143" t="s">
        <v>19</v>
      </c>
      <c r="I6143">
        <v>79</v>
      </c>
      <c r="J6143" t="s">
        <v>20</v>
      </c>
      <c r="K6143" t="s">
        <v>41</v>
      </c>
      <c r="L6143" t="s">
        <v>81</v>
      </c>
      <c r="M6143" t="s">
        <v>46</v>
      </c>
      <c r="N6143">
        <v>41.210236999999999</v>
      </c>
      <c r="O6143">
        <v>-111.970721</v>
      </c>
      <c r="P6143">
        <v>4269.0671949999996</v>
      </c>
      <c r="Q6143">
        <v>1384</v>
      </c>
      <c r="R6143">
        <v>0</v>
      </c>
    </row>
    <row r="6144" spans="1:18" x14ac:dyDescent="0.25">
      <c r="A6144">
        <v>7143</v>
      </c>
      <c r="B6144">
        <v>94</v>
      </c>
      <c r="C6144" t="e">
        <f>-IpU4VuXI99CFvvsUPb6sV</f>
        <v>#NAME?</v>
      </c>
      <c r="D6144" t="s">
        <v>272</v>
      </c>
      <c r="E6144">
        <v>413.19799999999998</v>
      </c>
      <c r="F6144" t="s">
        <v>19</v>
      </c>
      <c r="G6144" t="s">
        <v>20</v>
      </c>
      <c r="H6144" t="s">
        <v>21</v>
      </c>
      <c r="I6144" t="s">
        <v>20</v>
      </c>
      <c r="J6144" t="s">
        <v>20</v>
      </c>
      <c r="K6144" t="s">
        <v>41</v>
      </c>
      <c r="L6144" t="s">
        <v>81</v>
      </c>
      <c r="M6144" t="s">
        <v>46</v>
      </c>
      <c r="N6144">
        <v>41.212297</v>
      </c>
      <c r="O6144">
        <v>-111.97066700000001</v>
      </c>
      <c r="P6144">
        <v>4267.0724499999997</v>
      </c>
      <c r="Q6144">
        <v>1384</v>
      </c>
      <c r="R6144">
        <v>0</v>
      </c>
    </row>
    <row r="6145" spans="1:18" x14ac:dyDescent="0.25">
      <c r="A6145">
        <v>7144</v>
      </c>
      <c r="B6145">
        <v>94</v>
      </c>
      <c r="C6145" t="e">
        <f>-IpU5oI0GjTpl6oXUs6uaF</f>
        <v>#NAME?</v>
      </c>
      <c r="D6145" t="s">
        <v>272</v>
      </c>
      <c r="E6145">
        <v>413.28100000000001</v>
      </c>
      <c r="F6145" t="s">
        <v>21</v>
      </c>
      <c r="G6145" t="s">
        <v>26</v>
      </c>
      <c r="H6145" t="s">
        <v>21</v>
      </c>
      <c r="I6145" t="s">
        <v>20</v>
      </c>
      <c r="J6145" t="s">
        <v>20</v>
      </c>
      <c r="K6145" t="s">
        <v>41</v>
      </c>
      <c r="L6145" t="s">
        <v>81</v>
      </c>
      <c r="M6145" t="s">
        <v>46</v>
      </c>
      <c r="N6145">
        <v>41.213484999999999</v>
      </c>
      <c r="O6145">
        <v>-111.970634</v>
      </c>
      <c r="P6145">
        <v>4264.2508600000001</v>
      </c>
      <c r="Q6145">
        <v>1384</v>
      </c>
      <c r="R6145">
        <v>0</v>
      </c>
    </row>
    <row r="6146" spans="1:18" x14ac:dyDescent="0.25">
      <c r="A6146">
        <v>7145</v>
      </c>
      <c r="B6146">
        <v>94</v>
      </c>
      <c r="C6146" t="s">
        <v>788</v>
      </c>
      <c r="D6146" t="s">
        <v>272</v>
      </c>
      <c r="E6146">
        <v>413.34300000000002</v>
      </c>
      <c r="F6146" t="s">
        <v>19</v>
      </c>
      <c r="G6146" t="s">
        <v>20</v>
      </c>
      <c r="H6146" t="s">
        <v>21</v>
      </c>
      <c r="I6146" t="s">
        <v>20</v>
      </c>
      <c r="J6146" t="s">
        <v>20</v>
      </c>
      <c r="K6146" t="s">
        <v>41</v>
      </c>
      <c r="L6146" t="s">
        <v>81</v>
      </c>
      <c r="M6146" t="s">
        <v>46</v>
      </c>
      <c r="N6146">
        <v>41.214379999999998</v>
      </c>
      <c r="O6146">
        <v>-111.970618</v>
      </c>
      <c r="P6146">
        <v>4262.3818010000005</v>
      </c>
      <c r="Q6146">
        <v>1384</v>
      </c>
      <c r="R6146">
        <v>0</v>
      </c>
    </row>
    <row r="6147" spans="1:18" x14ac:dyDescent="0.25">
      <c r="A6147">
        <v>7146</v>
      </c>
      <c r="B6147">
        <v>94</v>
      </c>
      <c r="C6147" t="e">
        <f>-IpUAhQpIQLTm1GS8IavwV</f>
        <v>#NAME?</v>
      </c>
      <c r="D6147" t="s">
        <v>272</v>
      </c>
      <c r="E6147">
        <v>413.48899999999998</v>
      </c>
      <c r="F6147" t="s">
        <v>19</v>
      </c>
      <c r="G6147" t="s">
        <v>20</v>
      </c>
      <c r="H6147" t="s">
        <v>21</v>
      </c>
      <c r="I6147" t="s">
        <v>20</v>
      </c>
      <c r="J6147" t="s">
        <v>20</v>
      </c>
      <c r="K6147" t="s">
        <v>41</v>
      </c>
      <c r="L6147" t="s">
        <v>81</v>
      </c>
      <c r="M6147" t="s">
        <v>46</v>
      </c>
      <c r="N6147">
        <v>41.216476999999998</v>
      </c>
      <c r="O6147">
        <v>-111.97057100000001</v>
      </c>
      <c r="P6147">
        <v>4261.0217400000001</v>
      </c>
      <c r="Q6147">
        <v>1384</v>
      </c>
      <c r="R6147">
        <v>0</v>
      </c>
    </row>
    <row r="6148" spans="1:18" x14ac:dyDescent="0.25">
      <c r="A6148">
        <v>7147</v>
      </c>
      <c r="B6148">
        <v>94</v>
      </c>
      <c r="C6148" t="e">
        <f>-IpUBsP8IU5HiY8PNIZlBV</f>
        <v>#NAME?</v>
      </c>
      <c r="D6148" t="s">
        <v>272</v>
      </c>
      <c r="E6148">
        <v>413.541</v>
      </c>
      <c r="F6148" t="s">
        <v>21</v>
      </c>
      <c r="G6148" t="s">
        <v>26</v>
      </c>
      <c r="H6148" t="s">
        <v>21</v>
      </c>
      <c r="I6148" t="s">
        <v>20</v>
      </c>
      <c r="J6148" t="s">
        <v>20</v>
      </c>
      <c r="K6148" t="s">
        <v>41</v>
      </c>
      <c r="L6148" t="s">
        <v>81</v>
      </c>
      <c r="M6148" t="s">
        <v>46</v>
      </c>
      <c r="N6148">
        <v>41.217216999999998</v>
      </c>
      <c r="O6148">
        <v>-111.97055</v>
      </c>
      <c r="P6148">
        <v>4259.1557940000002</v>
      </c>
      <c r="Q6148">
        <v>1384</v>
      </c>
      <c r="R6148">
        <v>0</v>
      </c>
    </row>
    <row r="6149" spans="1:18" x14ac:dyDescent="0.25">
      <c r="A6149">
        <v>7148</v>
      </c>
      <c r="B6149">
        <v>94</v>
      </c>
      <c r="C6149" t="s">
        <v>789</v>
      </c>
      <c r="D6149" t="s">
        <v>272</v>
      </c>
      <c r="E6149">
        <v>413.63400000000001</v>
      </c>
      <c r="F6149" t="s">
        <v>19</v>
      </c>
      <c r="G6149" t="s">
        <v>20</v>
      </c>
      <c r="H6149" t="s">
        <v>21</v>
      </c>
      <c r="I6149" t="s">
        <v>20</v>
      </c>
      <c r="J6149" t="s">
        <v>20</v>
      </c>
      <c r="K6149" t="s">
        <v>41</v>
      </c>
      <c r="L6149" t="s">
        <v>81</v>
      </c>
      <c r="M6149" t="s">
        <v>46</v>
      </c>
      <c r="N6149">
        <v>41.218569000000002</v>
      </c>
      <c r="O6149">
        <v>-111.970528</v>
      </c>
      <c r="P6149">
        <v>4255.8236159999997</v>
      </c>
      <c r="Q6149">
        <v>1384</v>
      </c>
      <c r="R6149">
        <v>0</v>
      </c>
    </row>
    <row r="6150" spans="1:18" x14ac:dyDescent="0.25">
      <c r="A6150">
        <v>7149</v>
      </c>
      <c r="B6150">
        <v>94</v>
      </c>
      <c r="C6150" t="s">
        <v>790</v>
      </c>
      <c r="D6150" t="s">
        <v>272</v>
      </c>
      <c r="E6150">
        <v>413.78</v>
      </c>
      <c r="F6150" t="s">
        <v>19</v>
      </c>
      <c r="G6150" t="s">
        <v>20</v>
      </c>
      <c r="H6150" t="s">
        <v>21</v>
      </c>
      <c r="I6150" t="s">
        <v>20</v>
      </c>
      <c r="J6150" t="s">
        <v>20</v>
      </c>
      <c r="K6150" t="s">
        <v>41</v>
      </c>
      <c r="L6150" t="s">
        <v>81</v>
      </c>
      <c r="M6150" t="s">
        <v>46</v>
      </c>
      <c r="N6150">
        <v>41.220649999999999</v>
      </c>
      <c r="O6150">
        <v>-111.970501</v>
      </c>
      <c r="P6150">
        <v>4253.6122109999997</v>
      </c>
      <c r="Q6150">
        <v>1384</v>
      </c>
      <c r="R6150">
        <v>0</v>
      </c>
    </row>
    <row r="6151" spans="1:18" x14ac:dyDescent="0.25">
      <c r="A6151">
        <v>7150</v>
      </c>
      <c r="B6151">
        <v>94</v>
      </c>
      <c r="C6151" t="e">
        <f>-IpUF3bKIWLyVcZsUM2xWF</f>
        <v>#NAME?</v>
      </c>
      <c r="D6151" t="s">
        <v>272</v>
      </c>
      <c r="E6151">
        <v>413.92599999999999</v>
      </c>
      <c r="F6151" t="s">
        <v>19</v>
      </c>
      <c r="G6151" t="s">
        <v>20</v>
      </c>
      <c r="H6151" t="s">
        <v>19</v>
      </c>
      <c r="I6151">
        <v>53</v>
      </c>
      <c r="J6151" t="s">
        <v>20</v>
      </c>
      <c r="K6151" t="s">
        <v>41</v>
      </c>
      <c r="L6151" t="s">
        <v>81</v>
      </c>
      <c r="M6151" t="s">
        <v>46</v>
      </c>
      <c r="N6151">
        <v>41.222760000000001</v>
      </c>
      <c r="O6151">
        <v>-111.970416</v>
      </c>
      <c r="P6151">
        <v>4252.0750019999996</v>
      </c>
      <c r="Q6151">
        <v>1384</v>
      </c>
      <c r="R6151">
        <v>0</v>
      </c>
    </row>
    <row r="6152" spans="1:18" x14ac:dyDescent="0.25">
      <c r="A6152">
        <v>7151</v>
      </c>
      <c r="B6152">
        <v>94</v>
      </c>
      <c r="C6152" t="e">
        <f>-IpUH8OTG6m6cCojpfMIsk</f>
        <v>#NAME?</v>
      </c>
      <c r="D6152" t="s">
        <v>272</v>
      </c>
      <c r="E6152">
        <v>414.072</v>
      </c>
      <c r="F6152" t="s">
        <v>19</v>
      </c>
      <c r="G6152" t="s">
        <v>20</v>
      </c>
      <c r="H6152" t="s">
        <v>21</v>
      </c>
      <c r="I6152" t="s">
        <v>20</v>
      </c>
      <c r="J6152" t="s">
        <v>20</v>
      </c>
      <c r="K6152" t="s">
        <v>41</v>
      </c>
      <c r="L6152" t="s">
        <v>81</v>
      </c>
      <c r="M6152" t="s">
        <v>46</v>
      </c>
      <c r="N6152">
        <v>41.224853000000003</v>
      </c>
      <c r="O6152">
        <v>-111.970386</v>
      </c>
      <c r="P6152">
        <v>4247.9853810000004</v>
      </c>
      <c r="Q6152">
        <v>1384</v>
      </c>
      <c r="R6152">
        <v>0</v>
      </c>
    </row>
    <row r="6153" spans="1:18" x14ac:dyDescent="0.25">
      <c r="A6153">
        <v>7152</v>
      </c>
      <c r="B6153">
        <v>94</v>
      </c>
      <c r="C6153" t="s">
        <v>791</v>
      </c>
      <c r="D6153" t="s">
        <v>272</v>
      </c>
      <c r="E6153">
        <v>414.21800000000002</v>
      </c>
      <c r="F6153" t="s">
        <v>19</v>
      </c>
      <c r="G6153" t="s">
        <v>20</v>
      </c>
      <c r="H6153" t="s">
        <v>21</v>
      </c>
      <c r="I6153" t="s">
        <v>20</v>
      </c>
      <c r="J6153" t="s">
        <v>20</v>
      </c>
      <c r="K6153" t="s">
        <v>41</v>
      </c>
      <c r="L6153" t="s">
        <v>81</v>
      </c>
      <c r="M6153" t="s">
        <v>46</v>
      </c>
      <c r="N6153">
        <v>41.226948</v>
      </c>
      <c r="O6153">
        <v>-111.970337</v>
      </c>
      <c r="P6153">
        <v>4247.7191320000002</v>
      </c>
      <c r="Q6153">
        <v>1384</v>
      </c>
      <c r="R6153">
        <v>0</v>
      </c>
    </row>
    <row r="6154" spans="1:18" x14ac:dyDescent="0.25">
      <c r="A6154">
        <v>7153</v>
      </c>
      <c r="B6154">
        <v>94</v>
      </c>
      <c r="C6154" t="s">
        <v>792</v>
      </c>
      <c r="D6154" t="s">
        <v>272</v>
      </c>
      <c r="E6154">
        <v>414.36399999999998</v>
      </c>
      <c r="F6154" t="s">
        <v>19</v>
      </c>
      <c r="G6154" t="s">
        <v>20</v>
      </c>
      <c r="H6154" t="s">
        <v>21</v>
      </c>
      <c r="I6154" t="s">
        <v>20</v>
      </c>
      <c r="J6154" t="s">
        <v>20</v>
      </c>
      <c r="K6154" t="s">
        <v>41</v>
      </c>
      <c r="L6154" t="s">
        <v>81</v>
      </c>
      <c r="M6154" t="s">
        <v>46</v>
      </c>
      <c r="N6154">
        <v>41.229045999999997</v>
      </c>
      <c r="O6154">
        <v>-111.970285</v>
      </c>
      <c r="P6154">
        <v>4246.0621209999999</v>
      </c>
      <c r="Q6154">
        <v>1384</v>
      </c>
      <c r="R6154">
        <v>0</v>
      </c>
    </row>
    <row r="6155" spans="1:18" x14ac:dyDescent="0.25">
      <c r="A6155">
        <v>7154</v>
      </c>
      <c r="B6155">
        <v>94</v>
      </c>
      <c r="C6155" t="e">
        <f>-IpUOXLhHienEffnBq2OyF</f>
        <v>#NAME?</v>
      </c>
      <c r="D6155" t="s">
        <v>272</v>
      </c>
      <c r="E6155">
        <v>414.50900000000001</v>
      </c>
      <c r="F6155" t="s">
        <v>19</v>
      </c>
      <c r="G6155" t="s">
        <v>20</v>
      </c>
      <c r="H6155" t="s">
        <v>21</v>
      </c>
      <c r="I6155" t="s">
        <v>20</v>
      </c>
      <c r="J6155" t="s">
        <v>20</v>
      </c>
      <c r="K6155" t="s">
        <v>41</v>
      </c>
      <c r="L6155" t="s">
        <v>81</v>
      </c>
      <c r="M6155" t="s">
        <v>46</v>
      </c>
      <c r="N6155">
        <v>41.231126000000003</v>
      </c>
      <c r="O6155">
        <v>-111.970246</v>
      </c>
      <c r="P6155">
        <v>4243.9790439999997</v>
      </c>
      <c r="Q6155">
        <v>1384</v>
      </c>
      <c r="R6155">
        <v>0</v>
      </c>
    </row>
    <row r="6156" spans="1:18" x14ac:dyDescent="0.25">
      <c r="A6156">
        <v>7155</v>
      </c>
      <c r="B6156">
        <v>94</v>
      </c>
      <c r="C6156">
        <v>31423956</v>
      </c>
      <c r="D6156" t="s">
        <v>221</v>
      </c>
      <c r="E6156">
        <v>27.128</v>
      </c>
      <c r="F6156" t="s">
        <v>21</v>
      </c>
      <c r="G6156" t="s">
        <v>20</v>
      </c>
      <c r="H6156" t="s">
        <v>21</v>
      </c>
      <c r="I6156" t="s">
        <v>20</v>
      </c>
      <c r="J6156" t="s">
        <v>20</v>
      </c>
      <c r="K6156" t="s">
        <v>22</v>
      </c>
      <c r="L6156" t="s">
        <v>155</v>
      </c>
      <c r="M6156" t="s">
        <v>174</v>
      </c>
      <c r="N6156">
        <v>39.518098999999999</v>
      </c>
      <c r="O6156">
        <v>-111.867992</v>
      </c>
      <c r="P6156">
        <v>5253.5779199999997</v>
      </c>
      <c r="Q6156">
        <v>1342</v>
      </c>
      <c r="R6156">
        <v>0</v>
      </c>
    </row>
    <row r="6157" spans="1:18" x14ac:dyDescent="0.25">
      <c r="A6157">
        <v>7156</v>
      </c>
      <c r="B6157">
        <v>94</v>
      </c>
      <c r="C6157">
        <v>31674766</v>
      </c>
      <c r="D6157" t="s">
        <v>213</v>
      </c>
      <c r="E6157">
        <v>214.15299999999999</v>
      </c>
      <c r="F6157" t="s">
        <v>21</v>
      </c>
      <c r="G6157" t="s">
        <v>20</v>
      </c>
      <c r="H6157" t="s">
        <v>21</v>
      </c>
      <c r="I6157" t="s">
        <v>20</v>
      </c>
      <c r="J6157" t="s">
        <v>20</v>
      </c>
      <c r="K6157" t="s">
        <v>27</v>
      </c>
      <c r="L6157" t="s">
        <v>307</v>
      </c>
      <c r="M6157" t="s">
        <v>159</v>
      </c>
      <c r="N6157">
        <v>39.885198000000003</v>
      </c>
      <c r="O6157">
        <v>-111.04902300000001</v>
      </c>
      <c r="P6157">
        <v>7232.9046269999999</v>
      </c>
      <c r="Q6157">
        <v>1332</v>
      </c>
      <c r="R6157">
        <v>0</v>
      </c>
    </row>
    <row r="6158" spans="1:18" x14ac:dyDescent="0.25">
      <c r="A6158">
        <v>7157</v>
      </c>
      <c r="B6158">
        <v>94</v>
      </c>
      <c r="C6158">
        <v>31674777</v>
      </c>
      <c r="D6158" t="s">
        <v>213</v>
      </c>
      <c r="E6158">
        <v>216.167</v>
      </c>
      <c r="F6158" t="s">
        <v>21</v>
      </c>
      <c r="G6158" t="s">
        <v>26</v>
      </c>
      <c r="H6158" t="s">
        <v>21</v>
      </c>
      <c r="I6158" t="s">
        <v>20</v>
      </c>
      <c r="J6158" t="s">
        <v>20</v>
      </c>
      <c r="K6158" t="s">
        <v>27</v>
      </c>
      <c r="L6158" t="s">
        <v>307</v>
      </c>
      <c r="M6158" t="s">
        <v>159</v>
      </c>
      <c r="N6158">
        <v>39.861998999999997</v>
      </c>
      <c r="O6158">
        <v>-111.026798</v>
      </c>
      <c r="P6158">
        <v>7169.3449190000001</v>
      </c>
      <c r="Q6158">
        <v>1332</v>
      </c>
      <c r="R6158">
        <v>0</v>
      </c>
    </row>
    <row r="6159" spans="1:18" x14ac:dyDescent="0.25">
      <c r="A6159">
        <v>7158</v>
      </c>
      <c r="B6159">
        <v>94</v>
      </c>
      <c r="C6159">
        <v>31674788</v>
      </c>
      <c r="D6159" t="s">
        <v>213</v>
      </c>
      <c r="E6159">
        <v>216.56399999999999</v>
      </c>
      <c r="F6159" t="s">
        <v>21</v>
      </c>
      <c r="G6159" t="s">
        <v>20</v>
      </c>
      <c r="H6159" t="s">
        <v>21</v>
      </c>
      <c r="I6159" t="s">
        <v>20</v>
      </c>
      <c r="J6159" t="s">
        <v>20</v>
      </c>
      <c r="K6159" t="s">
        <v>27</v>
      </c>
      <c r="L6159" t="s">
        <v>307</v>
      </c>
      <c r="M6159" t="s">
        <v>159</v>
      </c>
      <c r="N6159">
        <v>39.857771</v>
      </c>
      <c r="O6159">
        <v>-111.021745</v>
      </c>
      <c r="P6159">
        <v>7188.1832080000004</v>
      </c>
      <c r="Q6159">
        <v>1332</v>
      </c>
      <c r="R6159">
        <v>0</v>
      </c>
    </row>
    <row r="6160" spans="1:18" x14ac:dyDescent="0.25">
      <c r="A6160">
        <v>7159</v>
      </c>
      <c r="B6160">
        <v>94</v>
      </c>
      <c r="C6160">
        <v>31677110</v>
      </c>
      <c r="D6160" t="s">
        <v>213</v>
      </c>
      <c r="E6160">
        <v>217.05199999999999</v>
      </c>
      <c r="F6160" t="s">
        <v>21</v>
      </c>
      <c r="G6160" t="s">
        <v>26</v>
      </c>
      <c r="H6160" t="s">
        <v>21</v>
      </c>
      <c r="I6160" t="s">
        <v>20</v>
      </c>
      <c r="J6160" t="s">
        <v>20</v>
      </c>
      <c r="K6160" t="s">
        <v>27</v>
      </c>
      <c r="L6160" t="s">
        <v>307</v>
      </c>
      <c r="M6160" t="s">
        <v>159</v>
      </c>
      <c r="N6160">
        <v>39.853400999999998</v>
      </c>
      <c r="O6160">
        <v>-111.014565</v>
      </c>
      <c r="P6160">
        <v>7175.8093259999996</v>
      </c>
      <c r="Q6160">
        <v>1332</v>
      </c>
      <c r="R6160">
        <v>0</v>
      </c>
    </row>
    <row r="6161" spans="1:18" x14ac:dyDescent="0.25">
      <c r="A6161">
        <v>7160</v>
      </c>
      <c r="B6161">
        <v>94</v>
      </c>
      <c r="C6161">
        <v>31700882</v>
      </c>
      <c r="D6161" t="s">
        <v>213</v>
      </c>
      <c r="E6161">
        <v>247.18899999999999</v>
      </c>
      <c r="F6161" t="s">
        <v>21</v>
      </c>
      <c r="G6161" t="s">
        <v>26</v>
      </c>
      <c r="H6161" t="s">
        <v>21</v>
      </c>
      <c r="I6161" t="s">
        <v>20</v>
      </c>
      <c r="J6161" t="s">
        <v>20</v>
      </c>
      <c r="K6161" t="s">
        <v>27</v>
      </c>
      <c r="L6161" t="s">
        <v>158</v>
      </c>
      <c r="M6161" t="s">
        <v>190</v>
      </c>
      <c r="N6161">
        <v>39.542442999999999</v>
      </c>
      <c r="O6161">
        <v>-110.72944699999999</v>
      </c>
      <c r="P6161">
        <v>5349.4763709999997</v>
      </c>
      <c r="Q6161">
        <v>1332</v>
      </c>
      <c r="R6161">
        <v>0</v>
      </c>
    </row>
    <row r="6162" spans="1:18" x14ac:dyDescent="0.25">
      <c r="A6162">
        <v>7161</v>
      </c>
      <c r="B6162">
        <v>94</v>
      </c>
      <c r="C6162">
        <v>31700893</v>
      </c>
      <c r="D6162" t="s">
        <v>213</v>
      </c>
      <c r="E6162">
        <v>247.364</v>
      </c>
      <c r="F6162" t="s">
        <v>21</v>
      </c>
      <c r="G6162" t="s">
        <v>26</v>
      </c>
      <c r="H6162" t="s">
        <v>21</v>
      </c>
      <c r="I6162" t="s">
        <v>20</v>
      </c>
      <c r="J6162" t="s">
        <v>20</v>
      </c>
      <c r="K6162" t="s">
        <v>27</v>
      </c>
      <c r="L6162" t="s">
        <v>158</v>
      </c>
      <c r="M6162" t="s">
        <v>190</v>
      </c>
      <c r="N6162">
        <v>39.542434</v>
      </c>
      <c r="O6162">
        <v>-110.72617200000001</v>
      </c>
      <c r="P6162">
        <v>5340.4803039999997</v>
      </c>
      <c r="Q6162">
        <v>1332</v>
      </c>
      <c r="R6162">
        <v>0</v>
      </c>
    </row>
    <row r="6163" spans="1:18" x14ac:dyDescent="0.25">
      <c r="A6163">
        <v>7162</v>
      </c>
      <c r="B6163">
        <v>94</v>
      </c>
      <c r="C6163">
        <v>31701404</v>
      </c>
      <c r="D6163" t="s">
        <v>213</v>
      </c>
      <c r="E6163">
        <v>247.489</v>
      </c>
      <c r="F6163" t="s">
        <v>21</v>
      </c>
      <c r="G6163" t="s">
        <v>26</v>
      </c>
      <c r="H6163" t="s">
        <v>21</v>
      </c>
      <c r="I6163" t="s">
        <v>20</v>
      </c>
      <c r="J6163" t="s">
        <v>20</v>
      </c>
      <c r="K6163" t="s">
        <v>27</v>
      </c>
      <c r="L6163" t="s">
        <v>158</v>
      </c>
      <c r="M6163" t="s">
        <v>190</v>
      </c>
      <c r="N6163">
        <v>39.542456999999999</v>
      </c>
      <c r="O6163">
        <v>-110.72385</v>
      </c>
      <c r="P6163">
        <v>5336.3640230000001</v>
      </c>
      <c r="Q6163">
        <v>1332</v>
      </c>
      <c r="R6163">
        <v>0</v>
      </c>
    </row>
    <row r="6164" spans="1:18" x14ac:dyDescent="0.25">
      <c r="A6164">
        <v>7163</v>
      </c>
      <c r="B6164">
        <v>94</v>
      </c>
      <c r="C6164">
        <v>31701415</v>
      </c>
      <c r="D6164" t="s">
        <v>213</v>
      </c>
      <c r="E6164">
        <v>247.64099999999999</v>
      </c>
      <c r="F6164" t="s">
        <v>21</v>
      </c>
      <c r="G6164" t="s">
        <v>26</v>
      </c>
      <c r="H6164" t="s">
        <v>21</v>
      </c>
      <c r="I6164" t="s">
        <v>20</v>
      </c>
      <c r="J6164" t="s">
        <v>20</v>
      </c>
      <c r="K6164" t="s">
        <v>27</v>
      </c>
      <c r="L6164" t="s">
        <v>158</v>
      </c>
      <c r="M6164" t="s">
        <v>190</v>
      </c>
      <c r="N6164">
        <v>39.542468999999997</v>
      </c>
      <c r="O6164">
        <v>-110.72099799999999</v>
      </c>
      <c r="P6164">
        <v>5332.6148519999997</v>
      </c>
      <c r="Q6164">
        <v>1332</v>
      </c>
      <c r="R6164">
        <v>0</v>
      </c>
    </row>
    <row r="6165" spans="1:18" x14ac:dyDescent="0.25">
      <c r="A6165">
        <v>7164</v>
      </c>
      <c r="B6165">
        <v>94</v>
      </c>
      <c r="C6165" t="e">
        <f>-JRJRCzmIOTrhbUDMPgCMV</f>
        <v>#NAME?</v>
      </c>
      <c r="D6165" t="s">
        <v>213</v>
      </c>
      <c r="E6165">
        <v>247.70500000000001</v>
      </c>
      <c r="F6165" t="s">
        <v>21</v>
      </c>
      <c r="G6165" t="s">
        <v>26</v>
      </c>
      <c r="H6165" t="s">
        <v>21</v>
      </c>
      <c r="I6165" t="s">
        <v>20</v>
      </c>
      <c r="J6165" t="s">
        <v>20</v>
      </c>
      <c r="K6165" t="s">
        <v>27</v>
      </c>
      <c r="L6165" t="s">
        <v>158</v>
      </c>
      <c r="M6165" t="s">
        <v>190</v>
      </c>
      <c r="N6165">
        <v>39.542473999999999</v>
      </c>
      <c r="O6165">
        <v>-110.719793</v>
      </c>
      <c r="P6165">
        <v>5330.7492099999999</v>
      </c>
      <c r="Q6165">
        <v>1332</v>
      </c>
      <c r="R6165">
        <v>0</v>
      </c>
    </row>
    <row r="6166" spans="1:18" x14ac:dyDescent="0.25">
      <c r="A6166">
        <v>7165</v>
      </c>
      <c r="B6166">
        <v>94</v>
      </c>
      <c r="C6166" t="s">
        <v>793</v>
      </c>
      <c r="D6166" t="s">
        <v>213</v>
      </c>
      <c r="E6166">
        <v>247.74700000000001</v>
      </c>
      <c r="F6166" t="s">
        <v>21</v>
      </c>
      <c r="G6166" t="s">
        <v>26</v>
      </c>
      <c r="H6166" t="s">
        <v>21</v>
      </c>
      <c r="I6166" t="s">
        <v>20</v>
      </c>
      <c r="J6166" t="s">
        <v>20</v>
      </c>
      <c r="K6166" t="s">
        <v>27</v>
      </c>
      <c r="L6166" t="s">
        <v>158</v>
      </c>
      <c r="M6166" t="s">
        <v>190</v>
      </c>
      <c r="N6166">
        <v>39.542475000000003</v>
      </c>
      <c r="O6166">
        <v>-110.71901099999999</v>
      </c>
      <c r="P6166">
        <v>5329.6655559999999</v>
      </c>
      <c r="Q6166">
        <v>1332</v>
      </c>
      <c r="R6166">
        <v>0</v>
      </c>
    </row>
    <row r="6167" spans="1:18" x14ac:dyDescent="0.25">
      <c r="A6167">
        <v>7166</v>
      </c>
      <c r="B6167">
        <v>94</v>
      </c>
      <c r="C6167">
        <v>31701426</v>
      </c>
      <c r="D6167" t="s">
        <v>213</v>
      </c>
      <c r="E6167">
        <v>247.8</v>
      </c>
      <c r="F6167" t="s">
        <v>21</v>
      </c>
      <c r="G6167" t="s">
        <v>26</v>
      </c>
      <c r="H6167" t="s">
        <v>21</v>
      </c>
      <c r="I6167" t="s">
        <v>20</v>
      </c>
      <c r="J6167" t="s">
        <v>20</v>
      </c>
      <c r="K6167" t="s">
        <v>27</v>
      </c>
      <c r="L6167" t="s">
        <v>158</v>
      </c>
      <c r="M6167" t="s">
        <v>190</v>
      </c>
      <c r="N6167">
        <v>39.542479</v>
      </c>
      <c r="O6167">
        <v>-110.71801000000001</v>
      </c>
      <c r="P6167">
        <v>5327.7964890000003</v>
      </c>
      <c r="Q6167">
        <v>1332</v>
      </c>
      <c r="R6167">
        <v>0</v>
      </c>
    </row>
    <row r="6168" spans="1:18" x14ac:dyDescent="0.25">
      <c r="A6168">
        <v>7167</v>
      </c>
      <c r="B6168">
        <v>94</v>
      </c>
      <c r="C6168" t="e">
        <f>-IoMP6YdGOaR1EZLcqE4kV</f>
        <v>#NAME?</v>
      </c>
      <c r="D6168" t="s">
        <v>272</v>
      </c>
      <c r="E6168">
        <v>247.803</v>
      </c>
      <c r="F6168" t="s">
        <v>21</v>
      </c>
      <c r="G6168" t="s">
        <v>26</v>
      </c>
      <c r="H6168" t="s">
        <v>19</v>
      </c>
      <c r="I6168">
        <v>137</v>
      </c>
      <c r="J6168" t="s">
        <v>20</v>
      </c>
      <c r="K6168" t="s">
        <v>27</v>
      </c>
      <c r="L6168" t="s">
        <v>350</v>
      </c>
      <c r="M6168" t="s">
        <v>174</v>
      </c>
      <c r="N6168">
        <v>39.171702000000003</v>
      </c>
      <c r="O6168">
        <v>-111.705659</v>
      </c>
      <c r="P6168">
        <v>5351.3446400000003</v>
      </c>
      <c r="Q6168">
        <v>1384</v>
      </c>
      <c r="R6168">
        <v>0</v>
      </c>
    </row>
    <row r="6169" spans="1:18" x14ac:dyDescent="0.25">
      <c r="A6169">
        <v>7168</v>
      </c>
      <c r="B6169">
        <v>94</v>
      </c>
      <c r="C6169">
        <v>31701437</v>
      </c>
      <c r="D6169" t="s">
        <v>213</v>
      </c>
      <c r="E6169">
        <v>248.21700000000001</v>
      </c>
      <c r="F6169" t="s">
        <v>21</v>
      </c>
      <c r="G6169" t="s">
        <v>26</v>
      </c>
      <c r="H6169" t="s">
        <v>21</v>
      </c>
      <c r="I6169" t="s">
        <v>20</v>
      </c>
      <c r="J6169" t="s">
        <v>20</v>
      </c>
      <c r="K6169" t="s">
        <v>27</v>
      </c>
      <c r="L6169" t="s">
        <v>158</v>
      </c>
      <c r="M6169" t="s">
        <v>190</v>
      </c>
      <c r="N6169">
        <v>39.542509000000003</v>
      </c>
      <c r="O6169">
        <v>-110.710172</v>
      </c>
      <c r="P6169">
        <v>5318.5179369999996</v>
      </c>
      <c r="Q6169">
        <v>1332</v>
      </c>
      <c r="R6169">
        <v>0</v>
      </c>
    </row>
    <row r="6170" spans="1:18" x14ac:dyDescent="0.25">
      <c r="A6170">
        <v>7169</v>
      </c>
      <c r="B6170">
        <v>94</v>
      </c>
      <c r="C6170">
        <v>31701448</v>
      </c>
      <c r="D6170" t="s">
        <v>213</v>
      </c>
      <c r="E6170">
        <v>248.28800000000001</v>
      </c>
      <c r="F6170" t="s">
        <v>21</v>
      </c>
      <c r="G6170" t="s">
        <v>26</v>
      </c>
      <c r="H6170" t="s">
        <v>21</v>
      </c>
      <c r="I6170" t="s">
        <v>20</v>
      </c>
      <c r="J6170" t="s">
        <v>20</v>
      </c>
      <c r="K6170" t="s">
        <v>27</v>
      </c>
      <c r="L6170" t="s">
        <v>158</v>
      </c>
      <c r="M6170" t="s">
        <v>190</v>
      </c>
      <c r="N6170">
        <v>39.542513999999997</v>
      </c>
      <c r="O6170">
        <v>-110.708837</v>
      </c>
      <c r="P6170">
        <v>5318.0435740000003</v>
      </c>
      <c r="Q6170">
        <v>1332</v>
      </c>
      <c r="R6170">
        <v>0</v>
      </c>
    </row>
    <row r="6171" spans="1:18" x14ac:dyDescent="0.25">
      <c r="A6171">
        <v>7170</v>
      </c>
      <c r="B6171">
        <v>94</v>
      </c>
      <c r="C6171">
        <v>31702109</v>
      </c>
      <c r="D6171" t="s">
        <v>213</v>
      </c>
      <c r="E6171">
        <v>248.39699999999999</v>
      </c>
      <c r="F6171" t="s">
        <v>21</v>
      </c>
      <c r="G6171" t="s">
        <v>361</v>
      </c>
      <c r="H6171" t="s">
        <v>21</v>
      </c>
      <c r="I6171" t="s">
        <v>20</v>
      </c>
      <c r="J6171" t="s">
        <v>20</v>
      </c>
      <c r="K6171" t="s">
        <v>27</v>
      </c>
      <c r="L6171" t="s">
        <v>158</v>
      </c>
      <c r="M6171" t="s">
        <v>190</v>
      </c>
      <c r="N6171">
        <v>39.542521999999998</v>
      </c>
      <c r="O6171">
        <v>-110.706796</v>
      </c>
      <c r="P6171">
        <v>5318.3745369999997</v>
      </c>
      <c r="Q6171">
        <v>1332</v>
      </c>
      <c r="R6171">
        <v>0</v>
      </c>
    </row>
    <row r="6172" spans="1:18" x14ac:dyDescent="0.25">
      <c r="A6172">
        <v>7171</v>
      </c>
      <c r="B6172">
        <v>94</v>
      </c>
      <c r="C6172" t="s">
        <v>794</v>
      </c>
      <c r="D6172" t="s">
        <v>272</v>
      </c>
      <c r="E6172">
        <v>248.846</v>
      </c>
      <c r="F6172" t="s">
        <v>21</v>
      </c>
      <c r="G6172" t="s">
        <v>20</v>
      </c>
      <c r="H6172" t="s">
        <v>21</v>
      </c>
      <c r="I6172" t="s">
        <v>20</v>
      </c>
      <c r="J6172" t="s">
        <v>20</v>
      </c>
      <c r="K6172" t="s">
        <v>27</v>
      </c>
      <c r="L6172" t="s">
        <v>350</v>
      </c>
      <c r="M6172" t="s">
        <v>174</v>
      </c>
      <c r="N6172">
        <v>39.184722999999998</v>
      </c>
      <c r="O6172">
        <v>-111.695848</v>
      </c>
      <c r="P6172">
        <v>5444.5619900000002</v>
      </c>
      <c r="Q6172">
        <v>1384</v>
      </c>
      <c r="R6172">
        <v>0</v>
      </c>
    </row>
    <row r="6173" spans="1:18" x14ac:dyDescent="0.25">
      <c r="A6173">
        <v>7172</v>
      </c>
      <c r="B6173">
        <v>94</v>
      </c>
      <c r="C6173">
        <v>31702142</v>
      </c>
      <c r="D6173" t="s">
        <v>213</v>
      </c>
      <c r="E6173">
        <v>248.935</v>
      </c>
      <c r="F6173" t="s">
        <v>21</v>
      </c>
      <c r="G6173" t="s">
        <v>26</v>
      </c>
      <c r="H6173" t="s">
        <v>21</v>
      </c>
      <c r="I6173" t="s">
        <v>20</v>
      </c>
      <c r="J6173" t="s">
        <v>20</v>
      </c>
      <c r="K6173" t="s">
        <v>27</v>
      </c>
      <c r="L6173" t="s">
        <v>158</v>
      </c>
      <c r="M6173" t="s">
        <v>190</v>
      </c>
      <c r="N6173">
        <v>39.542554000000003</v>
      </c>
      <c r="O6173">
        <v>-110.696685</v>
      </c>
      <c r="P6173">
        <v>5336.7216129999997</v>
      </c>
      <c r="Q6173">
        <v>1332</v>
      </c>
      <c r="R6173">
        <v>0</v>
      </c>
    </row>
    <row r="6174" spans="1:18" x14ac:dyDescent="0.25">
      <c r="A6174">
        <v>7173</v>
      </c>
      <c r="B6174">
        <v>94</v>
      </c>
      <c r="C6174">
        <v>31703103</v>
      </c>
      <c r="D6174" t="s">
        <v>213</v>
      </c>
      <c r="E6174">
        <v>249.12</v>
      </c>
      <c r="F6174" t="s">
        <v>21</v>
      </c>
      <c r="G6174" t="s">
        <v>26</v>
      </c>
      <c r="H6174" t="s">
        <v>21</v>
      </c>
      <c r="I6174" t="s">
        <v>20</v>
      </c>
      <c r="J6174" t="s">
        <v>20</v>
      </c>
      <c r="K6174" t="s">
        <v>27</v>
      </c>
      <c r="L6174" t="s">
        <v>158</v>
      </c>
      <c r="M6174" t="s">
        <v>190</v>
      </c>
      <c r="N6174">
        <v>39.542560000000002</v>
      </c>
      <c r="O6174">
        <v>-110.693202</v>
      </c>
      <c r="P6174">
        <v>5338.9072260000003</v>
      </c>
      <c r="Q6174">
        <v>1332</v>
      </c>
      <c r="R6174">
        <v>0</v>
      </c>
    </row>
    <row r="6175" spans="1:18" x14ac:dyDescent="0.25">
      <c r="A6175">
        <v>7174</v>
      </c>
      <c r="B6175">
        <v>94</v>
      </c>
      <c r="C6175" t="e">
        <f>-IoMPzKkHoLj9jLhf01IwF</f>
        <v>#NAME?</v>
      </c>
      <c r="D6175" t="s">
        <v>272</v>
      </c>
      <c r="E6175">
        <v>249.29300000000001</v>
      </c>
      <c r="F6175" t="s">
        <v>21</v>
      </c>
      <c r="G6175" t="s">
        <v>26</v>
      </c>
      <c r="H6175" t="s">
        <v>21</v>
      </c>
      <c r="I6175" t="s">
        <v>20</v>
      </c>
      <c r="J6175" t="s">
        <v>20</v>
      </c>
      <c r="K6175" t="s">
        <v>27</v>
      </c>
      <c r="L6175" t="s">
        <v>350</v>
      </c>
      <c r="M6175" t="s">
        <v>174</v>
      </c>
      <c r="N6175">
        <v>39.190581000000002</v>
      </c>
      <c r="O6175">
        <v>-111.69248399999999</v>
      </c>
      <c r="P6175">
        <v>5477.5945629999997</v>
      </c>
      <c r="Q6175">
        <v>1384</v>
      </c>
      <c r="R6175">
        <v>0</v>
      </c>
    </row>
    <row r="6176" spans="1:18" x14ac:dyDescent="0.25">
      <c r="A6176">
        <v>7175</v>
      </c>
      <c r="B6176">
        <v>94</v>
      </c>
      <c r="C6176">
        <v>31703114</v>
      </c>
      <c r="D6176" t="s">
        <v>213</v>
      </c>
      <c r="E6176">
        <v>249.386</v>
      </c>
      <c r="F6176" t="s">
        <v>21</v>
      </c>
      <c r="G6176" t="s">
        <v>26</v>
      </c>
      <c r="H6176" t="s">
        <v>21</v>
      </c>
      <c r="I6176" t="s">
        <v>20</v>
      </c>
      <c r="J6176" t="s">
        <v>20</v>
      </c>
      <c r="K6176" t="s">
        <v>27</v>
      </c>
      <c r="L6176" t="s">
        <v>158</v>
      </c>
      <c r="M6176" t="s">
        <v>190</v>
      </c>
      <c r="N6176">
        <v>39.542596000000003</v>
      </c>
      <c r="O6176">
        <v>-110.688208</v>
      </c>
      <c r="P6176">
        <v>5345.334347</v>
      </c>
      <c r="Q6176">
        <v>1332</v>
      </c>
      <c r="R6176">
        <v>0</v>
      </c>
    </row>
    <row r="6177" spans="1:18" x14ac:dyDescent="0.25">
      <c r="A6177">
        <v>7176</v>
      </c>
      <c r="B6177">
        <v>94</v>
      </c>
      <c r="C6177" t="e">
        <f>-IoMQ4t0GDTjvGBV6fl05k</f>
        <v>#NAME?</v>
      </c>
      <c r="D6177" t="s">
        <v>272</v>
      </c>
      <c r="E6177">
        <v>249.38900000000001</v>
      </c>
      <c r="F6177" t="s">
        <v>21</v>
      </c>
      <c r="G6177" t="s">
        <v>26</v>
      </c>
      <c r="H6177" t="s">
        <v>21</v>
      </c>
      <c r="I6177" t="s">
        <v>20</v>
      </c>
      <c r="J6177" t="s">
        <v>20</v>
      </c>
      <c r="K6177" t="s">
        <v>27</v>
      </c>
      <c r="L6177" t="s">
        <v>350</v>
      </c>
      <c r="M6177" t="s">
        <v>174</v>
      </c>
      <c r="N6177">
        <v>39.191972999999997</v>
      </c>
      <c r="O6177">
        <v>-111.692492</v>
      </c>
      <c r="P6177">
        <v>5498.2332550000001</v>
      </c>
      <c r="Q6177">
        <v>1384</v>
      </c>
      <c r="R6177">
        <v>0</v>
      </c>
    </row>
    <row r="6178" spans="1:18" x14ac:dyDescent="0.25">
      <c r="A6178">
        <v>7177</v>
      </c>
      <c r="B6178">
        <v>94</v>
      </c>
      <c r="C6178" t="e">
        <f>-IoIIfxDI35l8Ako9RLVXV</f>
        <v>#NAME?</v>
      </c>
      <c r="D6178" t="s">
        <v>272</v>
      </c>
      <c r="E6178">
        <v>255.74600000000001</v>
      </c>
      <c r="F6178" t="s">
        <v>21</v>
      </c>
      <c r="G6178" t="s">
        <v>26</v>
      </c>
      <c r="H6178" t="s">
        <v>21</v>
      </c>
      <c r="I6178" t="s">
        <v>20</v>
      </c>
      <c r="J6178" t="s">
        <v>20</v>
      </c>
      <c r="K6178" t="s">
        <v>27</v>
      </c>
      <c r="L6178" t="s">
        <v>350</v>
      </c>
      <c r="M6178" t="s">
        <v>174</v>
      </c>
      <c r="N6178">
        <v>39.268312000000002</v>
      </c>
      <c r="O6178">
        <v>-111.63699800000001</v>
      </c>
      <c r="P6178">
        <v>5551.3820960000003</v>
      </c>
      <c r="Q6178">
        <v>1384</v>
      </c>
      <c r="R6178">
        <v>0</v>
      </c>
    </row>
    <row r="6179" spans="1:18" x14ac:dyDescent="0.25">
      <c r="A6179">
        <v>7178</v>
      </c>
      <c r="B6179">
        <v>94</v>
      </c>
      <c r="C6179" t="e">
        <f>-IoIIugzF5PTaa9IuncKLk</f>
        <v>#NAME?</v>
      </c>
      <c r="D6179" t="s">
        <v>272</v>
      </c>
      <c r="E6179">
        <v>255.846</v>
      </c>
      <c r="F6179" t="s">
        <v>21</v>
      </c>
      <c r="G6179" t="s">
        <v>26</v>
      </c>
      <c r="H6179" t="s">
        <v>21</v>
      </c>
      <c r="I6179" t="s">
        <v>20</v>
      </c>
      <c r="J6179" t="s">
        <v>20</v>
      </c>
      <c r="K6179" t="s">
        <v>27</v>
      </c>
      <c r="L6179" t="s">
        <v>350</v>
      </c>
      <c r="M6179" t="s">
        <v>174</v>
      </c>
      <c r="N6179">
        <v>39.269753999999999</v>
      </c>
      <c r="O6179">
        <v>-111.636995</v>
      </c>
      <c r="P6179">
        <v>5539.4284230000003</v>
      </c>
      <c r="Q6179">
        <v>1384</v>
      </c>
      <c r="R6179">
        <v>0</v>
      </c>
    </row>
    <row r="6180" spans="1:18" x14ac:dyDescent="0.25">
      <c r="A6180">
        <v>7179</v>
      </c>
      <c r="B6180">
        <v>94</v>
      </c>
      <c r="C6180">
        <v>535116</v>
      </c>
      <c r="D6180" t="s">
        <v>47</v>
      </c>
      <c r="E6180">
        <v>2.3639999999999999</v>
      </c>
      <c r="F6180" t="s">
        <v>19</v>
      </c>
      <c r="G6180" t="s">
        <v>20</v>
      </c>
      <c r="H6180" t="s">
        <v>19</v>
      </c>
      <c r="I6180">
        <v>68</v>
      </c>
      <c r="J6180" t="s">
        <v>20</v>
      </c>
      <c r="K6180" t="s">
        <v>31</v>
      </c>
      <c r="L6180" t="s">
        <v>48</v>
      </c>
      <c r="M6180" t="s">
        <v>49</v>
      </c>
      <c r="N6180">
        <v>40.544165999999997</v>
      </c>
      <c r="O6180">
        <v>-111.938745</v>
      </c>
      <c r="P6180">
        <v>4384.8234519999996</v>
      </c>
      <c r="Q6180">
        <v>6715</v>
      </c>
      <c r="R6180">
        <v>0</v>
      </c>
    </row>
    <row r="6181" spans="1:18" x14ac:dyDescent="0.25">
      <c r="A6181">
        <v>7180</v>
      </c>
      <c r="B6181">
        <v>94</v>
      </c>
      <c r="C6181">
        <v>31870569</v>
      </c>
      <c r="D6181" t="s">
        <v>118</v>
      </c>
      <c r="E6181">
        <v>157.60900000000001</v>
      </c>
      <c r="F6181" t="s">
        <v>21</v>
      </c>
      <c r="G6181" t="s">
        <v>26</v>
      </c>
      <c r="H6181" t="s">
        <v>21</v>
      </c>
      <c r="I6181" t="s">
        <v>20</v>
      </c>
      <c r="J6181" t="s">
        <v>20</v>
      </c>
      <c r="K6181" t="s">
        <v>22</v>
      </c>
      <c r="L6181" t="s">
        <v>234</v>
      </c>
      <c r="M6181" t="s">
        <v>169</v>
      </c>
      <c r="N6181">
        <v>40.369736000000003</v>
      </c>
      <c r="O6181">
        <v>-109.336065</v>
      </c>
      <c r="P6181">
        <v>4685.6288089999998</v>
      </c>
      <c r="Q6181">
        <v>310</v>
      </c>
      <c r="R6181">
        <v>0</v>
      </c>
    </row>
    <row r="6182" spans="1:18" x14ac:dyDescent="0.25">
      <c r="A6182">
        <v>7181</v>
      </c>
      <c r="B6182">
        <v>94</v>
      </c>
      <c r="C6182">
        <v>31551928</v>
      </c>
      <c r="D6182" t="s">
        <v>320</v>
      </c>
      <c r="E6182">
        <v>157.733</v>
      </c>
      <c r="F6182" t="s">
        <v>21</v>
      </c>
      <c r="G6182" t="s">
        <v>26</v>
      </c>
      <c r="H6182" t="s">
        <v>21</v>
      </c>
      <c r="I6182" t="s">
        <v>20</v>
      </c>
      <c r="J6182" t="s">
        <v>20</v>
      </c>
      <c r="K6182" t="s">
        <v>27</v>
      </c>
      <c r="L6182" t="s">
        <v>183</v>
      </c>
      <c r="M6182" t="s">
        <v>76</v>
      </c>
      <c r="N6182">
        <v>38.956150000000001</v>
      </c>
      <c r="O6182">
        <v>-111.87353299999999</v>
      </c>
      <c r="P6182">
        <v>5081.0548920000001</v>
      </c>
      <c r="Q6182">
        <v>1356</v>
      </c>
      <c r="R6182">
        <v>0</v>
      </c>
    </row>
    <row r="6183" spans="1:18" x14ac:dyDescent="0.25">
      <c r="A6183">
        <v>7182</v>
      </c>
      <c r="B6183">
        <v>94</v>
      </c>
      <c r="C6183">
        <v>31548761</v>
      </c>
      <c r="D6183" t="s">
        <v>320</v>
      </c>
      <c r="E6183">
        <v>157.74600000000001</v>
      </c>
      <c r="F6183" t="s">
        <v>21</v>
      </c>
      <c r="G6183" t="s">
        <v>26</v>
      </c>
      <c r="H6183" t="s">
        <v>19</v>
      </c>
      <c r="I6183">
        <v>24</v>
      </c>
      <c r="J6183" t="s">
        <v>20</v>
      </c>
      <c r="K6183" t="s">
        <v>27</v>
      </c>
      <c r="L6183" t="s">
        <v>183</v>
      </c>
      <c r="M6183" t="s">
        <v>76</v>
      </c>
      <c r="N6183">
        <v>38.955891000000001</v>
      </c>
      <c r="O6183">
        <v>-111.873244</v>
      </c>
      <c r="P6183">
        <v>5082.9155309999996</v>
      </c>
      <c r="Q6183">
        <v>1356</v>
      </c>
      <c r="R6183">
        <v>0</v>
      </c>
    </row>
    <row r="6184" spans="1:18" x14ac:dyDescent="0.25">
      <c r="A6184">
        <v>7183</v>
      </c>
      <c r="B6184">
        <v>94</v>
      </c>
      <c r="C6184">
        <v>31588267</v>
      </c>
      <c r="D6184" t="s">
        <v>213</v>
      </c>
      <c r="E6184">
        <v>157.80799999999999</v>
      </c>
      <c r="F6184" t="s">
        <v>21</v>
      </c>
      <c r="G6184" t="s">
        <v>26</v>
      </c>
      <c r="H6184" t="s">
        <v>21</v>
      </c>
      <c r="I6184" t="s">
        <v>20</v>
      </c>
      <c r="J6184" t="s">
        <v>20</v>
      </c>
      <c r="K6184" t="s">
        <v>22</v>
      </c>
      <c r="L6184" t="s">
        <v>198</v>
      </c>
      <c r="M6184" t="s">
        <v>214</v>
      </c>
      <c r="N6184">
        <v>39.985391</v>
      </c>
      <c r="O6184">
        <v>-111.819676</v>
      </c>
      <c r="P6184">
        <v>4727.4327050000002</v>
      </c>
      <c r="Q6184">
        <v>1332</v>
      </c>
      <c r="R6184">
        <v>0</v>
      </c>
    </row>
    <row r="6185" spans="1:18" x14ac:dyDescent="0.25">
      <c r="A6185">
        <v>7184</v>
      </c>
      <c r="B6185">
        <v>94</v>
      </c>
      <c r="C6185" t="e">
        <f>-IoI2N4bGhevQjb-q7uhXV</f>
        <v>#NAME?</v>
      </c>
      <c r="D6185" t="s">
        <v>272</v>
      </c>
      <c r="E6185">
        <v>157.84100000000001</v>
      </c>
      <c r="F6185" t="s">
        <v>21</v>
      </c>
      <c r="G6185" t="s">
        <v>26</v>
      </c>
      <c r="H6185" t="s">
        <v>21</v>
      </c>
      <c r="I6185" t="s">
        <v>20</v>
      </c>
      <c r="J6185" t="s">
        <v>20</v>
      </c>
      <c r="K6185" t="s">
        <v>27</v>
      </c>
      <c r="L6185" t="s">
        <v>64</v>
      </c>
      <c r="M6185" t="s">
        <v>214</v>
      </c>
      <c r="N6185">
        <v>38.168519000000003</v>
      </c>
      <c r="O6185">
        <v>-112.27955</v>
      </c>
      <c r="P6185">
        <v>6015.2893759999997</v>
      </c>
      <c r="Q6185">
        <v>1384</v>
      </c>
      <c r="R6185">
        <v>0</v>
      </c>
    </row>
    <row r="6186" spans="1:18" x14ac:dyDescent="0.25">
      <c r="A6186">
        <v>7185</v>
      </c>
      <c r="B6186">
        <v>94</v>
      </c>
      <c r="C6186" t="e">
        <f>-IpV3R7MHgTEWNjqh85dDF</f>
        <v>#NAME?</v>
      </c>
      <c r="D6186" t="s">
        <v>284</v>
      </c>
      <c r="E6186">
        <v>20.992000000000001</v>
      </c>
      <c r="F6186" t="s">
        <v>21</v>
      </c>
      <c r="G6186" t="s">
        <v>20</v>
      </c>
      <c r="H6186" t="s">
        <v>21</v>
      </c>
      <c r="I6186" t="s">
        <v>20</v>
      </c>
      <c r="J6186" t="s">
        <v>20</v>
      </c>
      <c r="K6186" t="s">
        <v>31</v>
      </c>
      <c r="L6186" t="s">
        <v>285</v>
      </c>
      <c r="M6186" t="s">
        <v>206</v>
      </c>
      <c r="N6186">
        <v>40.528939999999999</v>
      </c>
      <c r="O6186">
        <v>-112.74771</v>
      </c>
      <c r="P6186">
        <v>4367.8931199999997</v>
      </c>
      <c r="Q6186">
        <v>407</v>
      </c>
      <c r="R6186">
        <v>0</v>
      </c>
    </row>
    <row r="6187" spans="1:18" x14ac:dyDescent="0.25">
      <c r="A6187">
        <v>7186</v>
      </c>
      <c r="B6187">
        <v>94</v>
      </c>
      <c r="C6187">
        <v>31668250</v>
      </c>
      <c r="D6187" t="s">
        <v>213</v>
      </c>
      <c r="E6187">
        <v>203.61699999999999</v>
      </c>
      <c r="F6187" t="s">
        <v>21</v>
      </c>
      <c r="G6187" t="s">
        <v>26</v>
      </c>
      <c r="H6187" t="s">
        <v>21</v>
      </c>
      <c r="I6187" t="s">
        <v>20</v>
      </c>
      <c r="J6187" t="s">
        <v>20</v>
      </c>
      <c r="K6187" t="s">
        <v>27</v>
      </c>
      <c r="L6187" t="s">
        <v>307</v>
      </c>
      <c r="M6187" t="s">
        <v>159</v>
      </c>
      <c r="N6187">
        <v>39.935733999999997</v>
      </c>
      <c r="O6187">
        <v>-111.199281</v>
      </c>
      <c r="P6187">
        <v>6193.6041029999997</v>
      </c>
      <c r="Q6187">
        <v>1332</v>
      </c>
      <c r="R6187">
        <v>0</v>
      </c>
    </row>
    <row r="6188" spans="1:18" x14ac:dyDescent="0.25">
      <c r="A6188">
        <v>7187</v>
      </c>
      <c r="B6188">
        <v>94</v>
      </c>
      <c r="C6188">
        <v>31670011</v>
      </c>
      <c r="D6188" t="s">
        <v>213</v>
      </c>
      <c r="E6188">
        <v>203.768</v>
      </c>
      <c r="F6188" t="s">
        <v>21</v>
      </c>
      <c r="G6188" t="s">
        <v>26</v>
      </c>
      <c r="H6188" t="s">
        <v>21</v>
      </c>
      <c r="I6188" t="s">
        <v>20</v>
      </c>
      <c r="J6188" t="s">
        <v>20</v>
      </c>
      <c r="K6188" t="s">
        <v>27</v>
      </c>
      <c r="L6188" t="s">
        <v>307</v>
      </c>
      <c r="M6188" t="s">
        <v>159</v>
      </c>
      <c r="N6188">
        <v>39.933487999999997</v>
      </c>
      <c r="O6188">
        <v>-111.20002100000001</v>
      </c>
      <c r="P6188">
        <v>6203.0501800000002</v>
      </c>
      <c r="Q6188">
        <v>1332</v>
      </c>
      <c r="R6188">
        <v>0</v>
      </c>
    </row>
    <row r="6189" spans="1:18" x14ac:dyDescent="0.25">
      <c r="A6189">
        <v>7188</v>
      </c>
      <c r="B6189">
        <v>94</v>
      </c>
      <c r="C6189">
        <v>1563629</v>
      </c>
      <c r="D6189" t="s">
        <v>88</v>
      </c>
      <c r="E6189">
        <v>21.016999999999999</v>
      </c>
      <c r="F6189" t="s">
        <v>21</v>
      </c>
      <c r="G6189" t="s">
        <v>26</v>
      </c>
      <c r="H6189" t="s">
        <v>21</v>
      </c>
      <c r="I6189" t="s">
        <v>20</v>
      </c>
      <c r="J6189" t="s">
        <v>20</v>
      </c>
      <c r="K6189" t="s">
        <v>31</v>
      </c>
      <c r="L6189" t="s">
        <v>66</v>
      </c>
      <c r="M6189" t="s">
        <v>90</v>
      </c>
      <c r="N6189">
        <v>40.739570000000001</v>
      </c>
      <c r="O6189">
        <v>-111.871167</v>
      </c>
      <c r="P6189">
        <v>4219.7913680000001</v>
      </c>
      <c r="Q6189">
        <v>318</v>
      </c>
      <c r="R6189">
        <v>0</v>
      </c>
    </row>
    <row r="6190" spans="1:18" x14ac:dyDescent="0.25">
      <c r="A6190">
        <v>7189</v>
      </c>
      <c r="B6190">
        <v>94</v>
      </c>
      <c r="C6190">
        <v>31324877</v>
      </c>
      <c r="D6190" t="s">
        <v>303</v>
      </c>
      <c r="E6190">
        <v>21.018999999999998</v>
      </c>
      <c r="F6190" t="s">
        <v>21</v>
      </c>
      <c r="G6190" t="s">
        <v>26</v>
      </c>
      <c r="H6190" t="s">
        <v>21</v>
      </c>
      <c r="I6190" t="s">
        <v>20</v>
      </c>
      <c r="J6190" t="s">
        <v>20</v>
      </c>
      <c r="K6190" t="s">
        <v>27</v>
      </c>
      <c r="L6190" t="s">
        <v>72</v>
      </c>
      <c r="M6190" t="s">
        <v>73</v>
      </c>
      <c r="N6190">
        <v>37.194651</v>
      </c>
      <c r="O6190">
        <v>-113.14713999999999</v>
      </c>
      <c r="P6190">
        <v>3530.854288</v>
      </c>
      <c r="Q6190">
        <v>1326</v>
      </c>
      <c r="R6190">
        <v>0</v>
      </c>
    </row>
    <row r="6191" spans="1:18" x14ac:dyDescent="0.25">
      <c r="A6191">
        <v>7190</v>
      </c>
      <c r="B6191">
        <v>94</v>
      </c>
      <c r="C6191">
        <v>31316833</v>
      </c>
      <c r="D6191" t="s">
        <v>347</v>
      </c>
      <c r="E6191">
        <v>21.021000000000001</v>
      </c>
      <c r="F6191" t="s">
        <v>21</v>
      </c>
      <c r="G6191" t="s">
        <v>26</v>
      </c>
      <c r="H6191" t="s">
        <v>21</v>
      </c>
      <c r="I6191" t="s">
        <v>20</v>
      </c>
      <c r="J6191" t="s">
        <v>20</v>
      </c>
      <c r="K6191" t="s">
        <v>41</v>
      </c>
      <c r="L6191" t="s">
        <v>325</v>
      </c>
      <c r="M6191" t="s">
        <v>204</v>
      </c>
      <c r="N6191">
        <v>41.669746000000004</v>
      </c>
      <c r="O6191">
        <v>-111.18498099999999</v>
      </c>
      <c r="P6191">
        <v>6240.8029969999998</v>
      </c>
      <c r="Q6191">
        <v>1334</v>
      </c>
      <c r="R6191">
        <v>0</v>
      </c>
    </row>
    <row r="6192" spans="1:18" x14ac:dyDescent="0.25">
      <c r="A6192">
        <v>7191</v>
      </c>
      <c r="B6192">
        <v>94</v>
      </c>
      <c r="C6192">
        <v>27877992</v>
      </c>
      <c r="D6192" t="s">
        <v>91</v>
      </c>
      <c r="E6192">
        <v>21.027000000000001</v>
      </c>
      <c r="F6192" t="s">
        <v>21</v>
      </c>
      <c r="G6192" t="s">
        <v>26</v>
      </c>
      <c r="H6192" t="s">
        <v>21</v>
      </c>
      <c r="I6192" t="s">
        <v>20</v>
      </c>
      <c r="J6192" t="s">
        <v>20</v>
      </c>
      <c r="K6192" t="s">
        <v>41</v>
      </c>
      <c r="L6192" t="s">
        <v>95</v>
      </c>
      <c r="M6192" t="s">
        <v>73</v>
      </c>
      <c r="N6192">
        <v>41.871465000000001</v>
      </c>
      <c r="O6192">
        <v>-111.949839</v>
      </c>
      <c r="P6192">
        <v>4443.680625</v>
      </c>
      <c r="Q6192">
        <v>1339</v>
      </c>
      <c r="R6192">
        <v>0</v>
      </c>
    </row>
    <row r="6193" spans="1:18" x14ac:dyDescent="0.25">
      <c r="A6193">
        <v>7192</v>
      </c>
      <c r="B6193">
        <v>94</v>
      </c>
      <c r="C6193" t="e">
        <f>-IoRROx1HAaQG0nx4qoSck</f>
        <v>#NAME?</v>
      </c>
      <c r="D6193" t="s">
        <v>203</v>
      </c>
      <c r="E6193">
        <v>21.027999999999999</v>
      </c>
      <c r="F6193" t="s">
        <v>21</v>
      </c>
      <c r="G6193" t="s">
        <v>26</v>
      </c>
      <c r="H6193" t="s">
        <v>21</v>
      </c>
      <c r="I6193" t="s">
        <v>20</v>
      </c>
      <c r="J6193" t="s">
        <v>20</v>
      </c>
      <c r="K6193" t="s">
        <v>41</v>
      </c>
      <c r="L6193" t="s">
        <v>255</v>
      </c>
      <c r="M6193" t="s">
        <v>204</v>
      </c>
      <c r="N6193">
        <v>41.261865</v>
      </c>
      <c r="O6193">
        <v>-111.72864</v>
      </c>
      <c r="P6193">
        <v>4954.0717709999999</v>
      </c>
      <c r="Q6193">
        <v>1349</v>
      </c>
      <c r="R6193">
        <v>0</v>
      </c>
    </row>
    <row r="6194" spans="1:18" x14ac:dyDescent="0.25">
      <c r="A6194">
        <v>7193</v>
      </c>
      <c r="B6194">
        <v>94</v>
      </c>
      <c r="C6194">
        <v>1563636</v>
      </c>
      <c r="D6194" t="s">
        <v>88</v>
      </c>
      <c r="E6194">
        <v>21.050999999999998</v>
      </c>
      <c r="F6194" t="s">
        <v>21</v>
      </c>
      <c r="G6194" t="s">
        <v>26</v>
      </c>
      <c r="H6194" t="s">
        <v>21</v>
      </c>
      <c r="I6194" t="s">
        <v>20</v>
      </c>
      <c r="J6194" t="s">
        <v>20</v>
      </c>
      <c r="K6194" t="s">
        <v>31</v>
      </c>
      <c r="L6194" t="s">
        <v>66</v>
      </c>
      <c r="M6194" t="s">
        <v>90</v>
      </c>
      <c r="N6194">
        <v>40.740059000000002</v>
      </c>
      <c r="O6194">
        <v>-111.871183</v>
      </c>
      <c r="P6194">
        <v>4219.0169379999998</v>
      </c>
      <c r="Q6194">
        <v>318</v>
      </c>
      <c r="R6194">
        <v>0</v>
      </c>
    </row>
    <row r="6195" spans="1:18" x14ac:dyDescent="0.25">
      <c r="A6195">
        <v>7194</v>
      </c>
      <c r="B6195">
        <v>94</v>
      </c>
      <c r="C6195">
        <v>31373608</v>
      </c>
      <c r="D6195" t="s">
        <v>199</v>
      </c>
      <c r="E6195">
        <v>21.059000000000001</v>
      </c>
      <c r="F6195" t="s">
        <v>21</v>
      </c>
      <c r="G6195" t="s">
        <v>20</v>
      </c>
      <c r="H6195" t="s">
        <v>21</v>
      </c>
      <c r="I6195" t="s">
        <v>20</v>
      </c>
      <c r="J6195" t="s">
        <v>20</v>
      </c>
      <c r="K6195" t="s">
        <v>27</v>
      </c>
      <c r="L6195" t="s">
        <v>103</v>
      </c>
      <c r="M6195" t="s">
        <v>200</v>
      </c>
      <c r="N6195">
        <v>38.314146999999998</v>
      </c>
      <c r="O6195">
        <v>-112.367215</v>
      </c>
      <c r="P6195">
        <v>9634.5526580000005</v>
      </c>
      <c r="Q6195">
        <v>341</v>
      </c>
      <c r="R6195">
        <v>0</v>
      </c>
    </row>
    <row r="6196" spans="1:18" x14ac:dyDescent="0.25">
      <c r="A6196">
        <v>7195</v>
      </c>
      <c r="B6196">
        <v>94</v>
      </c>
      <c r="C6196">
        <v>31283030</v>
      </c>
      <c r="D6196" t="s">
        <v>288</v>
      </c>
      <c r="E6196">
        <v>21.065000000000001</v>
      </c>
      <c r="F6196" t="s">
        <v>21</v>
      </c>
      <c r="G6196" t="s">
        <v>20</v>
      </c>
      <c r="H6196" t="s">
        <v>21</v>
      </c>
      <c r="I6196" t="s">
        <v>20</v>
      </c>
      <c r="J6196" t="s">
        <v>20</v>
      </c>
      <c r="K6196" t="s">
        <v>27</v>
      </c>
      <c r="L6196" t="s">
        <v>211</v>
      </c>
      <c r="M6196" t="s">
        <v>318</v>
      </c>
      <c r="N6196">
        <v>37.263243000000003</v>
      </c>
      <c r="O6196">
        <v>-109.62470999999999</v>
      </c>
      <c r="P6196">
        <v>4392.537311</v>
      </c>
      <c r="Q6196">
        <v>350</v>
      </c>
      <c r="R6196">
        <v>0</v>
      </c>
    </row>
    <row r="6197" spans="1:18" x14ac:dyDescent="0.25">
      <c r="A6197">
        <v>7196</v>
      </c>
      <c r="B6197">
        <v>94</v>
      </c>
      <c r="C6197">
        <v>31755075</v>
      </c>
      <c r="D6197" t="s">
        <v>231</v>
      </c>
      <c r="E6197">
        <v>21.076000000000001</v>
      </c>
      <c r="F6197" t="s">
        <v>21</v>
      </c>
      <c r="G6197" t="s">
        <v>26</v>
      </c>
      <c r="H6197" t="s">
        <v>21</v>
      </c>
      <c r="I6197" t="s">
        <v>20</v>
      </c>
      <c r="J6197" t="s">
        <v>20</v>
      </c>
      <c r="K6197" t="s">
        <v>41</v>
      </c>
      <c r="L6197" t="s">
        <v>57</v>
      </c>
      <c r="M6197" t="s">
        <v>93</v>
      </c>
      <c r="N6197">
        <v>41.339812999999999</v>
      </c>
      <c r="O6197">
        <v>-112.037448</v>
      </c>
      <c r="P6197">
        <v>4220.2646089999998</v>
      </c>
      <c r="Q6197">
        <v>1409</v>
      </c>
      <c r="R6197">
        <v>0</v>
      </c>
    </row>
    <row r="6198" spans="1:18" x14ac:dyDescent="0.25">
      <c r="A6198">
        <v>7197</v>
      </c>
      <c r="B6198">
        <v>94</v>
      </c>
      <c r="C6198">
        <v>31722167</v>
      </c>
      <c r="D6198" t="s">
        <v>213</v>
      </c>
      <c r="E6198">
        <v>276.82799999999997</v>
      </c>
      <c r="F6198" t="s">
        <v>21</v>
      </c>
      <c r="G6198" t="s">
        <v>20</v>
      </c>
      <c r="H6198" t="s">
        <v>21</v>
      </c>
      <c r="I6198" t="s">
        <v>20</v>
      </c>
      <c r="J6198" t="s">
        <v>20</v>
      </c>
      <c r="K6198" t="s">
        <v>27</v>
      </c>
      <c r="L6198" t="s">
        <v>158</v>
      </c>
      <c r="M6198" t="s">
        <v>422</v>
      </c>
      <c r="N6198">
        <v>39.286465</v>
      </c>
      <c r="O6198">
        <v>-110.351156</v>
      </c>
      <c r="P6198">
        <v>4666.7570130000004</v>
      </c>
      <c r="Q6198">
        <v>1332</v>
      </c>
      <c r="R6198">
        <v>0</v>
      </c>
    </row>
    <row r="6199" spans="1:18" x14ac:dyDescent="0.25">
      <c r="A6199">
        <v>7198</v>
      </c>
      <c r="B6199">
        <v>94</v>
      </c>
      <c r="C6199" t="s">
        <v>795</v>
      </c>
      <c r="D6199" t="s">
        <v>272</v>
      </c>
      <c r="E6199">
        <v>276.875</v>
      </c>
      <c r="F6199" t="s">
        <v>21</v>
      </c>
      <c r="G6199" t="s">
        <v>26</v>
      </c>
      <c r="H6199" t="s">
        <v>21</v>
      </c>
      <c r="I6199" t="s">
        <v>20</v>
      </c>
      <c r="J6199" t="s">
        <v>20</v>
      </c>
      <c r="K6199" t="s">
        <v>27</v>
      </c>
      <c r="L6199" t="s">
        <v>230</v>
      </c>
      <c r="M6199" t="s">
        <v>174</v>
      </c>
      <c r="N6199">
        <v>39.533560999999999</v>
      </c>
      <c r="O6199">
        <v>-111.459093</v>
      </c>
      <c r="P6199">
        <v>5857.4175789999999</v>
      </c>
      <c r="Q6199">
        <v>1384</v>
      </c>
      <c r="R6199">
        <v>0</v>
      </c>
    </row>
    <row r="6200" spans="1:18" x14ac:dyDescent="0.25">
      <c r="A6200">
        <v>7199</v>
      </c>
      <c r="B6200">
        <v>94</v>
      </c>
      <c r="C6200" t="s">
        <v>796</v>
      </c>
      <c r="D6200" t="s">
        <v>272</v>
      </c>
      <c r="E6200">
        <v>276.90699999999998</v>
      </c>
      <c r="F6200" t="s">
        <v>21</v>
      </c>
      <c r="G6200" t="s">
        <v>26</v>
      </c>
      <c r="H6200" t="s">
        <v>21</v>
      </c>
      <c r="I6200" t="s">
        <v>20</v>
      </c>
      <c r="J6200" t="s">
        <v>20</v>
      </c>
      <c r="K6200" t="s">
        <v>27</v>
      </c>
      <c r="L6200" t="s">
        <v>230</v>
      </c>
      <c r="M6200" t="s">
        <v>174</v>
      </c>
      <c r="N6200">
        <v>39.533807000000003</v>
      </c>
      <c r="O6200">
        <v>-111.458569</v>
      </c>
      <c r="P6200">
        <v>5860.5582370000002</v>
      </c>
      <c r="Q6200">
        <v>1384</v>
      </c>
      <c r="R6200">
        <v>0</v>
      </c>
    </row>
    <row r="6201" spans="1:18" x14ac:dyDescent="0.25">
      <c r="A6201">
        <v>7200</v>
      </c>
      <c r="B6201">
        <v>94</v>
      </c>
      <c r="C6201">
        <v>27944319</v>
      </c>
      <c r="D6201" t="s">
        <v>265</v>
      </c>
      <c r="E6201">
        <v>2.6819999999999999</v>
      </c>
      <c r="F6201" t="s">
        <v>21</v>
      </c>
      <c r="G6201" t="s">
        <v>26</v>
      </c>
      <c r="H6201" t="s">
        <v>21</v>
      </c>
      <c r="I6201" t="s">
        <v>20</v>
      </c>
      <c r="J6201" t="s">
        <v>20</v>
      </c>
      <c r="K6201" t="s">
        <v>27</v>
      </c>
      <c r="L6201" t="s">
        <v>266</v>
      </c>
      <c r="M6201" t="s">
        <v>267</v>
      </c>
      <c r="N6201">
        <v>38.433242999999997</v>
      </c>
      <c r="O6201">
        <v>-111.620261</v>
      </c>
      <c r="P6201">
        <v>7095.5824160000002</v>
      </c>
      <c r="Q6201">
        <v>1371</v>
      </c>
      <c r="R6201">
        <v>0</v>
      </c>
    </row>
    <row r="6202" spans="1:18" x14ac:dyDescent="0.25">
      <c r="A6202">
        <v>7201</v>
      </c>
      <c r="B6202">
        <v>94</v>
      </c>
      <c r="C6202">
        <v>27530990</v>
      </c>
      <c r="D6202" t="s">
        <v>157</v>
      </c>
      <c r="E6202">
        <v>2.6859999999999999</v>
      </c>
      <c r="F6202" t="s">
        <v>21</v>
      </c>
      <c r="G6202" t="s">
        <v>26</v>
      </c>
      <c r="H6202" t="s">
        <v>21</v>
      </c>
      <c r="I6202" t="s">
        <v>20</v>
      </c>
      <c r="J6202" t="s">
        <v>20</v>
      </c>
      <c r="K6202" t="s">
        <v>27</v>
      </c>
      <c r="L6202" t="s">
        <v>158</v>
      </c>
      <c r="M6202" t="s">
        <v>159</v>
      </c>
      <c r="N6202">
        <v>39.588920000000002</v>
      </c>
      <c r="O6202">
        <v>-110.789192</v>
      </c>
      <c r="P6202">
        <v>5480.4983510000002</v>
      </c>
      <c r="Q6202">
        <v>1360</v>
      </c>
      <c r="R6202">
        <v>0</v>
      </c>
    </row>
    <row r="6203" spans="1:18" x14ac:dyDescent="0.25">
      <c r="A6203">
        <v>7202</v>
      </c>
      <c r="B6203">
        <v>94</v>
      </c>
      <c r="C6203">
        <v>31566619</v>
      </c>
      <c r="D6203" t="s">
        <v>288</v>
      </c>
      <c r="E6203">
        <v>353.11200000000002</v>
      </c>
      <c r="F6203" t="s">
        <v>21</v>
      </c>
      <c r="G6203" t="s">
        <v>26</v>
      </c>
      <c r="H6203" t="s">
        <v>21</v>
      </c>
      <c r="I6203" t="s">
        <v>20</v>
      </c>
      <c r="J6203" t="s">
        <v>20</v>
      </c>
      <c r="K6203" t="s">
        <v>22</v>
      </c>
      <c r="L6203" t="s">
        <v>234</v>
      </c>
      <c r="M6203" t="s">
        <v>98</v>
      </c>
      <c r="N6203">
        <v>40.463003</v>
      </c>
      <c r="O6203">
        <v>-109.528701</v>
      </c>
      <c r="P6203">
        <v>5262.6708230000004</v>
      </c>
      <c r="Q6203">
        <v>350</v>
      </c>
      <c r="R6203">
        <v>0</v>
      </c>
    </row>
    <row r="6204" spans="1:18" x14ac:dyDescent="0.25">
      <c r="A6204">
        <v>7203</v>
      </c>
      <c r="B6204">
        <v>94</v>
      </c>
      <c r="C6204" t="e">
        <f>-JSc_fJrGFyyfMW8cWbb0k</f>
        <v>#NAME?</v>
      </c>
      <c r="D6204" t="s">
        <v>288</v>
      </c>
      <c r="E6204">
        <v>353.19499999999999</v>
      </c>
      <c r="F6204" t="s">
        <v>21</v>
      </c>
      <c r="G6204" t="s">
        <v>26</v>
      </c>
      <c r="H6204" t="s">
        <v>21</v>
      </c>
      <c r="I6204" t="s">
        <v>20</v>
      </c>
      <c r="J6204" t="s">
        <v>20</v>
      </c>
      <c r="K6204" t="s">
        <v>22</v>
      </c>
      <c r="L6204" t="s">
        <v>234</v>
      </c>
      <c r="M6204" t="s">
        <v>98</v>
      </c>
      <c r="N6204">
        <v>40.464221999999999</v>
      </c>
      <c r="O6204">
        <v>-109.528727</v>
      </c>
      <c r="P6204">
        <v>5266.744275</v>
      </c>
      <c r="Q6204">
        <v>350</v>
      </c>
      <c r="R6204">
        <v>0</v>
      </c>
    </row>
    <row r="6205" spans="1:18" x14ac:dyDescent="0.25">
      <c r="A6205">
        <v>7204</v>
      </c>
      <c r="B6205">
        <v>94</v>
      </c>
      <c r="C6205">
        <v>31566641</v>
      </c>
      <c r="D6205" t="s">
        <v>288</v>
      </c>
      <c r="E6205">
        <v>353.21100000000001</v>
      </c>
      <c r="F6205" t="s">
        <v>21</v>
      </c>
      <c r="G6205" t="s">
        <v>26</v>
      </c>
      <c r="H6205" t="s">
        <v>21</v>
      </c>
      <c r="I6205" t="s">
        <v>20</v>
      </c>
      <c r="J6205" t="s">
        <v>20</v>
      </c>
      <c r="K6205" t="s">
        <v>22</v>
      </c>
      <c r="L6205" t="s">
        <v>234</v>
      </c>
      <c r="M6205" t="s">
        <v>98</v>
      </c>
      <c r="N6205">
        <v>40.464463000000002</v>
      </c>
      <c r="O6205">
        <v>-109.52873200000001</v>
      </c>
      <c r="P6205">
        <v>5267.6227550000003</v>
      </c>
      <c r="Q6205">
        <v>350</v>
      </c>
      <c r="R6205">
        <v>0</v>
      </c>
    </row>
    <row r="6206" spans="1:18" x14ac:dyDescent="0.25">
      <c r="A6206">
        <v>7205</v>
      </c>
      <c r="B6206">
        <v>94</v>
      </c>
      <c r="C6206">
        <v>31567052</v>
      </c>
      <c r="D6206" t="s">
        <v>288</v>
      </c>
      <c r="E6206">
        <v>353.25299999999999</v>
      </c>
      <c r="F6206" t="s">
        <v>21</v>
      </c>
      <c r="G6206" t="s">
        <v>26</v>
      </c>
      <c r="H6206" t="s">
        <v>21</v>
      </c>
      <c r="I6206" t="s">
        <v>20</v>
      </c>
      <c r="J6206" t="s">
        <v>20</v>
      </c>
      <c r="K6206" t="s">
        <v>22</v>
      </c>
      <c r="L6206" t="s">
        <v>234</v>
      </c>
      <c r="M6206" t="s">
        <v>98</v>
      </c>
      <c r="N6206">
        <v>40.465057999999999</v>
      </c>
      <c r="O6206">
        <v>-109.528744</v>
      </c>
      <c r="P6206">
        <v>5269.2374620000001</v>
      </c>
      <c r="Q6206">
        <v>350</v>
      </c>
      <c r="R6206">
        <v>0</v>
      </c>
    </row>
    <row r="6207" spans="1:18" x14ac:dyDescent="0.25">
      <c r="A6207">
        <v>7206</v>
      </c>
      <c r="B6207">
        <v>94</v>
      </c>
      <c r="C6207">
        <v>31567063</v>
      </c>
      <c r="D6207" t="s">
        <v>288</v>
      </c>
      <c r="E6207">
        <v>353.35599999999999</v>
      </c>
      <c r="F6207" t="s">
        <v>21</v>
      </c>
      <c r="G6207" t="s">
        <v>26</v>
      </c>
      <c r="H6207" t="s">
        <v>21</v>
      </c>
      <c r="I6207" t="s">
        <v>20</v>
      </c>
      <c r="J6207" t="s">
        <v>20</v>
      </c>
      <c r="K6207" t="s">
        <v>22</v>
      </c>
      <c r="L6207" t="s">
        <v>234</v>
      </c>
      <c r="M6207" t="s">
        <v>98</v>
      </c>
      <c r="N6207">
        <v>40.466571999999999</v>
      </c>
      <c r="O6207">
        <v>-109.528772</v>
      </c>
      <c r="P6207">
        <v>5270.9505639999998</v>
      </c>
      <c r="Q6207">
        <v>350</v>
      </c>
      <c r="R6207">
        <v>0</v>
      </c>
    </row>
    <row r="6208" spans="1:18" x14ac:dyDescent="0.25">
      <c r="A6208">
        <v>7207</v>
      </c>
      <c r="B6208">
        <v>94</v>
      </c>
      <c r="C6208" t="e">
        <f>-Ip5uFYwIf5dAkpplHC3PF</f>
        <v>#NAME?</v>
      </c>
      <c r="D6208" t="s">
        <v>272</v>
      </c>
      <c r="E6208">
        <v>380.55900000000003</v>
      </c>
      <c r="F6208" t="s">
        <v>19</v>
      </c>
      <c r="G6208" t="s">
        <v>20</v>
      </c>
      <c r="H6208" t="s">
        <v>21</v>
      </c>
      <c r="I6208" t="s">
        <v>20</v>
      </c>
      <c r="J6208" t="s">
        <v>20</v>
      </c>
      <c r="K6208" t="s">
        <v>31</v>
      </c>
      <c r="L6208" t="s">
        <v>66</v>
      </c>
      <c r="M6208" t="s">
        <v>49</v>
      </c>
      <c r="N6208">
        <v>40.780230000000003</v>
      </c>
      <c r="O6208">
        <v>-111.89969000000001</v>
      </c>
      <c r="P6208">
        <v>4188.0061059999998</v>
      </c>
      <c r="Q6208">
        <v>1384</v>
      </c>
      <c r="R6208">
        <v>0</v>
      </c>
    </row>
    <row r="6209" spans="1:18" x14ac:dyDescent="0.25">
      <c r="A6209">
        <v>7208</v>
      </c>
      <c r="B6209">
        <v>94</v>
      </c>
      <c r="C6209">
        <v>31589083</v>
      </c>
      <c r="D6209" t="s">
        <v>288</v>
      </c>
      <c r="E6209">
        <v>380.70800000000003</v>
      </c>
      <c r="F6209" t="s">
        <v>21</v>
      </c>
      <c r="G6209" t="s">
        <v>20</v>
      </c>
      <c r="H6209" t="s">
        <v>21</v>
      </c>
      <c r="I6209" t="s">
        <v>20</v>
      </c>
      <c r="J6209" t="s">
        <v>20</v>
      </c>
      <c r="K6209" t="s">
        <v>22</v>
      </c>
      <c r="L6209" t="s">
        <v>234</v>
      </c>
      <c r="M6209" t="s">
        <v>98</v>
      </c>
      <c r="N6209">
        <v>40.781146</v>
      </c>
      <c r="O6209">
        <v>-109.470648</v>
      </c>
      <c r="P6209">
        <v>8123.172904</v>
      </c>
      <c r="Q6209">
        <v>350</v>
      </c>
      <c r="R6209">
        <v>0</v>
      </c>
    </row>
    <row r="6210" spans="1:18" x14ac:dyDescent="0.25">
      <c r="A6210">
        <v>7209</v>
      </c>
      <c r="B6210">
        <v>94</v>
      </c>
      <c r="C6210" t="e">
        <f>-Ip95kwSGn9HKTClrsYVTF</f>
        <v>#NAME?</v>
      </c>
      <c r="D6210" t="s">
        <v>272</v>
      </c>
      <c r="E6210">
        <v>380.709</v>
      </c>
      <c r="F6210" t="s">
        <v>19</v>
      </c>
      <c r="G6210" t="s">
        <v>20</v>
      </c>
      <c r="H6210" t="s">
        <v>19</v>
      </c>
      <c r="I6210">
        <v>268</v>
      </c>
      <c r="J6210" t="s">
        <v>20</v>
      </c>
      <c r="K6210" t="s">
        <v>31</v>
      </c>
      <c r="L6210" t="s">
        <v>66</v>
      </c>
      <c r="M6210" t="s">
        <v>49</v>
      </c>
      <c r="N6210">
        <v>40.782395999999999</v>
      </c>
      <c r="O6210">
        <v>-111.899669</v>
      </c>
      <c r="P6210">
        <v>4185.1335939999999</v>
      </c>
      <c r="Q6210">
        <v>1384</v>
      </c>
      <c r="R6210">
        <v>0</v>
      </c>
    </row>
    <row r="6211" spans="1:18" x14ac:dyDescent="0.25">
      <c r="A6211">
        <v>7210</v>
      </c>
      <c r="B6211">
        <v>94</v>
      </c>
      <c r="C6211" t="e">
        <f>-Ip987oUH8HgkkuSC7__XF</f>
        <v>#NAME?</v>
      </c>
      <c r="D6211" t="s">
        <v>272</v>
      </c>
      <c r="E6211">
        <v>380.84</v>
      </c>
      <c r="F6211" t="s">
        <v>21</v>
      </c>
      <c r="G6211" t="s">
        <v>26</v>
      </c>
      <c r="H6211" t="s">
        <v>21</v>
      </c>
      <c r="I6211" t="s">
        <v>20</v>
      </c>
      <c r="J6211" t="s">
        <v>20</v>
      </c>
      <c r="K6211" t="s">
        <v>31</v>
      </c>
      <c r="L6211" t="s">
        <v>66</v>
      </c>
      <c r="M6211" t="s">
        <v>49</v>
      </c>
      <c r="N6211">
        <v>40.784306000000001</v>
      </c>
      <c r="O6211">
        <v>-111.89963</v>
      </c>
      <c r="P6211">
        <v>4188.9783170000001</v>
      </c>
      <c r="Q6211">
        <v>1384</v>
      </c>
      <c r="R6211">
        <v>0</v>
      </c>
    </row>
    <row r="6212" spans="1:18" x14ac:dyDescent="0.25">
      <c r="A6212">
        <v>7211</v>
      </c>
      <c r="B6212">
        <v>94</v>
      </c>
      <c r="C6212" t="e">
        <f>-Ip98QdmFW5P4v7C7SIy3k</f>
        <v>#NAME?</v>
      </c>
      <c r="D6212" t="s">
        <v>272</v>
      </c>
      <c r="E6212">
        <v>380.86</v>
      </c>
      <c r="F6212" t="s">
        <v>21</v>
      </c>
      <c r="G6212" t="s">
        <v>26</v>
      </c>
      <c r="H6212" t="s">
        <v>21</v>
      </c>
      <c r="I6212" t="s">
        <v>20</v>
      </c>
      <c r="J6212" t="s">
        <v>20</v>
      </c>
      <c r="K6212" t="s">
        <v>31</v>
      </c>
      <c r="L6212" t="s">
        <v>66</v>
      </c>
      <c r="M6212" t="s">
        <v>49</v>
      </c>
      <c r="N6212">
        <v>40.784593000000001</v>
      </c>
      <c r="O6212">
        <v>-111.899697</v>
      </c>
      <c r="P6212">
        <v>4189.6386130000001</v>
      </c>
      <c r="Q6212">
        <v>1384</v>
      </c>
      <c r="R6212">
        <v>0</v>
      </c>
    </row>
    <row r="6213" spans="1:18" x14ac:dyDescent="0.25">
      <c r="A6213">
        <v>7212</v>
      </c>
      <c r="B6213">
        <v>94</v>
      </c>
      <c r="C6213" t="e">
        <f>-Ip98UVnH_qtUtRZwIBoiF</f>
        <v>#NAME?</v>
      </c>
      <c r="D6213" t="s">
        <v>272</v>
      </c>
      <c r="E6213">
        <v>380.88900000000001</v>
      </c>
      <c r="F6213" t="s">
        <v>21</v>
      </c>
      <c r="G6213" t="s">
        <v>26</v>
      </c>
      <c r="H6213" t="s">
        <v>21</v>
      </c>
      <c r="I6213" t="s">
        <v>20</v>
      </c>
      <c r="J6213" t="s">
        <v>20</v>
      </c>
      <c r="K6213" t="s">
        <v>31</v>
      </c>
      <c r="L6213" t="s">
        <v>66</v>
      </c>
      <c r="M6213" t="s">
        <v>49</v>
      </c>
      <c r="N6213">
        <v>40.785021</v>
      </c>
      <c r="O6213">
        <v>-111.89959</v>
      </c>
      <c r="P6213">
        <v>4191.5206580000004</v>
      </c>
      <c r="Q6213">
        <v>1384</v>
      </c>
      <c r="R6213">
        <v>0</v>
      </c>
    </row>
    <row r="6214" spans="1:18" x14ac:dyDescent="0.25">
      <c r="A6214">
        <v>7213</v>
      </c>
      <c r="B6214">
        <v>94</v>
      </c>
      <c r="C6214" t="e">
        <f>-IougJG-IN9QYooK6AS7lk</f>
        <v>#NAME?</v>
      </c>
      <c r="D6214" t="s">
        <v>272</v>
      </c>
      <c r="E6214">
        <v>364.286</v>
      </c>
      <c r="F6214" t="s">
        <v>19</v>
      </c>
      <c r="G6214" t="s">
        <v>20</v>
      </c>
      <c r="H6214" t="s">
        <v>21</v>
      </c>
      <c r="I6214" t="s">
        <v>20</v>
      </c>
      <c r="J6214" t="s">
        <v>20</v>
      </c>
      <c r="K6214" t="s">
        <v>31</v>
      </c>
      <c r="L6214" t="s">
        <v>89</v>
      </c>
      <c r="M6214" t="s">
        <v>49</v>
      </c>
      <c r="N6214">
        <v>40.55162</v>
      </c>
      <c r="O6214">
        <v>-111.89079099999999</v>
      </c>
      <c r="P6214">
        <v>4369.1187049999999</v>
      </c>
      <c r="Q6214">
        <v>1384</v>
      </c>
      <c r="R6214">
        <v>0</v>
      </c>
    </row>
    <row r="6215" spans="1:18" x14ac:dyDescent="0.25">
      <c r="A6215">
        <v>7214</v>
      </c>
      <c r="B6215">
        <v>94</v>
      </c>
      <c r="C6215" t="e">
        <f>-IozwvexIhDrHQTOWACSFk</f>
        <v>#NAME?</v>
      </c>
      <c r="D6215" t="s">
        <v>203</v>
      </c>
      <c r="E6215">
        <v>41.737000000000002</v>
      </c>
      <c r="F6215" t="s">
        <v>21</v>
      </c>
      <c r="G6215" t="s">
        <v>20</v>
      </c>
      <c r="H6215" t="s">
        <v>21</v>
      </c>
      <c r="I6215" t="s">
        <v>20</v>
      </c>
      <c r="J6215" t="s">
        <v>20</v>
      </c>
      <c r="K6215" t="s">
        <v>41</v>
      </c>
      <c r="L6215" t="s">
        <v>255</v>
      </c>
      <c r="M6215" t="s">
        <v>653</v>
      </c>
      <c r="N6215">
        <v>41.413834000000001</v>
      </c>
      <c r="O6215">
        <v>-111.531204</v>
      </c>
      <c r="P6215">
        <v>8365.0093190000007</v>
      </c>
      <c r="Q6215">
        <v>1349</v>
      </c>
      <c r="R6215">
        <v>0</v>
      </c>
    </row>
    <row r="6216" spans="1:18" x14ac:dyDescent="0.25">
      <c r="A6216">
        <v>7215</v>
      </c>
      <c r="B6216">
        <v>94</v>
      </c>
      <c r="C6216">
        <v>31400073</v>
      </c>
      <c r="D6216" t="s">
        <v>124</v>
      </c>
      <c r="E6216">
        <v>41.737000000000002</v>
      </c>
      <c r="F6216" t="s">
        <v>21</v>
      </c>
      <c r="G6216" t="s">
        <v>26</v>
      </c>
      <c r="H6216" t="s">
        <v>21</v>
      </c>
      <c r="I6216" t="s">
        <v>20</v>
      </c>
      <c r="J6216" t="s">
        <v>20</v>
      </c>
      <c r="K6216" t="s">
        <v>31</v>
      </c>
      <c r="L6216" t="s">
        <v>89</v>
      </c>
      <c r="M6216" t="s">
        <v>125</v>
      </c>
      <c r="N6216">
        <v>40.513945999999997</v>
      </c>
      <c r="O6216">
        <v>-111.938728</v>
      </c>
      <c r="P6216">
        <v>4393.1287670000002</v>
      </c>
      <c r="Q6216">
        <v>1368</v>
      </c>
      <c r="R6216">
        <v>0</v>
      </c>
    </row>
    <row r="6217" spans="1:18" x14ac:dyDescent="0.25">
      <c r="A6217">
        <v>7216</v>
      </c>
      <c r="B6217">
        <v>94</v>
      </c>
      <c r="C6217">
        <v>31400084</v>
      </c>
      <c r="D6217" t="s">
        <v>124</v>
      </c>
      <c r="E6217">
        <v>41.756999999999998</v>
      </c>
      <c r="F6217" t="s">
        <v>21</v>
      </c>
      <c r="G6217" t="s">
        <v>26</v>
      </c>
      <c r="H6217" t="s">
        <v>21</v>
      </c>
      <c r="I6217" t="s">
        <v>20</v>
      </c>
      <c r="J6217" t="s">
        <v>20</v>
      </c>
      <c r="K6217" t="s">
        <v>31</v>
      </c>
      <c r="L6217" t="s">
        <v>89</v>
      </c>
      <c r="M6217" t="s">
        <v>125</v>
      </c>
      <c r="N6217">
        <v>40.514225000000003</v>
      </c>
      <c r="O6217">
        <v>-111.938726</v>
      </c>
      <c r="P6217">
        <v>4391.1029099999996</v>
      </c>
      <c r="Q6217">
        <v>1368</v>
      </c>
      <c r="R6217">
        <v>0</v>
      </c>
    </row>
    <row r="6218" spans="1:18" x14ac:dyDescent="0.25">
      <c r="A6218">
        <v>7217</v>
      </c>
      <c r="B6218">
        <v>94</v>
      </c>
      <c r="C6218">
        <v>31437725</v>
      </c>
      <c r="D6218" t="s">
        <v>221</v>
      </c>
      <c r="E6218">
        <v>41.781999999999996</v>
      </c>
      <c r="F6218" t="s">
        <v>21</v>
      </c>
      <c r="G6218" t="s">
        <v>26</v>
      </c>
      <c r="H6218" t="s">
        <v>21</v>
      </c>
      <c r="I6218" t="s">
        <v>20</v>
      </c>
      <c r="J6218" t="s">
        <v>20</v>
      </c>
      <c r="K6218" t="s">
        <v>22</v>
      </c>
      <c r="L6218" t="s">
        <v>155</v>
      </c>
      <c r="M6218" t="s">
        <v>174</v>
      </c>
      <c r="N6218">
        <v>39.724950999999997</v>
      </c>
      <c r="O6218">
        <v>-111.836111</v>
      </c>
      <c r="P6218">
        <v>5053.5842700000003</v>
      </c>
      <c r="Q6218">
        <v>1342</v>
      </c>
      <c r="R6218">
        <v>0</v>
      </c>
    </row>
    <row r="6219" spans="1:18" x14ac:dyDescent="0.25">
      <c r="A6219">
        <v>7218</v>
      </c>
      <c r="B6219">
        <v>94</v>
      </c>
      <c r="C6219">
        <v>31385030</v>
      </c>
      <c r="D6219" t="s">
        <v>116</v>
      </c>
      <c r="E6219">
        <v>41.822000000000003</v>
      </c>
      <c r="F6219" t="s">
        <v>21</v>
      </c>
      <c r="G6219" t="s">
        <v>26</v>
      </c>
      <c r="H6219" t="s">
        <v>21</v>
      </c>
      <c r="I6219" t="s">
        <v>20</v>
      </c>
      <c r="J6219" t="s">
        <v>20</v>
      </c>
      <c r="K6219" t="s">
        <v>41</v>
      </c>
      <c r="L6219" t="s">
        <v>95</v>
      </c>
      <c r="M6219" t="s">
        <v>117</v>
      </c>
      <c r="N6219">
        <v>41.948974999999997</v>
      </c>
      <c r="O6219">
        <v>-111.813455</v>
      </c>
      <c r="P6219">
        <v>4500.6434339999996</v>
      </c>
      <c r="Q6219">
        <v>324</v>
      </c>
      <c r="R6219">
        <v>0</v>
      </c>
    </row>
    <row r="6220" spans="1:18" x14ac:dyDescent="0.25">
      <c r="A6220">
        <v>7219</v>
      </c>
      <c r="B6220">
        <v>94</v>
      </c>
      <c r="C6220">
        <v>31400095</v>
      </c>
      <c r="D6220" t="s">
        <v>124</v>
      </c>
      <c r="E6220">
        <v>41.835000000000001</v>
      </c>
      <c r="F6220" t="s">
        <v>21</v>
      </c>
      <c r="G6220" t="s">
        <v>26</v>
      </c>
      <c r="H6220" t="s">
        <v>21</v>
      </c>
      <c r="I6220" t="s">
        <v>20</v>
      </c>
      <c r="J6220" t="s">
        <v>20</v>
      </c>
      <c r="K6220" t="s">
        <v>31</v>
      </c>
      <c r="L6220" t="s">
        <v>89</v>
      </c>
      <c r="M6220" t="s">
        <v>125</v>
      </c>
      <c r="N6220">
        <v>40.515366</v>
      </c>
      <c r="O6220">
        <v>-111.938734</v>
      </c>
      <c r="P6220">
        <v>4384.4339339999997</v>
      </c>
      <c r="Q6220">
        <v>1368</v>
      </c>
      <c r="R6220">
        <v>0</v>
      </c>
    </row>
    <row r="6221" spans="1:18" x14ac:dyDescent="0.25">
      <c r="A6221">
        <v>7220</v>
      </c>
      <c r="B6221">
        <v>94</v>
      </c>
      <c r="C6221">
        <v>31513263</v>
      </c>
      <c r="D6221" t="s">
        <v>124</v>
      </c>
      <c r="E6221">
        <v>64.843000000000004</v>
      </c>
      <c r="F6221" t="s">
        <v>21</v>
      </c>
      <c r="G6221" t="s">
        <v>26</v>
      </c>
      <c r="H6221" t="s">
        <v>21</v>
      </c>
      <c r="I6221" t="s">
        <v>20</v>
      </c>
      <c r="J6221" t="s">
        <v>20</v>
      </c>
      <c r="K6221" t="s">
        <v>41</v>
      </c>
      <c r="L6221" t="s">
        <v>45</v>
      </c>
      <c r="M6221" t="s">
        <v>365</v>
      </c>
      <c r="N6221">
        <v>40.848663000000002</v>
      </c>
      <c r="O6221">
        <v>-111.929709</v>
      </c>
      <c r="P6221">
        <v>4172.5856510000003</v>
      </c>
      <c r="Q6221">
        <v>1368</v>
      </c>
      <c r="R6221">
        <v>0</v>
      </c>
    </row>
    <row r="6222" spans="1:18" x14ac:dyDescent="0.25">
      <c r="A6222">
        <v>7221</v>
      </c>
      <c r="B6222">
        <v>94</v>
      </c>
      <c r="C6222">
        <v>31845345</v>
      </c>
      <c r="D6222" t="s">
        <v>272</v>
      </c>
      <c r="E6222">
        <v>64.944999999999993</v>
      </c>
      <c r="F6222" t="s">
        <v>21</v>
      </c>
      <c r="G6222" t="s">
        <v>26</v>
      </c>
      <c r="H6222" t="s">
        <v>21</v>
      </c>
      <c r="I6222" t="s">
        <v>20</v>
      </c>
      <c r="J6222" t="s">
        <v>20</v>
      </c>
      <c r="K6222" t="s">
        <v>27</v>
      </c>
      <c r="L6222" t="s">
        <v>259</v>
      </c>
      <c r="M6222" t="s">
        <v>214</v>
      </c>
      <c r="N6222">
        <v>37.053289999999997</v>
      </c>
      <c r="O6222">
        <v>-112.535033</v>
      </c>
      <c r="P6222">
        <v>4892.3974969999999</v>
      </c>
      <c r="Q6222">
        <v>1384</v>
      </c>
      <c r="R6222">
        <v>0</v>
      </c>
    </row>
    <row r="6223" spans="1:18" x14ac:dyDescent="0.25">
      <c r="A6223">
        <v>7222</v>
      </c>
      <c r="B6223">
        <v>94</v>
      </c>
      <c r="C6223" t="e">
        <f>-JOieXAnFMqppFyklyKhdk</f>
        <v>#NAME?</v>
      </c>
      <c r="D6223" t="s">
        <v>244</v>
      </c>
      <c r="E6223">
        <v>65.007999999999996</v>
      </c>
      <c r="F6223" t="s">
        <v>21</v>
      </c>
      <c r="G6223" t="s">
        <v>26</v>
      </c>
      <c r="H6223" t="s">
        <v>21</v>
      </c>
      <c r="I6223" t="s">
        <v>20</v>
      </c>
      <c r="J6223" t="s">
        <v>20</v>
      </c>
      <c r="K6223" t="s">
        <v>27</v>
      </c>
      <c r="L6223" t="s">
        <v>266</v>
      </c>
      <c r="M6223" t="s">
        <v>386</v>
      </c>
      <c r="N6223">
        <v>38.304271</v>
      </c>
      <c r="O6223">
        <v>-111.484622</v>
      </c>
      <c r="P6223">
        <v>6863.0810670000001</v>
      </c>
      <c r="Q6223">
        <v>1340</v>
      </c>
      <c r="R6223">
        <v>0</v>
      </c>
    </row>
    <row r="6224" spans="1:18" x14ac:dyDescent="0.25">
      <c r="A6224">
        <v>7223</v>
      </c>
      <c r="B6224">
        <v>94</v>
      </c>
      <c r="C6224">
        <v>31328916</v>
      </c>
      <c r="D6224" t="s">
        <v>241</v>
      </c>
      <c r="E6224">
        <v>65.099999999999994</v>
      </c>
      <c r="F6224" t="s">
        <v>21</v>
      </c>
      <c r="G6224" t="s">
        <v>26</v>
      </c>
      <c r="H6224" t="s">
        <v>21</v>
      </c>
      <c r="I6224" t="s">
        <v>20</v>
      </c>
      <c r="J6224" t="s">
        <v>20</v>
      </c>
      <c r="K6224" t="s">
        <v>27</v>
      </c>
      <c r="L6224" t="s">
        <v>158</v>
      </c>
      <c r="M6224" t="s">
        <v>243</v>
      </c>
      <c r="N6224">
        <v>39.547705000000001</v>
      </c>
      <c r="O6224">
        <v>-110.8156</v>
      </c>
      <c r="P6224">
        <v>5637.6162240000003</v>
      </c>
      <c r="Q6224">
        <v>1327</v>
      </c>
      <c r="R6224">
        <v>0</v>
      </c>
    </row>
    <row r="6225" spans="1:18" x14ac:dyDescent="0.25">
      <c r="A6225">
        <v>7224</v>
      </c>
      <c r="B6225">
        <v>94</v>
      </c>
      <c r="C6225">
        <v>28057207</v>
      </c>
      <c r="D6225" t="s">
        <v>281</v>
      </c>
      <c r="E6225">
        <v>65.119</v>
      </c>
      <c r="F6225" t="s">
        <v>21</v>
      </c>
      <c r="G6225" t="s">
        <v>26</v>
      </c>
      <c r="H6225" t="s">
        <v>21</v>
      </c>
      <c r="I6225" t="s">
        <v>20</v>
      </c>
      <c r="J6225" t="s">
        <v>20</v>
      </c>
      <c r="K6225" t="s">
        <v>31</v>
      </c>
      <c r="L6225" t="s">
        <v>285</v>
      </c>
      <c r="M6225" t="s">
        <v>283</v>
      </c>
      <c r="N6225">
        <v>40.681614000000003</v>
      </c>
      <c r="O6225">
        <v>-112.272172</v>
      </c>
      <c r="P6225">
        <v>4181.2832559999997</v>
      </c>
      <c r="Q6225">
        <v>1347</v>
      </c>
      <c r="R6225">
        <v>0</v>
      </c>
    </row>
    <row r="6226" spans="1:18" x14ac:dyDescent="0.25">
      <c r="A6226">
        <v>7225</v>
      </c>
      <c r="B6226">
        <v>94</v>
      </c>
      <c r="C6226">
        <v>31513274</v>
      </c>
      <c r="D6226" t="s">
        <v>124</v>
      </c>
      <c r="E6226">
        <v>65.134</v>
      </c>
      <c r="F6226" t="s">
        <v>19</v>
      </c>
      <c r="G6226" t="s">
        <v>20</v>
      </c>
      <c r="H6226" t="s">
        <v>21</v>
      </c>
      <c r="I6226" t="s">
        <v>20</v>
      </c>
      <c r="J6226" t="s">
        <v>20</v>
      </c>
      <c r="K6226" t="s">
        <v>41</v>
      </c>
      <c r="L6226" t="s">
        <v>45</v>
      </c>
      <c r="M6226" t="s">
        <v>365</v>
      </c>
      <c r="N6226">
        <v>40.852891</v>
      </c>
      <c r="O6226">
        <v>-111.929761</v>
      </c>
      <c r="P6226">
        <v>4174.9103429999996</v>
      </c>
      <c r="Q6226">
        <v>1368</v>
      </c>
      <c r="R6226">
        <v>0</v>
      </c>
    </row>
    <row r="6227" spans="1:18" x14ac:dyDescent="0.25">
      <c r="A6227">
        <v>7226</v>
      </c>
      <c r="B6227">
        <v>94</v>
      </c>
      <c r="C6227">
        <v>31355517</v>
      </c>
      <c r="D6227" t="s">
        <v>288</v>
      </c>
      <c r="E6227">
        <v>65.16</v>
      </c>
      <c r="F6227" t="s">
        <v>21</v>
      </c>
      <c r="G6227" t="s">
        <v>26</v>
      </c>
      <c r="H6227" t="s">
        <v>21</v>
      </c>
      <c r="I6227" t="s">
        <v>20</v>
      </c>
      <c r="J6227" t="s">
        <v>20</v>
      </c>
      <c r="K6227" t="s">
        <v>27</v>
      </c>
      <c r="L6227" t="s">
        <v>146</v>
      </c>
      <c r="M6227" t="s">
        <v>147</v>
      </c>
      <c r="N6227">
        <v>37.780372</v>
      </c>
      <c r="O6227">
        <v>-109.35177400000001</v>
      </c>
      <c r="P6227">
        <v>6822.7005810000001</v>
      </c>
      <c r="Q6227">
        <v>350</v>
      </c>
      <c r="R6227">
        <v>0</v>
      </c>
    </row>
    <row r="6228" spans="1:18" x14ac:dyDescent="0.25">
      <c r="A6228">
        <v>7227</v>
      </c>
      <c r="B6228">
        <v>94</v>
      </c>
      <c r="C6228">
        <v>31737219</v>
      </c>
      <c r="D6228" t="s">
        <v>118</v>
      </c>
      <c r="E6228">
        <v>65.179000000000002</v>
      </c>
      <c r="F6228" t="s">
        <v>21</v>
      </c>
      <c r="G6228" t="s">
        <v>26</v>
      </c>
      <c r="H6228" t="s">
        <v>21</v>
      </c>
      <c r="I6228" t="s">
        <v>20</v>
      </c>
      <c r="J6228" t="s">
        <v>20</v>
      </c>
      <c r="K6228" t="s">
        <v>22</v>
      </c>
      <c r="L6228" t="s">
        <v>168</v>
      </c>
      <c r="M6228" t="s">
        <v>120</v>
      </c>
      <c r="N6228">
        <v>40.199843000000001</v>
      </c>
      <c r="O6228">
        <v>-110.782466</v>
      </c>
      <c r="P6228">
        <v>6314.2106919999997</v>
      </c>
      <c r="Q6228">
        <v>310</v>
      </c>
      <c r="R6228">
        <v>0</v>
      </c>
    </row>
    <row r="6229" spans="1:18" x14ac:dyDescent="0.25">
      <c r="A6229">
        <v>7228</v>
      </c>
      <c r="B6229">
        <v>94</v>
      </c>
      <c r="C6229">
        <v>31858706</v>
      </c>
      <c r="D6229" t="s">
        <v>312</v>
      </c>
      <c r="E6229">
        <v>65.227999999999994</v>
      </c>
      <c r="F6229" t="s">
        <v>21</v>
      </c>
      <c r="G6229" t="s">
        <v>26</v>
      </c>
      <c r="H6229" t="s">
        <v>21</v>
      </c>
      <c r="I6229" t="s">
        <v>20</v>
      </c>
      <c r="J6229" t="s">
        <v>20</v>
      </c>
      <c r="K6229" t="s">
        <v>27</v>
      </c>
      <c r="L6229" t="s">
        <v>173</v>
      </c>
      <c r="M6229" t="s">
        <v>313</v>
      </c>
      <c r="N6229">
        <v>39.272395000000003</v>
      </c>
      <c r="O6229">
        <v>-112.653043</v>
      </c>
      <c r="P6229">
        <v>4522.6626740000002</v>
      </c>
      <c r="Q6229">
        <v>255</v>
      </c>
      <c r="R6229">
        <v>0</v>
      </c>
    </row>
    <row r="6230" spans="1:18" x14ac:dyDescent="0.25">
      <c r="A6230">
        <v>7229</v>
      </c>
      <c r="B6230">
        <v>94</v>
      </c>
      <c r="C6230" t="e">
        <f>-Ip_bVSgFNiPtnmhHHchfF</f>
        <v>#NAME?</v>
      </c>
      <c r="D6230" t="s">
        <v>272</v>
      </c>
      <c r="E6230">
        <v>65.263000000000005</v>
      </c>
      <c r="F6230" t="s">
        <v>21</v>
      </c>
      <c r="G6230" t="s">
        <v>26</v>
      </c>
      <c r="H6230" t="s">
        <v>21</v>
      </c>
      <c r="I6230" t="s">
        <v>20</v>
      </c>
      <c r="J6230" t="s">
        <v>20</v>
      </c>
      <c r="K6230" t="s">
        <v>27</v>
      </c>
      <c r="L6230" t="s">
        <v>259</v>
      </c>
      <c r="M6230" t="s">
        <v>214</v>
      </c>
      <c r="N6230">
        <v>37.057741</v>
      </c>
      <c r="O6230">
        <v>-112.536472</v>
      </c>
      <c r="P6230">
        <v>4923.0535360000003</v>
      </c>
      <c r="Q6230">
        <v>1384</v>
      </c>
      <c r="R6230">
        <v>0</v>
      </c>
    </row>
    <row r="6231" spans="1:18" x14ac:dyDescent="0.25">
      <c r="A6231">
        <v>7230</v>
      </c>
      <c r="B6231">
        <v>94</v>
      </c>
      <c r="C6231">
        <v>28057456</v>
      </c>
      <c r="D6231" t="s">
        <v>281</v>
      </c>
      <c r="E6231">
        <v>65.295000000000002</v>
      </c>
      <c r="F6231" t="s">
        <v>21</v>
      </c>
      <c r="G6231" t="s">
        <v>26</v>
      </c>
      <c r="H6231" t="s">
        <v>21</v>
      </c>
      <c r="I6231" t="s">
        <v>20</v>
      </c>
      <c r="J6231" t="s">
        <v>20</v>
      </c>
      <c r="K6231" t="s">
        <v>31</v>
      </c>
      <c r="L6231" t="s">
        <v>285</v>
      </c>
      <c r="M6231" t="s">
        <v>283</v>
      </c>
      <c r="N6231">
        <v>40.683754</v>
      </c>
      <c r="O6231">
        <v>-112.27032</v>
      </c>
      <c r="P6231">
        <v>4178.4761280000002</v>
      </c>
      <c r="Q6231">
        <v>1347</v>
      </c>
      <c r="R6231">
        <v>0</v>
      </c>
    </row>
    <row r="6232" spans="1:18" x14ac:dyDescent="0.25">
      <c r="A6232">
        <v>7231</v>
      </c>
      <c r="B6232">
        <v>94</v>
      </c>
      <c r="C6232">
        <v>31409253</v>
      </c>
      <c r="D6232" t="s">
        <v>224</v>
      </c>
      <c r="E6232">
        <v>7.9050000000000002</v>
      </c>
      <c r="F6232" t="s">
        <v>21</v>
      </c>
      <c r="G6232" t="s">
        <v>26</v>
      </c>
      <c r="H6232" t="s">
        <v>21</v>
      </c>
      <c r="I6232" t="s">
        <v>20</v>
      </c>
      <c r="J6232" t="s">
        <v>20</v>
      </c>
      <c r="K6232" t="s">
        <v>22</v>
      </c>
      <c r="L6232" t="s">
        <v>198</v>
      </c>
      <c r="M6232" t="s">
        <v>194</v>
      </c>
      <c r="N6232">
        <v>40.049804999999999</v>
      </c>
      <c r="O6232">
        <v>-111.68570800000001</v>
      </c>
      <c r="P6232">
        <v>4534.9389920000003</v>
      </c>
      <c r="Q6232">
        <v>408</v>
      </c>
      <c r="R6232">
        <v>0</v>
      </c>
    </row>
    <row r="6233" spans="1:18" x14ac:dyDescent="0.25">
      <c r="A6233">
        <v>7232</v>
      </c>
      <c r="B6233">
        <v>94</v>
      </c>
      <c r="C6233" t="s">
        <v>797</v>
      </c>
      <c r="D6233" t="s">
        <v>322</v>
      </c>
      <c r="E6233">
        <v>7.907</v>
      </c>
      <c r="F6233" t="s">
        <v>19</v>
      </c>
      <c r="G6233" t="s">
        <v>20</v>
      </c>
      <c r="H6233" t="s">
        <v>21</v>
      </c>
      <c r="I6233" t="s">
        <v>20</v>
      </c>
      <c r="J6233" t="s">
        <v>20</v>
      </c>
      <c r="K6233" t="s">
        <v>31</v>
      </c>
      <c r="L6233" t="s">
        <v>84</v>
      </c>
      <c r="M6233" t="s">
        <v>24</v>
      </c>
      <c r="N6233">
        <v>40.507876000000003</v>
      </c>
      <c r="O6233">
        <v>-112.003848</v>
      </c>
      <c r="P6233">
        <v>4711.0605050000004</v>
      </c>
      <c r="Q6233">
        <v>6660</v>
      </c>
      <c r="R6233">
        <v>0</v>
      </c>
    </row>
    <row r="6234" spans="1:18" x14ac:dyDescent="0.25">
      <c r="A6234">
        <v>7233</v>
      </c>
      <c r="B6234">
        <v>94</v>
      </c>
      <c r="C6234">
        <v>31392902</v>
      </c>
      <c r="D6234" t="s">
        <v>352</v>
      </c>
      <c r="E6234">
        <v>7.9089999999999998</v>
      </c>
      <c r="F6234" t="s">
        <v>21</v>
      </c>
      <c r="G6234" t="s">
        <v>26</v>
      </c>
      <c r="H6234" t="s">
        <v>21</v>
      </c>
      <c r="I6234" t="s">
        <v>20</v>
      </c>
      <c r="J6234" t="s">
        <v>20</v>
      </c>
      <c r="K6234" t="s">
        <v>31</v>
      </c>
      <c r="L6234" t="s">
        <v>282</v>
      </c>
      <c r="M6234" t="s">
        <v>206</v>
      </c>
      <c r="N6234">
        <v>40.319642000000002</v>
      </c>
      <c r="O6234">
        <v>-112.628038</v>
      </c>
      <c r="P6234">
        <v>5112.251894</v>
      </c>
      <c r="Q6234">
        <v>409</v>
      </c>
      <c r="R6234">
        <v>0</v>
      </c>
    </row>
    <row r="6235" spans="1:18" x14ac:dyDescent="0.25">
      <c r="A6235">
        <v>7234</v>
      </c>
      <c r="B6235">
        <v>94</v>
      </c>
      <c r="C6235">
        <v>1496112</v>
      </c>
      <c r="D6235" t="s">
        <v>88</v>
      </c>
      <c r="E6235">
        <v>7.7110000000000003</v>
      </c>
      <c r="F6235" t="s">
        <v>19</v>
      </c>
      <c r="G6235" t="s">
        <v>20</v>
      </c>
      <c r="H6235" t="s">
        <v>21</v>
      </c>
      <c r="I6235" t="s">
        <v>20</v>
      </c>
      <c r="J6235" t="s">
        <v>20</v>
      </c>
      <c r="K6235" t="s">
        <v>31</v>
      </c>
      <c r="L6235" t="s">
        <v>89</v>
      </c>
      <c r="M6235" t="s">
        <v>90</v>
      </c>
      <c r="N6235">
        <v>40.551527999999998</v>
      </c>
      <c r="O6235">
        <v>-111.872255</v>
      </c>
      <c r="P6235">
        <v>4493.5520159999996</v>
      </c>
      <c r="Q6235">
        <v>318</v>
      </c>
      <c r="R6235">
        <v>0</v>
      </c>
    </row>
    <row r="6236" spans="1:18" x14ac:dyDescent="0.25">
      <c r="A6236">
        <v>7235</v>
      </c>
      <c r="B6236">
        <v>94</v>
      </c>
      <c r="C6236">
        <v>28229554</v>
      </c>
      <c r="D6236" t="s">
        <v>240</v>
      </c>
      <c r="E6236">
        <v>7.7119999999999997</v>
      </c>
      <c r="F6236" t="s">
        <v>21</v>
      </c>
      <c r="G6236" t="s">
        <v>26</v>
      </c>
      <c r="H6236" t="s">
        <v>21</v>
      </c>
      <c r="I6236" t="s">
        <v>20</v>
      </c>
      <c r="J6236" t="s">
        <v>20</v>
      </c>
      <c r="K6236" t="s">
        <v>27</v>
      </c>
      <c r="L6236" t="s">
        <v>146</v>
      </c>
      <c r="M6236" t="s">
        <v>147</v>
      </c>
      <c r="N6236">
        <v>38.309668000000002</v>
      </c>
      <c r="O6236">
        <v>-109.271877</v>
      </c>
      <c r="P6236">
        <v>6787.6538840000003</v>
      </c>
      <c r="Q6236">
        <v>1355</v>
      </c>
      <c r="R6236">
        <v>0</v>
      </c>
    </row>
    <row r="6237" spans="1:18" x14ac:dyDescent="0.25">
      <c r="A6237">
        <v>7236</v>
      </c>
      <c r="B6237">
        <v>94</v>
      </c>
      <c r="C6237">
        <v>31301832</v>
      </c>
      <c r="D6237" t="s">
        <v>203</v>
      </c>
      <c r="E6237">
        <v>7.7119999999999997</v>
      </c>
      <c r="F6237" t="s">
        <v>19</v>
      </c>
      <c r="G6237" t="s">
        <v>20</v>
      </c>
      <c r="H6237" t="s">
        <v>19</v>
      </c>
      <c r="I6237">
        <v>203</v>
      </c>
      <c r="J6237" t="s">
        <v>20</v>
      </c>
      <c r="K6237" t="s">
        <v>41</v>
      </c>
      <c r="L6237" t="s">
        <v>81</v>
      </c>
      <c r="M6237" t="s">
        <v>204</v>
      </c>
      <c r="N6237">
        <v>41.241933000000003</v>
      </c>
      <c r="O6237">
        <v>-111.94539899999999</v>
      </c>
      <c r="P6237">
        <v>4303.9348209999998</v>
      </c>
      <c r="Q6237">
        <v>1349</v>
      </c>
      <c r="R6237">
        <v>0</v>
      </c>
    </row>
    <row r="6238" spans="1:18" x14ac:dyDescent="0.25">
      <c r="A6238">
        <v>7237</v>
      </c>
      <c r="B6238">
        <v>94</v>
      </c>
      <c r="C6238">
        <v>27378294</v>
      </c>
      <c r="D6238" t="s">
        <v>185</v>
      </c>
      <c r="E6238">
        <v>7.7249999999999996</v>
      </c>
      <c r="F6238" t="s">
        <v>21</v>
      </c>
      <c r="G6238" t="s">
        <v>26</v>
      </c>
      <c r="H6238" t="s">
        <v>21</v>
      </c>
      <c r="I6238" t="s">
        <v>20</v>
      </c>
      <c r="J6238" t="s">
        <v>20</v>
      </c>
      <c r="K6238" t="s">
        <v>41</v>
      </c>
      <c r="L6238" t="s">
        <v>57</v>
      </c>
      <c r="M6238" t="s">
        <v>58</v>
      </c>
      <c r="N6238">
        <v>41.178930999999999</v>
      </c>
      <c r="O6238">
        <v>-112.122665</v>
      </c>
      <c r="P6238">
        <v>4181.4993439999998</v>
      </c>
      <c r="Q6238">
        <v>309</v>
      </c>
      <c r="R6238">
        <v>0</v>
      </c>
    </row>
    <row r="6239" spans="1:18" x14ac:dyDescent="0.25">
      <c r="A6239">
        <v>7238</v>
      </c>
      <c r="B6239">
        <v>94</v>
      </c>
      <c r="C6239" t="e">
        <f>-JSTHLIiGV1pxpVZhz5Mak</f>
        <v>#NAME?</v>
      </c>
      <c r="D6239" t="s">
        <v>118</v>
      </c>
      <c r="E6239">
        <v>65.876999999999995</v>
      </c>
      <c r="F6239" t="s">
        <v>21</v>
      </c>
      <c r="G6239" t="s">
        <v>20</v>
      </c>
      <c r="H6239" t="s">
        <v>21</v>
      </c>
      <c r="I6239" t="s">
        <v>20</v>
      </c>
      <c r="J6239" t="s">
        <v>20</v>
      </c>
      <c r="K6239" t="s">
        <v>22</v>
      </c>
      <c r="L6239" t="s">
        <v>168</v>
      </c>
      <c r="M6239" t="s">
        <v>120</v>
      </c>
      <c r="N6239">
        <v>40.204174000000002</v>
      </c>
      <c r="O6239">
        <v>-110.772598</v>
      </c>
      <c r="P6239">
        <v>6436.8784960000003</v>
      </c>
      <c r="Q6239">
        <v>310</v>
      </c>
      <c r="R6239">
        <v>0</v>
      </c>
    </row>
    <row r="6240" spans="1:18" x14ac:dyDescent="0.25">
      <c r="A6240">
        <v>7239</v>
      </c>
      <c r="B6240">
        <v>94</v>
      </c>
      <c r="C6240">
        <v>28225723</v>
      </c>
      <c r="D6240" t="s">
        <v>220</v>
      </c>
      <c r="E6240">
        <v>65.88</v>
      </c>
      <c r="F6240" t="s">
        <v>21</v>
      </c>
      <c r="G6240" t="s">
        <v>26</v>
      </c>
      <c r="H6240" t="s">
        <v>21</v>
      </c>
      <c r="I6240" t="s">
        <v>20</v>
      </c>
      <c r="J6240" t="s">
        <v>20</v>
      </c>
      <c r="K6240" t="s">
        <v>27</v>
      </c>
      <c r="L6240" t="s">
        <v>28</v>
      </c>
      <c r="M6240" t="s">
        <v>366</v>
      </c>
      <c r="N6240">
        <v>37.737062000000002</v>
      </c>
      <c r="O6240">
        <v>-111.509396</v>
      </c>
      <c r="P6240">
        <v>5866.8849</v>
      </c>
      <c r="Q6240">
        <v>1328</v>
      </c>
      <c r="R6240">
        <v>0</v>
      </c>
    </row>
    <row r="6241" spans="1:18" x14ac:dyDescent="0.25">
      <c r="A6241">
        <v>7240</v>
      </c>
      <c r="B6241">
        <v>94</v>
      </c>
      <c r="C6241">
        <v>31513779</v>
      </c>
      <c r="D6241" t="s">
        <v>124</v>
      </c>
      <c r="E6241">
        <v>65.912000000000006</v>
      </c>
      <c r="F6241" t="s">
        <v>21</v>
      </c>
      <c r="G6241" t="s">
        <v>26</v>
      </c>
      <c r="H6241" t="s">
        <v>21</v>
      </c>
      <c r="I6241" t="s">
        <v>20</v>
      </c>
      <c r="J6241" t="s">
        <v>20</v>
      </c>
      <c r="K6241" t="s">
        <v>41</v>
      </c>
      <c r="L6241" t="s">
        <v>45</v>
      </c>
      <c r="M6241" t="s">
        <v>365</v>
      </c>
      <c r="N6241">
        <v>40.864199999999997</v>
      </c>
      <c r="O6241">
        <v>-111.929937</v>
      </c>
      <c r="P6241">
        <v>4179.9033079999999</v>
      </c>
      <c r="Q6241">
        <v>1368</v>
      </c>
      <c r="R6241">
        <v>0</v>
      </c>
    </row>
    <row r="6242" spans="1:18" x14ac:dyDescent="0.25">
      <c r="A6242">
        <v>7241</v>
      </c>
      <c r="B6242">
        <v>94</v>
      </c>
      <c r="C6242">
        <v>31858728</v>
      </c>
      <c r="D6242" t="s">
        <v>312</v>
      </c>
      <c r="E6242">
        <v>65.998000000000005</v>
      </c>
      <c r="F6242" t="s">
        <v>21</v>
      </c>
      <c r="G6242" t="s">
        <v>26</v>
      </c>
      <c r="H6242" t="s">
        <v>21</v>
      </c>
      <c r="I6242" t="s">
        <v>20</v>
      </c>
      <c r="J6242" t="s">
        <v>20</v>
      </c>
      <c r="K6242" t="s">
        <v>27</v>
      </c>
      <c r="L6242" t="s">
        <v>173</v>
      </c>
      <c r="M6242" t="s">
        <v>313</v>
      </c>
      <c r="N6242">
        <v>39.283568000000002</v>
      </c>
      <c r="O6242">
        <v>-112.652822</v>
      </c>
      <c r="P6242">
        <v>4524.0840500000004</v>
      </c>
      <c r="Q6242">
        <v>255</v>
      </c>
      <c r="R6242">
        <v>0</v>
      </c>
    </row>
    <row r="6243" spans="1:18" x14ac:dyDescent="0.25">
      <c r="A6243">
        <v>7242</v>
      </c>
      <c r="B6243">
        <v>94</v>
      </c>
      <c r="C6243">
        <v>31329510</v>
      </c>
      <c r="D6243" t="s">
        <v>241</v>
      </c>
      <c r="E6243">
        <v>66.010999999999996</v>
      </c>
      <c r="F6243" t="s">
        <v>21</v>
      </c>
      <c r="G6243" t="s">
        <v>26</v>
      </c>
      <c r="H6243" t="s">
        <v>21</v>
      </c>
      <c r="I6243" t="s">
        <v>20</v>
      </c>
      <c r="J6243" t="s">
        <v>20</v>
      </c>
      <c r="K6243" t="s">
        <v>27</v>
      </c>
      <c r="L6243" t="s">
        <v>158</v>
      </c>
      <c r="M6243" t="s">
        <v>243</v>
      </c>
      <c r="N6243">
        <v>39.560887000000001</v>
      </c>
      <c r="O6243">
        <v>-110.81586299999999</v>
      </c>
      <c r="P6243">
        <v>5546.5700779999997</v>
      </c>
      <c r="Q6243">
        <v>1327</v>
      </c>
      <c r="R6243">
        <v>0</v>
      </c>
    </row>
    <row r="6244" spans="1:18" x14ac:dyDescent="0.25">
      <c r="A6244">
        <v>7243</v>
      </c>
      <c r="B6244">
        <v>94</v>
      </c>
      <c r="C6244">
        <v>31858739</v>
      </c>
      <c r="D6244" t="s">
        <v>312</v>
      </c>
      <c r="E6244">
        <v>66.11</v>
      </c>
      <c r="F6244" t="s">
        <v>21</v>
      </c>
      <c r="G6244" t="s">
        <v>26</v>
      </c>
      <c r="H6244" t="s">
        <v>21</v>
      </c>
      <c r="I6244" t="s">
        <v>20</v>
      </c>
      <c r="J6244" t="s">
        <v>20</v>
      </c>
      <c r="K6244" t="s">
        <v>27</v>
      </c>
      <c r="L6244" t="s">
        <v>173</v>
      </c>
      <c r="M6244" t="s">
        <v>313</v>
      </c>
      <c r="N6244">
        <v>39.285201999999998</v>
      </c>
      <c r="O6244">
        <v>-112.65278499999999</v>
      </c>
      <c r="P6244">
        <v>4523.9239200000002</v>
      </c>
      <c r="Q6244">
        <v>255</v>
      </c>
      <c r="R6244">
        <v>0</v>
      </c>
    </row>
    <row r="6245" spans="1:18" x14ac:dyDescent="0.25">
      <c r="A6245">
        <v>7244</v>
      </c>
      <c r="B6245">
        <v>94</v>
      </c>
      <c r="C6245">
        <v>31630299</v>
      </c>
      <c r="D6245" t="s">
        <v>244</v>
      </c>
      <c r="E6245">
        <v>52.719000000000001</v>
      </c>
      <c r="F6245" t="s">
        <v>21</v>
      </c>
      <c r="G6245" t="s">
        <v>26</v>
      </c>
      <c r="H6245" t="s">
        <v>21</v>
      </c>
      <c r="I6245" t="s">
        <v>20</v>
      </c>
      <c r="J6245" t="s">
        <v>20</v>
      </c>
      <c r="K6245" t="s">
        <v>27</v>
      </c>
      <c r="L6245" t="s">
        <v>266</v>
      </c>
      <c r="M6245" t="s">
        <v>386</v>
      </c>
      <c r="N6245">
        <v>38.397103999999999</v>
      </c>
      <c r="O6245">
        <v>-111.638454</v>
      </c>
      <c r="P6245">
        <v>6974.7765890000001</v>
      </c>
      <c r="Q6245">
        <v>1340</v>
      </c>
      <c r="R6245">
        <v>0</v>
      </c>
    </row>
    <row r="6246" spans="1:18" x14ac:dyDescent="0.25">
      <c r="A6246">
        <v>7245</v>
      </c>
      <c r="B6246">
        <v>94</v>
      </c>
      <c r="C6246">
        <v>31496152</v>
      </c>
      <c r="D6246" t="s">
        <v>124</v>
      </c>
      <c r="E6246">
        <v>52.734999999999999</v>
      </c>
      <c r="F6246" t="s">
        <v>19</v>
      </c>
      <c r="G6246" t="s">
        <v>20</v>
      </c>
      <c r="H6246" t="s">
        <v>21</v>
      </c>
      <c r="I6246" t="s">
        <v>20</v>
      </c>
      <c r="J6246" t="s">
        <v>20</v>
      </c>
      <c r="K6246" t="s">
        <v>31</v>
      </c>
      <c r="L6246" t="s">
        <v>69</v>
      </c>
      <c r="M6246" t="s">
        <v>125</v>
      </c>
      <c r="N6246">
        <v>40.673780999999998</v>
      </c>
      <c r="O6246">
        <v>-111.938866</v>
      </c>
      <c r="P6246">
        <v>4236.7549849999996</v>
      </c>
      <c r="Q6246">
        <v>1368</v>
      </c>
      <c r="R6246">
        <v>0</v>
      </c>
    </row>
    <row r="6247" spans="1:18" x14ac:dyDescent="0.25">
      <c r="A6247">
        <v>7246</v>
      </c>
      <c r="B6247">
        <v>94</v>
      </c>
      <c r="C6247">
        <v>31321295</v>
      </c>
      <c r="D6247" t="s">
        <v>241</v>
      </c>
      <c r="E6247">
        <v>52.747</v>
      </c>
      <c r="F6247" t="s">
        <v>21</v>
      </c>
      <c r="G6247" t="s">
        <v>20</v>
      </c>
      <c r="H6247" t="s">
        <v>21</v>
      </c>
      <c r="I6247" t="s">
        <v>20</v>
      </c>
      <c r="J6247" t="s">
        <v>20</v>
      </c>
      <c r="K6247" t="s">
        <v>27</v>
      </c>
      <c r="L6247" t="s">
        <v>111</v>
      </c>
      <c r="M6247" t="s">
        <v>243</v>
      </c>
      <c r="N6247">
        <v>39.385767999999999</v>
      </c>
      <c r="O6247">
        <v>-110.90412600000001</v>
      </c>
      <c r="P6247">
        <v>5893.5763939999997</v>
      </c>
      <c r="Q6247">
        <v>1327</v>
      </c>
      <c r="R6247">
        <v>0</v>
      </c>
    </row>
    <row r="6248" spans="1:18" x14ac:dyDescent="0.25">
      <c r="A6248">
        <v>7247</v>
      </c>
      <c r="B6248">
        <v>94</v>
      </c>
      <c r="C6248" t="e">
        <f>-JN_TWM3FX1nrD4bgw34yF</f>
        <v>#NAME?</v>
      </c>
      <c r="D6248" t="s">
        <v>281</v>
      </c>
      <c r="E6248">
        <v>52.805999999999997</v>
      </c>
      <c r="F6248" t="s">
        <v>21</v>
      </c>
      <c r="G6248" t="s">
        <v>26</v>
      </c>
      <c r="H6248" t="s">
        <v>21</v>
      </c>
      <c r="I6248" t="s">
        <v>20</v>
      </c>
      <c r="J6248" t="s">
        <v>20</v>
      </c>
      <c r="K6248" t="s">
        <v>31</v>
      </c>
      <c r="L6248" t="s">
        <v>282</v>
      </c>
      <c r="M6248" t="s">
        <v>174</v>
      </c>
      <c r="N6248">
        <v>40.512709000000001</v>
      </c>
      <c r="O6248">
        <v>-112.311032</v>
      </c>
      <c r="P6248">
        <v>5111.6642959999999</v>
      </c>
      <c r="Q6248">
        <v>1347</v>
      </c>
      <c r="R6248">
        <v>0</v>
      </c>
    </row>
    <row r="6249" spans="1:18" x14ac:dyDescent="0.25">
      <c r="A6249">
        <v>7248</v>
      </c>
      <c r="B6249">
        <v>94</v>
      </c>
      <c r="C6249">
        <v>31191966</v>
      </c>
      <c r="D6249" t="s">
        <v>414</v>
      </c>
      <c r="E6249">
        <v>8.0559999999999992</v>
      </c>
      <c r="F6249" t="s">
        <v>21</v>
      </c>
      <c r="G6249" t="s">
        <v>26</v>
      </c>
      <c r="H6249" t="s">
        <v>21</v>
      </c>
      <c r="I6249" t="s">
        <v>20</v>
      </c>
      <c r="J6249" t="s">
        <v>20</v>
      </c>
      <c r="K6249" t="s">
        <v>27</v>
      </c>
      <c r="L6249" t="s">
        <v>350</v>
      </c>
      <c r="M6249" t="s">
        <v>58</v>
      </c>
      <c r="N6249">
        <v>39.124259000000002</v>
      </c>
      <c r="O6249">
        <v>-111.711468</v>
      </c>
      <c r="P6249">
        <v>5457.4229379999997</v>
      </c>
      <c r="Q6249">
        <v>336</v>
      </c>
      <c r="R6249">
        <v>0</v>
      </c>
    </row>
    <row r="6250" spans="1:18" x14ac:dyDescent="0.25">
      <c r="A6250">
        <v>7249</v>
      </c>
      <c r="B6250">
        <v>94</v>
      </c>
      <c r="C6250">
        <v>2564251</v>
      </c>
      <c r="D6250" t="s">
        <v>176</v>
      </c>
      <c r="E6250">
        <v>8.0640000000000001</v>
      </c>
      <c r="F6250" t="s">
        <v>21</v>
      </c>
      <c r="G6250" t="s">
        <v>26</v>
      </c>
      <c r="H6250" t="s">
        <v>21</v>
      </c>
      <c r="I6250" t="s">
        <v>20</v>
      </c>
      <c r="J6250" t="s">
        <v>20</v>
      </c>
      <c r="K6250" t="s">
        <v>41</v>
      </c>
      <c r="L6250" t="s">
        <v>177</v>
      </c>
      <c r="M6250" t="s">
        <v>178</v>
      </c>
      <c r="N6250">
        <v>41.550767</v>
      </c>
      <c r="O6250">
        <v>-112.10933799999999</v>
      </c>
      <c r="P6250">
        <v>4178.8362109999998</v>
      </c>
      <c r="Q6250">
        <v>1329</v>
      </c>
      <c r="R6250">
        <v>0</v>
      </c>
    </row>
    <row r="6251" spans="1:18" x14ac:dyDescent="0.25">
      <c r="A6251">
        <v>7250</v>
      </c>
      <c r="B6251">
        <v>94</v>
      </c>
      <c r="C6251">
        <v>31389663</v>
      </c>
      <c r="D6251" t="s">
        <v>364</v>
      </c>
      <c r="E6251">
        <v>8.0739999999999998</v>
      </c>
      <c r="F6251" t="s">
        <v>21</v>
      </c>
      <c r="G6251" t="s">
        <v>26</v>
      </c>
      <c r="H6251" t="s">
        <v>21</v>
      </c>
      <c r="I6251" t="s">
        <v>20</v>
      </c>
      <c r="J6251" t="s">
        <v>20</v>
      </c>
      <c r="K6251" t="s">
        <v>22</v>
      </c>
      <c r="L6251" t="s">
        <v>140</v>
      </c>
      <c r="M6251" t="s">
        <v>85</v>
      </c>
      <c r="N6251">
        <v>40.108409999999999</v>
      </c>
      <c r="O6251">
        <v>-111.65819</v>
      </c>
      <c r="P6251">
        <v>4521.5188179999996</v>
      </c>
      <c r="Q6251">
        <v>1401</v>
      </c>
      <c r="R6251">
        <v>0</v>
      </c>
    </row>
    <row r="6252" spans="1:18" x14ac:dyDescent="0.25">
      <c r="A6252">
        <v>7251</v>
      </c>
      <c r="B6252">
        <v>94</v>
      </c>
      <c r="C6252">
        <v>1377126</v>
      </c>
      <c r="D6252" t="s">
        <v>363</v>
      </c>
      <c r="E6252">
        <v>8.077</v>
      </c>
      <c r="F6252" t="s">
        <v>21</v>
      </c>
      <c r="G6252" t="s">
        <v>26</v>
      </c>
      <c r="H6252" t="s">
        <v>21</v>
      </c>
      <c r="I6252" t="s">
        <v>20</v>
      </c>
      <c r="J6252" t="s">
        <v>20</v>
      </c>
      <c r="K6252" t="s">
        <v>41</v>
      </c>
      <c r="L6252" t="s">
        <v>95</v>
      </c>
      <c r="M6252" t="s">
        <v>73</v>
      </c>
      <c r="N6252">
        <v>41.838641000000003</v>
      </c>
      <c r="O6252">
        <v>-111.83547</v>
      </c>
      <c r="P6252">
        <v>4538.2706850000004</v>
      </c>
      <c r="Q6252">
        <v>356</v>
      </c>
      <c r="R6252">
        <v>0</v>
      </c>
    </row>
    <row r="6253" spans="1:18" x14ac:dyDescent="0.25">
      <c r="A6253">
        <v>7252</v>
      </c>
      <c r="B6253">
        <v>94</v>
      </c>
      <c r="C6253">
        <v>31516503</v>
      </c>
      <c r="D6253" t="s">
        <v>124</v>
      </c>
      <c r="E6253">
        <v>70.239000000000004</v>
      </c>
      <c r="F6253" t="s">
        <v>19</v>
      </c>
      <c r="G6253" t="s">
        <v>20</v>
      </c>
      <c r="H6253" t="s">
        <v>21</v>
      </c>
      <c r="I6253" t="s">
        <v>20</v>
      </c>
      <c r="J6253" t="s">
        <v>20</v>
      </c>
      <c r="K6253" t="s">
        <v>41</v>
      </c>
      <c r="L6253" t="s">
        <v>45</v>
      </c>
      <c r="M6253" t="s">
        <v>365</v>
      </c>
      <c r="N6253">
        <v>40.874720000000003</v>
      </c>
      <c r="O6253">
        <v>-111.888355</v>
      </c>
      <c r="P6253">
        <v>4336.5420389999999</v>
      </c>
      <c r="Q6253">
        <v>1368</v>
      </c>
      <c r="R6253">
        <v>0</v>
      </c>
    </row>
    <row r="6254" spans="1:18" x14ac:dyDescent="0.25">
      <c r="A6254">
        <v>7253</v>
      </c>
      <c r="B6254">
        <v>94</v>
      </c>
      <c r="C6254" t="s">
        <v>798</v>
      </c>
      <c r="D6254" t="s">
        <v>272</v>
      </c>
      <c r="E6254">
        <v>70.33</v>
      </c>
      <c r="F6254" t="s">
        <v>21</v>
      </c>
      <c r="G6254" t="s">
        <v>26</v>
      </c>
      <c r="H6254" t="s">
        <v>21</v>
      </c>
      <c r="I6254" t="s">
        <v>20</v>
      </c>
      <c r="J6254" t="s">
        <v>20</v>
      </c>
      <c r="K6254" t="s">
        <v>27</v>
      </c>
      <c r="L6254" t="s">
        <v>259</v>
      </c>
      <c r="M6254" t="s">
        <v>214</v>
      </c>
      <c r="N6254">
        <v>37.122993000000001</v>
      </c>
      <c r="O6254">
        <v>-112.56468099999999</v>
      </c>
      <c r="P6254">
        <v>5219.2305829999996</v>
      </c>
      <c r="Q6254">
        <v>1384</v>
      </c>
      <c r="R6254">
        <v>0</v>
      </c>
    </row>
    <row r="6255" spans="1:18" x14ac:dyDescent="0.25">
      <c r="A6255">
        <v>7254</v>
      </c>
      <c r="B6255">
        <v>94</v>
      </c>
      <c r="C6255" t="e">
        <f>-JOgJ2TlG-XcAO49byicbF</f>
        <v>#NAME?</v>
      </c>
      <c r="D6255" t="s">
        <v>124</v>
      </c>
      <c r="E6255">
        <v>70.341999999999999</v>
      </c>
      <c r="F6255" t="s">
        <v>21</v>
      </c>
      <c r="G6255" t="s">
        <v>361</v>
      </c>
      <c r="H6255" t="s">
        <v>21</v>
      </c>
      <c r="I6255" t="s">
        <v>20</v>
      </c>
      <c r="J6255" t="s">
        <v>20</v>
      </c>
      <c r="K6255" t="s">
        <v>41</v>
      </c>
      <c r="L6255" t="s">
        <v>45</v>
      </c>
      <c r="M6255" t="s">
        <v>365</v>
      </c>
      <c r="N6255">
        <v>40.873379</v>
      </c>
      <c r="O6255">
        <v>-111.88924400000001</v>
      </c>
      <c r="P6255">
        <v>4338.9961670000002</v>
      </c>
      <c r="Q6255">
        <v>1368</v>
      </c>
      <c r="R6255">
        <v>0</v>
      </c>
    </row>
    <row r="6256" spans="1:18" x14ac:dyDescent="0.25">
      <c r="A6256">
        <v>7255</v>
      </c>
      <c r="B6256">
        <v>94</v>
      </c>
      <c r="C6256">
        <v>31768822</v>
      </c>
      <c r="D6256" t="s">
        <v>118</v>
      </c>
      <c r="E6256">
        <v>70.471999999999994</v>
      </c>
      <c r="F6256" t="s">
        <v>21</v>
      </c>
      <c r="G6256" t="s">
        <v>20</v>
      </c>
      <c r="H6256" t="s">
        <v>21</v>
      </c>
      <c r="I6256" t="s">
        <v>20</v>
      </c>
      <c r="J6256" t="s">
        <v>20</v>
      </c>
      <c r="K6256" t="s">
        <v>22</v>
      </c>
      <c r="L6256" t="s">
        <v>253</v>
      </c>
      <c r="M6256" t="s">
        <v>120</v>
      </c>
      <c r="N6256">
        <v>40.196908999999998</v>
      </c>
      <c r="O6256">
        <v>-110.69105399999999</v>
      </c>
      <c r="P6256">
        <v>6745.5352910000001</v>
      </c>
      <c r="Q6256">
        <v>310</v>
      </c>
      <c r="R6256">
        <v>0</v>
      </c>
    </row>
    <row r="6257" spans="1:18" x14ac:dyDescent="0.25">
      <c r="A6257">
        <v>7256</v>
      </c>
      <c r="B6257">
        <v>94</v>
      </c>
      <c r="C6257">
        <v>31517157</v>
      </c>
      <c r="D6257" t="s">
        <v>124</v>
      </c>
      <c r="E6257">
        <v>70.504000000000005</v>
      </c>
      <c r="F6257" t="s">
        <v>19</v>
      </c>
      <c r="G6257" t="s">
        <v>20</v>
      </c>
      <c r="H6257" t="s">
        <v>21</v>
      </c>
      <c r="I6257" t="s">
        <v>20</v>
      </c>
      <c r="J6257" t="s">
        <v>20</v>
      </c>
      <c r="K6257" t="s">
        <v>41</v>
      </c>
      <c r="L6257" t="s">
        <v>45</v>
      </c>
      <c r="M6257" t="s">
        <v>365</v>
      </c>
      <c r="N6257">
        <v>40.871281000000003</v>
      </c>
      <c r="O6257">
        <v>-111.890674</v>
      </c>
      <c r="P6257">
        <v>4336.8154699999996</v>
      </c>
      <c r="Q6257">
        <v>1368</v>
      </c>
      <c r="R6257">
        <v>0</v>
      </c>
    </row>
    <row r="6258" spans="1:18" x14ac:dyDescent="0.25">
      <c r="A6258">
        <v>7257</v>
      </c>
      <c r="B6258">
        <v>94</v>
      </c>
      <c r="C6258">
        <v>31717825</v>
      </c>
      <c r="D6258" t="s">
        <v>244</v>
      </c>
      <c r="E6258">
        <v>70.552999999999997</v>
      </c>
      <c r="F6258" t="s">
        <v>21</v>
      </c>
      <c r="G6258" t="s">
        <v>26</v>
      </c>
      <c r="H6258" t="s">
        <v>21</v>
      </c>
      <c r="I6258" t="s">
        <v>20</v>
      </c>
      <c r="J6258" t="s">
        <v>20</v>
      </c>
      <c r="K6258" t="s">
        <v>27</v>
      </c>
      <c r="L6258" t="s">
        <v>266</v>
      </c>
      <c r="M6258" t="s">
        <v>270</v>
      </c>
      <c r="N6258">
        <v>38.304932999999998</v>
      </c>
      <c r="O6258">
        <v>-111.39297999999999</v>
      </c>
      <c r="P6258">
        <v>6595.0824780000003</v>
      </c>
      <c r="Q6258">
        <v>1340</v>
      </c>
      <c r="R6258">
        <v>0</v>
      </c>
    </row>
    <row r="6259" spans="1:18" x14ac:dyDescent="0.25">
      <c r="A6259">
        <v>7258</v>
      </c>
      <c r="B6259">
        <v>94</v>
      </c>
      <c r="C6259">
        <v>31768833</v>
      </c>
      <c r="D6259" t="s">
        <v>118</v>
      </c>
      <c r="E6259">
        <v>70.861000000000004</v>
      </c>
      <c r="F6259" t="s">
        <v>21</v>
      </c>
      <c r="G6259" t="s">
        <v>26</v>
      </c>
      <c r="H6259" t="s">
        <v>21</v>
      </c>
      <c r="I6259" t="s">
        <v>20</v>
      </c>
      <c r="J6259" t="s">
        <v>20</v>
      </c>
      <c r="K6259" t="s">
        <v>22</v>
      </c>
      <c r="L6259" t="s">
        <v>253</v>
      </c>
      <c r="M6259" t="s">
        <v>120</v>
      </c>
      <c r="N6259">
        <v>40.19379</v>
      </c>
      <c r="O6259">
        <v>-110.684889</v>
      </c>
      <c r="P6259">
        <v>6727.2158900000004</v>
      </c>
      <c r="Q6259">
        <v>310</v>
      </c>
      <c r="R6259">
        <v>0</v>
      </c>
    </row>
    <row r="6260" spans="1:18" x14ac:dyDescent="0.25">
      <c r="A6260">
        <v>7259</v>
      </c>
      <c r="B6260">
        <v>94</v>
      </c>
      <c r="C6260">
        <v>28697662</v>
      </c>
      <c r="D6260" t="s">
        <v>142</v>
      </c>
      <c r="E6260">
        <v>70.927999999999997</v>
      </c>
      <c r="F6260" t="s">
        <v>21</v>
      </c>
      <c r="G6260" t="s">
        <v>20</v>
      </c>
      <c r="H6260" t="s">
        <v>21</v>
      </c>
      <c r="I6260" t="s">
        <v>20</v>
      </c>
      <c r="J6260" t="s">
        <v>20</v>
      </c>
      <c r="K6260" t="s">
        <v>27</v>
      </c>
      <c r="L6260" t="s">
        <v>143</v>
      </c>
      <c r="M6260" t="s">
        <v>106</v>
      </c>
      <c r="N6260">
        <v>38.424596999999999</v>
      </c>
      <c r="O6260">
        <v>-113.114769</v>
      </c>
      <c r="P6260">
        <v>5416.9338209999996</v>
      </c>
      <c r="Q6260">
        <v>305</v>
      </c>
      <c r="R6260">
        <v>0</v>
      </c>
    </row>
    <row r="6261" spans="1:18" x14ac:dyDescent="0.25">
      <c r="A6261">
        <v>7260</v>
      </c>
      <c r="B6261">
        <v>94</v>
      </c>
      <c r="C6261">
        <v>31347772</v>
      </c>
      <c r="D6261" t="s">
        <v>288</v>
      </c>
      <c r="E6261">
        <v>53.42</v>
      </c>
      <c r="F6261" t="s">
        <v>21</v>
      </c>
      <c r="G6261" t="s">
        <v>20</v>
      </c>
      <c r="H6261" t="s">
        <v>21</v>
      </c>
      <c r="I6261" t="s">
        <v>20</v>
      </c>
      <c r="J6261" t="s">
        <v>20</v>
      </c>
      <c r="K6261" t="s">
        <v>27</v>
      </c>
      <c r="L6261" t="s">
        <v>327</v>
      </c>
      <c r="M6261" t="s">
        <v>147</v>
      </c>
      <c r="N6261">
        <v>37.651736</v>
      </c>
      <c r="O6261">
        <v>-109.459673</v>
      </c>
      <c r="P6261">
        <v>6105.7075619999996</v>
      </c>
      <c r="Q6261">
        <v>350</v>
      </c>
      <c r="R6261">
        <v>0</v>
      </c>
    </row>
    <row r="6262" spans="1:18" x14ac:dyDescent="0.25">
      <c r="A6262">
        <v>7261</v>
      </c>
      <c r="B6262">
        <v>94</v>
      </c>
      <c r="C6262">
        <v>28011005</v>
      </c>
      <c r="D6262" t="s">
        <v>281</v>
      </c>
      <c r="E6262">
        <v>53.534999999999997</v>
      </c>
      <c r="F6262" t="s">
        <v>21</v>
      </c>
      <c r="G6262" t="s">
        <v>26</v>
      </c>
      <c r="H6262" t="s">
        <v>21</v>
      </c>
      <c r="I6262" t="s">
        <v>20</v>
      </c>
      <c r="J6262" t="s">
        <v>20</v>
      </c>
      <c r="K6262" t="s">
        <v>31</v>
      </c>
      <c r="L6262" t="s">
        <v>282</v>
      </c>
      <c r="M6262" t="s">
        <v>174</v>
      </c>
      <c r="N6262">
        <v>40.518984000000003</v>
      </c>
      <c r="O6262">
        <v>-112.30004</v>
      </c>
      <c r="P6262">
        <v>5120.4190740000004</v>
      </c>
      <c r="Q6262">
        <v>1347</v>
      </c>
      <c r="R6262">
        <v>0</v>
      </c>
    </row>
    <row r="6263" spans="1:18" x14ac:dyDescent="0.25">
      <c r="A6263">
        <v>7262</v>
      </c>
      <c r="B6263">
        <v>94</v>
      </c>
      <c r="C6263">
        <v>493135</v>
      </c>
      <c r="D6263" t="s">
        <v>83</v>
      </c>
      <c r="E6263">
        <v>4.0149999999999997</v>
      </c>
      <c r="F6263" t="s">
        <v>21</v>
      </c>
      <c r="G6263" t="s">
        <v>26</v>
      </c>
      <c r="H6263" t="s">
        <v>21</v>
      </c>
      <c r="I6263" t="s">
        <v>20</v>
      </c>
      <c r="J6263" t="s">
        <v>20</v>
      </c>
      <c r="K6263" t="s">
        <v>22</v>
      </c>
      <c r="L6263" t="s">
        <v>84</v>
      </c>
      <c r="M6263" t="s">
        <v>85</v>
      </c>
      <c r="N6263">
        <v>40.433616999999998</v>
      </c>
      <c r="O6263">
        <v>-111.785003</v>
      </c>
      <c r="P6263">
        <v>4856.2112299999999</v>
      </c>
      <c r="Q6263">
        <v>319</v>
      </c>
      <c r="R6263">
        <v>0</v>
      </c>
    </row>
    <row r="6264" spans="1:18" x14ac:dyDescent="0.25">
      <c r="A6264">
        <v>7263</v>
      </c>
      <c r="B6264">
        <v>94</v>
      </c>
      <c r="C6264">
        <v>509144</v>
      </c>
      <c r="D6264" t="s">
        <v>135</v>
      </c>
      <c r="E6264">
        <v>4.016</v>
      </c>
      <c r="F6264" t="s">
        <v>21</v>
      </c>
      <c r="G6264" t="s">
        <v>26</v>
      </c>
      <c r="H6264" t="s">
        <v>21</v>
      </c>
      <c r="I6264" t="s">
        <v>20</v>
      </c>
      <c r="J6264" t="s">
        <v>20</v>
      </c>
      <c r="K6264" t="s">
        <v>31</v>
      </c>
      <c r="L6264" t="s">
        <v>89</v>
      </c>
      <c r="M6264" t="s">
        <v>144</v>
      </c>
      <c r="N6264">
        <v>40.558903000000001</v>
      </c>
      <c r="O6264">
        <v>-111.900318</v>
      </c>
      <c r="P6264">
        <v>4326.8921899999996</v>
      </c>
      <c r="Q6264">
        <v>1423</v>
      </c>
      <c r="R6264">
        <v>0</v>
      </c>
    </row>
    <row r="6265" spans="1:18" x14ac:dyDescent="0.25">
      <c r="A6265">
        <v>7264</v>
      </c>
      <c r="B6265">
        <v>94</v>
      </c>
      <c r="C6265">
        <v>1371407</v>
      </c>
      <c r="D6265" t="s">
        <v>100</v>
      </c>
      <c r="E6265">
        <v>4.0199999999999996</v>
      </c>
      <c r="F6265" t="s">
        <v>19</v>
      </c>
      <c r="G6265" t="s">
        <v>20</v>
      </c>
      <c r="H6265" t="s">
        <v>19</v>
      </c>
      <c r="I6265">
        <v>127</v>
      </c>
      <c r="J6265" t="s">
        <v>20</v>
      </c>
      <c r="K6265" t="s">
        <v>41</v>
      </c>
      <c r="L6265" t="s">
        <v>57</v>
      </c>
      <c r="M6265" t="s">
        <v>46</v>
      </c>
      <c r="N6265">
        <v>41.089252000000002</v>
      </c>
      <c r="O6265">
        <v>-112.06455200000001</v>
      </c>
      <c r="P6265">
        <v>4225.9457149999998</v>
      </c>
      <c r="Q6265">
        <v>1396</v>
      </c>
      <c r="R6265">
        <v>0</v>
      </c>
    </row>
    <row r="6266" spans="1:18" x14ac:dyDescent="0.25">
      <c r="A6266">
        <v>7265</v>
      </c>
      <c r="B6266">
        <v>94</v>
      </c>
      <c r="C6266">
        <v>31350127</v>
      </c>
      <c r="D6266" t="s">
        <v>34</v>
      </c>
      <c r="E6266">
        <v>4.0199999999999996</v>
      </c>
      <c r="F6266" t="s">
        <v>21</v>
      </c>
      <c r="G6266" t="s">
        <v>26</v>
      </c>
      <c r="H6266" t="s">
        <v>21</v>
      </c>
      <c r="I6266" t="s">
        <v>20</v>
      </c>
      <c r="J6266" t="s">
        <v>20</v>
      </c>
      <c r="K6266" t="s">
        <v>22</v>
      </c>
      <c r="L6266" t="s">
        <v>35</v>
      </c>
      <c r="M6266" t="s">
        <v>36</v>
      </c>
      <c r="N6266">
        <v>40.512146999999999</v>
      </c>
      <c r="O6266">
        <v>-111.470139</v>
      </c>
      <c r="P6266">
        <v>5527.6232389999996</v>
      </c>
      <c r="Q6266">
        <v>1400</v>
      </c>
      <c r="R6266">
        <v>0</v>
      </c>
    </row>
    <row r="6267" spans="1:18" x14ac:dyDescent="0.25">
      <c r="A6267">
        <v>7266</v>
      </c>
      <c r="B6267">
        <v>94</v>
      </c>
      <c r="C6267">
        <v>1044834</v>
      </c>
      <c r="D6267" t="s">
        <v>127</v>
      </c>
      <c r="E6267">
        <v>4.024</v>
      </c>
      <c r="F6267" t="s">
        <v>21</v>
      </c>
      <c r="G6267" t="s">
        <v>26</v>
      </c>
      <c r="H6267" t="s">
        <v>19</v>
      </c>
      <c r="I6267">
        <v>200</v>
      </c>
      <c r="J6267" t="s">
        <v>20</v>
      </c>
      <c r="K6267" t="s">
        <v>41</v>
      </c>
      <c r="L6267" t="s">
        <v>95</v>
      </c>
      <c r="M6267" t="s">
        <v>73</v>
      </c>
      <c r="N6267">
        <v>41.975758999999996</v>
      </c>
      <c r="O6267">
        <v>-111.87617</v>
      </c>
      <c r="P6267">
        <v>4461.0164640000003</v>
      </c>
      <c r="Q6267">
        <v>1364</v>
      </c>
      <c r="R6267">
        <v>0</v>
      </c>
    </row>
    <row r="6268" spans="1:18" x14ac:dyDescent="0.25">
      <c r="A6268">
        <v>7267</v>
      </c>
      <c r="B6268">
        <v>94</v>
      </c>
      <c r="C6268">
        <v>31401008</v>
      </c>
      <c r="D6268" t="s">
        <v>224</v>
      </c>
      <c r="E6268">
        <v>4.0250000000000004</v>
      </c>
      <c r="F6268" t="s">
        <v>21</v>
      </c>
      <c r="G6268" t="s">
        <v>26</v>
      </c>
      <c r="H6268" t="s">
        <v>21</v>
      </c>
      <c r="I6268" t="s">
        <v>20</v>
      </c>
      <c r="J6268" t="s">
        <v>20</v>
      </c>
      <c r="K6268" t="s">
        <v>22</v>
      </c>
      <c r="L6268" t="s">
        <v>198</v>
      </c>
      <c r="M6268" t="s">
        <v>194</v>
      </c>
      <c r="N6268">
        <v>40.027267999999999</v>
      </c>
      <c r="O6268">
        <v>-111.740236</v>
      </c>
      <c r="P6268">
        <v>4691.8226619999996</v>
      </c>
      <c r="Q6268">
        <v>408</v>
      </c>
      <c r="R6268">
        <v>0</v>
      </c>
    </row>
    <row r="6269" spans="1:18" x14ac:dyDescent="0.25">
      <c r="A6269">
        <v>7268</v>
      </c>
      <c r="B6269">
        <v>94</v>
      </c>
      <c r="C6269">
        <v>31744527</v>
      </c>
      <c r="D6269" t="s">
        <v>290</v>
      </c>
      <c r="E6269">
        <v>43.887</v>
      </c>
      <c r="F6269" t="s">
        <v>21</v>
      </c>
      <c r="G6269" t="s">
        <v>20</v>
      </c>
      <c r="H6269" t="s">
        <v>21</v>
      </c>
      <c r="I6269" t="s">
        <v>20</v>
      </c>
      <c r="J6269" t="s">
        <v>20</v>
      </c>
      <c r="K6269" t="s">
        <v>41</v>
      </c>
      <c r="L6269" t="s">
        <v>291</v>
      </c>
      <c r="M6269" t="s">
        <v>238</v>
      </c>
      <c r="N6269">
        <v>41.762452000000003</v>
      </c>
      <c r="O6269">
        <v>-113.511668</v>
      </c>
      <c r="P6269">
        <v>5287.5265639999998</v>
      </c>
      <c r="Q6269">
        <v>1343</v>
      </c>
      <c r="R6269">
        <v>0</v>
      </c>
    </row>
    <row r="6270" spans="1:18" x14ac:dyDescent="0.25">
      <c r="A6270">
        <v>7269</v>
      </c>
      <c r="B6270">
        <v>94</v>
      </c>
      <c r="C6270" t="e">
        <f>-Ip9TaTiIgy8yLttIEbPDF</f>
        <v>#NAME?</v>
      </c>
      <c r="D6270" t="s">
        <v>272</v>
      </c>
      <c r="E6270">
        <v>385.02100000000002</v>
      </c>
      <c r="F6270" t="s">
        <v>21</v>
      </c>
      <c r="G6270" t="s">
        <v>26</v>
      </c>
      <c r="H6270" t="s">
        <v>21</v>
      </c>
      <c r="I6270" t="s">
        <v>20</v>
      </c>
      <c r="J6270" t="s">
        <v>20</v>
      </c>
      <c r="K6270" t="s">
        <v>41</v>
      </c>
      <c r="L6270" t="s">
        <v>45</v>
      </c>
      <c r="M6270" t="s">
        <v>49</v>
      </c>
      <c r="N6270">
        <v>40.839087999999997</v>
      </c>
      <c r="O6270">
        <v>-111.911686</v>
      </c>
      <c r="P6270">
        <v>4287.826548</v>
      </c>
      <c r="Q6270">
        <v>1384</v>
      </c>
      <c r="R6270">
        <v>0</v>
      </c>
    </row>
    <row r="6271" spans="1:18" x14ac:dyDescent="0.25">
      <c r="A6271">
        <v>7270</v>
      </c>
      <c r="B6271">
        <v>94</v>
      </c>
      <c r="C6271" t="s">
        <v>799</v>
      </c>
      <c r="D6271" t="s">
        <v>272</v>
      </c>
      <c r="E6271">
        <v>385.22800000000001</v>
      </c>
      <c r="F6271" t="s">
        <v>19</v>
      </c>
      <c r="G6271" t="s">
        <v>20</v>
      </c>
      <c r="H6271" t="s">
        <v>21</v>
      </c>
      <c r="I6271" t="s">
        <v>20</v>
      </c>
      <c r="J6271" t="s">
        <v>20</v>
      </c>
      <c r="K6271" t="s">
        <v>41</v>
      </c>
      <c r="L6271" t="s">
        <v>45</v>
      </c>
      <c r="M6271" t="s">
        <v>49</v>
      </c>
      <c r="N6271">
        <v>40.841825999999998</v>
      </c>
      <c r="O6271">
        <v>-111.91022599999999</v>
      </c>
      <c r="P6271">
        <v>4283.4075140000004</v>
      </c>
      <c r="Q6271">
        <v>1384</v>
      </c>
      <c r="R6271">
        <v>0</v>
      </c>
    </row>
    <row r="6272" spans="1:18" x14ac:dyDescent="0.25">
      <c r="A6272">
        <v>7271</v>
      </c>
      <c r="B6272">
        <v>94</v>
      </c>
      <c r="C6272" t="e">
        <f>-Ip9X1RiGNqTjekwE44IdF</f>
        <v>#NAME?</v>
      </c>
      <c r="D6272" t="s">
        <v>272</v>
      </c>
      <c r="E6272">
        <v>385.36700000000002</v>
      </c>
      <c r="F6272" t="s">
        <v>21</v>
      </c>
      <c r="G6272" t="s">
        <v>26</v>
      </c>
      <c r="H6272" t="s">
        <v>21</v>
      </c>
      <c r="I6272" t="s">
        <v>20</v>
      </c>
      <c r="J6272" t="s">
        <v>20</v>
      </c>
      <c r="K6272" t="s">
        <v>41</v>
      </c>
      <c r="L6272" t="s">
        <v>45</v>
      </c>
      <c r="M6272" t="s">
        <v>49</v>
      </c>
      <c r="N6272">
        <v>40.843662999999999</v>
      </c>
      <c r="O6272">
        <v>-111.909261</v>
      </c>
      <c r="P6272">
        <v>4282.3766349999996</v>
      </c>
      <c r="Q6272">
        <v>1384</v>
      </c>
      <c r="R6272">
        <v>0</v>
      </c>
    </row>
    <row r="6273" spans="1:18" x14ac:dyDescent="0.25">
      <c r="A6273">
        <v>7272</v>
      </c>
      <c r="B6273">
        <v>94</v>
      </c>
      <c r="C6273" t="s">
        <v>800</v>
      </c>
      <c r="D6273" t="s">
        <v>272</v>
      </c>
      <c r="E6273">
        <v>385.46800000000002</v>
      </c>
      <c r="F6273" t="s">
        <v>21</v>
      </c>
      <c r="G6273" t="s">
        <v>26</v>
      </c>
      <c r="H6273" t="s">
        <v>21</v>
      </c>
      <c r="I6273" t="s">
        <v>20</v>
      </c>
      <c r="J6273" t="s">
        <v>20</v>
      </c>
      <c r="K6273" t="s">
        <v>41</v>
      </c>
      <c r="L6273" t="s">
        <v>45</v>
      </c>
      <c r="M6273" t="s">
        <v>49</v>
      </c>
      <c r="N6273">
        <v>40.845011999999997</v>
      </c>
      <c r="O6273">
        <v>-111.90855000000001</v>
      </c>
      <c r="P6273">
        <v>4283.1375010000002</v>
      </c>
      <c r="Q6273">
        <v>1384</v>
      </c>
      <c r="R6273">
        <v>0</v>
      </c>
    </row>
    <row r="6274" spans="1:18" x14ac:dyDescent="0.25">
      <c r="A6274">
        <v>7273</v>
      </c>
      <c r="B6274">
        <v>94</v>
      </c>
      <c r="C6274">
        <v>31505108</v>
      </c>
      <c r="D6274" t="s">
        <v>129</v>
      </c>
      <c r="E6274">
        <v>49.591000000000001</v>
      </c>
      <c r="F6274" t="s">
        <v>21</v>
      </c>
      <c r="G6274" t="s">
        <v>26</v>
      </c>
      <c r="H6274" t="s">
        <v>21</v>
      </c>
      <c r="I6274" t="s">
        <v>20</v>
      </c>
      <c r="J6274" t="s">
        <v>20</v>
      </c>
      <c r="K6274" t="s">
        <v>31</v>
      </c>
      <c r="L6274" t="s">
        <v>130</v>
      </c>
      <c r="M6274" t="s">
        <v>328</v>
      </c>
      <c r="N6274">
        <v>40.928077000000002</v>
      </c>
      <c r="O6274">
        <v>-110.828895</v>
      </c>
      <c r="P6274">
        <v>8247.9310850000002</v>
      </c>
      <c r="Q6274">
        <v>340</v>
      </c>
      <c r="R6274">
        <v>0</v>
      </c>
    </row>
    <row r="6275" spans="1:18" x14ac:dyDescent="0.25">
      <c r="A6275">
        <v>7274</v>
      </c>
      <c r="B6275">
        <v>94</v>
      </c>
      <c r="C6275" t="e">
        <f>-IopvX_tGR9Qan5Srw8aQV</f>
        <v>#NAME?</v>
      </c>
      <c r="D6275" t="s">
        <v>272</v>
      </c>
      <c r="E6275">
        <v>348.61599999999999</v>
      </c>
      <c r="F6275" t="s">
        <v>21</v>
      </c>
      <c r="G6275" t="s">
        <v>26</v>
      </c>
      <c r="H6275" t="s">
        <v>21</v>
      </c>
      <c r="I6275" t="s">
        <v>20</v>
      </c>
      <c r="J6275" t="s">
        <v>20</v>
      </c>
      <c r="K6275" t="s">
        <v>22</v>
      </c>
      <c r="L6275" t="s">
        <v>84</v>
      </c>
      <c r="M6275" t="s">
        <v>125</v>
      </c>
      <c r="N6275">
        <v>40.376873000000003</v>
      </c>
      <c r="O6275">
        <v>-111.808074</v>
      </c>
      <c r="P6275">
        <v>4520.4905550000003</v>
      </c>
      <c r="Q6275">
        <v>1384</v>
      </c>
      <c r="R6275">
        <v>0</v>
      </c>
    </row>
    <row r="6276" spans="1:18" x14ac:dyDescent="0.25">
      <c r="A6276">
        <v>7275</v>
      </c>
      <c r="B6276">
        <v>94</v>
      </c>
      <c r="C6276" t="e">
        <f>-Iopw9C0HCLl-bQ27RYToV</f>
        <v>#NAME?</v>
      </c>
      <c r="D6276" t="s">
        <v>272</v>
      </c>
      <c r="E6276">
        <v>348.74900000000002</v>
      </c>
      <c r="F6276" t="s">
        <v>21</v>
      </c>
      <c r="G6276" t="s">
        <v>26</v>
      </c>
      <c r="H6276" t="s">
        <v>21</v>
      </c>
      <c r="I6276" t="s">
        <v>20</v>
      </c>
      <c r="J6276" t="s">
        <v>20</v>
      </c>
      <c r="K6276" t="s">
        <v>22</v>
      </c>
      <c r="L6276" t="s">
        <v>84</v>
      </c>
      <c r="M6276" t="s">
        <v>125</v>
      </c>
      <c r="N6276">
        <v>40.376899000000002</v>
      </c>
      <c r="O6276">
        <v>-111.810587</v>
      </c>
      <c r="P6276">
        <v>4510.866317</v>
      </c>
      <c r="Q6276">
        <v>1384</v>
      </c>
      <c r="R6276">
        <v>0</v>
      </c>
    </row>
    <row r="6277" spans="1:18" x14ac:dyDescent="0.25">
      <c r="A6277">
        <v>7276</v>
      </c>
      <c r="B6277">
        <v>94</v>
      </c>
      <c r="C6277" t="e">
        <f>-IopwUP_ICLP8eT85tjILk</f>
        <v>#NAME?</v>
      </c>
      <c r="D6277" t="s">
        <v>272</v>
      </c>
      <c r="E6277">
        <v>348.767</v>
      </c>
      <c r="F6277" t="s">
        <v>21</v>
      </c>
      <c r="G6277" t="s">
        <v>26</v>
      </c>
      <c r="H6277" t="s">
        <v>21</v>
      </c>
      <c r="I6277" t="s">
        <v>20</v>
      </c>
      <c r="J6277" t="s">
        <v>20</v>
      </c>
      <c r="K6277" t="s">
        <v>22</v>
      </c>
      <c r="L6277" t="s">
        <v>84</v>
      </c>
      <c r="M6277" t="s">
        <v>125</v>
      </c>
      <c r="N6277">
        <v>40.376913000000002</v>
      </c>
      <c r="O6277">
        <v>-111.810917</v>
      </c>
      <c r="P6277">
        <v>4509.6776010000003</v>
      </c>
      <c r="Q6277">
        <v>1384</v>
      </c>
      <c r="R6277">
        <v>0</v>
      </c>
    </row>
    <row r="6278" spans="1:18" x14ac:dyDescent="0.25">
      <c r="A6278">
        <v>7277</v>
      </c>
      <c r="B6278">
        <v>94</v>
      </c>
      <c r="C6278" t="s">
        <v>801</v>
      </c>
      <c r="D6278" t="s">
        <v>272</v>
      </c>
      <c r="E6278">
        <v>348.81700000000001</v>
      </c>
      <c r="F6278" t="s">
        <v>19</v>
      </c>
      <c r="G6278" t="s">
        <v>20</v>
      </c>
      <c r="H6278" t="s">
        <v>19</v>
      </c>
      <c r="I6278">
        <v>145</v>
      </c>
      <c r="J6278" t="s">
        <v>20</v>
      </c>
      <c r="K6278" t="s">
        <v>22</v>
      </c>
      <c r="L6278" t="s">
        <v>84</v>
      </c>
      <c r="M6278" t="s">
        <v>125</v>
      </c>
      <c r="N6278">
        <v>40.376916999999999</v>
      </c>
      <c r="O6278">
        <v>-111.811734</v>
      </c>
      <c r="P6278">
        <v>4508.0250139999998</v>
      </c>
      <c r="Q6278">
        <v>1384</v>
      </c>
      <c r="R6278">
        <v>0</v>
      </c>
    </row>
    <row r="6279" spans="1:18" x14ac:dyDescent="0.25">
      <c r="A6279">
        <v>7278</v>
      </c>
      <c r="B6279">
        <v>94</v>
      </c>
      <c r="C6279" t="e">
        <f>-IopziDXH9mEUFfGin__mF</f>
        <v>#NAME?</v>
      </c>
      <c r="D6279" t="s">
        <v>272</v>
      </c>
      <c r="E6279">
        <v>348.85300000000001</v>
      </c>
      <c r="F6279" t="s">
        <v>21</v>
      </c>
      <c r="G6279" t="s">
        <v>26</v>
      </c>
      <c r="H6279" t="s">
        <v>21</v>
      </c>
      <c r="I6279" t="s">
        <v>20</v>
      </c>
      <c r="J6279" t="s">
        <v>20</v>
      </c>
      <c r="K6279" t="s">
        <v>22</v>
      </c>
      <c r="L6279" t="s">
        <v>84</v>
      </c>
      <c r="M6279" t="s">
        <v>125</v>
      </c>
      <c r="N6279">
        <v>40.377437</v>
      </c>
      <c r="O6279">
        <v>-111.812011</v>
      </c>
      <c r="P6279">
        <v>4506.4415589999999</v>
      </c>
      <c r="Q6279">
        <v>1384</v>
      </c>
      <c r="R6279">
        <v>0</v>
      </c>
    </row>
    <row r="6280" spans="1:18" x14ac:dyDescent="0.25">
      <c r="A6280">
        <v>7279</v>
      </c>
      <c r="B6280">
        <v>94</v>
      </c>
      <c r="C6280" t="e">
        <f>-Ioq-ROYHLmEx41z7ysd2V</f>
        <v>#NAME?</v>
      </c>
      <c r="D6280" t="s">
        <v>272</v>
      </c>
      <c r="E6280">
        <v>348.92599999999999</v>
      </c>
      <c r="F6280" t="s">
        <v>21</v>
      </c>
      <c r="G6280" t="s">
        <v>26</v>
      </c>
      <c r="H6280" t="s">
        <v>21</v>
      </c>
      <c r="I6280" t="s">
        <v>20</v>
      </c>
      <c r="J6280" t="s">
        <v>20</v>
      </c>
      <c r="K6280" t="s">
        <v>22</v>
      </c>
      <c r="L6280" t="s">
        <v>84</v>
      </c>
      <c r="M6280" t="s">
        <v>125</v>
      </c>
      <c r="N6280">
        <v>40.378231</v>
      </c>
      <c r="O6280">
        <v>-111.812888</v>
      </c>
      <c r="P6280">
        <v>4506.940877</v>
      </c>
      <c r="Q6280">
        <v>1384</v>
      </c>
      <c r="R6280">
        <v>0</v>
      </c>
    </row>
    <row r="6281" spans="1:18" x14ac:dyDescent="0.25">
      <c r="A6281">
        <v>7280</v>
      </c>
      <c r="B6281">
        <v>94</v>
      </c>
      <c r="C6281" t="e">
        <f>-Ioq-xcZFEPitefIHKYoiF</f>
        <v>#NAME?</v>
      </c>
      <c r="D6281" t="s">
        <v>272</v>
      </c>
      <c r="E6281">
        <v>348.97800000000001</v>
      </c>
      <c r="F6281" t="s">
        <v>21</v>
      </c>
      <c r="G6281" t="s">
        <v>26</v>
      </c>
      <c r="H6281" t="s">
        <v>21</v>
      </c>
      <c r="I6281" t="s">
        <v>20</v>
      </c>
      <c r="J6281" t="s">
        <v>20</v>
      </c>
      <c r="K6281" t="s">
        <v>22</v>
      </c>
      <c r="L6281" t="s">
        <v>84</v>
      </c>
      <c r="M6281" t="s">
        <v>125</v>
      </c>
      <c r="N6281">
        <v>40.378936000000003</v>
      </c>
      <c r="O6281">
        <v>-111.81313</v>
      </c>
      <c r="P6281">
        <v>4506.229472</v>
      </c>
      <c r="Q6281">
        <v>1384</v>
      </c>
      <c r="R6281">
        <v>0</v>
      </c>
    </row>
    <row r="6282" spans="1:18" x14ac:dyDescent="0.25">
      <c r="A6282">
        <v>7281</v>
      </c>
      <c r="B6282">
        <v>94</v>
      </c>
      <c r="C6282" t="s">
        <v>802</v>
      </c>
      <c r="D6282" t="s">
        <v>272</v>
      </c>
      <c r="E6282">
        <v>379.20699999999999</v>
      </c>
      <c r="F6282" t="s">
        <v>19</v>
      </c>
      <c r="G6282" t="s">
        <v>20</v>
      </c>
      <c r="H6282" t="s">
        <v>21</v>
      </c>
      <c r="I6282" t="s">
        <v>20</v>
      </c>
      <c r="J6282" t="s">
        <v>20</v>
      </c>
      <c r="K6282" t="s">
        <v>31</v>
      </c>
      <c r="L6282" t="s">
        <v>66</v>
      </c>
      <c r="M6282" t="s">
        <v>49</v>
      </c>
      <c r="N6282">
        <v>40.760649999999998</v>
      </c>
      <c r="O6282">
        <v>-111.899674</v>
      </c>
      <c r="P6282">
        <v>4184.540207</v>
      </c>
      <c r="Q6282">
        <v>1384</v>
      </c>
      <c r="R6282">
        <v>0</v>
      </c>
    </row>
    <row r="6283" spans="1:18" x14ac:dyDescent="0.25">
      <c r="A6283">
        <v>7282</v>
      </c>
      <c r="B6283">
        <v>94</v>
      </c>
      <c r="C6283">
        <v>31578909</v>
      </c>
      <c r="D6283" t="s">
        <v>172</v>
      </c>
      <c r="E6283">
        <v>43.369</v>
      </c>
      <c r="F6283" t="s">
        <v>21</v>
      </c>
      <c r="G6283" t="s">
        <v>26</v>
      </c>
      <c r="H6283" t="s">
        <v>21</v>
      </c>
      <c r="I6283" t="s">
        <v>20</v>
      </c>
      <c r="J6283" t="s">
        <v>20</v>
      </c>
      <c r="K6283" t="s">
        <v>27</v>
      </c>
      <c r="L6283" t="s">
        <v>230</v>
      </c>
      <c r="M6283" t="s">
        <v>174</v>
      </c>
      <c r="N6283">
        <v>39.679355999999999</v>
      </c>
      <c r="O6283">
        <v>-111.67101700000001</v>
      </c>
      <c r="P6283">
        <v>6270.6741590000001</v>
      </c>
      <c r="Q6283">
        <v>1411</v>
      </c>
      <c r="R6283">
        <v>0</v>
      </c>
    </row>
    <row r="6284" spans="1:18" x14ac:dyDescent="0.25">
      <c r="A6284">
        <v>7283</v>
      </c>
      <c r="B6284">
        <v>94</v>
      </c>
      <c r="C6284">
        <v>31401275</v>
      </c>
      <c r="D6284" t="s">
        <v>124</v>
      </c>
      <c r="E6284">
        <v>43.390999999999998</v>
      </c>
      <c r="F6284" t="s">
        <v>21</v>
      </c>
      <c r="G6284" t="s">
        <v>26</v>
      </c>
      <c r="H6284" t="s">
        <v>21</v>
      </c>
      <c r="I6284" t="s">
        <v>20</v>
      </c>
      <c r="J6284" t="s">
        <v>20</v>
      </c>
      <c r="K6284" t="s">
        <v>31</v>
      </c>
      <c r="L6284" t="s">
        <v>48</v>
      </c>
      <c r="M6284" t="s">
        <v>125</v>
      </c>
      <c r="N6284">
        <v>40.537990000000001</v>
      </c>
      <c r="O6284">
        <v>-111.938704</v>
      </c>
      <c r="P6284">
        <v>4379.3573470000001</v>
      </c>
      <c r="Q6284">
        <v>1368</v>
      </c>
      <c r="R6284">
        <v>0</v>
      </c>
    </row>
    <row r="6285" spans="1:18" x14ac:dyDescent="0.25">
      <c r="A6285">
        <v>7284</v>
      </c>
      <c r="B6285">
        <v>94</v>
      </c>
      <c r="C6285">
        <v>31438480</v>
      </c>
      <c r="D6285" t="s">
        <v>221</v>
      </c>
      <c r="E6285">
        <v>43.408999999999999</v>
      </c>
      <c r="F6285" t="s">
        <v>21</v>
      </c>
      <c r="G6285" t="s">
        <v>26</v>
      </c>
      <c r="H6285" t="s">
        <v>21</v>
      </c>
      <c r="I6285" t="s">
        <v>20</v>
      </c>
      <c r="J6285" t="s">
        <v>20</v>
      </c>
      <c r="K6285" t="s">
        <v>22</v>
      </c>
      <c r="L6285" t="s">
        <v>155</v>
      </c>
      <c r="M6285" t="s">
        <v>174</v>
      </c>
      <c r="N6285">
        <v>39.74783</v>
      </c>
      <c r="O6285">
        <v>-111.83528</v>
      </c>
      <c r="P6285">
        <v>5126.7372839999998</v>
      </c>
      <c r="Q6285">
        <v>1342</v>
      </c>
      <c r="R6285">
        <v>0</v>
      </c>
    </row>
    <row r="6286" spans="1:18" x14ac:dyDescent="0.25">
      <c r="A6286">
        <v>7285</v>
      </c>
      <c r="B6286">
        <v>94</v>
      </c>
      <c r="C6286">
        <v>31328704</v>
      </c>
      <c r="D6286" t="s">
        <v>288</v>
      </c>
      <c r="E6286">
        <v>43.509</v>
      </c>
      <c r="F6286" t="s">
        <v>21</v>
      </c>
      <c r="G6286" t="s">
        <v>20</v>
      </c>
      <c r="H6286" t="s">
        <v>21</v>
      </c>
      <c r="I6286" t="s">
        <v>20</v>
      </c>
      <c r="J6286" t="s">
        <v>20</v>
      </c>
      <c r="K6286" t="s">
        <v>27</v>
      </c>
      <c r="L6286" t="s">
        <v>327</v>
      </c>
      <c r="M6286" t="s">
        <v>212</v>
      </c>
      <c r="N6286">
        <v>37.519371999999997</v>
      </c>
      <c r="O6286">
        <v>-109.49408699999999</v>
      </c>
      <c r="P6286">
        <v>5498.4110069999997</v>
      </c>
      <c r="Q6286">
        <v>350</v>
      </c>
      <c r="R6286">
        <v>0</v>
      </c>
    </row>
    <row r="6287" spans="1:18" x14ac:dyDescent="0.25">
      <c r="A6287">
        <v>7286</v>
      </c>
      <c r="B6287">
        <v>94</v>
      </c>
      <c r="C6287">
        <v>31401286</v>
      </c>
      <c r="D6287" t="s">
        <v>124</v>
      </c>
      <c r="E6287">
        <v>43.536999999999999</v>
      </c>
      <c r="F6287" t="s">
        <v>21</v>
      </c>
      <c r="G6287" t="s">
        <v>26</v>
      </c>
      <c r="H6287" t="s">
        <v>21</v>
      </c>
      <c r="I6287" t="s">
        <v>20</v>
      </c>
      <c r="J6287" t="s">
        <v>20</v>
      </c>
      <c r="K6287" t="s">
        <v>31</v>
      </c>
      <c r="L6287" t="s">
        <v>48</v>
      </c>
      <c r="M6287" t="s">
        <v>125</v>
      </c>
      <c r="N6287">
        <v>40.540106000000002</v>
      </c>
      <c r="O6287">
        <v>-111.938697</v>
      </c>
      <c r="P6287">
        <v>4381.7626259999997</v>
      </c>
      <c r="Q6287">
        <v>1368</v>
      </c>
      <c r="R6287">
        <v>0</v>
      </c>
    </row>
    <row r="6288" spans="1:18" x14ac:dyDescent="0.25">
      <c r="A6288">
        <v>7287</v>
      </c>
      <c r="B6288">
        <v>94</v>
      </c>
      <c r="C6288" t="e">
        <f>-IowKTxgIPufQF9Uki3OpV</f>
        <v>#NAME?</v>
      </c>
      <c r="D6288" t="s">
        <v>316</v>
      </c>
      <c r="E6288">
        <v>44.064</v>
      </c>
      <c r="F6288" t="s">
        <v>21</v>
      </c>
      <c r="G6288" t="s">
        <v>20</v>
      </c>
      <c r="H6288" t="s">
        <v>21</v>
      </c>
      <c r="I6288" t="s">
        <v>20</v>
      </c>
      <c r="J6288" t="s">
        <v>20</v>
      </c>
      <c r="K6288" t="s">
        <v>22</v>
      </c>
      <c r="L6288" t="s">
        <v>168</v>
      </c>
      <c r="M6288" t="s">
        <v>302</v>
      </c>
      <c r="N6288">
        <v>40.338025000000002</v>
      </c>
      <c r="O6288">
        <v>-110.685248</v>
      </c>
      <c r="P6288">
        <v>6384.9522790000001</v>
      </c>
      <c r="Q6288">
        <v>1346</v>
      </c>
      <c r="R6288">
        <v>0</v>
      </c>
    </row>
    <row r="6289" spans="1:18" x14ac:dyDescent="0.25">
      <c r="A6289">
        <v>7288</v>
      </c>
      <c r="B6289">
        <v>94</v>
      </c>
      <c r="C6289">
        <v>31462472</v>
      </c>
      <c r="D6289" t="s">
        <v>319</v>
      </c>
      <c r="E6289">
        <v>44.072000000000003</v>
      </c>
      <c r="F6289" t="s">
        <v>21</v>
      </c>
      <c r="G6289" t="s">
        <v>20</v>
      </c>
      <c r="H6289" t="s">
        <v>21</v>
      </c>
      <c r="I6289" t="s">
        <v>20</v>
      </c>
      <c r="J6289" t="s">
        <v>20</v>
      </c>
      <c r="K6289" t="s">
        <v>27</v>
      </c>
      <c r="L6289" t="s">
        <v>162</v>
      </c>
      <c r="M6289" t="s">
        <v>55</v>
      </c>
      <c r="N6289">
        <v>37.609265000000001</v>
      </c>
      <c r="O6289">
        <v>-113.35334899999999</v>
      </c>
      <c r="P6289">
        <v>6282.9521379999996</v>
      </c>
      <c r="Q6289">
        <v>314</v>
      </c>
      <c r="R6289">
        <v>0</v>
      </c>
    </row>
    <row r="6290" spans="1:18" x14ac:dyDescent="0.25">
      <c r="A6290">
        <v>7289</v>
      </c>
      <c r="B6290">
        <v>94</v>
      </c>
      <c r="C6290">
        <v>27995387</v>
      </c>
      <c r="D6290" t="s">
        <v>281</v>
      </c>
      <c r="E6290">
        <v>44.11</v>
      </c>
      <c r="F6290" t="s">
        <v>21</v>
      </c>
      <c r="G6290" t="s">
        <v>26</v>
      </c>
      <c r="H6290" t="s">
        <v>21</v>
      </c>
      <c r="I6290" t="s">
        <v>20</v>
      </c>
      <c r="J6290" t="s">
        <v>20</v>
      </c>
      <c r="K6290" t="s">
        <v>31</v>
      </c>
      <c r="L6290" t="s">
        <v>282</v>
      </c>
      <c r="M6290" t="s">
        <v>283</v>
      </c>
      <c r="N6290">
        <v>40.403331000000001</v>
      </c>
      <c r="O6290">
        <v>-112.385879</v>
      </c>
      <c r="P6290">
        <v>4944.8389939999997</v>
      </c>
      <c r="Q6290">
        <v>1347</v>
      </c>
      <c r="R6290">
        <v>0</v>
      </c>
    </row>
    <row r="6291" spans="1:18" x14ac:dyDescent="0.25">
      <c r="A6291">
        <v>7290</v>
      </c>
      <c r="B6291">
        <v>94</v>
      </c>
      <c r="C6291" t="e">
        <f>-Ip5s9VYHDuQNIHWpfkn7V</f>
        <v>#NAME?</v>
      </c>
      <c r="D6291" t="s">
        <v>124</v>
      </c>
      <c r="E6291">
        <v>44.42</v>
      </c>
      <c r="F6291" t="s">
        <v>21</v>
      </c>
      <c r="G6291" t="s">
        <v>26</v>
      </c>
      <c r="H6291" t="s">
        <v>21</v>
      </c>
      <c r="I6291" t="s">
        <v>20</v>
      </c>
      <c r="J6291" t="s">
        <v>20</v>
      </c>
      <c r="K6291" t="s">
        <v>31</v>
      </c>
      <c r="L6291" t="s">
        <v>48</v>
      </c>
      <c r="M6291" t="s">
        <v>125</v>
      </c>
      <c r="N6291">
        <v>40.552954999999997</v>
      </c>
      <c r="O6291">
        <v>-111.938675</v>
      </c>
      <c r="P6291">
        <v>4386.5526110000001</v>
      </c>
      <c r="Q6291">
        <v>1368</v>
      </c>
      <c r="R6291">
        <v>0</v>
      </c>
    </row>
    <row r="6292" spans="1:18" x14ac:dyDescent="0.25">
      <c r="A6292">
        <v>7291</v>
      </c>
      <c r="B6292">
        <v>94</v>
      </c>
      <c r="C6292">
        <v>31511261</v>
      </c>
      <c r="D6292" t="s">
        <v>37</v>
      </c>
      <c r="E6292">
        <v>44.433999999999997</v>
      </c>
      <c r="F6292" t="s">
        <v>21</v>
      </c>
      <c r="G6292" t="s">
        <v>26</v>
      </c>
      <c r="H6292" t="s">
        <v>21</v>
      </c>
      <c r="I6292" t="s">
        <v>20</v>
      </c>
      <c r="J6292" t="s">
        <v>20</v>
      </c>
      <c r="K6292" t="s">
        <v>27</v>
      </c>
      <c r="L6292" t="s">
        <v>405</v>
      </c>
      <c r="M6292" t="s">
        <v>39</v>
      </c>
      <c r="N6292">
        <v>38.937764999999999</v>
      </c>
      <c r="O6292">
        <v>-109.40719</v>
      </c>
      <c r="P6292">
        <v>4395.2623169999997</v>
      </c>
      <c r="Q6292">
        <v>1319</v>
      </c>
      <c r="R6292">
        <v>0</v>
      </c>
    </row>
    <row r="6293" spans="1:18" x14ac:dyDescent="0.25">
      <c r="A6293">
        <v>7292</v>
      </c>
      <c r="B6293">
        <v>94</v>
      </c>
      <c r="C6293">
        <v>31328726</v>
      </c>
      <c r="D6293" t="s">
        <v>288</v>
      </c>
      <c r="E6293">
        <v>44.511000000000003</v>
      </c>
      <c r="F6293" t="s">
        <v>21</v>
      </c>
      <c r="G6293" t="s">
        <v>26</v>
      </c>
      <c r="H6293" t="s">
        <v>21</v>
      </c>
      <c r="I6293" t="s">
        <v>20</v>
      </c>
      <c r="J6293" t="s">
        <v>20</v>
      </c>
      <c r="K6293" t="s">
        <v>27</v>
      </c>
      <c r="L6293" t="s">
        <v>327</v>
      </c>
      <c r="M6293" t="s">
        <v>212</v>
      </c>
      <c r="N6293">
        <v>37.533963</v>
      </c>
      <c r="O6293">
        <v>-109.49420000000001</v>
      </c>
      <c r="P6293">
        <v>5530.8427160000001</v>
      </c>
      <c r="Q6293">
        <v>350</v>
      </c>
      <c r="R6293">
        <v>0</v>
      </c>
    </row>
    <row r="6294" spans="1:18" x14ac:dyDescent="0.25">
      <c r="A6294">
        <v>7293</v>
      </c>
      <c r="B6294">
        <v>94</v>
      </c>
      <c r="C6294">
        <v>31402084</v>
      </c>
      <c r="D6294" t="s">
        <v>124</v>
      </c>
      <c r="E6294">
        <v>44.512</v>
      </c>
      <c r="F6294" t="s">
        <v>21</v>
      </c>
      <c r="G6294" t="s">
        <v>26</v>
      </c>
      <c r="H6294" t="s">
        <v>21</v>
      </c>
      <c r="I6294" t="s">
        <v>20</v>
      </c>
      <c r="J6294" t="s">
        <v>20</v>
      </c>
      <c r="K6294" t="s">
        <v>31</v>
      </c>
      <c r="L6294" t="s">
        <v>48</v>
      </c>
      <c r="M6294" t="s">
        <v>125</v>
      </c>
      <c r="N6294">
        <v>40.554279999999999</v>
      </c>
      <c r="O6294">
        <v>-111.938676</v>
      </c>
      <c r="P6294">
        <v>4389.7936490000002</v>
      </c>
      <c r="Q6294">
        <v>1368</v>
      </c>
      <c r="R6294">
        <v>0</v>
      </c>
    </row>
    <row r="6295" spans="1:18" x14ac:dyDescent="0.25">
      <c r="A6295">
        <v>7294</v>
      </c>
      <c r="B6295">
        <v>94</v>
      </c>
      <c r="C6295">
        <v>31511272</v>
      </c>
      <c r="D6295" t="s">
        <v>37</v>
      </c>
      <c r="E6295">
        <v>44.533000000000001</v>
      </c>
      <c r="F6295" t="s">
        <v>21</v>
      </c>
      <c r="G6295" t="s">
        <v>26</v>
      </c>
      <c r="H6295" t="s">
        <v>21</v>
      </c>
      <c r="I6295" t="s">
        <v>20</v>
      </c>
      <c r="J6295" t="s">
        <v>20</v>
      </c>
      <c r="K6295" t="s">
        <v>27</v>
      </c>
      <c r="L6295" t="s">
        <v>405</v>
      </c>
      <c r="M6295" t="s">
        <v>39</v>
      </c>
      <c r="N6295">
        <v>38.939006999999997</v>
      </c>
      <c r="O6295">
        <v>-109.408243</v>
      </c>
      <c r="P6295">
        <v>4395.7709860000004</v>
      </c>
      <c r="Q6295">
        <v>1319</v>
      </c>
      <c r="R6295">
        <v>0</v>
      </c>
    </row>
    <row r="6296" spans="1:18" x14ac:dyDescent="0.25">
      <c r="A6296">
        <v>7295</v>
      </c>
      <c r="B6296">
        <v>94</v>
      </c>
      <c r="C6296">
        <v>31402095</v>
      </c>
      <c r="D6296" t="s">
        <v>124</v>
      </c>
      <c r="E6296">
        <v>44.54</v>
      </c>
      <c r="F6296" t="s">
        <v>21</v>
      </c>
      <c r="G6296" t="s">
        <v>26</v>
      </c>
      <c r="H6296" t="s">
        <v>21</v>
      </c>
      <c r="I6296" t="s">
        <v>20</v>
      </c>
      <c r="J6296" t="s">
        <v>20</v>
      </c>
      <c r="K6296" t="s">
        <v>31</v>
      </c>
      <c r="L6296" t="s">
        <v>48</v>
      </c>
      <c r="M6296" t="s">
        <v>125</v>
      </c>
      <c r="N6296">
        <v>40.554687999999999</v>
      </c>
      <c r="O6296">
        <v>-111.93867299999999</v>
      </c>
      <c r="P6296">
        <v>4390.8580490000004</v>
      </c>
      <c r="Q6296">
        <v>1368</v>
      </c>
      <c r="R6296">
        <v>0</v>
      </c>
    </row>
    <row r="6297" spans="1:18" x14ac:dyDescent="0.25">
      <c r="A6297">
        <v>7296</v>
      </c>
      <c r="B6297">
        <v>94</v>
      </c>
      <c r="C6297">
        <v>28640423</v>
      </c>
      <c r="D6297" t="s">
        <v>142</v>
      </c>
      <c r="E6297">
        <v>44.545000000000002</v>
      </c>
      <c r="F6297" t="s">
        <v>21</v>
      </c>
      <c r="G6297" t="s">
        <v>20</v>
      </c>
      <c r="H6297" t="s">
        <v>21</v>
      </c>
      <c r="I6297" t="s">
        <v>20</v>
      </c>
      <c r="J6297" t="s">
        <v>20</v>
      </c>
      <c r="K6297" t="s">
        <v>27</v>
      </c>
      <c r="L6297" t="s">
        <v>143</v>
      </c>
      <c r="M6297" t="s">
        <v>106</v>
      </c>
      <c r="N6297">
        <v>38.517248000000002</v>
      </c>
      <c r="O6297">
        <v>-113.550839</v>
      </c>
      <c r="P6297">
        <v>6338.3722690000004</v>
      </c>
      <c r="Q6297">
        <v>305</v>
      </c>
      <c r="R6297">
        <v>0</v>
      </c>
    </row>
    <row r="6298" spans="1:18" x14ac:dyDescent="0.25">
      <c r="A6298">
        <v>7297</v>
      </c>
      <c r="B6298">
        <v>94</v>
      </c>
      <c r="C6298" t="e">
        <f>-JOZqZB5HdimeP4ltOFS1F</f>
        <v>#NAME?</v>
      </c>
      <c r="D6298" t="s">
        <v>241</v>
      </c>
      <c r="E6298">
        <v>44.582000000000001</v>
      </c>
      <c r="F6298" t="s">
        <v>21</v>
      </c>
      <c r="G6298" t="s">
        <v>26</v>
      </c>
      <c r="H6298" t="s">
        <v>21</v>
      </c>
      <c r="I6298" t="s">
        <v>20</v>
      </c>
      <c r="J6298" t="s">
        <v>20</v>
      </c>
      <c r="K6298" t="s">
        <v>27</v>
      </c>
      <c r="L6298" t="s">
        <v>111</v>
      </c>
      <c r="M6298" t="s">
        <v>243</v>
      </c>
      <c r="N6298">
        <v>39.291547999999999</v>
      </c>
      <c r="O6298">
        <v>-110.96871899999999</v>
      </c>
      <c r="P6298">
        <v>5659.0485650000001</v>
      </c>
      <c r="Q6298">
        <v>1327</v>
      </c>
      <c r="R6298">
        <v>0</v>
      </c>
    </row>
    <row r="6299" spans="1:18" x14ac:dyDescent="0.25">
      <c r="A6299">
        <v>7298</v>
      </c>
      <c r="B6299">
        <v>94</v>
      </c>
      <c r="C6299" t="e">
        <f>-IozxzDQHK57D28Bfqr9tk</f>
        <v>#NAME?</v>
      </c>
      <c r="D6299" t="s">
        <v>203</v>
      </c>
      <c r="E6299">
        <v>44.688000000000002</v>
      </c>
      <c r="F6299" t="s">
        <v>21</v>
      </c>
      <c r="G6299" t="s">
        <v>20</v>
      </c>
      <c r="H6299" t="s">
        <v>21</v>
      </c>
      <c r="I6299" t="s">
        <v>20</v>
      </c>
      <c r="J6299" t="s">
        <v>20</v>
      </c>
      <c r="K6299" t="s">
        <v>41</v>
      </c>
      <c r="L6299" t="s">
        <v>325</v>
      </c>
      <c r="M6299" t="s">
        <v>204</v>
      </c>
      <c r="N6299">
        <v>41.427061999999999</v>
      </c>
      <c r="O6299">
        <v>-111.51071899999999</v>
      </c>
      <c r="P6299">
        <v>8931.4132050000007</v>
      </c>
      <c r="Q6299">
        <v>1349</v>
      </c>
      <c r="R6299">
        <v>0</v>
      </c>
    </row>
    <row r="6300" spans="1:18" x14ac:dyDescent="0.25">
      <c r="A6300">
        <v>7299</v>
      </c>
      <c r="B6300">
        <v>94</v>
      </c>
      <c r="C6300">
        <v>31385557</v>
      </c>
      <c r="D6300" t="s">
        <v>116</v>
      </c>
      <c r="E6300">
        <v>44.691000000000003</v>
      </c>
      <c r="F6300" t="s">
        <v>21</v>
      </c>
      <c r="G6300" t="s">
        <v>26</v>
      </c>
      <c r="H6300" t="s">
        <v>21</v>
      </c>
      <c r="I6300" t="s">
        <v>20</v>
      </c>
      <c r="J6300" t="s">
        <v>20</v>
      </c>
      <c r="K6300" t="s">
        <v>41</v>
      </c>
      <c r="L6300" t="s">
        <v>95</v>
      </c>
      <c r="M6300" t="s">
        <v>117</v>
      </c>
      <c r="N6300">
        <v>41.990459000000001</v>
      </c>
      <c r="O6300">
        <v>-111.812788</v>
      </c>
      <c r="P6300">
        <v>4445.5491169999996</v>
      </c>
      <c r="Q6300">
        <v>324</v>
      </c>
      <c r="R6300">
        <v>0</v>
      </c>
    </row>
    <row r="6301" spans="1:18" x14ac:dyDescent="0.25">
      <c r="A6301">
        <v>7300</v>
      </c>
      <c r="B6301">
        <v>94</v>
      </c>
      <c r="C6301">
        <v>31402167</v>
      </c>
      <c r="D6301" t="s">
        <v>124</v>
      </c>
      <c r="E6301">
        <v>44.695</v>
      </c>
      <c r="F6301" t="s">
        <v>21</v>
      </c>
      <c r="G6301" t="s">
        <v>26</v>
      </c>
      <c r="H6301" t="s">
        <v>21</v>
      </c>
      <c r="I6301" t="s">
        <v>20</v>
      </c>
      <c r="J6301" t="s">
        <v>20</v>
      </c>
      <c r="K6301" t="s">
        <v>31</v>
      </c>
      <c r="L6301" t="s">
        <v>48</v>
      </c>
      <c r="M6301" t="s">
        <v>125</v>
      </c>
      <c r="N6301">
        <v>40.556939</v>
      </c>
      <c r="O6301">
        <v>-111.938671</v>
      </c>
      <c r="P6301">
        <v>4396.8677719999996</v>
      </c>
      <c r="Q6301">
        <v>1368</v>
      </c>
      <c r="R6301">
        <v>0</v>
      </c>
    </row>
    <row r="6302" spans="1:18" x14ac:dyDescent="0.25">
      <c r="A6302">
        <v>7301</v>
      </c>
      <c r="B6302">
        <v>94</v>
      </c>
      <c r="C6302">
        <v>31441761</v>
      </c>
      <c r="D6302" t="s">
        <v>220</v>
      </c>
      <c r="E6302">
        <v>44.72</v>
      </c>
      <c r="F6302" t="s">
        <v>21</v>
      </c>
      <c r="G6302" t="s">
        <v>26</v>
      </c>
      <c r="H6302" t="s">
        <v>21</v>
      </c>
      <c r="I6302" t="s">
        <v>20</v>
      </c>
      <c r="J6302" t="s">
        <v>20</v>
      </c>
      <c r="K6302" t="s">
        <v>27</v>
      </c>
      <c r="L6302" t="s">
        <v>28</v>
      </c>
      <c r="M6302" t="s">
        <v>366</v>
      </c>
      <c r="N6302">
        <v>37.682896999999997</v>
      </c>
      <c r="O6302">
        <v>-111.81312200000001</v>
      </c>
      <c r="P6302">
        <v>7070.2158499999996</v>
      </c>
      <c r="Q6302">
        <v>1328</v>
      </c>
      <c r="R6302">
        <v>0</v>
      </c>
    </row>
    <row r="6303" spans="1:18" x14ac:dyDescent="0.25">
      <c r="A6303">
        <v>7302</v>
      </c>
      <c r="B6303">
        <v>94</v>
      </c>
      <c r="C6303" t="s">
        <v>803</v>
      </c>
      <c r="D6303" t="s">
        <v>124</v>
      </c>
      <c r="E6303">
        <v>44.734999999999999</v>
      </c>
      <c r="F6303" t="s">
        <v>21</v>
      </c>
      <c r="G6303" t="s">
        <v>26</v>
      </c>
      <c r="H6303" t="s">
        <v>21</v>
      </c>
      <c r="I6303" t="s">
        <v>20</v>
      </c>
      <c r="J6303" t="s">
        <v>20</v>
      </c>
      <c r="K6303" t="s">
        <v>31</v>
      </c>
      <c r="L6303" t="s">
        <v>48</v>
      </c>
      <c r="M6303" t="s">
        <v>125</v>
      </c>
      <c r="N6303">
        <v>40.557518999999999</v>
      </c>
      <c r="O6303">
        <v>-111.938604</v>
      </c>
      <c r="P6303">
        <v>4398.4841660000002</v>
      </c>
      <c r="Q6303">
        <v>1368</v>
      </c>
      <c r="R6303">
        <v>0</v>
      </c>
    </row>
    <row r="6304" spans="1:18" x14ac:dyDescent="0.25">
      <c r="A6304">
        <v>7303</v>
      </c>
      <c r="B6304">
        <v>94</v>
      </c>
      <c r="C6304">
        <v>31513790</v>
      </c>
      <c r="D6304" t="s">
        <v>124</v>
      </c>
      <c r="E6304">
        <v>66.147000000000006</v>
      </c>
      <c r="F6304" t="s">
        <v>21</v>
      </c>
      <c r="G6304" t="s">
        <v>26</v>
      </c>
      <c r="H6304" t="s">
        <v>21</v>
      </c>
      <c r="I6304" t="s">
        <v>20</v>
      </c>
      <c r="J6304" t="s">
        <v>20</v>
      </c>
      <c r="K6304" t="s">
        <v>41</v>
      </c>
      <c r="L6304" t="s">
        <v>45</v>
      </c>
      <c r="M6304" t="s">
        <v>365</v>
      </c>
      <c r="N6304">
        <v>40.867612999999999</v>
      </c>
      <c r="O6304">
        <v>-111.929976</v>
      </c>
      <c r="P6304">
        <v>4179.9568600000002</v>
      </c>
      <c r="Q6304">
        <v>1368</v>
      </c>
      <c r="R6304">
        <v>0</v>
      </c>
    </row>
    <row r="6305" spans="1:18" x14ac:dyDescent="0.25">
      <c r="A6305">
        <v>7304</v>
      </c>
      <c r="B6305">
        <v>94</v>
      </c>
      <c r="C6305">
        <v>31329521</v>
      </c>
      <c r="D6305" t="s">
        <v>241</v>
      </c>
      <c r="E6305">
        <v>66.159000000000006</v>
      </c>
      <c r="F6305" t="s">
        <v>21</v>
      </c>
      <c r="G6305" t="s">
        <v>26</v>
      </c>
      <c r="H6305" t="s">
        <v>21</v>
      </c>
      <c r="I6305" t="s">
        <v>20</v>
      </c>
      <c r="J6305" t="s">
        <v>20</v>
      </c>
      <c r="K6305" t="s">
        <v>27</v>
      </c>
      <c r="L6305" t="s">
        <v>158</v>
      </c>
      <c r="M6305" t="s">
        <v>243</v>
      </c>
      <c r="N6305">
        <v>39.563031000000002</v>
      </c>
      <c r="O6305">
        <v>-110.81588000000001</v>
      </c>
      <c r="P6305">
        <v>5525.3015619999996</v>
      </c>
      <c r="Q6305">
        <v>1327</v>
      </c>
      <c r="R6305">
        <v>0</v>
      </c>
    </row>
    <row r="6306" spans="1:18" x14ac:dyDescent="0.25">
      <c r="A6306">
        <v>7305</v>
      </c>
      <c r="B6306">
        <v>94</v>
      </c>
      <c r="C6306">
        <v>31858750</v>
      </c>
      <c r="D6306" t="s">
        <v>312</v>
      </c>
      <c r="E6306">
        <v>66.22</v>
      </c>
      <c r="F6306" t="s">
        <v>21</v>
      </c>
      <c r="G6306" t="s">
        <v>26</v>
      </c>
      <c r="H6306" t="s">
        <v>21</v>
      </c>
      <c r="I6306" t="s">
        <v>20</v>
      </c>
      <c r="J6306" t="s">
        <v>20</v>
      </c>
      <c r="K6306" t="s">
        <v>27</v>
      </c>
      <c r="L6306" t="s">
        <v>173</v>
      </c>
      <c r="M6306" t="s">
        <v>313</v>
      </c>
      <c r="N6306">
        <v>39.286791000000001</v>
      </c>
      <c r="O6306">
        <v>-112.65275200000001</v>
      </c>
      <c r="P6306">
        <v>4524.73315</v>
      </c>
      <c r="Q6306">
        <v>255</v>
      </c>
      <c r="R6306">
        <v>0</v>
      </c>
    </row>
    <row r="6307" spans="1:18" x14ac:dyDescent="0.25">
      <c r="A6307">
        <v>7306</v>
      </c>
      <c r="B6307">
        <v>94</v>
      </c>
      <c r="C6307">
        <v>31517068</v>
      </c>
      <c r="D6307" t="s">
        <v>494</v>
      </c>
      <c r="E6307">
        <v>7.9569999999999999</v>
      </c>
      <c r="F6307" t="s">
        <v>21</v>
      </c>
      <c r="G6307" t="s">
        <v>26</v>
      </c>
      <c r="H6307" t="s">
        <v>19</v>
      </c>
      <c r="I6307">
        <v>313</v>
      </c>
      <c r="J6307" t="s">
        <v>20</v>
      </c>
      <c r="K6307" t="s">
        <v>27</v>
      </c>
      <c r="L6307" t="s">
        <v>38</v>
      </c>
      <c r="M6307" t="s">
        <v>152</v>
      </c>
      <c r="N6307">
        <v>38.552610999999999</v>
      </c>
      <c r="O6307">
        <v>-109.79246999999999</v>
      </c>
      <c r="P6307">
        <v>6103.7229699999998</v>
      </c>
      <c r="Q6307">
        <v>1289</v>
      </c>
      <c r="R6307">
        <v>0</v>
      </c>
    </row>
    <row r="6308" spans="1:18" x14ac:dyDescent="0.25">
      <c r="A6308">
        <v>7307</v>
      </c>
      <c r="B6308">
        <v>94</v>
      </c>
      <c r="C6308">
        <v>540046</v>
      </c>
      <c r="D6308" t="s">
        <v>44</v>
      </c>
      <c r="E6308">
        <v>7.9640000000000004</v>
      </c>
      <c r="F6308" t="s">
        <v>21</v>
      </c>
      <c r="G6308" t="s">
        <v>26</v>
      </c>
      <c r="H6308" t="s">
        <v>21</v>
      </c>
      <c r="I6308" t="s">
        <v>20</v>
      </c>
      <c r="J6308" t="s">
        <v>20</v>
      </c>
      <c r="K6308" t="s">
        <v>41</v>
      </c>
      <c r="L6308" t="s">
        <v>87</v>
      </c>
      <c r="M6308" t="s">
        <v>46</v>
      </c>
      <c r="N6308">
        <v>40.990127000000001</v>
      </c>
      <c r="O6308">
        <v>-111.887968</v>
      </c>
      <c r="P6308">
        <v>4289.9876190000004</v>
      </c>
      <c r="Q6308">
        <v>1395</v>
      </c>
      <c r="R6308">
        <v>0</v>
      </c>
    </row>
    <row r="6309" spans="1:18" x14ac:dyDescent="0.25">
      <c r="A6309">
        <v>7308</v>
      </c>
      <c r="B6309">
        <v>94</v>
      </c>
      <c r="C6309" t="s">
        <v>804</v>
      </c>
      <c r="D6309" t="s">
        <v>272</v>
      </c>
      <c r="E6309">
        <v>79.352999999999994</v>
      </c>
      <c r="F6309" t="s">
        <v>21</v>
      </c>
      <c r="G6309" t="s">
        <v>26</v>
      </c>
      <c r="H6309" t="s">
        <v>21</v>
      </c>
      <c r="I6309" t="s">
        <v>20</v>
      </c>
      <c r="J6309" t="s">
        <v>20</v>
      </c>
      <c r="K6309" t="s">
        <v>27</v>
      </c>
      <c r="L6309" t="s">
        <v>279</v>
      </c>
      <c r="M6309" t="s">
        <v>214</v>
      </c>
      <c r="N6309">
        <v>37.204144999999997</v>
      </c>
      <c r="O6309">
        <v>-112.675979</v>
      </c>
      <c r="P6309">
        <v>5409.8789479999996</v>
      </c>
      <c r="Q6309">
        <v>1384</v>
      </c>
      <c r="R6309">
        <v>0</v>
      </c>
    </row>
    <row r="6310" spans="1:18" x14ac:dyDescent="0.25">
      <c r="A6310">
        <v>7309</v>
      </c>
      <c r="B6310">
        <v>94</v>
      </c>
      <c r="C6310">
        <v>31371789</v>
      </c>
      <c r="D6310" t="s">
        <v>142</v>
      </c>
      <c r="E6310">
        <v>79.432000000000002</v>
      </c>
      <c r="F6310" t="s">
        <v>21</v>
      </c>
      <c r="G6310" t="s">
        <v>26</v>
      </c>
      <c r="H6310" t="s">
        <v>21</v>
      </c>
      <c r="I6310" t="s">
        <v>20</v>
      </c>
      <c r="J6310" t="s">
        <v>20</v>
      </c>
      <c r="K6310" t="s">
        <v>27</v>
      </c>
      <c r="L6310" t="s">
        <v>143</v>
      </c>
      <c r="M6310" t="s">
        <v>106</v>
      </c>
      <c r="N6310">
        <v>38.367939</v>
      </c>
      <c r="O6310">
        <v>-112.99529800000001</v>
      </c>
      <c r="P6310">
        <v>4917.7060160000001</v>
      </c>
      <c r="Q6310">
        <v>305</v>
      </c>
      <c r="R6310">
        <v>0</v>
      </c>
    </row>
    <row r="6311" spans="1:18" x14ac:dyDescent="0.25">
      <c r="A6311">
        <v>7310</v>
      </c>
      <c r="B6311">
        <v>94</v>
      </c>
      <c r="C6311">
        <v>31423761</v>
      </c>
      <c r="D6311" t="s">
        <v>288</v>
      </c>
      <c r="E6311">
        <v>79.644000000000005</v>
      </c>
      <c r="F6311" t="s">
        <v>21</v>
      </c>
      <c r="G6311" t="s">
        <v>20</v>
      </c>
      <c r="H6311" t="s">
        <v>21</v>
      </c>
      <c r="I6311" t="s">
        <v>20</v>
      </c>
      <c r="J6311" t="s">
        <v>20</v>
      </c>
      <c r="K6311" t="s">
        <v>27</v>
      </c>
      <c r="L6311" t="s">
        <v>146</v>
      </c>
      <c r="M6311" t="s">
        <v>147</v>
      </c>
      <c r="N6311">
        <v>37.982540999999998</v>
      </c>
      <c r="O6311">
        <v>-109.35597199999999</v>
      </c>
      <c r="P6311">
        <v>6745.8161899999996</v>
      </c>
      <c r="Q6311">
        <v>350</v>
      </c>
      <c r="R6311">
        <v>0</v>
      </c>
    </row>
    <row r="6312" spans="1:18" x14ac:dyDescent="0.25">
      <c r="A6312">
        <v>7311</v>
      </c>
      <c r="B6312">
        <v>94</v>
      </c>
      <c r="C6312">
        <v>31771080</v>
      </c>
      <c r="D6312" t="s">
        <v>118</v>
      </c>
      <c r="E6312">
        <v>79.677000000000007</v>
      </c>
      <c r="F6312" t="s">
        <v>21</v>
      </c>
      <c r="G6312" t="s">
        <v>26</v>
      </c>
      <c r="H6312" t="s">
        <v>21</v>
      </c>
      <c r="I6312" t="s">
        <v>20</v>
      </c>
      <c r="J6312" t="s">
        <v>20</v>
      </c>
      <c r="K6312" t="s">
        <v>22</v>
      </c>
      <c r="L6312" t="s">
        <v>253</v>
      </c>
      <c r="M6312" t="s">
        <v>120</v>
      </c>
      <c r="N6312">
        <v>40.178623999999999</v>
      </c>
      <c r="O6312">
        <v>-110.52604700000001</v>
      </c>
      <c r="P6312">
        <v>5884.0055300000004</v>
      </c>
      <c r="Q6312">
        <v>310</v>
      </c>
      <c r="R6312">
        <v>0</v>
      </c>
    </row>
    <row r="6313" spans="1:18" x14ac:dyDescent="0.25">
      <c r="A6313">
        <v>7312</v>
      </c>
      <c r="B6313">
        <v>94</v>
      </c>
      <c r="C6313">
        <v>31896527</v>
      </c>
      <c r="D6313" t="s">
        <v>272</v>
      </c>
      <c r="E6313">
        <v>88.037999999999997</v>
      </c>
      <c r="F6313" t="s">
        <v>21</v>
      </c>
      <c r="G6313" t="s">
        <v>26</v>
      </c>
      <c r="H6313" t="s">
        <v>21</v>
      </c>
      <c r="I6313" t="s">
        <v>20</v>
      </c>
      <c r="J6313" t="s">
        <v>20</v>
      </c>
      <c r="K6313" t="s">
        <v>27</v>
      </c>
      <c r="L6313" t="s">
        <v>279</v>
      </c>
      <c r="M6313" t="s">
        <v>214</v>
      </c>
      <c r="N6313">
        <v>37.298696</v>
      </c>
      <c r="O6313">
        <v>-112.611414</v>
      </c>
      <c r="P6313">
        <v>5610.0853690000004</v>
      </c>
      <c r="Q6313">
        <v>1384</v>
      </c>
      <c r="R6313">
        <v>0</v>
      </c>
    </row>
    <row r="6314" spans="1:18" x14ac:dyDescent="0.25">
      <c r="A6314">
        <v>7313</v>
      </c>
      <c r="B6314">
        <v>94</v>
      </c>
      <c r="C6314">
        <v>31724102</v>
      </c>
      <c r="D6314" t="s">
        <v>244</v>
      </c>
      <c r="E6314">
        <v>88.262</v>
      </c>
      <c r="F6314" t="s">
        <v>21</v>
      </c>
      <c r="G6314" t="s">
        <v>26</v>
      </c>
      <c r="H6314" t="s">
        <v>21</v>
      </c>
      <c r="I6314" t="s">
        <v>20</v>
      </c>
      <c r="J6314" t="s">
        <v>20</v>
      </c>
      <c r="K6314" t="s">
        <v>27</v>
      </c>
      <c r="L6314" t="s">
        <v>266</v>
      </c>
      <c r="M6314" t="s">
        <v>270</v>
      </c>
      <c r="N6314">
        <v>38.283529999999999</v>
      </c>
      <c r="O6314">
        <v>-111.128535</v>
      </c>
      <c r="P6314">
        <v>4909.3835580000004</v>
      </c>
      <c r="Q6314">
        <v>1340</v>
      </c>
      <c r="R6314">
        <v>0</v>
      </c>
    </row>
    <row r="6315" spans="1:18" x14ac:dyDescent="0.25">
      <c r="A6315">
        <v>7314</v>
      </c>
      <c r="B6315">
        <v>94</v>
      </c>
      <c r="C6315" t="e">
        <f>-JNJkc9AIru_DCBPJ6Unck</f>
        <v>#NAME?</v>
      </c>
      <c r="D6315" t="s">
        <v>142</v>
      </c>
      <c r="E6315">
        <v>88.328000000000003</v>
      </c>
      <c r="F6315" t="s">
        <v>21</v>
      </c>
      <c r="G6315" t="s">
        <v>26</v>
      </c>
      <c r="H6315" t="s">
        <v>21</v>
      </c>
      <c r="I6315" t="s">
        <v>20</v>
      </c>
      <c r="J6315" t="s">
        <v>20</v>
      </c>
      <c r="K6315" t="s">
        <v>27</v>
      </c>
      <c r="L6315" t="s">
        <v>143</v>
      </c>
      <c r="M6315" t="s">
        <v>106</v>
      </c>
      <c r="N6315">
        <v>38.247357999999998</v>
      </c>
      <c r="O6315">
        <v>-112.943654</v>
      </c>
      <c r="P6315">
        <v>5278.6920319999999</v>
      </c>
      <c r="Q6315">
        <v>305</v>
      </c>
      <c r="R6315">
        <v>0</v>
      </c>
    </row>
    <row r="6316" spans="1:18" x14ac:dyDescent="0.25">
      <c r="A6316">
        <v>7315</v>
      </c>
      <c r="B6316">
        <v>94</v>
      </c>
      <c r="C6316">
        <v>31551884</v>
      </c>
      <c r="D6316" t="s">
        <v>213</v>
      </c>
      <c r="E6316">
        <v>88.334000000000003</v>
      </c>
      <c r="F6316" t="s">
        <v>21</v>
      </c>
      <c r="G6316" t="s">
        <v>26</v>
      </c>
      <c r="H6316" t="s">
        <v>21</v>
      </c>
      <c r="I6316" t="s">
        <v>20</v>
      </c>
      <c r="J6316" t="s">
        <v>20</v>
      </c>
      <c r="K6316" t="s">
        <v>27</v>
      </c>
      <c r="L6316" t="s">
        <v>173</v>
      </c>
      <c r="M6316" t="s">
        <v>214</v>
      </c>
      <c r="N6316">
        <v>39.352426000000001</v>
      </c>
      <c r="O6316">
        <v>-112.58370499999999</v>
      </c>
      <c r="P6316">
        <v>4572.7954399999999</v>
      </c>
      <c r="Q6316">
        <v>1332</v>
      </c>
      <c r="R6316">
        <v>0</v>
      </c>
    </row>
    <row r="6317" spans="1:18" x14ac:dyDescent="0.25">
      <c r="A6317">
        <v>7316</v>
      </c>
      <c r="B6317">
        <v>94</v>
      </c>
      <c r="C6317">
        <v>31551895</v>
      </c>
      <c r="D6317" t="s">
        <v>213</v>
      </c>
      <c r="E6317">
        <v>88.450999999999993</v>
      </c>
      <c r="F6317" t="s">
        <v>21</v>
      </c>
      <c r="G6317" t="s">
        <v>26</v>
      </c>
      <c r="H6317" t="s">
        <v>21</v>
      </c>
      <c r="I6317" t="s">
        <v>20</v>
      </c>
      <c r="J6317" t="s">
        <v>20</v>
      </c>
      <c r="K6317" t="s">
        <v>27</v>
      </c>
      <c r="L6317" t="s">
        <v>173</v>
      </c>
      <c r="M6317" t="s">
        <v>214</v>
      </c>
      <c r="N6317">
        <v>39.352407999999997</v>
      </c>
      <c r="O6317">
        <v>-112.58149400000001</v>
      </c>
      <c r="P6317">
        <v>4574.2059380000001</v>
      </c>
      <c r="Q6317">
        <v>1332</v>
      </c>
      <c r="R6317">
        <v>0</v>
      </c>
    </row>
    <row r="6318" spans="1:18" x14ac:dyDescent="0.25">
      <c r="A6318">
        <v>7317</v>
      </c>
      <c r="B6318">
        <v>94</v>
      </c>
      <c r="C6318">
        <v>31552956</v>
      </c>
      <c r="D6318" t="s">
        <v>213</v>
      </c>
      <c r="E6318">
        <v>88.570999999999998</v>
      </c>
      <c r="F6318" t="s">
        <v>19</v>
      </c>
      <c r="G6318" t="s">
        <v>20</v>
      </c>
      <c r="H6318" t="s">
        <v>21</v>
      </c>
      <c r="I6318" t="s">
        <v>20</v>
      </c>
      <c r="J6318" t="s">
        <v>20</v>
      </c>
      <c r="K6318" t="s">
        <v>27</v>
      </c>
      <c r="L6318" t="s">
        <v>173</v>
      </c>
      <c r="M6318" t="s">
        <v>214</v>
      </c>
      <c r="N6318">
        <v>39.352418</v>
      </c>
      <c r="O6318">
        <v>-112.57926</v>
      </c>
      <c r="P6318">
        <v>4574.1550619999998</v>
      </c>
      <c r="Q6318">
        <v>1332</v>
      </c>
      <c r="R6318">
        <v>0</v>
      </c>
    </row>
    <row r="6319" spans="1:18" x14ac:dyDescent="0.25">
      <c r="A6319">
        <v>7318</v>
      </c>
      <c r="B6319">
        <v>94</v>
      </c>
      <c r="C6319">
        <v>31553346</v>
      </c>
      <c r="D6319" t="s">
        <v>213</v>
      </c>
      <c r="E6319">
        <v>88.69</v>
      </c>
      <c r="F6319" t="s">
        <v>21</v>
      </c>
      <c r="G6319" t="s">
        <v>26</v>
      </c>
      <c r="H6319" t="s">
        <v>21</v>
      </c>
      <c r="I6319" t="s">
        <v>20</v>
      </c>
      <c r="J6319" t="s">
        <v>20</v>
      </c>
      <c r="K6319" t="s">
        <v>27</v>
      </c>
      <c r="L6319" t="s">
        <v>173</v>
      </c>
      <c r="M6319" t="s">
        <v>214</v>
      </c>
      <c r="N6319">
        <v>39.352404</v>
      </c>
      <c r="O6319">
        <v>-112.577032</v>
      </c>
      <c r="P6319">
        <v>4573.3312839999999</v>
      </c>
      <c r="Q6319">
        <v>1332</v>
      </c>
      <c r="R6319">
        <v>0</v>
      </c>
    </row>
    <row r="6320" spans="1:18" x14ac:dyDescent="0.25">
      <c r="A6320">
        <v>7319</v>
      </c>
      <c r="B6320">
        <v>94</v>
      </c>
      <c r="C6320">
        <v>31896538</v>
      </c>
      <c r="D6320" t="s">
        <v>272</v>
      </c>
      <c r="E6320">
        <v>88.721000000000004</v>
      </c>
      <c r="F6320" t="s">
        <v>21</v>
      </c>
      <c r="G6320" t="s">
        <v>20</v>
      </c>
      <c r="H6320" t="s">
        <v>21</v>
      </c>
      <c r="I6320" t="s">
        <v>20</v>
      </c>
      <c r="J6320" t="s">
        <v>20</v>
      </c>
      <c r="K6320" t="s">
        <v>27</v>
      </c>
      <c r="L6320" t="s">
        <v>279</v>
      </c>
      <c r="M6320" t="s">
        <v>214</v>
      </c>
      <c r="N6320">
        <v>37.304333</v>
      </c>
      <c r="O6320">
        <v>-112.601364</v>
      </c>
      <c r="P6320">
        <v>5624.4354979999998</v>
      </c>
      <c r="Q6320">
        <v>1384</v>
      </c>
      <c r="R6320">
        <v>0</v>
      </c>
    </row>
    <row r="6321" spans="1:18" x14ac:dyDescent="0.25">
      <c r="A6321">
        <v>7320</v>
      </c>
      <c r="B6321">
        <v>94</v>
      </c>
      <c r="C6321">
        <v>31779311</v>
      </c>
      <c r="D6321" t="s">
        <v>118</v>
      </c>
      <c r="E6321">
        <v>88.805000000000007</v>
      </c>
      <c r="F6321" t="s">
        <v>21</v>
      </c>
      <c r="G6321" t="s">
        <v>20</v>
      </c>
      <c r="H6321" t="s">
        <v>21</v>
      </c>
      <c r="I6321" t="s">
        <v>20</v>
      </c>
      <c r="J6321" t="s">
        <v>20</v>
      </c>
      <c r="K6321" t="s">
        <v>22</v>
      </c>
      <c r="L6321" t="s">
        <v>253</v>
      </c>
      <c r="M6321" t="s">
        <v>169</v>
      </c>
      <c r="N6321">
        <v>40.167217999999998</v>
      </c>
      <c r="O6321">
        <v>-110.361169</v>
      </c>
      <c r="P6321">
        <v>5469.6236909999998</v>
      </c>
      <c r="Q6321">
        <v>310</v>
      </c>
      <c r="R6321">
        <v>0</v>
      </c>
    </row>
    <row r="6322" spans="1:18" x14ac:dyDescent="0.25">
      <c r="A6322">
        <v>7321</v>
      </c>
      <c r="B6322">
        <v>94</v>
      </c>
      <c r="C6322">
        <v>31553925</v>
      </c>
      <c r="D6322" t="s">
        <v>213</v>
      </c>
      <c r="E6322">
        <v>88.813000000000002</v>
      </c>
      <c r="F6322" t="s">
        <v>21</v>
      </c>
      <c r="G6322" t="s">
        <v>26</v>
      </c>
      <c r="H6322" t="s">
        <v>21</v>
      </c>
      <c r="I6322" t="s">
        <v>20</v>
      </c>
      <c r="J6322" t="s">
        <v>20</v>
      </c>
      <c r="K6322" t="s">
        <v>27</v>
      </c>
      <c r="L6322" t="s">
        <v>173</v>
      </c>
      <c r="M6322" t="s">
        <v>214</v>
      </c>
      <c r="N6322">
        <v>39.352393999999997</v>
      </c>
      <c r="O6322">
        <v>-112.57472799999999</v>
      </c>
      <c r="P6322">
        <v>4571.065713</v>
      </c>
      <c r="Q6322">
        <v>1332</v>
      </c>
      <c r="R6322">
        <v>0</v>
      </c>
    </row>
    <row r="6323" spans="1:18" x14ac:dyDescent="0.25">
      <c r="A6323">
        <v>7322</v>
      </c>
      <c r="B6323">
        <v>94</v>
      </c>
      <c r="C6323" t="e">
        <f>-IpUTkYSGqXPT6HHE0CezV</f>
        <v>#NAME?</v>
      </c>
      <c r="D6323" t="s">
        <v>288</v>
      </c>
      <c r="E6323">
        <v>88.89</v>
      </c>
      <c r="F6323" t="s">
        <v>21</v>
      </c>
      <c r="G6323" t="s">
        <v>20</v>
      </c>
      <c r="H6323" t="s">
        <v>21</v>
      </c>
      <c r="I6323" t="s">
        <v>20</v>
      </c>
      <c r="J6323" t="s">
        <v>20</v>
      </c>
      <c r="K6323" t="s">
        <v>27</v>
      </c>
      <c r="L6323" t="s">
        <v>146</v>
      </c>
      <c r="M6323" t="s">
        <v>147</v>
      </c>
      <c r="N6323">
        <v>38.112501000000002</v>
      </c>
      <c r="O6323">
        <v>-109.364628</v>
      </c>
      <c r="P6323">
        <v>5984.5295939999996</v>
      </c>
      <c r="Q6323">
        <v>350</v>
      </c>
      <c r="R6323">
        <v>0</v>
      </c>
    </row>
    <row r="6324" spans="1:18" x14ac:dyDescent="0.25">
      <c r="A6324">
        <v>7323</v>
      </c>
      <c r="B6324">
        <v>94</v>
      </c>
      <c r="C6324">
        <v>31477736</v>
      </c>
      <c r="D6324" t="s">
        <v>320</v>
      </c>
      <c r="E6324">
        <v>96.025999999999996</v>
      </c>
      <c r="F6324" t="s">
        <v>21</v>
      </c>
      <c r="G6324" t="s">
        <v>26</v>
      </c>
      <c r="H6324" t="s">
        <v>21</v>
      </c>
      <c r="I6324" t="s">
        <v>20</v>
      </c>
      <c r="J6324" t="s">
        <v>20</v>
      </c>
      <c r="K6324" t="s">
        <v>27</v>
      </c>
      <c r="L6324" t="s">
        <v>173</v>
      </c>
      <c r="M6324" t="s">
        <v>166</v>
      </c>
      <c r="N6324">
        <v>39.311881</v>
      </c>
      <c r="O6324">
        <v>-112.477484</v>
      </c>
      <c r="P6324">
        <v>4596.517632</v>
      </c>
      <c r="Q6324">
        <v>1356</v>
      </c>
      <c r="R6324">
        <v>0</v>
      </c>
    </row>
    <row r="6325" spans="1:18" x14ac:dyDescent="0.25">
      <c r="A6325">
        <v>7324</v>
      </c>
      <c r="B6325">
        <v>94</v>
      </c>
      <c r="C6325">
        <v>31558734</v>
      </c>
      <c r="D6325" t="s">
        <v>213</v>
      </c>
      <c r="E6325">
        <v>96.144000000000005</v>
      </c>
      <c r="F6325" t="s">
        <v>21</v>
      </c>
      <c r="G6325" t="s">
        <v>26</v>
      </c>
      <c r="H6325" t="s">
        <v>21</v>
      </c>
      <c r="I6325" t="s">
        <v>20</v>
      </c>
      <c r="J6325" t="s">
        <v>20</v>
      </c>
      <c r="K6325" t="s">
        <v>27</v>
      </c>
      <c r="L6325" t="s">
        <v>173</v>
      </c>
      <c r="M6325" t="s">
        <v>214</v>
      </c>
      <c r="N6325">
        <v>39.421719000000003</v>
      </c>
      <c r="O6325">
        <v>-112.475812</v>
      </c>
      <c r="P6325">
        <v>4675.7127039999996</v>
      </c>
      <c r="Q6325">
        <v>1332</v>
      </c>
      <c r="R6325">
        <v>0</v>
      </c>
    </row>
    <row r="6326" spans="1:18" x14ac:dyDescent="0.25">
      <c r="A6326">
        <v>7325</v>
      </c>
      <c r="B6326">
        <v>94</v>
      </c>
      <c r="C6326">
        <v>31433523</v>
      </c>
      <c r="D6326" t="s">
        <v>288</v>
      </c>
      <c r="E6326">
        <v>96.16</v>
      </c>
      <c r="F6326" t="s">
        <v>21</v>
      </c>
      <c r="G6326" t="s">
        <v>20</v>
      </c>
      <c r="H6326" t="s">
        <v>21</v>
      </c>
      <c r="I6326" t="s">
        <v>20</v>
      </c>
      <c r="J6326" t="s">
        <v>20</v>
      </c>
      <c r="K6326" t="s">
        <v>27</v>
      </c>
      <c r="L6326" t="s">
        <v>146</v>
      </c>
      <c r="M6326" t="s">
        <v>147</v>
      </c>
      <c r="N6326">
        <v>38.215539</v>
      </c>
      <c r="O6326">
        <v>-109.37308400000001</v>
      </c>
      <c r="P6326">
        <v>5783.5723699999999</v>
      </c>
      <c r="Q6326">
        <v>350</v>
      </c>
      <c r="R6326">
        <v>0</v>
      </c>
    </row>
    <row r="6327" spans="1:18" x14ac:dyDescent="0.25">
      <c r="A6327">
        <v>7326</v>
      </c>
      <c r="B6327">
        <v>94</v>
      </c>
      <c r="C6327">
        <v>31374908</v>
      </c>
      <c r="D6327" t="s">
        <v>142</v>
      </c>
      <c r="E6327">
        <v>96.432000000000002</v>
      </c>
      <c r="F6327" t="s">
        <v>21</v>
      </c>
      <c r="G6327" t="s">
        <v>26</v>
      </c>
      <c r="H6327" t="s">
        <v>21</v>
      </c>
      <c r="I6327" t="s">
        <v>20</v>
      </c>
      <c r="J6327" t="s">
        <v>20</v>
      </c>
      <c r="K6327" t="s">
        <v>27</v>
      </c>
      <c r="L6327" t="s">
        <v>143</v>
      </c>
      <c r="M6327" t="s">
        <v>106</v>
      </c>
      <c r="N6327">
        <v>38.217182999999999</v>
      </c>
      <c r="O6327">
        <v>-112.821898</v>
      </c>
      <c r="P6327">
        <v>5495.1114189999998</v>
      </c>
      <c r="Q6327">
        <v>305</v>
      </c>
      <c r="R6327">
        <v>0</v>
      </c>
    </row>
    <row r="6328" spans="1:18" x14ac:dyDescent="0.25">
      <c r="A6328">
        <v>7327</v>
      </c>
      <c r="B6328">
        <v>94</v>
      </c>
      <c r="C6328">
        <v>31781838</v>
      </c>
      <c r="D6328" t="s">
        <v>118</v>
      </c>
      <c r="E6328">
        <v>96.58</v>
      </c>
      <c r="F6328" t="s">
        <v>21</v>
      </c>
      <c r="G6328" t="s">
        <v>26</v>
      </c>
      <c r="H6328" t="s">
        <v>21</v>
      </c>
      <c r="I6328" t="s">
        <v>20</v>
      </c>
      <c r="J6328" t="s">
        <v>20</v>
      </c>
      <c r="K6328" t="s">
        <v>22</v>
      </c>
      <c r="L6328" t="s">
        <v>253</v>
      </c>
      <c r="M6328" t="s">
        <v>169</v>
      </c>
      <c r="N6328">
        <v>40.154015999999999</v>
      </c>
      <c r="O6328">
        <v>-110.21876399999999</v>
      </c>
      <c r="P6328">
        <v>5246.1382780000004</v>
      </c>
      <c r="Q6328">
        <v>310</v>
      </c>
      <c r="R6328">
        <v>0</v>
      </c>
    </row>
    <row r="6329" spans="1:18" x14ac:dyDescent="0.25">
      <c r="A6329">
        <v>7328</v>
      </c>
      <c r="B6329">
        <v>94</v>
      </c>
      <c r="C6329">
        <v>31900942</v>
      </c>
      <c r="D6329" t="s">
        <v>272</v>
      </c>
      <c r="E6329">
        <v>96.679000000000002</v>
      </c>
      <c r="F6329" t="s">
        <v>21</v>
      </c>
      <c r="G6329" t="s">
        <v>20</v>
      </c>
      <c r="H6329" t="s">
        <v>21</v>
      </c>
      <c r="I6329" t="s">
        <v>20</v>
      </c>
      <c r="J6329" t="s">
        <v>20</v>
      </c>
      <c r="K6329" t="s">
        <v>27</v>
      </c>
      <c r="L6329" t="s">
        <v>279</v>
      </c>
      <c r="M6329" t="s">
        <v>214</v>
      </c>
      <c r="N6329">
        <v>37.397877999999999</v>
      </c>
      <c r="O6329">
        <v>-112.55820799999999</v>
      </c>
      <c r="P6329">
        <v>6724.8889559999998</v>
      </c>
      <c r="Q6329">
        <v>1384</v>
      </c>
      <c r="R6329">
        <v>0</v>
      </c>
    </row>
    <row r="6330" spans="1:18" x14ac:dyDescent="0.25">
      <c r="A6330">
        <v>7329</v>
      </c>
      <c r="B6330">
        <v>94</v>
      </c>
      <c r="C6330">
        <v>31374919</v>
      </c>
      <c r="D6330" t="s">
        <v>142</v>
      </c>
      <c r="E6330">
        <v>96.858000000000004</v>
      </c>
      <c r="F6330" t="s">
        <v>21</v>
      </c>
      <c r="G6330" t="s">
        <v>20</v>
      </c>
      <c r="H6330" t="s">
        <v>21</v>
      </c>
      <c r="I6330" t="s">
        <v>20</v>
      </c>
      <c r="J6330" t="s">
        <v>20</v>
      </c>
      <c r="K6330" t="s">
        <v>27</v>
      </c>
      <c r="L6330" t="s">
        <v>143</v>
      </c>
      <c r="M6330" t="s">
        <v>106</v>
      </c>
      <c r="N6330">
        <v>38.221151999999996</v>
      </c>
      <c r="O6330">
        <v>-112.81588000000001</v>
      </c>
      <c r="P6330">
        <v>5503.7759189999997</v>
      </c>
      <c r="Q6330">
        <v>305</v>
      </c>
      <c r="R6330">
        <v>0</v>
      </c>
    </row>
    <row r="6331" spans="1:18" x14ac:dyDescent="0.25">
      <c r="A6331">
        <v>7330</v>
      </c>
      <c r="B6331">
        <v>94</v>
      </c>
      <c r="C6331">
        <v>28694280</v>
      </c>
      <c r="D6331" t="s">
        <v>142</v>
      </c>
      <c r="E6331">
        <v>62.904000000000003</v>
      </c>
      <c r="F6331" t="s">
        <v>21</v>
      </c>
      <c r="G6331" t="s">
        <v>20</v>
      </c>
      <c r="H6331" t="s">
        <v>21</v>
      </c>
      <c r="I6331" t="s">
        <v>20</v>
      </c>
      <c r="J6331" t="s">
        <v>20</v>
      </c>
      <c r="K6331" t="s">
        <v>27</v>
      </c>
      <c r="L6331" t="s">
        <v>143</v>
      </c>
      <c r="M6331" t="s">
        <v>106</v>
      </c>
      <c r="N6331">
        <v>38.45993</v>
      </c>
      <c r="O6331">
        <v>-113.252852</v>
      </c>
      <c r="P6331">
        <v>6408.1972150000001</v>
      </c>
      <c r="Q6331">
        <v>305</v>
      </c>
      <c r="R6331">
        <v>0</v>
      </c>
    </row>
    <row r="6332" spans="1:18" x14ac:dyDescent="0.25">
      <c r="A6332">
        <v>7331</v>
      </c>
      <c r="B6332">
        <v>94</v>
      </c>
      <c r="C6332">
        <v>31828915</v>
      </c>
      <c r="D6332" t="s">
        <v>272</v>
      </c>
      <c r="E6332">
        <v>62.905000000000001</v>
      </c>
      <c r="F6332" t="s">
        <v>21</v>
      </c>
      <c r="G6332" t="s">
        <v>26</v>
      </c>
      <c r="H6332" t="s">
        <v>21</v>
      </c>
      <c r="I6332" t="s">
        <v>20</v>
      </c>
      <c r="J6332" t="s">
        <v>20</v>
      </c>
      <c r="K6332" t="s">
        <v>27</v>
      </c>
      <c r="L6332" t="s">
        <v>259</v>
      </c>
      <c r="M6332" t="s">
        <v>214</v>
      </c>
      <c r="N6332">
        <v>37.040733000000003</v>
      </c>
      <c r="O6332">
        <v>-112.510184</v>
      </c>
      <c r="P6332">
        <v>4922.6830689999997</v>
      </c>
      <c r="Q6332">
        <v>1384</v>
      </c>
      <c r="R6332">
        <v>0</v>
      </c>
    </row>
    <row r="6333" spans="1:18" x14ac:dyDescent="0.25">
      <c r="A6333">
        <v>7332</v>
      </c>
      <c r="B6333">
        <v>94</v>
      </c>
      <c r="C6333">
        <v>31828926</v>
      </c>
      <c r="D6333" t="s">
        <v>272</v>
      </c>
      <c r="E6333">
        <v>63.113</v>
      </c>
      <c r="F6333" t="s">
        <v>21</v>
      </c>
      <c r="G6333" t="s">
        <v>26</v>
      </c>
      <c r="H6333" t="s">
        <v>21</v>
      </c>
      <c r="I6333" t="s">
        <v>20</v>
      </c>
      <c r="J6333" t="s">
        <v>20</v>
      </c>
      <c r="K6333" t="s">
        <v>27</v>
      </c>
      <c r="L6333" t="s">
        <v>259</v>
      </c>
      <c r="M6333" t="s">
        <v>214</v>
      </c>
      <c r="N6333">
        <v>37.042326000000003</v>
      </c>
      <c r="O6333">
        <v>-112.513409</v>
      </c>
      <c r="P6333">
        <v>4919.9993279999999</v>
      </c>
      <c r="Q6333">
        <v>1384</v>
      </c>
      <c r="R6333">
        <v>0</v>
      </c>
    </row>
    <row r="6334" spans="1:18" x14ac:dyDescent="0.25">
      <c r="A6334">
        <v>7333</v>
      </c>
      <c r="B6334">
        <v>94</v>
      </c>
      <c r="C6334">
        <v>31770862</v>
      </c>
      <c r="D6334" t="s">
        <v>281</v>
      </c>
      <c r="E6334">
        <v>49.628999999999998</v>
      </c>
      <c r="F6334" t="s">
        <v>21</v>
      </c>
      <c r="G6334" t="s">
        <v>26</v>
      </c>
      <c r="H6334" t="s">
        <v>21</v>
      </c>
      <c r="I6334" t="s">
        <v>20</v>
      </c>
      <c r="J6334" t="s">
        <v>20</v>
      </c>
      <c r="K6334" t="s">
        <v>31</v>
      </c>
      <c r="L6334" t="s">
        <v>282</v>
      </c>
      <c r="M6334" t="s">
        <v>283</v>
      </c>
      <c r="N6334">
        <v>40.476277000000003</v>
      </c>
      <c r="O6334">
        <v>-112.347426</v>
      </c>
      <c r="P6334">
        <v>5143.4298449999997</v>
      </c>
      <c r="Q6334">
        <v>1347</v>
      </c>
      <c r="R6334">
        <v>0</v>
      </c>
    </row>
    <row r="6335" spans="1:18" x14ac:dyDescent="0.25">
      <c r="A6335">
        <v>7334</v>
      </c>
      <c r="B6335">
        <v>94</v>
      </c>
      <c r="C6335">
        <v>31408588</v>
      </c>
      <c r="D6335" t="s">
        <v>124</v>
      </c>
      <c r="E6335">
        <v>49.661000000000001</v>
      </c>
      <c r="F6335" t="s">
        <v>21</v>
      </c>
      <c r="G6335" t="s">
        <v>26</v>
      </c>
      <c r="H6335" t="s">
        <v>21</v>
      </c>
      <c r="I6335" t="s">
        <v>20</v>
      </c>
      <c r="J6335" t="s">
        <v>20</v>
      </c>
      <c r="K6335" t="s">
        <v>31</v>
      </c>
      <c r="L6335" t="s">
        <v>48</v>
      </c>
      <c r="M6335" t="s">
        <v>125</v>
      </c>
      <c r="N6335">
        <v>40.629140999999997</v>
      </c>
      <c r="O6335">
        <v>-111.938795</v>
      </c>
      <c r="P6335">
        <v>4338.8147730000001</v>
      </c>
      <c r="Q6335">
        <v>1368</v>
      </c>
      <c r="R6335">
        <v>0</v>
      </c>
    </row>
    <row r="6336" spans="1:18" x14ac:dyDescent="0.25">
      <c r="A6336">
        <v>7335</v>
      </c>
      <c r="B6336">
        <v>94</v>
      </c>
      <c r="C6336">
        <v>31336269</v>
      </c>
      <c r="D6336" t="s">
        <v>288</v>
      </c>
      <c r="E6336">
        <v>49.667999999999999</v>
      </c>
      <c r="F6336" t="s">
        <v>21</v>
      </c>
      <c r="G6336" t="s">
        <v>26</v>
      </c>
      <c r="H6336" t="s">
        <v>21</v>
      </c>
      <c r="I6336" t="s">
        <v>20</v>
      </c>
      <c r="J6336" t="s">
        <v>20</v>
      </c>
      <c r="K6336" t="s">
        <v>27</v>
      </c>
      <c r="L6336" t="s">
        <v>327</v>
      </c>
      <c r="M6336" t="s">
        <v>147</v>
      </c>
      <c r="N6336">
        <v>37.602918000000003</v>
      </c>
      <c r="O6336">
        <v>-109.478725</v>
      </c>
      <c r="P6336">
        <v>5878.257764</v>
      </c>
      <c r="Q6336">
        <v>350</v>
      </c>
      <c r="R6336">
        <v>0</v>
      </c>
    </row>
    <row r="6337" spans="1:18" x14ac:dyDescent="0.25">
      <c r="A6337">
        <v>7336</v>
      </c>
      <c r="B6337">
        <v>94</v>
      </c>
      <c r="C6337">
        <v>31483436</v>
      </c>
      <c r="D6337" t="s">
        <v>213</v>
      </c>
      <c r="E6337">
        <v>49.668999999999997</v>
      </c>
      <c r="F6337" t="s">
        <v>21</v>
      </c>
      <c r="G6337" t="s">
        <v>20</v>
      </c>
      <c r="H6337" t="s">
        <v>21</v>
      </c>
      <c r="I6337" t="s">
        <v>20</v>
      </c>
      <c r="J6337" t="s">
        <v>20</v>
      </c>
      <c r="K6337" t="s">
        <v>27</v>
      </c>
      <c r="L6337" t="s">
        <v>173</v>
      </c>
      <c r="M6337" t="s">
        <v>214</v>
      </c>
      <c r="N6337">
        <v>39.083750000000002</v>
      </c>
      <c r="O6337">
        <v>-113.189256</v>
      </c>
      <c r="P6337">
        <v>4480.2721929999998</v>
      </c>
      <c r="Q6337">
        <v>1332</v>
      </c>
      <c r="R6337">
        <v>0</v>
      </c>
    </row>
    <row r="6338" spans="1:18" x14ac:dyDescent="0.25">
      <c r="A6338">
        <v>7337</v>
      </c>
      <c r="B6338">
        <v>94</v>
      </c>
      <c r="C6338">
        <v>31408599</v>
      </c>
      <c r="D6338" t="s">
        <v>124</v>
      </c>
      <c r="E6338">
        <v>49.743000000000002</v>
      </c>
      <c r="F6338" t="s">
        <v>21</v>
      </c>
      <c r="G6338" t="s">
        <v>26</v>
      </c>
      <c r="H6338" t="s">
        <v>21</v>
      </c>
      <c r="I6338" t="s">
        <v>20</v>
      </c>
      <c r="J6338" t="s">
        <v>20</v>
      </c>
      <c r="K6338" t="s">
        <v>31</v>
      </c>
      <c r="L6338" t="s">
        <v>48</v>
      </c>
      <c r="M6338" t="s">
        <v>125</v>
      </c>
      <c r="N6338">
        <v>40.630330999999998</v>
      </c>
      <c r="O6338">
        <v>-111.93879200000001</v>
      </c>
      <c r="P6338">
        <v>4351.7304160000003</v>
      </c>
      <c r="Q6338">
        <v>1368</v>
      </c>
      <c r="R6338">
        <v>0</v>
      </c>
    </row>
    <row r="6339" spans="1:18" x14ac:dyDescent="0.25">
      <c r="A6339">
        <v>7338</v>
      </c>
      <c r="B6339">
        <v>94</v>
      </c>
      <c r="C6339" t="e">
        <f>-JNZa9E_HrepTV-DxLCwdk</f>
        <v>#NAME?</v>
      </c>
      <c r="D6339" t="s">
        <v>124</v>
      </c>
      <c r="E6339">
        <v>49.747999999999998</v>
      </c>
      <c r="F6339" t="s">
        <v>21</v>
      </c>
      <c r="G6339" t="s">
        <v>20</v>
      </c>
      <c r="H6339" t="s">
        <v>21</v>
      </c>
      <c r="I6339" t="s">
        <v>20</v>
      </c>
      <c r="J6339" t="s">
        <v>20</v>
      </c>
      <c r="K6339" t="s">
        <v>31</v>
      </c>
      <c r="L6339" t="s">
        <v>48</v>
      </c>
      <c r="M6339" t="s">
        <v>125</v>
      </c>
      <c r="N6339">
        <v>40.630403999999999</v>
      </c>
      <c r="O6339">
        <v>-111.938795</v>
      </c>
      <c r="P6339">
        <v>4352.4990269999998</v>
      </c>
      <c r="Q6339">
        <v>1368</v>
      </c>
      <c r="R6339">
        <v>0</v>
      </c>
    </row>
    <row r="6340" spans="1:18" x14ac:dyDescent="0.25">
      <c r="A6340">
        <v>7339</v>
      </c>
      <c r="B6340">
        <v>94</v>
      </c>
      <c r="C6340">
        <v>31731993</v>
      </c>
      <c r="D6340" t="s">
        <v>118</v>
      </c>
      <c r="E6340">
        <v>49.753999999999998</v>
      </c>
      <c r="F6340" t="s">
        <v>21</v>
      </c>
      <c r="G6340" t="s">
        <v>20</v>
      </c>
      <c r="H6340" t="s">
        <v>21</v>
      </c>
      <c r="I6340" t="s">
        <v>20</v>
      </c>
      <c r="J6340" t="s">
        <v>20</v>
      </c>
      <c r="K6340" t="s">
        <v>22</v>
      </c>
      <c r="L6340" t="s">
        <v>119</v>
      </c>
      <c r="M6340" t="s">
        <v>120</v>
      </c>
      <c r="N6340">
        <v>40.182603</v>
      </c>
      <c r="O6340">
        <v>-111.04624099999999</v>
      </c>
      <c r="P6340">
        <v>7627.5497459999997</v>
      </c>
      <c r="Q6340">
        <v>310</v>
      </c>
      <c r="R6340">
        <v>0</v>
      </c>
    </row>
    <row r="6341" spans="1:18" x14ac:dyDescent="0.25">
      <c r="A6341">
        <v>7340</v>
      </c>
      <c r="B6341">
        <v>94</v>
      </c>
      <c r="C6341">
        <v>31746382</v>
      </c>
      <c r="D6341" t="s">
        <v>290</v>
      </c>
      <c r="E6341">
        <v>49.780999999999999</v>
      </c>
      <c r="F6341" t="s">
        <v>21</v>
      </c>
      <c r="G6341" t="s">
        <v>26</v>
      </c>
      <c r="H6341" t="s">
        <v>21</v>
      </c>
      <c r="I6341" t="s">
        <v>20</v>
      </c>
      <c r="J6341" t="s">
        <v>20</v>
      </c>
      <c r="K6341" t="s">
        <v>41</v>
      </c>
      <c r="L6341" t="s">
        <v>291</v>
      </c>
      <c r="M6341" t="s">
        <v>238</v>
      </c>
      <c r="N6341">
        <v>41.820196000000003</v>
      </c>
      <c r="O6341">
        <v>-113.42795700000001</v>
      </c>
      <c r="P6341">
        <v>5669.0913920000003</v>
      </c>
      <c r="Q6341">
        <v>1343</v>
      </c>
      <c r="R6341">
        <v>0</v>
      </c>
    </row>
    <row r="6342" spans="1:18" x14ac:dyDescent="0.25">
      <c r="A6342">
        <v>7341</v>
      </c>
      <c r="B6342">
        <v>94</v>
      </c>
      <c r="C6342">
        <v>31746393</v>
      </c>
      <c r="D6342" t="s">
        <v>290</v>
      </c>
      <c r="E6342">
        <v>49.808999999999997</v>
      </c>
      <c r="F6342" t="s">
        <v>21</v>
      </c>
      <c r="G6342" t="s">
        <v>26</v>
      </c>
      <c r="H6342" t="s">
        <v>21</v>
      </c>
      <c r="I6342" t="s">
        <v>20</v>
      </c>
      <c r="J6342" t="s">
        <v>20</v>
      </c>
      <c r="K6342" t="s">
        <v>41</v>
      </c>
      <c r="L6342" t="s">
        <v>291</v>
      </c>
      <c r="M6342" t="s">
        <v>238</v>
      </c>
      <c r="N6342">
        <v>41.820242999999998</v>
      </c>
      <c r="O6342">
        <v>-113.427424</v>
      </c>
      <c r="P6342">
        <v>5671.9115350000002</v>
      </c>
      <c r="Q6342">
        <v>1343</v>
      </c>
      <c r="R6342">
        <v>0</v>
      </c>
    </row>
    <row r="6343" spans="1:18" x14ac:dyDescent="0.25">
      <c r="A6343">
        <v>7342</v>
      </c>
      <c r="B6343">
        <v>94</v>
      </c>
      <c r="C6343">
        <v>27732027</v>
      </c>
      <c r="D6343" t="s">
        <v>217</v>
      </c>
      <c r="E6343">
        <v>49.823999999999998</v>
      </c>
      <c r="F6343" t="s">
        <v>21</v>
      </c>
      <c r="G6343" t="s">
        <v>26</v>
      </c>
      <c r="H6343" t="s">
        <v>21</v>
      </c>
      <c r="I6343" t="s">
        <v>20</v>
      </c>
      <c r="J6343" t="s">
        <v>20</v>
      </c>
      <c r="K6343" t="s">
        <v>27</v>
      </c>
      <c r="L6343" t="s">
        <v>162</v>
      </c>
      <c r="M6343" t="s">
        <v>163</v>
      </c>
      <c r="N6343">
        <v>37.692252000000003</v>
      </c>
      <c r="O6343">
        <v>-113.656494</v>
      </c>
      <c r="P6343">
        <v>5116.4760379999998</v>
      </c>
      <c r="Q6343">
        <v>304</v>
      </c>
      <c r="R6343">
        <v>0</v>
      </c>
    </row>
    <row r="6344" spans="1:18" x14ac:dyDescent="0.25">
      <c r="A6344">
        <v>7343</v>
      </c>
      <c r="B6344">
        <v>94</v>
      </c>
      <c r="C6344">
        <v>31626459</v>
      </c>
      <c r="D6344" t="s">
        <v>50</v>
      </c>
      <c r="E6344">
        <v>49.863999999999997</v>
      </c>
      <c r="F6344" t="s">
        <v>21</v>
      </c>
      <c r="G6344" t="s">
        <v>26</v>
      </c>
      <c r="H6344" t="s">
        <v>21</v>
      </c>
      <c r="I6344" t="s">
        <v>20</v>
      </c>
      <c r="J6344" t="s">
        <v>20</v>
      </c>
      <c r="K6344" t="s">
        <v>27</v>
      </c>
      <c r="L6344" t="s">
        <v>247</v>
      </c>
      <c r="M6344" t="s">
        <v>52</v>
      </c>
      <c r="N6344">
        <v>37.80339</v>
      </c>
      <c r="O6344">
        <v>-112.435305</v>
      </c>
      <c r="P6344">
        <v>6639.0949010000004</v>
      </c>
      <c r="Q6344">
        <v>1418</v>
      </c>
      <c r="R6344">
        <v>0</v>
      </c>
    </row>
    <row r="6345" spans="1:18" x14ac:dyDescent="0.25">
      <c r="A6345">
        <v>7344</v>
      </c>
      <c r="B6345">
        <v>94</v>
      </c>
      <c r="C6345" t="e">
        <f>-JO2N9TUG791tjkTZ9URmF</f>
        <v>#NAME?</v>
      </c>
      <c r="D6345" t="s">
        <v>50</v>
      </c>
      <c r="E6345">
        <v>49.887</v>
      </c>
      <c r="F6345" t="s">
        <v>21</v>
      </c>
      <c r="G6345" t="s">
        <v>20</v>
      </c>
      <c r="H6345" t="s">
        <v>21</v>
      </c>
      <c r="I6345" t="s">
        <v>20</v>
      </c>
      <c r="J6345" t="s">
        <v>20</v>
      </c>
      <c r="K6345" t="s">
        <v>27</v>
      </c>
      <c r="L6345" t="s">
        <v>247</v>
      </c>
      <c r="M6345" t="s">
        <v>52</v>
      </c>
      <c r="N6345">
        <v>37.803719999999998</v>
      </c>
      <c r="O6345">
        <v>-112.435311</v>
      </c>
      <c r="P6345">
        <v>6631.4646709999997</v>
      </c>
      <c r="Q6345">
        <v>1418</v>
      </c>
      <c r="R6345">
        <v>0</v>
      </c>
    </row>
    <row r="6346" spans="1:18" x14ac:dyDescent="0.25">
      <c r="A6346">
        <v>7345</v>
      </c>
      <c r="B6346">
        <v>94</v>
      </c>
      <c r="C6346">
        <v>31464332</v>
      </c>
      <c r="D6346" t="s">
        <v>319</v>
      </c>
      <c r="E6346">
        <v>49.890999999999998</v>
      </c>
      <c r="F6346" t="s">
        <v>21</v>
      </c>
      <c r="G6346" t="s">
        <v>20</v>
      </c>
      <c r="H6346" t="s">
        <v>21</v>
      </c>
      <c r="I6346" t="s">
        <v>20</v>
      </c>
      <c r="J6346" t="s">
        <v>20</v>
      </c>
      <c r="K6346" t="s">
        <v>27</v>
      </c>
      <c r="L6346" t="s">
        <v>54</v>
      </c>
      <c r="M6346" t="s">
        <v>55</v>
      </c>
      <c r="N6346">
        <v>37.640149000000001</v>
      </c>
      <c r="O6346">
        <v>-113.257516</v>
      </c>
      <c r="P6346">
        <v>5616.8786339999997</v>
      </c>
      <c r="Q6346">
        <v>314</v>
      </c>
      <c r="R6346">
        <v>0</v>
      </c>
    </row>
    <row r="6347" spans="1:18" x14ac:dyDescent="0.25">
      <c r="A6347">
        <v>7346</v>
      </c>
      <c r="B6347">
        <v>94</v>
      </c>
      <c r="C6347">
        <v>31701211</v>
      </c>
      <c r="D6347" t="s">
        <v>217</v>
      </c>
      <c r="E6347">
        <v>49.951000000000001</v>
      </c>
      <c r="F6347" t="s">
        <v>21</v>
      </c>
      <c r="G6347" t="s">
        <v>26</v>
      </c>
      <c r="H6347" t="s">
        <v>21</v>
      </c>
      <c r="I6347" t="s">
        <v>20</v>
      </c>
      <c r="J6347" t="s">
        <v>20</v>
      </c>
      <c r="K6347" t="s">
        <v>27</v>
      </c>
      <c r="L6347" t="s">
        <v>162</v>
      </c>
      <c r="M6347" t="s">
        <v>163</v>
      </c>
      <c r="N6347">
        <v>37.694105</v>
      </c>
      <c r="O6347">
        <v>-113.656497</v>
      </c>
      <c r="P6347">
        <v>5114.8599560000002</v>
      </c>
      <c r="Q6347">
        <v>304</v>
      </c>
      <c r="R6347">
        <v>0</v>
      </c>
    </row>
    <row r="6348" spans="1:18" x14ac:dyDescent="0.25">
      <c r="A6348">
        <v>7347</v>
      </c>
      <c r="B6348">
        <v>94</v>
      </c>
      <c r="C6348">
        <v>28472239</v>
      </c>
      <c r="D6348" t="s">
        <v>99</v>
      </c>
      <c r="E6348">
        <v>4.0759999999999996</v>
      </c>
      <c r="F6348" t="s">
        <v>21</v>
      </c>
      <c r="G6348" t="s">
        <v>20</v>
      </c>
      <c r="H6348" t="s">
        <v>21</v>
      </c>
      <c r="I6348" t="s">
        <v>20</v>
      </c>
      <c r="J6348" t="s">
        <v>20</v>
      </c>
      <c r="K6348" t="s">
        <v>41</v>
      </c>
      <c r="L6348" t="s">
        <v>81</v>
      </c>
      <c r="M6348" t="s">
        <v>82</v>
      </c>
      <c r="N6348">
        <v>41.210118000000001</v>
      </c>
      <c r="O6348">
        <v>-111.96387199999999</v>
      </c>
      <c r="P6348">
        <v>4293.3816770000003</v>
      </c>
      <c r="Q6348">
        <v>1376</v>
      </c>
      <c r="R6348">
        <v>0</v>
      </c>
    </row>
    <row r="6349" spans="1:18" x14ac:dyDescent="0.25">
      <c r="A6349">
        <v>7348</v>
      </c>
      <c r="B6349">
        <v>94</v>
      </c>
      <c r="C6349">
        <v>31443110</v>
      </c>
      <c r="D6349" t="s">
        <v>107</v>
      </c>
      <c r="E6349">
        <v>4.0789999999999997</v>
      </c>
      <c r="F6349" t="s">
        <v>19</v>
      </c>
      <c r="G6349" t="s">
        <v>20</v>
      </c>
      <c r="H6349" t="s">
        <v>21</v>
      </c>
      <c r="I6349" t="s">
        <v>20</v>
      </c>
      <c r="J6349" t="s">
        <v>20</v>
      </c>
      <c r="K6349" t="s">
        <v>41</v>
      </c>
      <c r="L6349" t="s">
        <v>81</v>
      </c>
      <c r="M6349" t="s">
        <v>93</v>
      </c>
      <c r="N6349">
        <v>41.251789000000002</v>
      </c>
      <c r="O6349">
        <v>-111.978054</v>
      </c>
      <c r="P6349">
        <v>4224.1122139999998</v>
      </c>
      <c r="Q6349">
        <v>413</v>
      </c>
      <c r="R6349">
        <v>0</v>
      </c>
    </row>
    <row r="6350" spans="1:18" x14ac:dyDescent="0.25">
      <c r="A6350">
        <v>7349</v>
      </c>
      <c r="B6350">
        <v>94</v>
      </c>
      <c r="C6350">
        <v>31759538</v>
      </c>
      <c r="D6350" t="s">
        <v>105</v>
      </c>
      <c r="E6350">
        <v>4.0830000000000002</v>
      </c>
      <c r="F6350" t="s">
        <v>21</v>
      </c>
      <c r="G6350" t="s">
        <v>26</v>
      </c>
      <c r="H6350" t="s">
        <v>21</v>
      </c>
      <c r="I6350" t="s">
        <v>20</v>
      </c>
      <c r="J6350" t="s">
        <v>20</v>
      </c>
      <c r="K6350" t="s">
        <v>27</v>
      </c>
      <c r="L6350" t="s">
        <v>51</v>
      </c>
      <c r="M6350" t="s">
        <v>106</v>
      </c>
      <c r="N6350">
        <v>37.888731999999997</v>
      </c>
      <c r="O6350">
        <v>-112.775087</v>
      </c>
      <c r="P6350">
        <v>5801.2223819999999</v>
      </c>
      <c r="Q6350">
        <v>432</v>
      </c>
      <c r="R6350">
        <v>0</v>
      </c>
    </row>
    <row r="6351" spans="1:18" x14ac:dyDescent="0.25">
      <c r="A6351">
        <v>7350</v>
      </c>
      <c r="B6351">
        <v>94</v>
      </c>
      <c r="C6351">
        <v>31311640</v>
      </c>
      <c r="D6351" t="s">
        <v>203</v>
      </c>
      <c r="E6351">
        <v>53.573999999999998</v>
      </c>
      <c r="F6351" t="s">
        <v>21</v>
      </c>
      <c r="G6351" t="s">
        <v>20</v>
      </c>
      <c r="H6351" t="s">
        <v>21</v>
      </c>
      <c r="I6351" t="s">
        <v>20</v>
      </c>
      <c r="J6351" t="s">
        <v>20</v>
      </c>
      <c r="K6351" t="s">
        <v>41</v>
      </c>
      <c r="L6351" t="s">
        <v>325</v>
      </c>
      <c r="M6351" t="s">
        <v>204</v>
      </c>
      <c r="N6351">
        <v>41.484667000000002</v>
      </c>
      <c r="O6351">
        <v>-111.406836</v>
      </c>
      <c r="P6351">
        <v>7597.4316779999999</v>
      </c>
      <c r="Q6351">
        <v>1349</v>
      </c>
      <c r="R6351">
        <v>0</v>
      </c>
    </row>
    <row r="6352" spans="1:18" x14ac:dyDescent="0.25">
      <c r="A6352">
        <v>7351</v>
      </c>
      <c r="B6352">
        <v>94</v>
      </c>
      <c r="C6352">
        <v>31347783</v>
      </c>
      <c r="D6352" t="s">
        <v>288</v>
      </c>
      <c r="E6352">
        <v>53.58</v>
      </c>
      <c r="F6352" t="s">
        <v>21</v>
      </c>
      <c r="G6352" t="s">
        <v>26</v>
      </c>
      <c r="H6352" t="s">
        <v>21</v>
      </c>
      <c r="I6352" t="s">
        <v>20</v>
      </c>
      <c r="J6352" t="s">
        <v>20</v>
      </c>
      <c r="K6352" t="s">
        <v>27</v>
      </c>
      <c r="L6352" t="s">
        <v>146</v>
      </c>
      <c r="M6352" t="s">
        <v>147</v>
      </c>
      <c r="N6352">
        <v>37.653604000000001</v>
      </c>
      <c r="O6352">
        <v>-109.458015</v>
      </c>
      <c r="P6352">
        <v>6144.0882600000004</v>
      </c>
      <c r="Q6352">
        <v>350</v>
      </c>
      <c r="R6352">
        <v>0</v>
      </c>
    </row>
    <row r="6353" spans="1:18" x14ac:dyDescent="0.25">
      <c r="A6353">
        <v>7352</v>
      </c>
      <c r="B6353">
        <v>94</v>
      </c>
      <c r="C6353">
        <v>31347794</v>
      </c>
      <c r="D6353" t="s">
        <v>288</v>
      </c>
      <c r="E6353">
        <v>53.6</v>
      </c>
      <c r="F6353" t="s">
        <v>21</v>
      </c>
      <c r="G6353" t="s">
        <v>26</v>
      </c>
      <c r="H6353" t="s">
        <v>21</v>
      </c>
      <c r="I6353" t="s">
        <v>20</v>
      </c>
      <c r="J6353" t="s">
        <v>20</v>
      </c>
      <c r="K6353" t="s">
        <v>27</v>
      </c>
      <c r="L6353" t="s">
        <v>146</v>
      </c>
      <c r="M6353" t="s">
        <v>147</v>
      </c>
      <c r="N6353">
        <v>37.653782</v>
      </c>
      <c r="O6353">
        <v>-109.457717</v>
      </c>
      <c r="P6353">
        <v>6149.4831750000003</v>
      </c>
      <c r="Q6353">
        <v>350</v>
      </c>
      <c r="R6353">
        <v>0</v>
      </c>
    </row>
    <row r="6354" spans="1:18" x14ac:dyDescent="0.25">
      <c r="A6354">
        <v>7353</v>
      </c>
      <c r="B6354">
        <v>94</v>
      </c>
      <c r="C6354">
        <v>31857562</v>
      </c>
      <c r="D6354" t="s">
        <v>312</v>
      </c>
      <c r="E6354">
        <v>53.610999999999997</v>
      </c>
      <c r="F6354" t="s">
        <v>21</v>
      </c>
      <c r="G6354" t="s">
        <v>26</v>
      </c>
      <c r="H6354" t="s">
        <v>21</v>
      </c>
      <c r="I6354" t="s">
        <v>20</v>
      </c>
      <c r="J6354" t="s">
        <v>20</v>
      </c>
      <c r="K6354" t="s">
        <v>27</v>
      </c>
      <c r="L6354" t="s">
        <v>173</v>
      </c>
      <c r="M6354" t="s">
        <v>313</v>
      </c>
      <c r="N6354">
        <v>39.119107999999997</v>
      </c>
      <c r="O6354">
        <v>-112.73917</v>
      </c>
      <c r="P6354">
        <v>4518.3061170000001</v>
      </c>
      <c r="Q6354">
        <v>255</v>
      </c>
      <c r="R6354">
        <v>0</v>
      </c>
    </row>
    <row r="6355" spans="1:18" x14ac:dyDescent="0.25">
      <c r="A6355">
        <v>7354</v>
      </c>
      <c r="B6355">
        <v>94</v>
      </c>
      <c r="C6355">
        <v>31342552</v>
      </c>
      <c r="D6355" t="s">
        <v>303</v>
      </c>
      <c r="E6355">
        <v>53.636000000000003</v>
      </c>
      <c r="F6355" t="s">
        <v>21</v>
      </c>
      <c r="G6355" t="s">
        <v>20</v>
      </c>
      <c r="H6355" t="s">
        <v>21</v>
      </c>
      <c r="I6355" t="s">
        <v>20</v>
      </c>
      <c r="J6355" t="s">
        <v>20</v>
      </c>
      <c r="K6355" t="s">
        <v>27</v>
      </c>
      <c r="L6355" t="s">
        <v>279</v>
      </c>
      <c r="M6355" t="s">
        <v>29</v>
      </c>
      <c r="N6355">
        <v>37.231225000000002</v>
      </c>
      <c r="O6355">
        <v>-112.732169</v>
      </c>
      <c r="P6355">
        <v>5567.3627109999998</v>
      </c>
      <c r="Q6355">
        <v>1326</v>
      </c>
      <c r="R6355">
        <v>0</v>
      </c>
    </row>
    <row r="6356" spans="1:18" x14ac:dyDescent="0.25">
      <c r="A6356">
        <v>7355</v>
      </c>
      <c r="B6356">
        <v>94</v>
      </c>
      <c r="C6356">
        <v>28646921</v>
      </c>
      <c r="D6356" t="s">
        <v>142</v>
      </c>
      <c r="E6356">
        <v>53.649000000000001</v>
      </c>
      <c r="F6356" t="s">
        <v>21</v>
      </c>
      <c r="G6356" t="s">
        <v>26</v>
      </c>
      <c r="H6356" t="s">
        <v>21</v>
      </c>
      <c r="I6356" t="s">
        <v>20</v>
      </c>
      <c r="J6356" t="s">
        <v>20</v>
      </c>
      <c r="K6356" t="s">
        <v>27</v>
      </c>
      <c r="L6356" t="s">
        <v>143</v>
      </c>
      <c r="M6356" t="s">
        <v>106</v>
      </c>
      <c r="N6356">
        <v>38.467415000000003</v>
      </c>
      <c r="O6356">
        <v>-113.39752</v>
      </c>
      <c r="P6356">
        <v>4848.1718019999998</v>
      </c>
      <c r="Q6356">
        <v>305</v>
      </c>
      <c r="R6356">
        <v>0</v>
      </c>
    </row>
    <row r="6357" spans="1:18" x14ac:dyDescent="0.25">
      <c r="A6357">
        <v>7356</v>
      </c>
      <c r="B6357">
        <v>94</v>
      </c>
      <c r="C6357">
        <v>28011036</v>
      </c>
      <c r="D6357" t="s">
        <v>281</v>
      </c>
      <c r="E6357">
        <v>53.671999999999997</v>
      </c>
      <c r="F6357" t="s">
        <v>21</v>
      </c>
      <c r="G6357" t="s">
        <v>26</v>
      </c>
      <c r="H6357" t="s">
        <v>21</v>
      </c>
      <c r="I6357" t="s">
        <v>20</v>
      </c>
      <c r="J6357" t="s">
        <v>20</v>
      </c>
      <c r="K6357" t="s">
        <v>31</v>
      </c>
      <c r="L6357" t="s">
        <v>282</v>
      </c>
      <c r="M6357" t="s">
        <v>174</v>
      </c>
      <c r="N6357">
        <v>40.520722999999997</v>
      </c>
      <c r="O6357">
        <v>-112.298858</v>
      </c>
      <c r="P6357">
        <v>5115.1265279999998</v>
      </c>
      <c r="Q6357">
        <v>1347</v>
      </c>
      <c r="R6357">
        <v>0</v>
      </c>
    </row>
    <row r="6358" spans="1:18" x14ac:dyDescent="0.25">
      <c r="A6358">
        <v>7357</v>
      </c>
      <c r="B6358">
        <v>94</v>
      </c>
      <c r="C6358">
        <v>28011047</v>
      </c>
      <c r="D6358" t="s">
        <v>281</v>
      </c>
      <c r="E6358">
        <v>53.691000000000003</v>
      </c>
      <c r="F6358" t="s">
        <v>21</v>
      </c>
      <c r="G6358" t="s">
        <v>26</v>
      </c>
      <c r="H6358" t="s">
        <v>21</v>
      </c>
      <c r="I6358" t="s">
        <v>20</v>
      </c>
      <c r="J6358" t="s">
        <v>20</v>
      </c>
      <c r="K6358" t="s">
        <v>31</v>
      </c>
      <c r="L6358" t="s">
        <v>282</v>
      </c>
      <c r="M6358" t="s">
        <v>174</v>
      </c>
      <c r="N6358">
        <v>40.521002000000003</v>
      </c>
      <c r="O6358">
        <v>-112.29877399999999</v>
      </c>
      <c r="P6358">
        <v>5112.4470600000004</v>
      </c>
      <c r="Q6358">
        <v>1347</v>
      </c>
      <c r="R6358">
        <v>0</v>
      </c>
    </row>
    <row r="6359" spans="1:18" x14ac:dyDescent="0.25">
      <c r="A6359">
        <v>7358</v>
      </c>
      <c r="B6359">
        <v>94</v>
      </c>
      <c r="C6359">
        <v>31581684</v>
      </c>
      <c r="D6359" t="s">
        <v>172</v>
      </c>
      <c r="E6359">
        <v>52.808</v>
      </c>
      <c r="F6359" t="s">
        <v>21</v>
      </c>
      <c r="G6359" t="s">
        <v>26</v>
      </c>
      <c r="H6359" t="s">
        <v>21</v>
      </c>
      <c r="I6359" t="s">
        <v>20</v>
      </c>
      <c r="J6359" t="s">
        <v>20</v>
      </c>
      <c r="K6359" t="s">
        <v>27</v>
      </c>
      <c r="L6359" t="s">
        <v>230</v>
      </c>
      <c r="M6359" t="s">
        <v>174</v>
      </c>
      <c r="N6359">
        <v>39.557001</v>
      </c>
      <c r="O6359">
        <v>-111.60075999999999</v>
      </c>
      <c r="P6359">
        <v>5507.9869650000001</v>
      </c>
      <c r="Q6359">
        <v>1411</v>
      </c>
      <c r="R6359">
        <v>0</v>
      </c>
    </row>
    <row r="6360" spans="1:18" x14ac:dyDescent="0.25">
      <c r="A6360">
        <v>7359</v>
      </c>
      <c r="B6360">
        <v>94</v>
      </c>
      <c r="C6360">
        <v>31345378</v>
      </c>
      <c r="D6360" t="s">
        <v>288</v>
      </c>
      <c r="E6360">
        <v>52.91</v>
      </c>
      <c r="F6360" t="s">
        <v>21</v>
      </c>
      <c r="G6360" t="s">
        <v>20</v>
      </c>
      <c r="H6360" t="s">
        <v>21</v>
      </c>
      <c r="I6360" t="s">
        <v>20</v>
      </c>
      <c r="J6360" t="s">
        <v>20</v>
      </c>
      <c r="K6360" t="s">
        <v>27</v>
      </c>
      <c r="L6360" t="s">
        <v>327</v>
      </c>
      <c r="M6360" t="s">
        <v>147</v>
      </c>
      <c r="N6360">
        <v>37.644708000000001</v>
      </c>
      <c r="O6360">
        <v>-109.46248</v>
      </c>
      <c r="P6360">
        <v>6110.7136440000004</v>
      </c>
      <c r="Q6360">
        <v>350</v>
      </c>
      <c r="R6360">
        <v>0</v>
      </c>
    </row>
    <row r="6361" spans="1:18" x14ac:dyDescent="0.25">
      <c r="A6361">
        <v>7360</v>
      </c>
      <c r="B6361">
        <v>94</v>
      </c>
      <c r="C6361">
        <v>31537773</v>
      </c>
      <c r="D6361" t="s">
        <v>348</v>
      </c>
      <c r="E6361">
        <v>52.957000000000001</v>
      </c>
      <c r="F6361" t="s">
        <v>21</v>
      </c>
      <c r="G6361" t="s">
        <v>26</v>
      </c>
      <c r="H6361" t="s">
        <v>21</v>
      </c>
      <c r="I6361" t="s">
        <v>20</v>
      </c>
      <c r="J6361" t="s">
        <v>20</v>
      </c>
      <c r="K6361" t="s">
        <v>27</v>
      </c>
      <c r="L6361" t="s">
        <v>327</v>
      </c>
      <c r="M6361" t="s">
        <v>123</v>
      </c>
      <c r="N6361">
        <v>37.827378000000003</v>
      </c>
      <c r="O6361">
        <v>-110.358763</v>
      </c>
      <c r="P6361">
        <v>4046.9727899999998</v>
      </c>
      <c r="Q6361">
        <v>1388</v>
      </c>
      <c r="R6361">
        <v>0</v>
      </c>
    </row>
    <row r="6362" spans="1:18" x14ac:dyDescent="0.25">
      <c r="A6362">
        <v>7361</v>
      </c>
      <c r="B6362">
        <v>94</v>
      </c>
      <c r="C6362">
        <v>28008157</v>
      </c>
      <c r="D6362" t="s">
        <v>281</v>
      </c>
      <c r="E6362">
        <v>52.965000000000003</v>
      </c>
      <c r="F6362" t="s">
        <v>21</v>
      </c>
      <c r="G6362" t="s">
        <v>26</v>
      </c>
      <c r="H6362" t="s">
        <v>21</v>
      </c>
      <c r="I6362" t="s">
        <v>20</v>
      </c>
      <c r="J6362" t="s">
        <v>20</v>
      </c>
      <c r="K6362" t="s">
        <v>31</v>
      </c>
      <c r="L6362" t="s">
        <v>282</v>
      </c>
      <c r="M6362" t="s">
        <v>174</v>
      </c>
      <c r="N6362">
        <v>40.514280999999997</v>
      </c>
      <c r="O6362">
        <v>-112.30885499999999</v>
      </c>
      <c r="P6362">
        <v>5117.8526579999998</v>
      </c>
      <c r="Q6362">
        <v>1347</v>
      </c>
      <c r="R6362">
        <v>0</v>
      </c>
    </row>
    <row r="6363" spans="1:18" x14ac:dyDescent="0.25">
      <c r="A6363">
        <v>7362</v>
      </c>
      <c r="B6363">
        <v>94</v>
      </c>
      <c r="C6363">
        <v>31496660</v>
      </c>
      <c r="D6363" t="s">
        <v>124</v>
      </c>
      <c r="E6363">
        <v>53.03</v>
      </c>
      <c r="F6363" t="s">
        <v>21</v>
      </c>
      <c r="G6363" t="s">
        <v>26</v>
      </c>
      <c r="H6363" t="s">
        <v>21</v>
      </c>
      <c r="I6363" t="s">
        <v>20</v>
      </c>
      <c r="J6363" t="s">
        <v>20</v>
      </c>
      <c r="K6363" t="s">
        <v>31</v>
      </c>
      <c r="L6363" t="s">
        <v>69</v>
      </c>
      <c r="M6363" t="s">
        <v>125</v>
      </c>
      <c r="N6363">
        <v>40.678066000000001</v>
      </c>
      <c r="O6363">
        <v>-111.93888</v>
      </c>
      <c r="P6363">
        <v>4214.8265309999997</v>
      </c>
      <c r="Q6363">
        <v>1368</v>
      </c>
      <c r="R6363">
        <v>0</v>
      </c>
    </row>
    <row r="6364" spans="1:18" x14ac:dyDescent="0.25">
      <c r="A6364">
        <v>7363</v>
      </c>
      <c r="B6364">
        <v>94</v>
      </c>
      <c r="C6364">
        <v>27730305</v>
      </c>
      <c r="D6364" t="s">
        <v>217</v>
      </c>
      <c r="E6364">
        <v>44.734999999999999</v>
      </c>
      <c r="F6364" t="s">
        <v>21</v>
      </c>
      <c r="G6364" t="s">
        <v>26</v>
      </c>
      <c r="H6364" t="s">
        <v>21</v>
      </c>
      <c r="I6364" t="s">
        <v>20</v>
      </c>
      <c r="J6364" t="s">
        <v>20</v>
      </c>
      <c r="K6364" t="s">
        <v>27</v>
      </c>
      <c r="L6364" t="s">
        <v>162</v>
      </c>
      <c r="M6364" t="s">
        <v>163</v>
      </c>
      <c r="N6364">
        <v>37.619370000000004</v>
      </c>
      <c r="O6364">
        <v>-113.66122300000001</v>
      </c>
      <c r="P6364">
        <v>5178.1954640000004</v>
      </c>
      <c r="Q6364">
        <v>304</v>
      </c>
      <c r="R6364">
        <v>0</v>
      </c>
    </row>
    <row r="6365" spans="1:18" x14ac:dyDescent="0.25">
      <c r="A6365">
        <v>7364</v>
      </c>
      <c r="B6365">
        <v>94</v>
      </c>
      <c r="C6365" t="s">
        <v>805</v>
      </c>
      <c r="D6365" t="s">
        <v>244</v>
      </c>
      <c r="E6365">
        <v>44.735999999999997</v>
      </c>
      <c r="F6365" t="s">
        <v>21</v>
      </c>
      <c r="G6365" t="s">
        <v>26</v>
      </c>
      <c r="H6365" t="s">
        <v>21</v>
      </c>
      <c r="I6365" t="s">
        <v>20</v>
      </c>
      <c r="J6365" t="s">
        <v>20</v>
      </c>
      <c r="K6365" t="s">
        <v>27</v>
      </c>
      <c r="L6365" t="s">
        <v>266</v>
      </c>
      <c r="M6365" t="s">
        <v>58</v>
      </c>
      <c r="N6365">
        <v>38.435726000000003</v>
      </c>
      <c r="O6365">
        <v>-111.75570399999999</v>
      </c>
      <c r="P6365">
        <v>7913.8930739999996</v>
      </c>
      <c r="Q6365">
        <v>1340</v>
      </c>
      <c r="R6365">
        <v>0</v>
      </c>
    </row>
    <row r="6366" spans="1:18" x14ac:dyDescent="0.25">
      <c r="A6366">
        <v>7365</v>
      </c>
      <c r="B6366">
        <v>94</v>
      </c>
      <c r="C6366" t="e">
        <f>-JOXxTADGQ9m7ZbLFt2SVF</f>
        <v>#NAME?</v>
      </c>
      <c r="D6366" t="s">
        <v>65</v>
      </c>
      <c r="E6366">
        <v>5.1769999999999996</v>
      </c>
      <c r="F6366" t="s">
        <v>19</v>
      </c>
      <c r="G6366" t="s">
        <v>20</v>
      </c>
      <c r="H6366" t="s">
        <v>21</v>
      </c>
      <c r="I6366" t="s">
        <v>20</v>
      </c>
      <c r="J6366" t="s">
        <v>20</v>
      </c>
      <c r="K6366" t="s">
        <v>31</v>
      </c>
      <c r="L6366" t="s">
        <v>188</v>
      </c>
      <c r="M6366" t="s">
        <v>67</v>
      </c>
      <c r="N6366">
        <v>40.758617000000001</v>
      </c>
      <c r="O6366">
        <v>-111.84209300000001</v>
      </c>
      <c r="P6366">
        <v>4674.3940769999999</v>
      </c>
      <c r="Q6366">
        <v>402</v>
      </c>
      <c r="R6366">
        <v>0</v>
      </c>
    </row>
    <row r="6367" spans="1:18" x14ac:dyDescent="0.25">
      <c r="A6367">
        <v>7366</v>
      </c>
      <c r="B6367">
        <v>94</v>
      </c>
      <c r="C6367">
        <v>807948</v>
      </c>
      <c r="D6367" t="s">
        <v>68</v>
      </c>
      <c r="E6367">
        <v>5.1790000000000003</v>
      </c>
      <c r="F6367" t="s">
        <v>21</v>
      </c>
      <c r="G6367" t="s">
        <v>26</v>
      </c>
      <c r="H6367" t="s">
        <v>21</v>
      </c>
      <c r="I6367" t="s">
        <v>20</v>
      </c>
      <c r="J6367" t="s">
        <v>20</v>
      </c>
      <c r="K6367" t="s">
        <v>31</v>
      </c>
      <c r="L6367" t="s">
        <v>32</v>
      </c>
      <c r="M6367" t="s">
        <v>70</v>
      </c>
      <c r="N6367">
        <v>40.674303000000002</v>
      </c>
      <c r="O6367">
        <v>-111.857067</v>
      </c>
      <c r="P6367">
        <v>4269.8317989999996</v>
      </c>
      <c r="Q6367">
        <v>431</v>
      </c>
      <c r="R6367">
        <v>0</v>
      </c>
    </row>
    <row r="6368" spans="1:18" x14ac:dyDescent="0.25">
      <c r="A6368">
        <v>7367</v>
      </c>
      <c r="B6368">
        <v>94</v>
      </c>
      <c r="C6368">
        <v>31311410</v>
      </c>
      <c r="D6368" t="s">
        <v>40</v>
      </c>
      <c r="E6368">
        <v>5.1829999999999998</v>
      </c>
      <c r="F6368" t="s">
        <v>21</v>
      </c>
      <c r="G6368" t="s">
        <v>26</v>
      </c>
      <c r="H6368" t="s">
        <v>21</v>
      </c>
      <c r="I6368" t="s">
        <v>20</v>
      </c>
      <c r="J6368" t="s">
        <v>20</v>
      </c>
      <c r="K6368" t="s">
        <v>41</v>
      </c>
      <c r="L6368" t="s">
        <v>42</v>
      </c>
      <c r="M6368" t="s">
        <v>43</v>
      </c>
      <c r="N6368">
        <v>41.633889000000003</v>
      </c>
      <c r="O6368">
        <v>-111.84692</v>
      </c>
      <c r="P6368">
        <v>4685.6738759999998</v>
      </c>
      <c r="Q6368">
        <v>1391</v>
      </c>
      <c r="R6368">
        <v>0</v>
      </c>
    </row>
    <row r="6369" spans="1:18" x14ac:dyDescent="0.25">
      <c r="A6369">
        <v>7368</v>
      </c>
      <c r="B6369">
        <v>94</v>
      </c>
      <c r="C6369">
        <v>31590049</v>
      </c>
      <c r="D6369" t="s">
        <v>288</v>
      </c>
      <c r="E6369">
        <v>387.81900000000002</v>
      </c>
      <c r="F6369" t="s">
        <v>21</v>
      </c>
      <c r="G6369" t="s">
        <v>26</v>
      </c>
      <c r="H6369" t="s">
        <v>21</v>
      </c>
      <c r="I6369" t="s">
        <v>20</v>
      </c>
      <c r="J6369" t="s">
        <v>20</v>
      </c>
      <c r="K6369" t="s">
        <v>22</v>
      </c>
      <c r="L6369" t="s">
        <v>97</v>
      </c>
      <c r="M6369" t="s">
        <v>98</v>
      </c>
      <c r="N6369">
        <v>40.867111000000001</v>
      </c>
      <c r="O6369">
        <v>-109.474869</v>
      </c>
      <c r="P6369">
        <v>7323.5382730000001</v>
      </c>
      <c r="Q6369">
        <v>350</v>
      </c>
      <c r="R6369">
        <v>0</v>
      </c>
    </row>
    <row r="6370" spans="1:18" x14ac:dyDescent="0.25">
      <c r="A6370">
        <v>7369</v>
      </c>
      <c r="B6370">
        <v>94</v>
      </c>
      <c r="C6370" t="e">
        <f>-Ip9rD4jGU55WrZf9ttIqk</f>
        <v>#NAME?</v>
      </c>
      <c r="D6370" t="s">
        <v>272</v>
      </c>
      <c r="E6370">
        <v>387.86700000000002</v>
      </c>
      <c r="F6370" t="s">
        <v>21</v>
      </c>
      <c r="G6370" t="s">
        <v>20</v>
      </c>
      <c r="H6370" t="s">
        <v>21</v>
      </c>
      <c r="I6370" t="s">
        <v>20</v>
      </c>
      <c r="J6370" t="s">
        <v>20</v>
      </c>
      <c r="K6370" t="s">
        <v>41</v>
      </c>
      <c r="L6370" t="s">
        <v>45</v>
      </c>
      <c r="M6370" t="s">
        <v>49</v>
      </c>
      <c r="N6370">
        <v>40.876044999999998</v>
      </c>
      <c r="O6370">
        <v>-111.89222100000001</v>
      </c>
      <c r="P6370">
        <v>4309.5344249999998</v>
      </c>
      <c r="Q6370">
        <v>1384</v>
      </c>
      <c r="R6370">
        <v>0</v>
      </c>
    </row>
    <row r="6371" spans="1:18" x14ac:dyDescent="0.25">
      <c r="A6371">
        <v>7370</v>
      </c>
      <c r="B6371">
        <v>94</v>
      </c>
      <c r="C6371" t="e">
        <f>-Ip9rNydGjih4-OWF06rjV</f>
        <v>#NAME?</v>
      </c>
      <c r="D6371" t="s">
        <v>272</v>
      </c>
      <c r="E6371">
        <v>387.92899999999997</v>
      </c>
      <c r="F6371" t="s">
        <v>21</v>
      </c>
      <c r="G6371" t="s">
        <v>26</v>
      </c>
      <c r="H6371" t="s">
        <v>21</v>
      </c>
      <c r="I6371" t="s">
        <v>20</v>
      </c>
      <c r="J6371" t="s">
        <v>20</v>
      </c>
      <c r="K6371" t="s">
        <v>41</v>
      </c>
      <c r="L6371" t="s">
        <v>45</v>
      </c>
      <c r="M6371" t="s">
        <v>49</v>
      </c>
      <c r="N6371">
        <v>40.876931999999996</v>
      </c>
      <c r="O6371">
        <v>-111.892218</v>
      </c>
      <c r="P6371">
        <v>4306.7437200000004</v>
      </c>
      <c r="Q6371">
        <v>1384</v>
      </c>
      <c r="R6371">
        <v>0</v>
      </c>
    </row>
    <row r="6372" spans="1:18" x14ac:dyDescent="0.25">
      <c r="A6372">
        <v>7371</v>
      </c>
      <c r="B6372">
        <v>94</v>
      </c>
      <c r="C6372">
        <v>27966743</v>
      </c>
      <c r="D6372" t="s">
        <v>265</v>
      </c>
      <c r="E6372">
        <v>9.5920000000000005</v>
      </c>
      <c r="F6372" t="s">
        <v>21</v>
      </c>
      <c r="G6372" t="s">
        <v>26</v>
      </c>
      <c r="H6372" t="s">
        <v>21</v>
      </c>
      <c r="I6372" t="s">
        <v>20</v>
      </c>
      <c r="J6372" t="s">
        <v>20</v>
      </c>
      <c r="K6372" t="s">
        <v>27</v>
      </c>
      <c r="L6372" t="s">
        <v>266</v>
      </c>
      <c r="M6372" t="s">
        <v>267</v>
      </c>
      <c r="N6372">
        <v>38.489353999999999</v>
      </c>
      <c r="O6372">
        <v>-111.541652</v>
      </c>
      <c r="P6372">
        <v>8013.8454670000001</v>
      </c>
      <c r="Q6372">
        <v>1371</v>
      </c>
      <c r="R6372">
        <v>0</v>
      </c>
    </row>
    <row r="6373" spans="1:18" x14ac:dyDescent="0.25">
      <c r="A6373">
        <v>7372</v>
      </c>
      <c r="B6373">
        <v>94</v>
      </c>
      <c r="C6373">
        <v>31634143</v>
      </c>
      <c r="D6373" t="s">
        <v>227</v>
      </c>
      <c r="E6373">
        <v>9.5960000000000001</v>
      </c>
      <c r="F6373" t="s">
        <v>21</v>
      </c>
      <c r="G6373" t="s">
        <v>20</v>
      </c>
      <c r="H6373" t="s">
        <v>21</v>
      </c>
      <c r="I6373" t="s">
        <v>20</v>
      </c>
      <c r="J6373" t="s">
        <v>20</v>
      </c>
      <c r="K6373" t="s">
        <v>27</v>
      </c>
      <c r="L6373" t="s">
        <v>158</v>
      </c>
      <c r="M6373" t="s">
        <v>190</v>
      </c>
      <c r="N6373">
        <v>39.549107999999997</v>
      </c>
      <c r="O6373">
        <v>-110.400334</v>
      </c>
      <c r="P6373">
        <v>6354.4955330000003</v>
      </c>
      <c r="Q6373">
        <v>1407</v>
      </c>
      <c r="R6373">
        <v>0</v>
      </c>
    </row>
    <row r="6374" spans="1:18" x14ac:dyDescent="0.25">
      <c r="A6374">
        <v>7373</v>
      </c>
      <c r="B6374">
        <v>94</v>
      </c>
      <c r="C6374">
        <v>31332998</v>
      </c>
      <c r="D6374" t="s">
        <v>333</v>
      </c>
      <c r="E6374">
        <v>9.6</v>
      </c>
      <c r="F6374" t="s">
        <v>19</v>
      </c>
      <c r="G6374" t="s">
        <v>20</v>
      </c>
      <c r="H6374" t="s">
        <v>19</v>
      </c>
      <c r="I6374">
        <v>151</v>
      </c>
      <c r="J6374" t="s">
        <v>20</v>
      </c>
      <c r="K6374" t="s">
        <v>31</v>
      </c>
      <c r="L6374" t="s">
        <v>48</v>
      </c>
      <c r="M6374" t="s">
        <v>49</v>
      </c>
      <c r="N6374">
        <v>40.561861</v>
      </c>
      <c r="O6374">
        <v>-111.97704400000001</v>
      </c>
      <c r="P6374">
        <v>4596.9370730000001</v>
      </c>
      <c r="Q6374">
        <v>1426</v>
      </c>
      <c r="R6374">
        <v>0</v>
      </c>
    </row>
    <row r="6375" spans="1:18" x14ac:dyDescent="0.25">
      <c r="A6375">
        <v>7374</v>
      </c>
      <c r="B6375">
        <v>94</v>
      </c>
      <c r="C6375">
        <v>816537</v>
      </c>
      <c r="D6375" t="s">
        <v>236</v>
      </c>
      <c r="E6375">
        <v>9.6</v>
      </c>
      <c r="F6375" t="s">
        <v>19</v>
      </c>
      <c r="G6375" t="s">
        <v>20</v>
      </c>
      <c r="H6375" t="s">
        <v>21</v>
      </c>
      <c r="I6375" t="s">
        <v>20</v>
      </c>
      <c r="J6375" t="s">
        <v>20</v>
      </c>
      <c r="K6375" t="s">
        <v>31</v>
      </c>
      <c r="L6375" t="s">
        <v>78</v>
      </c>
      <c r="M6375" t="s">
        <v>79</v>
      </c>
      <c r="N6375">
        <v>40.703691999999997</v>
      </c>
      <c r="O6375">
        <v>-112.09182199999999</v>
      </c>
      <c r="P6375">
        <v>4276.3628870000002</v>
      </c>
      <c r="Q6375">
        <v>1398</v>
      </c>
      <c r="R6375">
        <v>0</v>
      </c>
    </row>
    <row r="6376" spans="1:18" x14ac:dyDescent="0.25">
      <c r="A6376">
        <v>7375</v>
      </c>
      <c r="B6376">
        <v>94</v>
      </c>
      <c r="C6376">
        <v>31768145</v>
      </c>
      <c r="D6376" t="s">
        <v>290</v>
      </c>
      <c r="E6376">
        <v>79.843999999999994</v>
      </c>
      <c r="F6376" t="s">
        <v>21</v>
      </c>
      <c r="G6376" t="s">
        <v>20</v>
      </c>
      <c r="H6376" t="s">
        <v>21</v>
      </c>
      <c r="I6376" t="s">
        <v>20</v>
      </c>
      <c r="J6376" t="s">
        <v>20</v>
      </c>
      <c r="K6376" t="s">
        <v>41</v>
      </c>
      <c r="L6376" t="s">
        <v>291</v>
      </c>
      <c r="M6376" t="s">
        <v>238</v>
      </c>
      <c r="N6376">
        <v>41.966143000000002</v>
      </c>
      <c r="O6376">
        <v>-112.96041200000001</v>
      </c>
      <c r="P6376">
        <v>4409.2419200000004</v>
      </c>
      <c r="Q6376">
        <v>1343</v>
      </c>
      <c r="R6376">
        <v>0</v>
      </c>
    </row>
    <row r="6377" spans="1:18" x14ac:dyDescent="0.25">
      <c r="A6377">
        <v>7376</v>
      </c>
      <c r="B6377">
        <v>94</v>
      </c>
      <c r="C6377">
        <v>31747076</v>
      </c>
      <c r="D6377" t="s">
        <v>290</v>
      </c>
      <c r="E6377">
        <v>53.066000000000003</v>
      </c>
      <c r="F6377" t="s">
        <v>21</v>
      </c>
      <c r="G6377" t="s">
        <v>26</v>
      </c>
      <c r="H6377" t="s">
        <v>21</v>
      </c>
      <c r="I6377" t="s">
        <v>20</v>
      </c>
      <c r="J6377" t="s">
        <v>20</v>
      </c>
      <c r="K6377" t="s">
        <v>41</v>
      </c>
      <c r="L6377" t="s">
        <v>291</v>
      </c>
      <c r="M6377" t="s">
        <v>238</v>
      </c>
      <c r="N6377">
        <v>41.816589</v>
      </c>
      <c r="O6377">
        <v>-113.365528</v>
      </c>
      <c r="P6377">
        <v>5538.1451699999998</v>
      </c>
      <c r="Q6377">
        <v>1343</v>
      </c>
      <c r="R6377">
        <v>0</v>
      </c>
    </row>
    <row r="6378" spans="1:18" x14ac:dyDescent="0.25">
      <c r="A6378">
        <v>7377</v>
      </c>
      <c r="B6378">
        <v>94</v>
      </c>
      <c r="C6378">
        <v>31747087</v>
      </c>
      <c r="D6378" t="s">
        <v>290</v>
      </c>
      <c r="E6378">
        <v>53.085999999999999</v>
      </c>
      <c r="F6378" t="s">
        <v>21</v>
      </c>
      <c r="G6378" t="s">
        <v>20</v>
      </c>
      <c r="H6378" t="s">
        <v>21</v>
      </c>
      <c r="I6378" t="s">
        <v>20</v>
      </c>
      <c r="J6378" t="s">
        <v>20</v>
      </c>
      <c r="K6378" t="s">
        <v>41</v>
      </c>
      <c r="L6378" t="s">
        <v>291</v>
      </c>
      <c r="M6378" t="s">
        <v>238</v>
      </c>
      <c r="N6378">
        <v>41.816592</v>
      </c>
      <c r="O6378">
        <v>-113.365144</v>
      </c>
      <c r="P6378">
        <v>5537.2543820000001</v>
      </c>
      <c r="Q6378">
        <v>1343</v>
      </c>
      <c r="R6378">
        <v>0</v>
      </c>
    </row>
    <row r="6379" spans="1:18" x14ac:dyDescent="0.25">
      <c r="A6379">
        <v>7378</v>
      </c>
      <c r="B6379">
        <v>94</v>
      </c>
      <c r="C6379">
        <v>31496671</v>
      </c>
      <c r="D6379" t="s">
        <v>124</v>
      </c>
      <c r="E6379">
        <v>53.143000000000001</v>
      </c>
      <c r="F6379" t="s">
        <v>19</v>
      </c>
      <c r="G6379" t="s">
        <v>20</v>
      </c>
      <c r="H6379" t="s">
        <v>21</v>
      </c>
      <c r="I6379" t="s">
        <v>20</v>
      </c>
      <c r="J6379" t="s">
        <v>20</v>
      </c>
      <c r="K6379" t="s">
        <v>31</v>
      </c>
      <c r="L6379" t="s">
        <v>69</v>
      </c>
      <c r="M6379" t="s">
        <v>125</v>
      </c>
      <c r="N6379">
        <v>40.679704999999998</v>
      </c>
      <c r="O6379">
        <v>-111.93888699999999</v>
      </c>
      <c r="P6379">
        <v>4210.872609</v>
      </c>
      <c r="Q6379">
        <v>1368</v>
      </c>
      <c r="R6379">
        <v>0</v>
      </c>
    </row>
    <row r="6380" spans="1:18" x14ac:dyDescent="0.25">
      <c r="A6380">
        <v>7379</v>
      </c>
      <c r="B6380">
        <v>94</v>
      </c>
      <c r="C6380">
        <v>28010272</v>
      </c>
      <c r="D6380" t="s">
        <v>281</v>
      </c>
      <c r="E6380">
        <v>53.216000000000001</v>
      </c>
      <c r="F6380" t="s">
        <v>21</v>
      </c>
      <c r="G6380" t="s">
        <v>26</v>
      </c>
      <c r="H6380" t="s">
        <v>21</v>
      </c>
      <c r="I6380" t="s">
        <v>20</v>
      </c>
      <c r="J6380" t="s">
        <v>20</v>
      </c>
      <c r="K6380" t="s">
        <v>31</v>
      </c>
      <c r="L6380" t="s">
        <v>282</v>
      </c>
      <c r="M6380" t="s">
        <v>174</v>
      </c>
      <c r="N6380">
        <v>40.516325000000002</v>
      </c>
      <c r="O6380">
        <v>-112.30493</v>
      </c>
      <c r="P6380">
        <v>5120.1997309999997</v>
      </c>
      <c r="Q6380">
        <v>1347</v>
      </c>
      <c r="R6380">
        <v>0</v>
      </c>
    </row>
    <row r="6381" spans="1:18" x14ac:dyDescent="0.25">
      <c r="A6381">
        <v>7380</v>
      </c>
      <c r="B6381">
        <v>94</v>
      </c>
      <c r="C6381">
        <v>31345400</v>
      </c>
      <c r="D6381" t="s">
        <v>288</v>
      </c>
      <c r="E6381">
        <v>53.216000000000001</v>
      </c>
      <c r="F6381" t="s">
        <v>21</v>
      </c>
      <c r="G6381" t="s">
        <v>26</v>
      </c>
      <c r="H6381" t="s">
        <v>21</v>
      </c>
      <c r="I6381" t="s">
        <v>20</v>
      </c>
      <c r="J6381" t="s">
        <v>20</v>
      </c>
      <c r="K6381" t="s">
        <v>27</v>
      </c>
      <c r="L6381" t="s">
        <v>327</v>
      </c>
      <c r="M6381" t="s">
        <v>147</v>
      </c>
      <c r="N6381">
        <v>37.648924999999998</v>
      </c>
      <c r="O6381">
        <v>-109.460798</v>
      </c>
      <c r="P6381">
        <v>6104.6485190000003</v>
      </c>
      <c r="Q6381">
        <v>350</v>
      </c>
      <c r="R6381">
        <v>0</v>
      </c>
    </row>
    <row r="6382" spans="1:18" x14ac:dyDescent="0.25">
      <c r="A6382">
        <v>7381</v>
      </c>
      <c r="B6382">
        <v>94</v>
      </c>
      <c r="C6382">
        <v>31497022</v>
      </c>
      <c r="D6382" t="s">
        <v>124</v>
      </c>
      <c r="E6382">
        <v>53.308999999999997</v>
      </c>
      <c r="F6382" t="s">
        <v>19</v>
      </c>
      <c r="G6382" t="s">
        <v>20</v>
      </c>
      <c r="H6382" t="s">
        <v>21</v>
      </c>
      <c r="I6382" t="s">
        <v>20</v>
      </c>
      <c r="J6382" t="s">
        <v>20</v>
      </c>
      <c r="K6382" t="s">
        <v>31</v>
      </c>
      <c r="L6382" t="s">
        <v>69</v>
      </c>
      <c r="M6382" t="s">
        <v>125</v>
      </c>
      <c r="N6382">
        <v>40.682129000000003</v>
      </c>
      <c r="O6382">
        <v>-111.938891</v>
      </c>
      <c r="P6382">
        <v>4209.9402890000001</v>
      </c>
      <c r="Q6382">
        <v>1368</v>
      </c>
      <c r="R6382">
        <v>0</v>
      </c>
    </row>
    <row r="6383" spans="1:18" x14ac:dyDescent="0.25">
      <c r="A6383">
        <v>7382</v>
      </c>
      <c r="B6383">
        <v>94</v>
      </c>
      <c r="C6383">
        <v>28010283</v>
      </c>
      <c r="D6383" t="s">
        <v>281</v>
      </c>
      <c r="E6383">
        <v>53.31</v>
      </c>
      <c r="F6383" t="s">
        <v>21</v>
      </c>
      <c r="G6383" t="s">
        <v>26</v>
      </c>
      <c r="H6383" t="s">
        <v>21</v>
      </c>
      <c r="I6383" t="s">
        <v>20</v>
      </c>
      <c r="J6383" t="s">
        <v>20</v>
      </c>
      <c r="K6383" t="s">
        <v>31</v>
      </c>
      <c r="L6383" t="s">
        <v>282</v>
      </c>
      <c r="M6383" t="s">
        <v>174</v>
      </c>
      <c r="N6383">
        <v>40.517043000000001</v>
      </c>
      <c r="O6383">
        <v>-112.303428</v>
      </c>
      <c r="P6383">
        <v>5114.5349120000001</v>
      </c>
      <c r="Q6383">
        <v>1347</v>
      </c>
      <c r="R6383">
        <v>0</v>
      </c>
    </row>
    <row r="6384" spans="1:18" x14ac:dyDescent="0.25">
      <c r="A6384">
        <v>7383</v>
      </c>
      <c r="B6384">
        <v>94</v>
      </c>
      <c r="C6384">
        <v>31340491</v>
      </c>
      <c r="D6384" t="s">
        <v>303</v>
      </c>
      <c r="E6384">
        <v>53.329000000000001</v>
      </c>
      <c r="F6384" t="s">
        <v>21</v>
      </c>
      <c r="G6384" t="s">
        <v>26</v>
      </c>
      <c r="H6384" t="s">
        <v>21</v>
      </c>
      <c r="I6384" t="s">
        <v>20</v>
      </c>
      <c r="J6384" t="s">
        <v>20</v>
      </c>
      <c r="K6384" t="s">
        <v>27</v>
      </c>
      <c r="L6384" t="s">
        <v>279</v>
      </c>
      <c r="M6384" t="s">
        <v>29</v>
      </c>
      <c r="N6384">
        <v>37.233483999999997</v>
      </c>
      <c r="O6384">
        <v>-112.736985</v>
      </c>
      <c r="P6384">
        <v>5555.1254200000003</v>
      </c>
      <c r="Q6384">
        <v>1326</v>
      </c>
      <c r="R6384">
        <v>0</v>
      </c>
    </row>
    <row r="6385" spans="1:18" x14ac:dyDescent="0.25">
      <c r="A6385">
        <v>7384</v>
      </c>
      <c r="B6385">
        <v>94</v>
      </c>
      <c r="C6385">
        <v>31581695</v>
      </c>
      <c r="D6385" t="s">
        <v>172</v>
      </c>
      <c r="E6385">
        <v>53.372999999999998</v>
      </c>
      <c r="F6385" t="s">
        <v>21</v>
      </c>
      <c r="G6385" t="s">
        <v>26</v>
      </c>
      <c r="H6385" t="s">
        <v>21</v>
      </c>
      <c r="I6385" t="s">
        <v>20</v>
      </c>
      <c r="J6385" t="s">
        <v>20</v>
      </c>
      <c r="K6385" t="s">
        <v>27</v>
      </c>
      <c r="L6385" t="s">
        <v>230</v>
      </c>
      <c r="M6385" t="s">
        <v>174</v>
      </c>
      <c r="N6385">
        <v>39.548938999999997</v>
      </c>
      <c r="O6385">
        <v>-111.598933</v>
      </c>
      <c r="P6385">
        <v>5530.1814720000002</v>
      </c>
      <c r="Q6385">
        <v>1411</v>
      </c>
      <c r="R6385">
        <v>0</v>
      </c>
    </row>
    <row r="6386" spans="1:18" x14ac:dyDescent="0.25">
      <c r="A6386">
        <v>7385</v>
      </c>
      <c r="B6386">
        <v>94</v>
      </c>
      <c r="C6386">
        <v>28010294</v>
      </c>
      <c r="D6386" t="s">
        <v>281</v>
      </c>
      <c r="E6386">
        <v>53.417999999999999</v>
      </c>
      <c r="F6386" t="s">
        <v>21</v>
      </c>
      <c r="G6386" t="s">
        <v>26</v>
      </c>
      <c r="H6386" t="s">
        <v>21</v>
      </c>
      <c r="I6386" t="s">
        <v>20</v>
      </c>
      <c r="J6386" t="s">
        <v>20</v>
      </c>
      <c r="K6386" t="s">
        <v>31</v>
      </c>
      <c r="L6386" t="s">
        <v>282</v>
      </c>
      <c r="M6386" t="s">
        <v>174</v>
      </c>
      <c r="N6386">
        <v>40.517879999999998</v>
      </c>
      <c r="O6386">
        <v>-112.301693</v>
      </c>
      <c r="P6386">
        <v>5113.6283469999998</v>
      </c>
      <c r="Q6386">
        <v>1347</v>
      </c>
      <c r="R6386">
        <v>0</v>
      </c>
    </row>
    <row r="6387" spans="1:18" x14ac:dyDescent="0.25">
      <c r="A6387">
        <v>7386</v>
      </c>
      <c r="B6387">
        <v>94</v>
      </c>
      <c r="C6387" t="e">
        <f>-Ip0meX6G3DehPEVyWD3jk</f>
        <v>#NAME?</v>
      </c>
      <c r="D6387" t="s">
        <v>88</v>
      </c>
      <c r="E6387">
        <v>6.3140000000000001</v>
      </c>
      <c r="F6387" t="s">
        <v>21</v>
      </c>
      <c r="G6387" t="s">
        <v>20</v>
      </c>
      <c r="H6387" t="s">
        <v>21</v>
      </c>
      <c r="I6387" t="s">
        <v>20</v>
      </c>
      <c r="J6387" t="s">
        <v>20</v>
      </c>
      <c r="K6387" t="s">
        <v>31</v>
      </c>
      <c r="L6387" t="s">
        <v>89</v>
      </c>
      <c r="M6387" t="s">
        <v>90</v>
      </c>
      <c r="N6387">
        <v>40.531326999999997</v>
      </c>
      <c r="O6387">
        <v>-111.871163</v>
      </c>
      <c r="P6387">
        <v>4420.1656160000002</v>
      </c>
      <c r="Q6387">
        <v>318</v>
      </c>
      <c r="R6387">
        <v>0</v>
      </c>
    </row>
    <row r="6388" spans="1:18" x14ac:dyDescent="0.25">
      <c r="A6388">
        <v>7387</v>
      </c>
      <c r="B6388">
        <v>94</v>
      </c>
      <c r="C6388" t="e">
        <f>-Ip5MoaeFb5r_MIuezoxWk</f>
        <v>#NAME?</v>
      </c>
      <c r="D6388" t="s">
        <v>208</v>
      </c>
      <c r="E6388">
        <v>6.3140000000000001</v>
      </c>
      <c r="F6388" t="s">
        <v>19</v>
      </c>
      <c r="G6388" t="s">
        <v>20</v>
      </c>
      <c r="H6388" t="s">
        <v>21</v>
      </c>
      <c r="I6388" t="s">
        <v>20</v>
      </c>
      <c r="J6388" t="s">
        <v>20</v>
      </c>
      <c r="K6388" t="s">
        <v>31</v>
      </c>
      <c r="L6388" t="s">
        <v>209</v>
      </c>
      <c r="M6388" t="s">
        <v>131</v>
      </c>
      <c r="N6388">
        <v>40.662914000000001</v>
      </c>
      <c r="O6388">
        <v>-111.512799</v>
      </c>
      <c r="P6388">
        <v>6753.1903080000002</v>
      </c>
      <c r="Q6388">
        <v>357</v>
      </c>
      <c r="R6388">
        <v>0</v>
      </c>
    </row>
    <row r="6389" spans="1:18" x14ac:dyDescent="0.25">
      <c r="A6389">
        <v>7388</v>
      </c>
      <c r="B6389">
        <v>94</v>
      </c>
      <c r="C6389">
        <v>28002004</v>
      </c>
      <c r="D6389" t="s">
        <v>346</v>
      </c>
      <c r="E6389">
        <v>6.3179999999999996</v>
      </c>
      <c r="F6389" t="s">
        <v>21</v>
      </c>
      <c r="G6389" t="s">
        <v>20</v>
      </c>
      <c r="H6389" t="s">
        <v>21</v>
      </c>
      <c r="I6389" t="s">
        <v>20</v>
      </c>
      <c r="J6389" t="s">
        <v>20</v>
      </c>
      <c r="K6389" t="s">
        <v>27</v>
      </c>
      <c r="L6389" t="s">
        <v>307</v>
      </c>
      <c r="M6389" t="s">
        <v>159</v>
      </c>
      <c r="N6389">
        <v>39.728977999999998</v>
      </c>
      <c r="O6389">
        <v>-111.15740700000001</v>
      </c>
      <c r="P6389">
        <v>7628.0726979999999</v>
      </c>
      <c r="Q6389">
        <v>1389</v>
      </c>
      <c r="R6389">
        <v>0</v>
      </c>
    </row>
    <row r="6390" spans="1:18" x14ac:dyDescent="0.25">
      <c r="A6390">
        <v>7389</v>
      </c>
      <c r="B6390">
        <v>94</v>
      </c>
      <c r="C6390">
        <v>1027557</v>
      </c>
      <c r="D6390" t="s">
        <v>171</v>
      </c>
      <c r="E6390">
        <v>6.319</v>
      </c>
      <c r="F6390" t="s">
        <v>21</v>
      </c>
      <c r="G6390" t="s">
        <v>26</v>
      </c>
      <c r="H6390" t="s">
        <v>21</v>
      </c>
      <c r="I6390" t="s">
        <v>20</v>
      </c>
      <c r="J6390" t="s">
        <v>20</v>
      </c>
      <c r="K6390" t="s">
        <v>31</v>
      </c>
      <c r="L6390" t="s">
        <v>362</v>
      </c>
      <c r="M6390" t="s">
        <v>79</v>
      </c>
      <c r="N6390">
        <v>40.696539999999999</v>
      </c>
      <c r="O6390">
        <v>-111.971215</v>
      </c>
      <c r="P6390">
        <v>4208.8034690000004</v>
      </c>
      <c r="Q6390">
        <v>346</v>
      </c>
      <c r="R6390">
        <v>0</v>
      </c>
    </row>
    <row r="6391" spans="1:18" x14ac:dyDescent="0.25">
      <c r="A6391">
        <v>7390</v>
      </c>
      <c r="B6391">
        <v>94</v>
      </c>
      <c r="C6391">
        <v>823232</v>
      </c>
      <c r="D6391" t="s">
        <v>68</v>
      </c>
      <c r="E6391">
        <v>6.319</v>
      </c>
      <c r="F6391" t="s">
        <v>21</v>
      </c>
      <c r="G6391" t="s">
        <v>26</v>
      </c>
      <c r="H6391" t="s">
        <v>21</v>
      </c>
      <c r="I6391" t="s">
        <v>20</v>
      </c>
      <c r="J6391" t="s">
        <v>20</v>
      </c>
      <c r="K6391" t="s">
        <v>31</v>
      </c>
      <c r="L6391" t="s">
        <v>32</v>
      </c>
      <c r="M6391" t="s">
        <v>70</v>
      </c>
      <c r="N6391">
        <v>40.674263000000003</v>
      </c>
      <c r="O6391">
        <v>-111.83541099999999</v>
      </c>
      <c r="P6391">
        <v>4397.7047380000004</v>
      </c>
      <c r="Q6391">
        <v>431</v>
      </c>
      <c r="R6391">
        <v>0</v>
      </c>
    </row>
    <row r="6392" spans="1:18" x14ac:dyDescent="0.25">
      <c r="A6392">
        <v>7391</v>
      </c>
      <c r="B6392">
        <v>94</v>
      </c>
      <c r="C6392">
        <v>31389114</v>
      </c>
      <c r="D6392" t="s">
        <v>364</v>
      </c>
      <c r="E6392">
        <v>6.3339999999999996</v>
      </c>
      <c r="F6392" t="s">
        <v>21</v>
      </c>
      <c r="G6392" t="s">
        <v>26</v>
      </c>
      <c r="H6392" t="s">
        <v>21</v>
      </c>
      <c r="I6392" t="s">
        <v>20</v>
      </c>
      <c r="J6392" t="s">
        <v>20</v>
      </c>
      <c r="K6392" t="s">
        <v>22</v>
      </c>
      <c r="L6392" t="s">
        <v>140</v>
      </c>
      <c r="M6392" t="s">
        <v>85</v>
      </c>
      <c r="N6392">
        <v>40.098433999999997</v>
      </c>
      <c r="O6392">
        <v>-111.681039</v>
      </c>
      <c r="P6392">
        <v>4535.7952910000004</v>
      </c>
      <c r="Q6392">
        <v>1401</v>
      </c>
      <c r="R6392">
        <v>0</v>
      </c>
    </row>
    <row r="6393" spans="1:18" x14ac:dyDescent="0.25">
      <c r="A6393">
        <v>7392</v>
      </c>
      <c r="B6393">
        <v>94</v>
      </c>
      <c r="C6393">
        <v>536815</v>
      </c>
      <c r="D6393" t="s">
        <v>44</v>
      </c>
      <c r="E6393">
        <v>6.343</v>
      </c>
      <c r="F6393" t="s">
        <v>21</v>
      </c>
      <c r="G6393" t="s">
        <v>26</v>
      </c>
      <c r="H6393" t="s">
        <v>21</v>
      </c>
      <c r="I6393" t="s">
        <v>20</v>
      </c>
      <c r="J6393" t="s">
        <v>20</v>
      </c>
      <c r="K6393" t="s">
        <v>41</v>
      </c>
      <c r="L6393" t="s">
        <v>87</v>
      </c>
      <c r="M6393" t="s">
        <v>46</v>
      </c>
      <c r="N6393">
        <v>40.968904000000002</v>
      </c>
      <c r="O6393">
        <v>-111.883375</v>
      </c>
      <c r="P6393">
        <v>4282.821003</v>
      </c>
      <c r="Q6393">
        <v>1395</v>
      </c>
      <c r="R6393">
        <v>0</v>
      </c>
    </row>
    <row r="6394" spans="1:18" x14ac:dyDescent="0.25">
      <c r="A6394">
        <v>7393</v>
      </c>
      <c r="B6394">
        <v>94</v>
      </c>
      <c r="C6394">
        <v>31857584</v>
      </c>
      <c r="D6394" t="s">
        <v>312</v>
      </c>
      <c r="E6394">
        <v>63.128</v>
      </c>
      <c r="F6394" t="s">
        <v>21</v>
      </c>
      <c r="G6394" t="s">
        <v>26</v>
      </c>
      <c r="H6394" t="s">
        <v>21</v>
      </c>
      <c r="I6394" t="s">
        <v>20</v>
      </c>
      <c r="J6394" t="s">
        <v>20</v>
      </c>
      <c r="K6394" t="s">
        <v>27</v>
      </c>
      <c r="L6394" t="s">
        <v>173</v>
      </c>
      <c r="M6394" t="s">
        <v>313</v>
      </c>
      <c r="N6394">
        <v>39.243267000000003</v>
      </c>
      <c r="O6394">
        <v>-112.661075</v>
      </c>
      <c r="P6394">
        <v>4511.6820600000001</v>
      </c>
      <c r="Q6394">
        <v>255</v>
      </c>
      <c r="R6394">
        <v>0</v>
      </c>
    </row>
    <row r="6395" spans="1:18" x14ac:dyDescent="0.25">
      <c r="A6395">
        <v>7394</v>
      </c>
      <c r="B6395">
        <v>94</v>
      </c>
      <c r="C6395">
        <v>31780717</v>
      </c>
      <c r="D6395" t="s">
        <v>272</v>
      </c>
      <c r="E6395">
        <v>6.37</v>
      </c>
      <c r="F6395" t="s">
        <v>21</v>
      </c>
      <c r="G6395" t="s">
        <v>26</v>
      </c>
      <c r="H6395" t="s">
        <v>21</v>
      </c>
      <c r="I6395" t="s">
        <v>20</v>
      </c>
      <c r="J6395" t="s">
        <v>20</v>
      </c>
      <c r="K6395" t="s">
        <v>27</v>
      </c>
      <c r="L6395" t="s">
        <v>259</v>
      </c>
      <c r="M6395" t="s">
        <v>214</v>
      </c>
      <c r="N6395">
        <v>37.069479999999999</v>
      </c>
      <c r="O6395">
        <v>-111.649385</v>
      </c>
      <c r="P6395">
        <v>3964.7641509999999</v>
      </c>
      <c r="Q6395">
        <v>1384</v>
      </c>
      <c r="R6395">
        <v>0</v>
      </c>
    </row>
    <row r="6396" spans="1:18" x14ac:dyDescent="0.25">
      <c r="A6396">
        <v>7395</v>
      </c>
      <c r="B6396">
        <v>94</v>
      </c>
      <c r="C6396">
        <v>31607293</v>
      </c>
      <c r="D6396" t="s">
        <v>232</v>
      </c>
      <c r="E6396">
        <v>6.3739999999999997</v>
      </c>
      <c r="F6396" t="s">
        <v>21</v>
      </c>
      <c r="G6396" t="s">
        <v>26</v>
      </c>
      <c r="H6396" t="s">
        <v>21</v>
      </c>
      <c r="I6396" t="s">
        <v>20</v>
      </c>
      <c r="J6396" t="s">
        <v>20</v>
      </c>
      <c r="K6396" t="s">
        <v>31</v>
      </c>
      <c r="L6396" t="s">
        <v>130</v>
      </c>
      <c r="M6396" t="s">
        <v>131</v>
      </c>
      <c r="N6396">
        <v>40.660113000000003</v>
      </c>
      <c r="O6396">
        <v>-111.415237</v>
      </c>
      <c r="P6396">
        <v>6270.7515990000002</v>
      </c>
      <c r="Q6396">
        <v>1279</v>
      </c>
      <c r="R6396">
        <v>0</v>
      </c>
    </row>
    <row r="6397" spans="1:18" x14ac:dyDescent="0.25">
      <c r="A6397">
        <v>7396</v>
      </c>
      <c r="B6397">
        <v>94</v>
      </c>
      <c r="C6397">
        <v>31312027</v>
      </c>
      <c r="D6397" t="s">
        <v>40</v>
      </c>
      <c r="E6397">
        <v>6.3760000000000003</v>
      </c>
      <c r="F6397" t="s">
        <v>21</v>
      </c>
      <c r="G6397" t="s">
        <v>26</v>
      </c>
      <c r="H6397" t="s">
        <v>21</v>
      </c>
      <c r="I6397" t="s">
        <v>20</v>
      </c>
      <c r="J6397" t="s">
        <v>20</v>
      </c>
      <c r="K6397" t="s">
        <v>41</v>
      </c>
      <c r="L6397" t="s">
        <v>42</v>
      </c>
      <c r="M6397" t="s">
        <v>43</v>
      </c>
      <c r="N6397">
        <v>41.634346999999998</v>
      </c>
      <c r="O6397">
        <v>-111.824062</v>
      </c>
      <c r="P6397">
        <v>4758.1874319999997</v>
      </c>
      <c r="Q6397">
        <v>1391</v>
      </c>
      <c r="R6397">
        <v>0</v>
      </c>
    </row>
    <row r="6398" spans="1:18" x14ac:dyDescent="0.25">
      <c r="A6398">
        <v>7397</v>
      </c>
      <c r="B6398">
        <v>94</v>
      </c>
      <c r="C6398">
        <v>1049812</v>
      </c>
      <c r="D6398" t="s">
        <v>127</v>
      </c>
      <c r="E6398">
        <v>6.3760000000000003</v>
      </c>
      <c r="F6398" t="s">
        <v>21</v>
      </c>
      <c r="G6398" t="s">
        <v>26</v>
      </c>
      <c r="H6398" t="s">
        <v>21</v>
      </c>
      <c r="I6398" t="s">
        <v>20</v>
      </c>
      <c r="J6398" t="s">
        <v>20</v>
      </c>
      <c r="K6398" t="s">
        <v>41</v>
      </c>
      <c r="L6398" t="s">
        <v>95</v>
      </c>
      <c r="M6398" t="s">
        <v>73</v>
      </c>
      <c r="N6398">
        <v>41.976109000000001</v>
      </c>
      <c r="O6398">
        <v>-111.830603</v>
      </c>
      <c r="P6398">
        <v>4436.0956429999997</v>
      </c>
      <c r="Q6398">
        <v>1364</v>
      </c>
      <c r="R6398">
        <v>0</v>
      </c>
    </row>
    <row r="6399" spans="1:18" x14ac:dyDescent="0.25">
      <c r="A6399">
        <v>7398</v>
      </c>
      <c r="B6399">
        <v>94</v>
      </c>
      <c r="C6399">
        <v>31437736</v>
      </c>
      <c r="D6399" t="s">
        <v>221</v>
      </c>
      <c r="E6399">
        <v>41.892000000000003</v>
      </c>
      <c r="F6399" t="s">
        <v>21</v>
      </c>
      <c r="G6399" t="s">
        <v>26</v>
      </c>
      <c r="H6399" t="s">
        <v>21</v>
      </c>
      <c r="I6399" t="s">
        <v>20</v>
      </c>
      <c r="J6399" t="s">
        <v>20</v>
      </c>
      <c r="K6399" t="s">
        <v>22</v>
      </c>
      <c r="L6399" t="s">
        <v>155</v>
      </c>
      <c r="M6399" t="s">
        <v>174</v>
      </c>
      <c r="N6399">
        <v>39.726582999999998</v>
      </c>
      <c r="O6399">
        <v>-111.836106</v>
      </c>
      <c r="P6399">
        <v>5048.8220579999997</v>
      </c>
      <c r="Q6399">
        <v>1342</v>
      </c>
      <c r="R6399">
        <v>0</v>
      </c>
    </row>
    <row r="6400" spans="1:18" x14ac:dyDescent="0.25">
      <c r="A6400">
        <v>7399</v>
      </c>
      <c r="B6400">
        <v>94</v>
      </c>
      <c r="C6400" t="e">
        <f>-JN_6xoaGqaGjJ6hTkG5-k</f>
        <v>#NAME?</v>
      </c>
      <c r="D6400" t="s">
        <v>281</v>
      </c>
      <c r="E6400">
        <v>45.54</v>
      </c>
      <c r="F6400" t="s">
        <v>21</v>
      </c>
      <c r="G6400" t="s">
        <v>26</v>
      </c>
      <c r="H6400" t="s">
        <v>21</v>
      </c>
      <c r="I6400" t="s">
        <v>20</v>
      </c>
      <c r="J6400" t="s">
        <v>20</v>
      </c>
      <c r="K6400" t="s">
        <v>31</v>
      </c>
      <c r="L6400" t="s">
        <v>282</v>
      </c>
      <c r="M6400" t="s">
        <v>283</v>
      </c>
      <c r="N6400">
        <v>40.423665</v>
      </c>
      <c r="O6400">
        <v>-112.381113</v>
      </c>
      <c r="P6400">
        <v>4962.6947360000004</v>
      </c>
      <c r="Q6400">
        <v>1347</v>
      </c>
      <c r="R6400">
        <v>0</v>
      </c>
    </row>
    <row r="6401" spans="1:18" x14ac:dyDescent="0.25">
      <c r="A6401">
        <v>7400</v>
      </c>
      <c r="B6401">
        <v>94</v>
      </c>
      <c r="C6401">
        <v>31403103</v>
      </c>
      <c r="D6401" t="s">
        <v>124</v>
      </c>
      <c r="E6401">
        <v>45.540999999999997</v>
      </c>
      <c r="F6401" t="s">
        <v>21</v>
      </c>
      <c r="G6401" t="s">
        <v>26</v>
      </c>
      <c r="H6401" t="s">
        <v>21</v>
      </c>
      <c r="I6401" t="s">
        <v>20</v>
      </c>
      <c r="J6401" t="s">
        <v>20</v>
      </c>
      <c r="K6401" t="s">
        <v>31</v>
      </c>
      <c r="L6401" t="s">
        <v>48</v>
      </c>
      <c r="M6401" t="s">
        <v>125</v>
      </c>
      <c r="N6401">
        <v>40.569223999999998</v>
      </c>
      <c r="O6401">
        <v>-111.93866300000001</v>
      </c>
      <c r="P6401">
        <v>4404.5550300000004</v>
      </c>
      <c r="Q6401">
        <v>1368</v>
      </c>
      <c r="R6401">
        <v>0</v>
      </c>
    </row>
    <row r="6402" spans="1:18" x14ac:dyDescent="0.25">
      <c r="A6402">
        <v>7401</v>
      </c>
      <c r="B6402">
        <v>94</v>
      </c>
      <c r="C6402" t="s">
        <v>806</v>
      </c>
      <c r="D6402" t="s">
        <v>308</v>
      </c>
      <c r="E6402">
        <v>45.543999999999997</v>
      </c>
      <c r="F6402" t="s">
        <v>21</v>
      </c>
      <c r="G6402" t="s">
        <v>26</v>
      </c>
      <c r="H6402" t="s">
        <v>21</v>
      </c>
      <c r="I6402" t="s">
        <v>20</v>
      </c>
      <c r="J6402" t="s">
        <v>20</v>
      </c>
      <c r="K6402" t="s">
        <v>27</v>
      </c>
      <c r="L6402" t="s">
        <v>111</v>
      </c>
      <c r="M6402" t="s">
        <v>82</v>
      </c>
      <c r="N6402">
        <v>39.350479999999997</v>
      </c>
      <c r="O6402">
        <v>-111.000514</v>
      </c>
      <c r="P6402">
        <v>5875.0153710000004</v>
      </c>
      <c r="Q6402">
        <v>1344</v>
      </c>
      <c r="R6402">
        <v>0</v>
      </c>
    </row>
    <row r="6403" spans="1:18" x14ac:dyDescent="0.25">
      <c r="A6403">
        <v>7402</v>
      </c>
      <c r="B6403">
        <v>94</v>
      </c>
      <c r="C6403" t="s">
        <v>807</v>
      </c>
      <c r="D6403" t="s">
        <v>241</v>
      </c>
      <c r="E6403">
        <v>45.55</v>
      </c>
      <c r="F6403" t="s">
        <v>21</v>
      </c>
      <c r="G6403" t="s">
        <v>26</v>
      </c>
      <c r="H6403" t="s">
        <v>21</v>
      </c>
      <c r="I6403" t="s">
        <v>20</v>
      </c>
      <c r="J6403" t="s">
        <v>20</v>
      </c>
      <c r="K6403" t="s">
        <v>27</v>
      </c>
      <c r="L6403" t="s">
        <v>111</v>
      </c>
      <c r="M6403" t="s">
        <v>243</v>
      </c>
      <c r="N6403">
        <v>39.304868999999997</v>
      </c>
      <c r="O6403">
        <v>-110.964208</v>
      </c>
      <c r="P6403">
        <v>5641.2981449999997</v>
      </c>
      <c r="Q6403">
        <v>1327</v>
      </c>
      <c r="R6403">
        <v>0</v>
      </c>
    </row>
    <row r="6404" spans="1:18" x14ac:dyDescent="0.25">
      <c r="A6404">
        <v>7403</v>
      </c>
      <c r="B6404">
        <v>94</v>
      </c>
      <c r="C6404" t="s">
        <v>808</v>
      </c>
      <c r="D6404" t="s">
        <v>272</v>
      </c>
      <c r="E6404">
        <v>280.34399999999999</v>
      </c>
      <c r="F6404" t="s">
        <v>21</v>
      </c>
      <c r="G6404" t="s">
        <v>26</v>
      </c>
      <c r="H6404" t="s">
        <v>21</v>
      </c>
      <c r="I6404" t="s">
        <v>20</v>
      </c>
      <c r="J6404" t="s">
        <v>20</v>
      </c>
      <c r="K6404" t="s">
        <v>27</v>
      </c>
      <c r="L6404" t="s">
        <v>230</v>
      </c>
      <c r="M6404" t="s">
        <v>174</v>
      </c>
      <c r="N6404">
        <v>39.582633999999999</v>
      </c>
      <c r="O6404">
        <v>-111.454324</v>
      </c>
      <c r="P6404">
        <v>5754.2993409999999</v>
      </c>
      <c r="Q6404">
        <v>1384</v>
      </c>
      <c r="R6404">
        <v>0</v>
      </c>
    </row>
    <row r="6405" spans="1:18" x14ac:dyDescent="0.25">
      <c r="A6405">
        <v>7404</v>
      </c>
      <c r="B6405">
        <v>94</v>
      </c>
      <c r="C6405" t="s">
        <v>809</v>
      </c>
      <c r="D6405" t="s">
        <v>272</v>
      </c>
      <c r="E6405">
        <v>281.22800000000001</v>
      </c>
      <c r="F6405" t="s">
        <v>21</v>
      </c>
      <c r="G6405" t="s">
        <v>26</v>
      </c>
      <c r="H6405" t="s">
        <v>21</v>
      </c>
      <c r="I6405" t="s">
        <v>20</v>
      </c>
      <c r="J6405" t="s">
        <v>20</v>
      </c>
      <c r="K6405" t="s">
        <v>27</v>
      </c>
      <c r="L6405" t="s">
        <v>230</v>
      </c>
      <c r="M6405" t="s">
        <v>174</v>
      </c>
      <c r="N6405">
        <v>39.593969000000001</v>
      </c>
      <c r="O6405">
        <v>-111.44645</v>
      </c>
      <c r="P6405">
        <v>5806.3149050000002</v>
      </c>
      <c r="Q6405">
        <v>1384</v>
      </c>
      <c r="R6405">
        <v>0</v>
      </c>
    </row>
    <row r="6406" spans="1:18" x14ac:dyDescent="0.25">
      <c r="A6406">
        <v>7405</v>
      </c>
      <c r="B6406">
        <v>94</v>
      </c>
      <c r="C6406" t="s">
        <v>810</v>
      </c>
      <c r="D6406" t="s">
        <v>288</v>
      </c>
      <c r="E6406">
        <v>281.43</v>
      </c>
      <c r="F6406" t="s">
        <v>21</v>
      </c>
      <c r="G6406" t="s">
        <v>26</v>
      </c>
      <c r="H6406" t="s">
        <v>21</v>
      </c>
      <c r="I6406" t="s">
        <v>20</v>
      </c>
      <c r="J6406" t="s">
        <v>20</v>
      </c>
      <c r="K6406" t="s">
        <v>22</v>
      </c>
      <c r="L6406" t="s">
        <v>253</v>
      </c>
      <c r="M6406" t="s">
        <v>120</v>
      </c>
      <c r="N6406">
        <v>40.021272000000003</v>
      </c>
      <c r="O6406">
        <v>-110.55844500000001</v>
      </c>
      <c r="P6406">
        <v>6605.3596470000002</v>
      </c>
      <c r="Q6406">
        <v>350</v>
      </c>
      <c r="R6406">
        <v>0</v>
      </c>
    </row>
    <row r="6407" spans="1:18" x14ac:dyDescent="0.25">
      <c r="A6407">
        <v>7406</v>
      </c>
      <c r="B6407">
        <v>94</v>
      </c>
      <c r="C6407" t="e">
        <f>-IpiNQrEFaXpOPTOQYyivF</f>
        <v>#NAME?</v>
      </c>
      <c r="D6407" t="s">
        <v>272</v>
      </c>
      <c r="E6407">
        <v>282.00200000000001</v>
      </c>
      <c r="F6407" t="s">
        <v>21</v>
      </c>
      <c r="G6407" t="s">
        <v>26</v>
      </c>
      <c r="H6407" t="s">
        <v>21</v>
      </c>
      <c r="I6407" t="s">
        <v>20</v>
      </c>
      <c r="J6407" t="s">
        <v>20</v>
      </c>
      <c r="K6407" t="s">
        <v>27</v>
      </c>
      <c r="L6407" t="s">
        <v>230</v>
      </c>
      <c r="M6407" t="s">
        <v>174</v>
      </c>
      <c r="N6407">
        <v>39.604954999999997</v>
      </c>
      <c r="O6407">
        <v>-111.44473499999999</v>
      </c>
      <c r="P6407">
        <v>5811.9447229999996</v>
      </c>
      <c r="Q6407">
        <v>1384</v>
      </c>
      <c r="R6407">
        <v>0</v>
      </c>
    </row>
    <row r="6408" spans="1:18" x14ac:dyDescent="0.25">
      <c r="A6408">
        <v>7407</v>
      </c>
      <c r="B6408">
        <v>94</v>
      </c>
      <c r="C6408">
        <v>31483403</v>
      </c>
      <c r="D6408" t="s">
        <v>213</v>
      </c>
      <c r="E6408">
        <v>46.017000000000003</v>
      </c>
      <c r="F6408" t="s">
        <v>21</v>
      </c>
      <c r="G6408" t="s">
        <v>26</v>
      </c>
      <c r="H6408" t="s">
        <v>21</v>
      </c>
      <c r="I6408" t="s">
        <v>20</v>
      </c>
      <c r="J6408" t="s">
        <v>20</v>
      </c>
      <c r="K6408" t="s">
        <v>27</v>
      </c>
      <c r="L6408" t="s">
        <v>173</v>
      </c>
      <c r="M6408" t="s">
        <v>214</v>
      </c>
      <c r="N6408">
        <v>39.059088000000003</v>
      </c>
      <c r="O6408">
        <v>-113.24930500000001</v>
      </c>
      <c r="P6408">
        <v>4704.3883770000002</v>
      </c>
      <c r="Q6408">
        <v>1332</v>
      </c>
      <c r="R6408">
        <v>0</v>
      </c>
    </row>
    <row r="6409" spans="1:18" x14ac:dyDescent="0.25">
      <c r="A6409">
        <v>7408</v>
      </c>
      <c r="B6409">
        <v>94</v>
      </c>
      <c r="C6409">
        <v>31441794</v>
      </c>
      <c r="D6409" t="s">
        <v>220</v>
      </c>
      <c r="E6409">
        <v>46.02</v>
      </c>
      <c r="F6409" t="s">
        <v>21</v>
      </c>
      <c r="G6409" t="s">
        <v>20</v>
      </c>
      <c r="H6409" t="s">
        <v>21</v>
      </c>
      <c r="I6409" t="s">
        <v>20</v>
      </c>
      <c r="J6409" t="s">
        <v>20</v>
      </c>
      <c r="K6409" t="s">
        <v>27</v>
      </c>
      <c r="L6409" t="s">
        <v>28</v>
      </c>
      <c r="M6409" t="s">
        <v>366</v>
      </c>
      <c r="N6409">
        <v>37.695194999999998</v>
      </c>
      <c r="O6409">
        <v>-111.795018</v>
      </c>
      <c r="P6409">
        <v>6934.0577940000003</v>
      </c>
      <c r="Q6409">
        <v>1328</v>
      </c>
      <c r="R6409">
        <v>0</v>
      </c>
    </row>
    <row r="6410" spans="1:18" x14ac:dyDescent="0.25">
      <c r="A6410">
        <v>7409</v>
      </c>
      <c r="B6410">
        <v>94</v>
      </c>
      <c r="C6410">
        <v>31330309</v>
      </c>
      <c r="D6410" t="s">
        <v>288</v>
      </c>
      <c r="E6410">
        <v>46.02</v>
      </c>
      <c r="F6410" t="s">
        <v>21</v>
      </c>
      <c r="G6410" t="s">
        <v>20</v>
      </c>
      <c r="H6410" t="s">
        <v>21</v>
      </c>
      <c r="I6410" t="s">
        <v>20</v>
      </c>
      <c r="J6410" t="s">
        <v>20</v>
      </c>
      <c r="K6410" t="s">
        <v>27</v>
      </c>
      <c r="L6410" t="s">
        <v>327</v>
      </c>
      <c r="M6410" t="s">
        <v>212</v>
      </c>
      <c r="N6410">
        <v>37.555560999999997</v>
      </c>
      <c r="O6410">
        <v>-109.48953</v>
      </c>
      <c r="P6410">
        <v>5606.4996849999998</v>
      </c>
      <c r="Q6410">
        <v>350</v>
      </c>
      <c r="R6410">
        <v>0</v>
      </c>
    </row>
    <row r="6411" spans="1:18" x14ac:dyDescent="0.25">
      <c r="A6411">
        <v>7410</v>
      </c>
      <c r="B6411">
        <v>94</v>
      </c>
      <c r="C6411">
        <v>31403448</v>
      </c>
      <c r="D6411" t="s">
        <v>124</v>
      </c>
      <c r="E6411">
        <v>46.036999999999999</v>
      </c>
      <c r="F6411" t="s">
        <v>21</v>
      </c>
      <c r="G6411" t="s">
        <v>26</v>
      </c>
      <c r="H6411" t="s">
        <v>21</v>
      </c>
      <c r="I6411" t="s">
        <v>20</v>
      </c>
      <c r="J6411" t="s">
        <v>20</v>
      </c>
      <c r="K6411" t="s">
        <v>31</v>
      </c>
      <c r="L6411" t="s">
        <v>48</v>
      </c>
      <c r="M6411" t="s">
        <v>125</v>
      </c>
      <c r="N6411">
        <v>40.576441000000003</v>
      </c>
      <c r="O6411">
        <v>-111.93869100000001</v>
      </c>
      <c r="P6411">
        <v>4378.7447579999998</v>
      </c>
      <c r="Q6411">
        <v>1368</v>
      </c>
      <c r="R6411">
        <v>0</v>
      </c>
    </row>
    <row r="6412" spans="1:18" x14ac:dyDescent="0.25">
      <c r="A6412">
        <v>7411</v>
      </c>
      <c r="B6412">
        <v>94</v>
      </c>
      <c r="C6412">
        <v>31403559</v>
      </c>
      <c r="D6412" t="s">
        <v>124</v>
      </c>
      <c r="E6412">
        <v>46.084000000000003</v>
      </c>
      <c r="F6412" t="s">
        <v>21</v>
      </c>
      <c r="G6412" t="s">
        <v>26</v>
      </c>
      <c r="H6412" t="s">
        <v>21</v>
      </c>
      <c r="I6412" t="s">
        <v>20</v>
      </c>
      <c r="J6412" t="s">
        <v>20</v>
      </c>
      <c r="K6412" t="s">
        <v>31</v>
      </c>
      <c r="L6412" t="s">
        <v>48</v>
      </c>
      <c r="M6412" t="s">
        <v>125</v>
      </c>
      <c r="N6412">
        <v>40.577108000000003</v>
      </c>
      <c r="O6412">
        <v>-111.938686</v>
      </c>
      <c r="P6412">
        <v>4375.9979139999996</v>
      </c>
      <c r="Q6412">
        <v>1368</v>
      </c>
      <c r="R6412">
        <v>0</v>
      </c>
    </row>
    <row r="6413" spans="1:18" x14ac:dyDescent="0.25">
      <c r="A6413">
        <v>7412</v>
      </c>
      <c r="B6413">
        <v>94</v>
      </c>
      <c r="C6413" t="s">
        <v>811</v>
      </c>
      <c r="D6413" t="s">
        <v>124</v>
      </c>
      <c r="E6413">
        <v>46.094000000000001</v>
      </c>
      <c r="F6413" t="s">
        <v>21</v>
      </c>
      <c r="G6413" t="s">
        <v>26</v>
      </c>
      <c r="H6413" t="s">
        <v>21</v>
      </c>
      <c r="I6413" t="s">
        <v>20</v>
      </c>
      <c r="J6413" t="s">
        <v>20</v>
      </c>
      <c r="K6413" t="s">
        <v>31</v>
      </c>
      <c r="L6413" t="s">
        <v>48</v>
      </c>
      <c r="M6413" t="s">
        <v>125</v>
      </c>
      <c r="N6413">
        <v>40.577255000000001</v>
      </c>
      <c r="O6413">
        <v>-111.938689</v>
      </c>
      <c r="P6413">
        <v>4375.8077080000003</v>
      </c>
      <c r="Q6413">
        <v>1368</v>
      </c>
      <c r="R6413">
        <v>0</v>
      </c>
    </row>
    <row r="6414" spans="1:18" x14ac:dyDescent="0.25">
      <c r="A6414">
        <v>7413</v>
      </c>
      <c r="B6414">
        <v>94</v>
      </c>
      <c r="C6414">
        <v>31403581</v>
      </c>
      <c r="D6414" t="s">
        <v>124</v>
      </c>
      <c r="E6414">
        <v>46.167000000000002</v>
      </c>
      <c r="F6414" t="s">
        <v>21</v>
      </c>
      <c r="G6414" t="s">
        <v>26</v>
      </c>
      <c r="H6414" t="s">
        <v>21</v>
      </c>
      <c r="I6414" t="s">
        <v>20</v>
      </c>
      <c r="J6414" t="s">
        <v>20</v>
      </c>
      <c r="K6414" t="s">
        <v>31</v>
      </c>
      <c r="L6414" t="s">
        <v>48</v>
      </c>
      <c r="M6414" t="s">
        <v>125</v>
      </c>
      <c r="N6414">
        <v>40.578327999999999</v>
      </c>
      <c r="O6414">
        <v>-111.938694</v>
      </c>
      <c r="P6414">
        <v>4371.0778810000002</v>
      </c>
      <c r="Q6414">
        <v>1368</v>
      </c>
      <c r="R6414">
        <v>0</v>
      </c>
    </row>
    <row r="6415" spans="1:18" x14ac:dyDescent="0.25">
      <c r="A6415">
        <v>7414</v>
      </c>
      <c r="B6415">
        <v>94</v>
      </c>
      <c r="C6415">
        <v>27730536</v>
      </c>
      <c r="D6415" t="s">
        <v>217</v>
      </c>
      <c r="E6415">
        <v>46.238</v>
      </c>
      <c r="F6415" t="s">
        <v>21</v>
      </c>
      <c r="G6415" t="s">
        <v>26</v>
      </c>
      <c r="H6415" t="s">
        <v>21</v>
      </c>
      <c r="I6415" t="s">
        <v>20</v>
      </c>
      <c r="J6415" t="s">
        <v>20</v>
      </c>
      <c r="K6415" t="s">
        <v>27</v>
      </c>
      <c r="L6415" t="s">
        <v>162</v>
      </c>
      <c r="M6415" t="s">
        <v>163</v>
      </c>
      <c r="N6415">
        <v>37.641182000000001</v>
      </c>
      <c r="O6415">
        <v>-113.661196</v>
      </c>
      <c r="P6415">
        <v>5146.1668390000004</v>
      </c>
      <c r="Q6415">
        <v>304</v>
      </c>
      <c r="R6415">
        <v>0</v>
      </c>
    </row>
    <row r="6416" spans="1:18" x14ac:dyDescent="0.25">
      <c r="A6416">
        <v>7415</v>
      </c>
      <c r="B6416">
        <v>94</v>
      </c>
      <c r="C6416">
        <v>31403592</v>
      </c>
      <c r="D6416" t="s">
        <v>124</v>
      </c>
      <c r="E6416">
        <v>46.256999999999998</v>
      </c>
      <c r="F6416" t="s">
        <v>21</v>
      </c>
      <c r="G6416" t="s">
        <v>26</v>
      </c>
      <c r="H6416" t="s">
        <v>21</v>
      </c>
      <c r="I6416" t="s">
        <v>20</v>
      </c>
      <c r="J6416" t="s">
        <v>20</v>
      </c>
      <c r="K6416" t="s">
        <v>31</v>
      </c>
      <c r="L6416" t="s">
        <v>48</v>
      </c>
      <c r="M6416" t="s">
        <v>125</v>
      </c>
      <c r="N6416">
        <v>40.579630000000002</v>
      </c>
      <c r="O6416">
        <v>-111.938699</v>
      </c>
      <c r="P6416">
        <v>4366.9986609999996</v>
      </c>
      <c r="Q6416">
        <v>1368</v>
      </c>
      <c r="R6416">
        <v>0</v>
      </c>
    </row>
    <row r="6417" spans="1:18" x14ac:dyDescent="0.25">
      <c r="A6417">
        <v>7416</v>
      </c>
      <c r="B6417">
        <v>94</v>
      </c>
      <c r="C6417">
        <v>31330320</v>
      </c>
      <c r="D6417" t="s">
        <v>288</v>
      </c>
      <c r="E6417">
        <v>46.274000000000001</v>
      </c>
      <c r="F6417" t="s">
        <v>21</v>
      </c>
      <c r="G6417" t="s">
        <v>20</v>
      </c>
      <c r="H6417" t="s">
        <v>21</v>
      </c>
      <c r="I6417" t="s">
        <v>20</v>
      </c>
      <c r="J6417" t="s">
        <v>20</v>
      </c>
      <c r="K6417" t="s">
        <v>27</v>
      </c>
      <c r="L6417" t="s">
        <v>327</v>
      </c>
      <c r="M6417" t="s">
        <v>212</v>
      </c>
      <c r="N6417">
        <v>37.559241</v>
      </c>
      <c r="O6417">
        <v>-109.489496</v>
      </c>
      <c r="P6417">
        <v>5627.1111540000002</v>
      </c>
      <c r="Q6417">
        <v>350</v>
      </c>
      <c r="R6417">
        <v>0</v>
      </c>
    </row>
    <row r="6418" spans="1:18" x14ac:dyDescent="0.25">
      <c r="A6418">
        <v>7417</v>
      </c>
      <c r="B6418">
        <v>94</v>
      </c>
      <c r="C6418">
        <v>31403653</v>
      </c>
      <c r="D6418" t="s">
        <v>124</v>
      </c>
      <c r="E6418">
        <v>46.314999999999998</v>
      </c>
      <c r="F6418" t="s">
        <v>21</v>
      </c>
      <c r="G6418" t="s">
        <v>26</v>
      </c>
      <c r="H6418" t="s">
        <v>21</v>
      </c>
      <c r="I6418" t="s">
        <v>20</v>
      </c>
      <c r="J6418" t="s">
        <v>20</v>
      </c>
      <c r="K6418" t="s">
        <v>31</v>
      </c>
      <c r="L6418" t="s">
        <v>48</v>
      </c>
      <c r="M6418" t="s">
        <v>125</v>
      </c>
      <c r="N6418">
        <v>40.580463999999999</v>
      </c>
      <c r="O6418">
        <v>-111.938704</v>
      </c>
      <c r="P6418">
        <v>4364.3900670000003</v>
      </c>
      <c r="Q6418">
        <v>1368</v>
      </c>
      <c r="R6418">
        <v>0</v>
      </c>
    </row>
    <row r="6419" spans="1:18" x14ac:dyDescent="0.25">
      <c r="A6419">
        <v>7418</v>
      </c>
      <c r="B6419">
        <v>94</v>
      </c>
      <c r="C6419">
        <v>31579553</v>
      </c>
      <c r="D6419" t="s">
        <v>172</v>
      </c>
      <c r="E6419">
        <v>46.393000000000001</v>
      </c>
      <c r="F6419" t="s">
        <v>21</v>
      </c>
      <c r="G6419" t="s">
        <v>26</v>
      </c>
      <c r="H6419" t="s">
        <v>21</v>
      </c>
      <c r="I6419" t="s">
        <v>20</v>
      </c>
      <c r="J6419" t="s">
        <v>20</v>
      </c>
      <c r="K6419" t="s">
        <v>27</v>
      </c>
      <c r="L6419" t="s">
        <v>230</v>
      </c>
      <c r="M6419" t="s">
        <v>174</v>
      </c>
      <c r="N6419">
        <v>39.643825999999997</v>
      </c>
      <c r="O6419">
        <v>-111.63843900000001</v>
      </c>
      <c r="P6419">
        <v>5990.914726</v>
      </c>
      <c r="Q6419">
        <v>1411</v>
      </c>
      <c r="R6419">
        <v>0</v>
      </c>
    </row>
    <row r="6420" spans="1:18" x14ac:dyDescent="0.25">
      <c r="A6420">
        <v>7419</v>
      </c>
      <c r="B6420">
        <v>94</v>
      </c>
      <c r="C6420" t="e">
        <f>-IozywRyINqWtXdRaxcmPV</f>
        <v>#NAME?</v>
      </c>
      <c r="D6420" t="s">
        <v>203</v>
      </c>
      <c r="E6420">
        <v>46.417999999999999</v>
      </c>
      <c r="F6420" t="s">
        <v>21</v>
      </c>
      <c r="G6420" t="s">
        <v>20</v>
      </c>
      <c r="H6420" t="s">
        <v>21</v>
      </c>
      <c r="I6420" t="s">
        <v>20</v>
      </c>
      <c r="J6420" t="s">
        <v>20</v>
      </c>
      <c r="K6420" t="s">
        <v>41</v>
      </c>
      <c r="L6420" t="s">
        <v>325</v>
      </c>
      <c r="M6420" t="s">
        <v>204</v>
      </c>
      <c r="N6420">
        <v>41.447709000000003</v>
      </c>
      <c r="O6420">
        <v>-111.50346500000001</v>
      </c>
      <c r="P6420">
        <v>8910.0713209999994</v>
      </c>
      <c r="Q6420">
        <v>1349</v>
      </c>
      <c r="R6420">
        <v>0</v>
      </c>
    </row>
    <row r="6421" spans="1:18" x14ac:dyDescent="0.25">
      <c r="A6421">
        <v>7420</v>
      </c>
      <c r="B6421">
        <v>94</v>
      </c>
      <c r="C6421">
        <v>31403664</v>
      </c>
      <c r="D6421" t="s">
        <v>124</v>
      </c>
      <c r="E6421">
        <v>46.435000000000002</v>
      </c>
      <c r="F6421" t="s">
        <v>21</v>
      </c>
      <c r="G6421" t="s">
        <v>26</v>
      </c>
      <c r="H6421" t="s">
        <v>21</v>
      </c>
      <c r="I6421" t="s">
        <v>20</v>
      </c>
      <c r="J6421" t="s">
        <v>20</v>
      </c>
      <c r="K6421" t="s">
        <v>31</v>
      </c>
      <c r="L6421" t="s">
        <v>48</v>
      </c>
      <c r="M6421" t="s">
        <v>125</v>
      </c>
      <c r="N6421">
        <v>40.582210000000003</v>
      </c>
      <c r="O6421">
        <v>-111.938709</v>
      </c>
      <c r="P6421">
        <v>4361.1654170000002</v>
      </c>
      <c r="Q6421">
        <v>1368</v>
      </c>
      <c r="R6421">
        <v>0</v>
      </c>
    </row>
    <row r="6422" spans="1:18" x14ac:dyDescent="0.25">
      <c r="A6422">
        <v>7421</v>
      </c>
      <c r="B6422">
        <v>94</v>
      </c>
      <c r="C6422" t="e">
        <f>-Iozyz3uIV5RyY8I4oftrk</f>
        <v>#NAME?</v>
      </c>
      <c r="D6422" t="s">
        <v>203</v>
      </c>
      <c r="E6422">
        <v>46.438000000000002</v>
      </c>
      <c r="F6422" t="s">
        <v>21</v>
      </c>
      <c r="G6422" t="s">
        <v>20</v>
      </c>
      <c r="H6422" t="s">
        <v>21</v>
      </c>
      <c r="I6422" t="s">
        <v>20</v>
      </c>
      <c r="J6422" t="s">
        <v>20</v>
      </c>
      <c r="K6422" t="s">
        <v>41</v>
      </c>
      <c r="L6422" t="s">
        <v>325</v>
      </c>
      <c r="M6422" t="s">
        <v>204</v>
      </c>
      <c r="N6422">
        <v>41.447913</v>
      </c>
      <c r="O6422">
        <v>-111.503192</v>
      </c>
      <c r="P6422">
        <v>8907.9325270000008</v>
      </c>
      <c r="Q6422">
        <v>1349</v>
      </c>
      <c r="R6422">
        <v>0</v>
      </c>
    </row>
    <row r="6423" spans="1:18" x14ac:dyDescent="0.25">
      <c r="A6423">
        <v>7422</v>
      </c>
      <c r="B6423">
        <v>94</v>
      </c>
      <c r="C6423">
        <v>31311629</v>
      </c>
      <c r="D6423" t="s">
        <v>203</v>
      </c>
      <c r="E6423">
        <v>53.042000000000002</v>
      </c>
      <c r="F6423" t="s">
        <v>21</v>
      </c>
      <c r="G6423" t="s">
        <v>20</v>
      </c>
      <c r="H6423" t="s">
        <v>21</v>
      </c>
      <c r="I6423" t="s">
        <v>20</v>
      </c>
      <c r="J6423" t="s">
        <v>20</v>
      </c>
      <c r="K6423" t="s">
        <v>41</v>
      </c>
      <c r="L6423" t="s">
        <v>325</v>
      </c>
      <c r="M6423" t="s">
        <v>204</v>
      </c>
      <c r="N6423">
        <v>41.482917999999998</v>
      </c>
      <c r="O6423">
        <v>-111.416833</v>
      </c>
      <c r="P6423">
        <v>7694.239662</v>
      </c>
      <c r="Q6423">
        <v>1349</v>
      </c>
      <c r="R6423">
        <v>0</v>
      </c>
    </row>
    <row r="6424" spans="1:18" x14ac:dyDescent="0.25">
      <c r="A6424">
        <v>7423</v>
      </c>
      <c r="B6424">
        <v>94</v>
      </c>
      <c r="C6424">
        <v>31582611</v>
      </c>
      <c r="D6424" t="s">
        <v>172</v>
      </c>
      <c r="E6424">
        <v>55.094999999999999</v>
      </c>
      <c r="F6424" t="s">
        <v>21</v>
      </c>
      <c r="G6424" t="s">
        <v>26</v>
      </c>
      <c r="H6424" t="s">
        <v>21</v>
      </c>
      <c r="I6424" t="s">
        <v>20</v>
      </c>
      <c r="J6424" t="s">
        <v>20</v>
      </c>
      <c r="K6424" t="s">
        <v>27</v>
      </c>
      <c r="L6424" t="s">
        <v>230</v>
      </c>
      <c r="M6424" t="s">
        <v>174</v>
      </c>
      <c r="N6424">
        <v>39.525087999999997</v>
      </c>
      <c r="O6424">
        <v>-111.590278</v>
      </c>
      <c r="P6424">
        <v>5473.5245260000002</v>
      </c>
      <c r="Q6424">
        <v>1411</v>
      </c>
      <c r="R6424">
        <v>0</v>
      </c>
    </row>
    <row r="6425" spans="1:18" x14ac:dyDescent="0.25">
      <c r="A6425">
        <v>7424</v>
      </c>
      <c r="B6425">
        <v>94</v>
      </c>
      <c r="C6425">
        <v>31499201</v>
      </c>
      <c r="D6425" t="s">
        <v>124</v>
      </c>
      <c r="E6425">
        <v>55.094999999999999</v>
      </c>
      <c r="F6425" t="s">
        <v>21</v>
      </c>
      <c r="G6425" t="s">
        <v>26</v>
      </c>
      <c r="H6425" t="s">
        <v>21</v>
      </c>
      <c r="I6425" t="s">
        <v>20</v>
      </c>
      <c r="J6425" t="s">
        <v>20</v>
      </c>
      <c r="K6425" t="s">
        <v>31</v>
      </c>
      <c r="L6425" t="s">
        <v>362</v>
      </c>
      <c r="M6425" t="s">
        <v>125</v>
      </c>
      <c r="N6425">
        <v>40.708064</v>
      </c>
      <c r="O6425">
        <v>-111.938953</v>
      </c>
      <c r="P6425">
        <v>4184.7878790000004</v>
      </c>
      <c r="Q6425">
        <v>1368</v>
      </c>
      <c r="R6425">
        <v>0</v>
      </c>
    </row>
    <row r="6426" spans="1:18" x14ac:dyDescent="0.25">
      <c r="A6426">
        <v>7425</v>
      </c>
      <c r="B6426">
        <v>94</v>
      </c>
      <c r="C6426">
        <v>31348866</v>
      </c>
      <c r="D6426" t="s">
        <v>288</v>
      </c>
      <c r="E6426">
        <v>55.097999999999999</v>
      </c>
      <c r="F6426" t="s">
        <v>21</v>
      </c>
      <c r="G6426" t="s">
        <v>26</v>
      </c>
      <c r="H6426" t="s">
        <v>21</v>
      </c>
      <c r="I6426" t="s">
        <v>20</v>
      </c>
      <c r="J6426" t="s">
        <v>20</v>
      </c>
      <c r="K6426" t="s">
        <v>27</v>
      </c>
      <c r="L6426" t="s">
        <v>146</v>
      </c>
      <c r="M6426" t="s">
        <v>147</v>
      </c>
      <c r="N6426">
        <v>37.663262000000003</v>
      </c>
      <c r="O6426">
        <v>-109.434533</v>
      </c>
      <c r="P6426">
        <v>6014.9797859999999</v>
      </c>
      <c r="Q6426">
        <v>350</v>
      </c>
      <c r="R6426">
        <v>0</v>
      </c>
    </row>
    <row r="6427" spans="1:18" x14ac:dyDescent="0.25">
      <c r="A6427">
        <v>7426</v>
      </c>
      <c r="B6427">
        <v>94</v>
      </c>
      <c r="C6427">
        <v>31582622</v>
      </c>
      <c r="D6427" t="s">
        <v>172</v>
      </c>
      <c r="E6427">
        <v>55.140999999999998</v>
      </c>
      <c r="F6427" t="s">
        <v>21</v>
      </c>
      <c r="G6427" t="s">
        <v>26</v>
      </c>
      <c r="H6427" t="s">
        <v>21</v>
      </c>
      <c r="I6427" t="s">
        <v>20</v>
      </c>
      <c r="J6427" t="s">
        <v>20</v>
      </c>
      <c r="K6427" t="s">
        <v>27</v>
      </c>
      <c r="L6427" t="s">
        <v>230</v>
      </c>
      <c r="M6427" t="s">
        <v>174</v>
      </c>
      <c r="N6427">
        <v>39.524929</v>
      </c>
      <c r="O6427">
        <v>-111.58941799999999</v>
      </c>
      <c r="P6427">
        <v>5480.6510369999996</v>
      </c>
      <c r="Q6427">
        <v>1411</v>
      </c>
      <c r="R6427">
        <v>0</v>
      </c>
    </row>
    <row r="6428" spans="1:18" x14ac:dyDescent="0.25">
      <c r="A6428">
        <v>7427</v>
      </c>
      <c r="B6428">
        <v>94</v>
      </c>
      <c r="C6428">
        <v>31499362</v>
      </c>
      <c r="D6428" t="s">
        <v>124</v>
      </c>
      <c r="E6428">
        <v>55.156999999999996</v>
      </c>
      <c r="F6428" t="s">
        <v>21</v>
      </c>
      <c r="G6428" t="s">
        <v>26</v>
      </c>
      <c r="H6428" t="s">
        <v>21</v>
      </c>
      <c r="I6428" t="s">
        <v>20</v>
      </c>
      <c r="J6428" t="s">
        <v>20</v>
      </c>
      <c r="K6428" t="s">
        <v>31</v>
      </c>
      <c r="L6428" t="s">
        <v>362</v>
      </c>
      <c r="M6428" t="s">
        <v>125</v>
      </c>
      <c r="N6428">
        <v>40.708962</v>
      </c>
      <c r="O6428">
        <v>-111.93895500000001</v>
      </c>
      <c r="P6428">
        <v>4184.5857999999998</v>
      </c>
      <c r="Q6428">
        <v>1368</v>
      </c>
      <c r="R6428">
        <v>0</v>
      </c>
    </row>
    <row r="6429" spans="1:18" x14ac:dyDescent="0.25">
      <c r="A6429">
        <v>7428</v>
      </c>
      <c r="B6429">
        <v>94</v>
      </c>
      <c r="C6429">
        <v>28024259</v>
      </c>
      <c r="D6429" t="s">
        <v>281</v>
      </c>
      <c r="E6429">
        <v>55.180999999999997</v>
      </c>
      <c r="F6429" t="s">
        <v>19</v>
      </c>
      <c r="G6429" t="s">
        <v>20</v>
      </c>
      <c r="H6429" t="s">
        <v>21</v>
      </c>
      <c r="I6429" t="s">
        <v>20</v>
      </c>
      <c r="J6429" t="s">
        <v>20</v>
      </c>
      <c r="K6429" t="s">
        <v>31</v>
      </c>
      <c r="L6429" t="s">
        <v>282</v>
      </c>
      <c r="M6429" t="s">
        <v>174</v>
      </c>
      <c r="N6429">
        <v>40.542541</v>
      </c>
      <c r="O6429">
        <v>-112.298337</v>
      </c>
      <c r="P6429">
        <v>4870.7639650000001</v>
      </c>
      <c r="Q6429">
        <v>1347</v>
      </c>
      <c r="R6429">
        <v>0</v>
      </c>
    </row>
    <row r="6430" spans="1:18" x14ac:dyDescent="0.25">
      <c r="A6430">
        <v>7429</v>
      </c>
      <c r="B6430">
        <v>94</v>
      </c>
      <c r="C6430">
        <v>31499373</v>
      </c>
      <c r="D6430" t="s">
        <v>124</v>
      </c>
      <c r="E6430">
        <v>55.216000000000001</v>
      </c>
      <c r="F6430" t="s">
        <v>21</v>
      </c>
      <c r="G6430" t="s">
        <v>26</v>
      </c>
      <c r="H6430" t="s">
        <v>21</v>
      </c>
      <c r="I6430" t="s">
        <v>20</v>
      </c>
      <c r="J6430" t="s">
        <v>20</v>
      </c>
      <c r="K6430" t="s">
        <v>31</v>
      </c>
      <c r="L6430" t="s">
        <v>362</v>
      </c>
      <c r="M6430" t="s">
        <v>125</v>
      </c>
      <c r="N6430">
        <v>40.709817999999999</v>
      </c>
      <c r="O6430">
        <v>-111.938953</v>
      </c>
      <c r="P6430">
        <v>4184.7665559999996</v>
      </c>
      <c r="Q6430">
        <v>1368</v>
      </c>
      <c r="R6430">
        <v>0</v>
      </c>
    </row>
    <row r="6431" spans="1:18" x14ac:dyDescent="0.25">
      <c r="A6431">
        <v>7430</v>
      </c>
      <c r="B6431">
        <v>94</v>
      </c>
      <c r="C6431">
        <v>31582633</v>
      </c>
      <c r="D6431" t="s">
        <v>172</v>
      </c>
      <c r="E6431">
        <v>55.24</v>
      </c>
      <c r="F6431" t="s">
        <v>21</v>
      </c>
      <c r="G6431" t="s">
        <v>26</v>
      </c>
      <c r="H6431" t="s">
        <v>21</v>
      </c>
      <c r="I6431" t="s">
        <v>20</v>
      </c>
      <c r="J6431" t="s">
        <v>20</v>
      </c>
      <c r="K6431" t="s">
        <v>27</v>
      </c>
      <c r="L6431" t="s">
        <v>230</v>
      </c>
      <c r="M6431" t="s">
        <v>174</v>
      </c>
      <c r="N6431">
        <v>39.524925000000003</v>
      </c>
      <c r="O6431">
        <v>-111.58754500000001</v>
      </c>
      <c r="P6431">
        <v>5507.8391929999998</v>
      </c>
      <c r="Q6431">
        <v>1411</v>
      </c>
      <c r="R6431">
        <v>0</v>
      </c>
    </row>
    <row r="6432" spans="1:18" x14ac:dyDescent="0.25">
      <c r="A6432">
        <v>7431</v>
      </c>
      <c r="B6432">
        <v>94</v>
      </c>
      <c r="C6432" t="e">
        <f>-JNWiD0mFgTxQgu1bwKqak</f>
        <v>#NAME?</v>
      </c>
      <c r="D6432" t="s">
        <v>128</v>
      </c>
      <c r="E6432">
        <v>6.5590000000000002</v>
      </c>
      <c r="F6432" t="s">
        <v>21</v>
      </c>
      <c r="G6432" t="s">
        <v>26</v>
      </c>
      <c r="H6432" t="s">
        <v>21</v>
      </c>
      <c r="I6432" t="s">
        <v>20</v>
      </c>
      <c r="J6432" t="s">
        <v>20</v>
      </c>
      <c r="K6432" t="s">
        <v>41</v>
      </c>
      <c r="L6432" t="s">
        <v>95</v>
      </c>
      <c r="M6432" t="s">
        <v>73</v>
      </c>
      <c r="N6432">
        <v>41.777813999999999</v>
      </c>
      <c r="O6432">
        <v>-111.838718</v>
      </c>
      <c r="P6432">
        <v>4420.3819670000003</v>
      </c>
      <c r="Q6432">
        <v>5943</v>
      </c>
      <c r="R6432">
        <v>0</v>
      </c>
    </row>
    <row r="6433" spans="1:18" x14ac:dyDescent="0.25">
      <c r="A6433">
        <v>7432</v>
      </c>
      <c r="B6433">
        <v>94</v>
      </c>
      <c r="C6433">
        <v>31195363</v>
      </c>
      <c r="D6433" t="s">
        <v>395</v>
      </c>
      <c r="E6433">
        <v>6.5640000000000001</v>
      </c>
      <c r="F6433" t="s">
        <v>21</v>
      </c>
      <c r="G6433" t="s">
        <v>26</v>
      </c>
      <c r="H6433" t="s">
        <v>21</v>
      </c>
      <c r="I6433" t="s">
        <v>20</v>
      </c>
      <c r="J6433" t="s">
        <v>20</v>
      </c>
      <c r="K6433" t="s">
        <v>27</v>
      </c>
      <c r="L6433" t="s">
        <v>165</v>
      </c>
      <c r="M6433" t="s">
        <v>166</v>
      </c>
      <c r="N6433">
        <v>38.885941000000003</v>
      </c>
      <c r="O6433">
        <v>-112.41055799999999</v>
      </c>
      <c r="P6433">
        <v>4776.620097</v>
      </c>
      <c r="Q6433">
        <v>335</v>
      </c>
      <c r="R6433">
        <v>0</v>
      </c>
    </row>
    <row r="6434" spans="1:18" x14ac:dyDescent="0.25">
      <c r="A6434">
        <v>7433</v>
      </c>
      <c r="B6434">
        <v>94</v>
      </c>
      <c r="C6434">
        <v>31256534</v>
      </c>
      <c r="D6434" t="s">
        <v>241</v>
      </c>
      <c r="E6434">
        <v>6.5640000000000001</v>
      </c>
      <c r="F6434" t="s">
        <v>21</v>
      </c>
      <c r="G6434" t="s">
        <v>26</v>
      </c>
      <c r="H6434" t="s">
        <v>21</v>
      </c>
      <c r="I6434" t="s">
        <v>20</v>
      </c>
      <c r="J6434" t="s">
        <v>20</v>
      </c>
      <c r="K6434" t="s">
        <v>27</v>
      </c>
      <c r="L6434" t="s">
        <v>242</v>
      </c>
      <c r="M6434" t="s">
        <v>243</v>
      </c>
      <c r="N6434">
        <v>38.851578000000003</v>
      </c>
      <c r="O6434">
        <v>-111.307537</v>
      </c>
      <c r="P6434">
        <v>6064.4065369999998</v>
      </c>
      <c r="Q6434">
        <v>1327</v>
      </c>
      <c r="R6434">
        <v>0</v>
      </c>
    </row>
    <row r="6435" spans="1:18" x14ac:dyDescent="0.25">
      <c r="A6435">
        <v>7434</v>
      </c>
      <c r="B6435">
        <v>94</v>
      </c>
      <c r="C6435">
        <v>27867598</v>
      </c>
      <c r="D6435" t="s">
        <v>91</v>
      </c>
      <c r="E6435">
        <v>6.5640000000000001</v>
      </c>
      <c r="F6435" t="s">
        <v>21</v>
      </c>
      <c r="G6435" t="s">
        <v>26</v>
      </c>
      <c r="H6435" t="s">
        <v>21</v>
      </c>
      <c r="I6435" t="s">
        <v>20</v>
      </c>
      <c r="J6435" t="s">
        <v>20</v>
      </c>
      <c r="K6435" t="s">
        <v>41</v>
      </c>
      <c r="L6435" t="s">
        <v>42</v>
      </c>
      <c r="M6435" t="s">
        <v>73</v>
      </c>
      <c r="N6435">
        <v>41.700605000000003</v>
      </c>
      <c r="O6435">
        <v>-111.976968</v>
      </c>
      <c r="P6435">
        <v>4474.9097890000003</v>
      </c>
      <c r="Q6435">
        <v>1339</v>
      </c>
      <c r="R6435">
        <v>0</v>
      </c>
    </row>
    <row r="6436" spans="1:18" x14ac:dyDescent="0.25">
      <c r="A6436">
        <v>7435</v>
      </c>
      <c r="B6436">
        <v>94</v>
      </c>
      <c r="C6436">
        <v>31312730</v>
      </c>
      <c r="D6436" t="s">
        <v>215</v>
      </c>
      <c r="E6436">
        <v>6.5650000000000004</v>
      </c>
      <c r="F6436" t="s">
        <v>19</v>
      </c>
      <c r="G6436" t="s">
        <v>20</v>
      </c>
      <c r="H6436" t="s">
        <v>21</v>
      </c>
      <c r="I6436" t="s">
        <v>20</v>
      </c>
      <c r="J6436" t="s">
        <v>20</v>
      </c>
      <c r="K6436" t="s">
        <v>22</v>
      </c>
      <c r="L6436" t="s">
        <v>23</v>
      </c>
      <c r="M6436" t="s">
        <v>85</v>
      </c>
      <c r="N6436">
        <v>40.297168999999997</v>
      </c>
      <c r="O6436">
        <v>-111.73406900000001</v>
      </c>
      <c r="P6436">
        <v>4495.4770980000003</v>
      </c>
      <c r="Q6436">
        <v>330</v>
      </c>
      <c r="R6436">
        <v>0</v>
      </c>
    </row>
    <row r="6437" spans="1:18" x14ac:dyDescent="0.25">
      <c r="A6437">
        <v>7436</v>
      </c>
      <c r="B6437">
        <v>94</v>
      </c>
      <c r="C6437">
        <v>31194053</v>
      </c>
      <c r="D6437" t="s">
        <v>354</v>
      </c>
      <c r="E6437">
        <v>6.5659999999999998</v>
      </c>
      <c r="F6437" t="s">
        <v>21</v>
      </c>
      <c r="G6437" t="s">
        <v>26</v>
      </c>
      <c r="H6437" t="s">
        <v>21</v>
      </c>
      <c r="I6437" t="s">
        <v>20</v>
      </c>
      <c r="J6437" t="s">
        <v>20</v>
      </c>
      <c r="K6437" t="s">
        <v>27</v>
      </c>
      <c r="L6437" t="s">
        <v>64</v>
      </c>
      <c r="M6437" t="s">
        <v>58</v>
      </c>
      <c r="N6437">
        <v>38.167423999999997</v>
      </c>
      <c r="O6437">
        <v>-112.02193699999999</v>
      </c>
      <c r="P6437">
        <v>6306.8194009999997</v>
      </c>
      <c r="Q6437">
        <v>1338</v>
      </c>
      <c r="R6437">
        <v>0</v>
      </c>
    </row>
    <row r="6438" spans="1:18" x14ac:dyDescent="0.25">
      <c r="A6438">
        <v>7437</v>
      </c>
      <c r="B6438">
        <v>94</v>
      </c>
      <c r="C6438">
        <v>28947665</v>
      </c>
      <c r="D6438" t="s">
        <v>88</v>
      </c>
      <c r="E6438">
        <v>6.5670000000000002</v>
      </c>
      <c r="F6438" t="s">
        <v>19</v>
      </c>
      <c r="G6438" t="s">
        <v>20</v>
      </c>
      <c r="H6438" t="s">
        <v>21</v>
      </c>
      <c r="I6438" t="s">
        <v>20</v>
      </c>
      <c r="J6438" t="s">
        <v>20</v>
      </c>
      <c r="K6438" t="s">
        <v>31</v>
      </c>
      <c r="L6438" t="s">
        <v>89</v>
      </c>
      <c r="M6438" t="s">
        <v>90</v>
      </c>
      <c r="N6438">
        <v>40.534987999999998</v>
      </c>
      <c r="O6438">
        <v>-111.871138</v>
      </c>
      <c r="P6438">
        <v>4431.0838160000003</v>
      </c>
      <c r="Q6438">
        <v>318</v>
      </c>
      <c r="R6438">
        <v>0</v>
      </c>
    </row>
    <row r="6439" spans="1:18" x14ac:dyDescent="0.25">
      <c r="A6439">
        <v>7438</v>
      </c>
      <c r="B6439">
        <v>94</v>
      </c>
      <c r="C6439" t="s">
        <v>812</v>
      </c>
      <c r="D6439" t="s">
        <v>272</v>
      </c>
      <c r="E6439">
        <v>376.577</v>
      </c>
      <c r="F6439" t="s">
        <v>21</v>
      </c>
      <c r="G6439" t="s">
        <v>26</v>
      </c>
      <c r="H6439" t="s">
        <v>21</v>
      </c>
      <c r="I6439" t="s">
        <v>20</v>
      </c>
      <c r="J6439" t="s">
        <v>20</v>
      </c>
      <c r="K6439" t="s">
        <v>31</v>
      </c>
      <c r="L6439" t="s">
        <v>66</v>
      </c>
      <c r="M6439" t="s">
        <v>49</v>
      </c>
      <c r="N6439">
        <v>40.730671000000001</v>
      </c>
      <c r="O6439">
        <v>-111.88815</v>
      </c>
      <c r="P6439">
        <v>4197.9739740000005</v>
      </c>
      <c r="Q6439">
        <v>1384</v>
      </c>
      <c r="R6439">
        <v>0</v>
      </c>
    </row>
    <row r="6440" spans="1:18" x14ac:dyDescent="0.25">
      <c r="A6440">
        <v>7439</v>
      </c>
      <c r="B6440">
        <v>94</v>
      </c>
      <c r="C6440" t="s">
        <v>813</v>
      </c>
      <c r="D6440" t="s">
        <v>272</v>
      </c>
      <c r="E6440">
        <v>376.63099999999997</v>
      </c>
      <c r="F6440" t="s">
        <v>21</v>
      </c>
      <c r="G6440" t="s">
        <v>26</v>
      </c>
      <c r="H6440" t="s">
        <v>21</v>
      </c>
      <c r="I6440" t="s">
        <v>20</v>
      </c>
      <c r="J6440" t="s">
        <v>20</v>
      </c>
      <c r="K6440" t="s">
        <v>31</v>
      </c>
      <c r="L6440" t="s">
        <v>66</v>
      </c>
      <c r="M6440" t="s">
        <v>49</v>
      </c>
      <c r="N6440">
        <v>40.731465999999998</v>
      </c>
      <c r="O6440">
        <v>-111.888237</v>
      </c>
      <c r="P6440">
        <v>4198.3301240000001</v>
      </c>
      <c r="Q6440">
        <v>1384</v>
      </c>
      <c r="R6440">
        <v>0</v>
      </c>
    </row>
    <row r="6441" spans="1:18" x14ac:dyDescent="0.25">
      <c r="A6441">
        <v>7440</v>
      </c>
      <c r="B6441">
        <v>94</v>
      </c>
      <c r="C6441">
        <v>31588556</v>
      </c>
      <c r="D6441" t="s">
        <v>288</v>
      </c>
      <c r="E6441">
        <v>376.68099999999998</v>
      </c>
      <c r="F6441" t="s">
        <v>21</v>
      </c>
      <c r="G6441" t="s">
        <v>26</v>
      </c>
      <c r="H6441" t="s">
        <v>21</v>
      </c>
      <c r="I6441" t="s">
        <v>20</v>
      </c>
      <c r="J6441" t="s">
        <v>20</v>
      </c>
      <c r="K6441" t="s">
        <v>22</v>
      </c>
      <c r="L6441" t="s">
        <v>234</v>
      </c>
      <c r="M6441" t="s">
        <v>98</v>
      </c>
      <c r="N6441">
        <v>40.723754999999997</v>
      </c>
      <c r="O6441">
        <v>-109.469177</v>
      </c>
      <c r="P6441">
        <v>8313.3618399999996</v>
      </c>
      <c r="Q6441">
        <v>350</v>
      </c>
      <c r="R6441">
        <v>0</v>
      </c>
    </row>
    <row r="6442" spans="1:18" x14ac:dyDescent="0.25">
      <c r="A6442">
        <v>7441</v>
      </c>
      <c r="B6442">
        <v>94</v>
      </c>
      <c r="C6442" t="e">
        <f>-Ip0lqazFOLMQx5puzDH4k</f>
        <v>#NAME?</v>
      </c>
      <c r="D6442" t="s">
        <v>272</v>
      </c>
      <c r="E6442">
        <v>376.77300000000002</v>
      </c>
      <c r="F6442" t="s">
        <v>19</v>
      </c>
      <c r="G6442" t="s">
        <v>20</v>
      </c>
      <c r="H6442" t="s">
        <v>21</v>
      </c>
      <c r="I6442" t="s">
        <v>20</v>
      </c>
      <c r="J6442" t="s">
        <v>20</v>
      </c>
      <c r="K6442" t="s">
        <v>31</v>
      </c>
      <c r="L6442" t="s">
        <v>66</v>
      </c>
      <c r="M6442" t="s">
        <v>49</v>
      </c>
      <c r="N6442">
        <v>40.733535000000003</v>
      </c>
      <c r="O6442">
        <v>-111.888234</v>
      </c>
      <c r="P6442">
        <v>4196.6760519999998</v>
      </c>
      <c r="Q6442">
        <v>1384</v>
      </c>
      <c r="R6442">
        <v>0</v>
      </c>
    </row>
    <row r="6443" spans="1:18" x14ac:dyDescent="0.25">
      <c r="A6443">
        <v>7442</v>
      </c>
      <c r="B6443">
        <v>94</v>
      </c>
      <c r="C6443">
        <v>31588567</v>
      </c>
      <c r="D6443" t="s">
        <v>288</v>
      </c>
      <c r="E6443">
        <v>376.86399999999998</v>
      </c>
      <c r="F6443" t="s">
        <v>21</v>
      </c>
      <c r="G6443" t="s">
        <v>26</v>
      </c>
      <c r="H6443" t="s">
        <v>21</v>
      </c>
      <c r="I6443" t="s">
        <v>20</v>
      </c>
      <c r="J6443" t="s">
        <v>20</v>
      </c>
      <c r="K6443" t="s">
        <v>22</v>
      </c>
      <c r="L6443" t="s">
        <v>234</v>
      </c>
      <c r="M6443" t="s">
        <v>98</v>
      </c>
      <c r="N6443">
        <v>40.726345999999999</v>
      </c>
      <c r="O6443">
        <v>-109.469302</v>
      </c>
      <c r="P6443">
        <v>8313.5365829999992</v>
      </c>
      <c r="Q6443">
        <v>350</v>
      </c>
      <c r="R6443">
        <v>0</v>
      </c>
    </row>
    <row r="6444" spans="1:18" x14ac:dyDescent="0.25">
      <c r="A6444">
        <v>7443</v>
      </c>
      <c r="B6444">
        <v>94</v>
      </c>
      <c r="C6444" t="e">
        <f>-Ip3xy70HhaUHwYstId9vk</f>
        <v>#NAME?</v>
      </c>
      <c r="D6444" t="s">
        <v>272</v>
      </c>
      <c r="E6444">
        <v>376.91300000000001</v>
      </c>
      <c r="F6444" t="s">
        <v>21</v>
      </c>
      <c r="G6444" t="s">
        <v>26</v>
      </c>
      <c r="H6444" t="s">
        <v>21</v>
      </c>
      <c r="I6444" t="s">
        <v>20</v>
      </c>
      <c r="J6444" t="s">
        <v>20</v>
      </c>
      <c r="K6444" t="s">
        <v>31</v>
      </c>
      <c r="L6444" t="s">
        <v>66</v>
      </c>
      <c r="M6444" t="s">
        <v>49</v>
      </c>
      <c r="N6444">
        <v>40.735587000000002</v>
      </c>
      <c r="O6444">
        <v>-111.888234</v>
      </c>
      <c r="P6444">
        <v>4192.6788290000004</v>
      </c>
      <c r="Q6444">
        <v>1384</v>
      </c>
      <c r="R6444">
        <v>0</v>
      </c>
    </row>
    <row r="6445" spans="1:18" x14ac:dyDescent="0.25">
      <c r="A6445">
        <v>7444</v>
      </c>
      <c r="B6445">
        <v>94</v>
      </c>
      <c r="C6445" t="s">
        <v>814</v>
      </c>
      <c r="D6445" t="s">
        <v>272</v>
      </c>
      <c r="E6445">
        <v>376.99400000000003</v>
      </c>
      <c r="F6445" t="s">
        <v>19</v>
      </c>
      <c r="G6445" t="s">
        <v>20</v>
      </c>
      <c r="H6445" t="s">
        <v>21</v>
      </c>
      <c r="I6445" t="s">
        <v>20</v>
      </c>
      <c r="J6445" t="s">
        <v>20</v>
      </c>
      <c r="K6445" t="s">
        <v>31</v>
      </c>
      <c r="L6445" t="s">
        <v>66</v>
      </c>
      <c r="M6445" t="s">
        <v>49</v>
      </c>
      <c r="N6445">
        <v>40.736778000000001</v>
      </c>
      <c r="O6445">
        <v>-111.888215</v>
      </c>
      <c r="P6445">
        <v>4191.177756</v>
      </c>
      <c r="Q6445">
        <v>1384</v>
      </c>
      <c r="R6445">
        <v>0</v>
      </c>
    </row>
    <row r="6446" spans="1:18" x14ac:dyDescent="0.25">
      <c r="A6446">
        <v>7445</v>
      </c>
      <c r="B6446">
        <v>94</v>
      </c>
      <c r="C6446" t="e">
        <f>-IP4-MRkHnLwhj3JlufslF</f>
        <v>#NAME?</v>
      </c>
      <c r="D6446" t="s">
        <v>272</v>
      </c>
      <c r="E6446">
        <v>377.10300000000001</v>
      </c>
      <c r="F6446" t="s">
        <v>21</v>
      </c>
      <c r="G6446" t="s">
        <v>26</v>
      </c>
      <c r="H6446" t="s">
        <v>21</v>
      </c>
      <c r="I6446" t="s">
        <v>20</v>
      </c>
      <c r="J6446" t="s">
        <v>20</v>
      </c>
      <c r="K6446" t="s">
        <v>31</v>
      </c>
      <c r="L6446" t="s">
        <v>66</v>
      </c>
      <c r="M6446" t="s">
        <v>49</v>
      </c>
      <c r="N6446">
        <v>40.738370000000003</v>
      </c>
      <c r="O6446">
        <v>-111.888232</v>
      </c>
      <c r="P6446">
        <v>4188.7540920000001</v>
      </c>
      <c r="Q6446">
        <v>1384</v>
      </c>
      <c r="R6446">
        <v>0</v>
      </c>
    </row>
    <row r="6447" spans="1:18" x14ac:dyDescent="0.25">
      <c r="A6447">
        <v>7446</v>
      </c>
      <c r="B6447">
        <v>94</v>
      </c>
      <c r="C6447" t="s">
        <v>815</v>
      </c>
      <c r="D6447" t="s">
        <v>272</v>
      </c>
      <c r="E6447">
        <v>377.32400000000001</v>
      </c>
      <c r="F6447" t="s">
        <v>19</v>
      </c>
      <c r="G6447" t="s">
        <v>20</v>
      </c>
      <c r="H6447" t="s">
        <v>21</v>
      </c>
      <c r="I6447" t="s">
        <v>20</v>
      </c>
      <c r="J6447" t="s">
        <v>20</v>
      </c>
      <c r="K6447" t="s">
        <v>31</v>
      </c>
      <c r="L6447" t="s">
        <v>66</v>
      </c>
      <c r="M6447" t="s">
        <v>49</v>
      </c>
      <c r="N6447">
        <v>40.741604000000002</v>
      </c>
      <c r="O6447">
        <v>-111.888203</v>
      </c>
      <c r="P6447">
        <v>4183.5594389999997</v>
      </c>
      <c r="Q6447">
        <v>1384</v>
      </c>
      <c r="R6447">
        <v>0</v>
      </c>
    </row>
    <row r="6448" spans="1:18" x14ac:dyDescent="0.25">
      <c r="A6448">
        <v>7447</v>
      </c>
      <c r="B6448">
        <v>94</v>
      </c>
      <c r="C6448" t="e">
        <f>-Ip43j7jIoLQ9olYcp7bxF</f>
        <v>#NAME?</v>
      </c>
      <c r="D6448" t="s">
        <v>272</v>
      </c>
      <c r="E6448">
        <v>377.41300000000001</v>
      </c>
      <c r="F6448" t="s">
        <v>21</v>
      </c>
      <c r="G6448" t="s">
        <v>26</v>
      </c>
      <c r="H6448" t="s">
        <v>21</v>
      </c>
      <c r="I6448" t="s">
        <v>20</v>
      </c>
      <c r="J6448" t="s">
        <v>20</v>
      </c>
      <c r="K6448" t="s">
        <v>31</v>
      </c>
      <c r="L6448" t="s">
        <v>66</v>
      </c>
      <c r="M6448" t="s">
        <v>49</v>
      </c>
      <c r="N6448">
        <v>40.742896000000002</v>
      </c>
      <c r="O6448">
        <v>-111.88814600000001</v>
      </c>
      <c r="P6448">
        <v>4182.3098929999996</v>
      </c>
      <c r="Q6448">
        <v>1384</v>
      </c>
      <c r="R6448">
        <v>0</v>
      </c>
    </row>
    <row r="6449" spans="1:18" x14ac:dyDescent="0.25">
      <c r="A6449">
        <v>7448</v>
      </c>
      <c r="B6449">
        <v>94</v>
      </c>
      <c r="C6449" t="e">
        <f>-Ip43zJYHxThczm6IT2tWk</f>
        <v>#NAME?</v>
      </c>
      <c r="D6449" t="s">
        <v>272</v>
      </c>
      <c r="E6449">
        <v>377.46800000000002</v>
      </c>
      <c r="F6449" t="s">
        <v>21</v>
      </c>
      <c r="G6449" t="s">
        <v>26</v>
      </c>
      <c r="H6449" t="s">
        <v>21</v>
      </c>
      <c r="I6449" t="s">
        <v>20</v>
      </c>
      <c r="J6449" t="s">
        <v>20</v>
      </c>
      <c r="K6449" t="s">
        <v>31</v>
      </c>
      <c r="L6449" t="s">
        <v>66</v>
      </c>
      <c r="M6449" t="s">
        <v>49</v>
      </c>
      <c r="N6449">
        <v>40.743687000000001</v>
      </c>
      <c r="O6449">
        <v>-111.888126</v>
      </c>
      <c r="P6449">
        <v>4181.4385689999999</v>
      </c>
      <c r="Q6449">
        <v>1384</v>
      </c>
      <c r="R6449">
        <v>0</v>
      </c>
    </row>
    <row r="6450" spans="1:18" x14ac:dyDescent="0.25">
      <c r="A6450">
        <v>7449</v>
      </c>
      <c r="B6450">
        <v>94</v>
      </c>
      <c r="C6450">
        <v>31605338</v>
      </c>
      <c r="D6450" t="s">
        <v>232</v>
      </c>
      <c r="E6450">
        <v>3.2629999999999999</v>
      </c>
      <c r="F6450" t="s">
        <v>21</v>
      </c>
      <c r="G6450" t="s">
        <v>26</v>
      </c>
      <c r="H6450" t="s">
        <v>21</v>
      </c>
      <c r="I6450" t="s">
        <v>20</v>
      </c>
      <c r="J6450" t="s">
        <v>20</v>
      </c>
      <c r="K6450" t="s">
        <v>31</v>
      </c>
      <c r="L6450" t="s">
        <v>130</v>
      </c>
      <c r="M6450" t="s">
        <v>131</v>
      </c>
      <c r="N6450">
        <v>40.683971</v>
      </c>
      <c r="O6450">
        <v>-111.460121</v>
      </c>
      <c r="P6450">
        <v>6549.4213870000003</v>
      </c>
      <c r="Q6450">
        <v>1279</v>
      </c>
      <c r="R6450">
        <v>0</v>
      </c>
    </row>
    <row r="6451" spans="1:18" x14ac:dyDescent="0.25">
      <c r="A6451">
        <v>7450</v>
      </c>
      <c r="B6451">
        <v>94</v>
      </c>
      <c r="C6451">
        <v>31777500</v>
      </c>
      <c r="D6451" t="s">
        <v>118</v>
      </c>
      <c r="E6451">
        <v>87.873000000000005</v>
      </c>
      <c r="F6451" t="s">
        <v>21</v>
      </c>
      <c r="G6451" t="s">
        <v>20</v>
      </c>
      <c r="H6451" t="s">
        <v>21</v>
      </c>
      <c r="I6451" t="s">
        <v>20</v>
      </c>
      <c r="J6451" t="s">
        <v>20</v>
      </c>
      <c r="K6451" t="s">
        <v>22</v>
      </c>
      <c r="L6451" t="s">
        <v>253</v>
      </c>
      <c r="M6451" t="s">
        <v>169</v>
      </c>
      <c r="N6451">
        <v>40.161574000000002</v>
      </c>
      <c r="O6451">
        <v>-110.377161</v>
      </c>
      <c r="P6451">
        <v>5454.4373310000001</v>
      </c>
      <c r="Q6451">
        <v>310</v>
      </c>
      <c r="R6451">
        <v>0</v>
      </c>
    </row>
    <row r="6452" spans="1:18" x14ac:dyDescent="0.25">
      <c r="A6452">
        <v>7451</v>
      </c>
      <c r="B6452">
        <v>94</v>
      </c>
      <c r="C6452">
        <v>31768744</v>
      </c>
      <c r="D6452" t="s">
        <v>290</v>
      </c>
      <c r="E6452">
        <v>87.894999999999996</v>
      </c>
      <c r="F6452" t="s">
        <v>21</v>
      </c>
      <c r="G6452" t="s">
        <v>20</v>
      </c>
      <c r="H6452" t="s">
        <v>21</v>
      </c>
      <c r="I6452" t="s">
        <v>20</v>
      </c>
      <c r="J6452" t="s">
        <v>20</v>
      </c>
      <c r="K6452" t="s">
        <v>41</v>
      </c>
      <c r="L6452" t="s">
        <v>291</v>
      </c>
      <c r="M6452" t="s">
        <v>238</v>
      </c>
      <c r="N6452">
        <v>41.967306999999998</v>
      </c>
      <c r="O6452">
        <v>-112.804456</v>
      </c>
      <c r="P6452">
        <v>4423.3351469999998</v>
      </c>
      <c r="Q6452">
        <v>1343</v>
      </c>
      <c r="R6452">
        <v>0</v>
      </c>
    </row>
    <row r="6453" spans="1:18" x14ac:dyDescent="0.25">
      <c r="A6453">
        <v>7452</v>
      </c>
      <c r="B6453">
        <v>94</v>
      </c>
      <c r="C6453">
        <v>31551862</v>
      </c>
      <c r="D6453" t="s">
        <v>213</v>
      </c>
      <c r="E6453">
        <v>87.935000000000002</v>
      </c>
      <c r="F6453" t="s">
        <v>21</v>
      </c>
      <c r="G6453" t="s">
        <v>26</v>
      </c>
      <c r="H6453" t="s">
        <v>21</v>
      </c>
      <c r="I6453" t="s">
        <v>20</v>
      </c>
      <c r="J6453" t="s">
        <v>20</v>
      </c>
      <c r="K6453" t="s">
        <v>27</v>
      </c>
      <c r="L6453" t="s">
        <v>173</v>
      </c>
      <c r="M6453" t="s">
        <v>214</v>
      </c>
      <c r="N6453">
        <v>39.352443000000001</v>
      </c>
      <c r="O6453">
        <v>-112.591211</v>
      </c>
      <c r="P6453">
        <v>4569.8345390000004</v>
      </c>
      <c r="Q6453">
        <v>1332</v>
      </c>
      <c r="R6453">
        <v>0</v>
      </c>
    </row>
    <row r="6454" spans="1:18" x14ac:dyDescent="0.25">
      <c r="A6454">
        <v>7453</v>
      </c>
      <c r="B6454">
        <v>94</v>
      </c>
      <c r="C6454">
        <v>31551873</v>
      </c>
      <c r="D6454" t="s">
        <v>213</v>
      </c>
      <c r="E6454">
        <v>88.001000000000005</v>
      </c>
      <c r="F6454" t="s">
        <v>21</v>
      </c>
      <c r="G6454" t="s">
        <v>26</v>
      </c>
      <c r="H6454" t="s">
        <v>21</v>
      </c>
      <c r="I6454" t="s">
        <v>20</v>
      </c>
      <c r="J6454" t="s">
        <v>20</v>
      </c>
      <c r="K6454" t="s">
        <v>27</v>
      </c>
      <c r="L6454" t="s">
        <v>173</v>
      </c>
      <c r="M6454" t="s">
        <v>214</v>
      </c>
      <c r="N6454">
        <v>39.352479000000002</v>
      </c>
      <c r="O6454">
        <v>-112.589963</v>
      </c>
      <c r="P6454">
        <v>4570.7389080000003</v>
      </c>
      <c r="Q6454">
        <v>1332</v>
      </c>
      <c r="R6454">
        <v>0</v>
      </c>
    </row>
    <row r="6455" spans="1:18" x14ac:dyDescent="0.25">
      <c r="A6455">
        <v>7454</v>
      </c>
      <c r="B6455">
        <v>94</v>
      </c>
      <c r="C6455">
        <v>31534726</v>
      </c>
      <c r="D6455" t="s">
        <v>121</v>
      </c>
      <c r="E6455">
        <v>53.838000000000001</v>
      </c>
      <c r="F6455" t="s">
        <v>21</v>
      </c>
      <c r="G6455" t="s">
        <v>26</v>
      </c>
      <c r="H6455" t="s">
        <v>21</v>
      </c>
      <c r="I6455" t="s">
        <v>20</v>
      </c>
      <c r="J6455" t="s">
        <v>20</v>
      </c>
      <c r="K6455" t="s">
        <v>27</v>
      </c>
      <c r="L6455" t="s">
        <v>327</v>
      </c>
      <c r="M6455" t="s">
        <v>123</v>
      </c>
      <c r="N6455">
        <v>37.445833</v>
      </c>
      <c r="O6455">
        <v>-110.559539</v>
      </c>
      <c r="P6455">
        <v>4312.0055970000003</v>
      </c>
      <c r="Q6455">
        <v>1283</v>
      </c>
      <c r="R6455">
        <v>0</v>
      </c>
    </row>
    <row r="6456" spans="1:18" x14ac:dyDescent="0.25">
      <c r="A6456">
        <v>7455</v>
      </c>
      <c r="B6456">
        <v>94</v>
      </c>
      <c r="C6456">
        <v>28011713</v>
      </c>
      <c r="D6456" t="s">
        <v>281</v>
      </c>
      <c r="E6456">
        <v>53.838000000000001</v>
      </c>
      <c r="F6456" t="s">
        <v>21</v>
      </c>
      <c r="G6456" t="s">
        <v>26</v>
      </c>
      <c r="H6456" t="s">
        <v>21</v>
      </c>
      <c r="I6456" t="s">
        <v>20</v>
      </c>
      <c r="J6456" t="s">
        <v>20</v>
      </c>
      <c r="K6456" t="s">
        <v>31</v>
      </c>
      <c r="L6456" t="s">
        <v>282</v>
      </c>
      <c r="M6456" t="s">
        <v>174</v>
      </c>
      <c r="N6456">
        <v>40.523131999999997</v>
      </c>
      <c r="O6456">
        <v>-112.298664</v>
      </c>
      <c r="P6456">
        <v>5069.7060270000002</v>
      </c>
      <c r="Q6456">
        <v>1347</v>
      </c>
      <c r="R6456">
        <v>0</v>
      </c>
    </row>
    <row r="6457" spans="1:18" x14ac:dyDescent="0.25">
      <c r="A6457">
        <v>7456</v>
      </c>
      <c r="B6457">
        <v>94</v>
      </c>
      <c r="C6457" t="e">
        <f>-Ip-BgfxFKPWobLhlY81OV</f>
        <v>#NAME?</v>
      </c>
      <c r="D6457" t="s">
        <v>203</v>
      </c>
      <c r="E6457">
        <v>53.865000000000002</v>
      </c>
      <c r="F6457" t="s">
        <v>21</v>
      </c>
      <c r="G6457" t="s">
        <v>20</v>
      </c>
      <c r="H6457" t="s">
        <v>21</v>
      </c>
      <c r="I6457" t="s">
        <v>20</v>
      </c>
      <c r="J6457" t="s">
        <v>20</v>
      </c>
      <c r="K6457" t="s">
        <v>41</v>
      </c>
      <c r="L6457" t="s">
        <v>325</v>
      </c>
      <c r="M6457" t="s">
        <v>204</v>
      </c>
      <c r="N6457">
        <v>41.484324999999998</v>
      </c>
      <c r="O6457">
        <v>-111.401296</v>
      </c>
      <c r="P6457">
        <v>7576.3829249999999</v>
      </c>
      <c r="Q6457">
        <v>1349</v>
      </c>
      <c r="R6457">
        <v>0</v>
      </c>
    </row>
    <row r="6458" spans="1:18" x14ac:dyDescent="0.25">
      <c r="A6458">
        <v>7457</v>
      </c>
      <c r="B6458">
        <v>94</v>
      </c>
      <c r="C6458">
        <v>31498024</v>
      </c>
      <c r="D6458" t="s">
        <v>124</v>
      </c>
      <c r="E6458">
        <v>53.874000000000002</v>
      </c>
      <c r="F6458" t="s">
        <v>21</v>
      </c>
      <c r="G6458" t="s">
        <v>20</v>
      </c>
      <c r="H6458" t="s">
        <v>21</v>
      </c>
      <c r="I6458" t="s">
        <v>20</v>
      </c>
      <c r="J6458" t="s">
        <v>20</v>
      </c>
      <c r="K6458" t="s">
        <v>31</v>
      </c>
      <c r="L6458" t="s">
        <v>69</v>
      </c>
      <c r="M6458" t="s">
        <v>125</v>
      </c>
      <c r="N6458">
        <v>40.690327000000003</v>
      </c>
      <c r="O6458">
        <v>-111.93890500000001</v>
      </c>
      <c r="P6458">
        <v>4206.5235540000003</v>
      </c>
      <c r="Q6458">
        <v>1368</v>
      </c>
      <c r="R6458">
        <v>0</v>
      </c>
    </row>
    <row r="6459" spans="1:18" x14ac:dyDescent="0.25">
      <c r="A6459">
        <v>7458</v>
      </c>
      <c r="B6459">
        <v>94</v>
      </c>
      <c r="C6459" t="e">
        <f>-Ip_VJQEHWTLVhXw6AnvZV</f>
        <v>#NAME?</v>
      </c>
      <c r="D6459" t="s">
        <v>272</v>
      </c>
      <c r="E6459">
        <v>53.878</v>
      </c>
      <c r="F6459" t="s">
        <v>21</v>
      </c>
      <c r="G6459" t="s">
        <v>26</v>
      </c>
      <c r="H6459" t="s">
        <v>21</v>
      </c>
      <c r="I6459" t="s">
        <v>20</v>
      </c>
      <c r="J6459" t="s">
        <v>20</v>
      </c>
      <c r="K6459" t="s">
        <v>27</v>
      </c>
      <c r="L6459" t="s">
        <v>259</v>
      </c>
      <c r="M6459" t="s">
        <v>214</v>
      </c>
      <c r="N6459">
        <v>37.037661999999997</v>
      </c>
      <c r="O6459">
        <v>-112.353458</v>
      </c>
      <c r="P6459">
        <v>5038.3398390000002</v>
      </c>
      <c r="Q6459">
        <v>1384</v>
      </c>
      <c r="R6459">
        <v>0</v>
      </c>
    </row>
    <row r="6460" spans="1:18" x14ac:dyDescent="0.25">
      <c r="A6460">
        <v>7459</v>
      </c>
      <c r="B6460">
        <v>94</v>
      </c>
      <c r="C6460">
        <v>31747098</v>
      </c>
      <c r="D6460" t="s">
        <v>290</v>
      </c>
      <c r="E6460">
        <v>53.915999999999997</v>
      </c>
      <c r="F6460" t="s">
        <v>21</v>
      </c>
      <c r="G6460" t="s">
        <v>26</v>
      </c>
      <c r="H6460" t="s">
        <v>21</v>
      </c>
      <c r="I6460" t="s">
        <v>20</v>
      </c>
      <c r="J6460" t="s">
        <v>20</v>
      </c>
      <c r="K6460" t="s">
        <v>41</v>
      </c>
      <c r="L6460" t="s">
        <v>291</v>
      </c>
      <c r="M6460" t="s">
        <v>238</v>
      </c>
      <c r="N6460">
        <v>41.816774000000002</v>
      </c>
      <c r="O6460">
        <v>-113.349059</v>
      </c>
      <c r="P6460">
        <v>5513.5515169999999</v>
      </c>
      <c r="Q6460">
        <v>1343</v>
      </c>
      <c r="R6460">
        <v>0</v>
      </c>
    </row>
    <row r="6461" spans="1:18" x14ac:dyDescent="0.25">
      <c r="A6461">
        <v>7460</v>
      </c>
      <c r="B6461">
        <v>94</v>
      </c>
      <c r="C6461">
        <v>31498035</v>
      </c>
      <c r="D6461" t="s">
        <v>124</v>
      </c>
      <c r="E6461">
        <v>53.921999999999997</v>
      </c>
      <c r="F6461" t="s">
        <v>21</v>
      </c>
      <c r="G6461" t="s">
        <v>26</v>
      </c>
      <c r="H6461" t="s">
        <v>21</v>
      </c>
      <c r="I6461" t="s">
        <v>20</v>
      </c>
      <c r="J6461" t="s">
        <v>20</v>
      </c>
      <c r="K6461" t="s">
        <v>31</v>
      </c>
      <c r="L6461" t="s">
        <v>69</v>
      </c>
      <c r="M6461" t="s">
        <v>125</v>
      </c>
      <c r="N6461">
        <v>40.691025000000003</v>
      </c>
      <c r="O6461">
        <v>-111.938908</v>
      </c>
      <c r="P6461">
        <v>4206.5830740000001</v>
      </c>
      <c r="Q6461">
        <v>1368</v>
      </c>
      <c r="R6461">
        <v>0</v>
      </c>
    </row>
    <row r="6462" spans="1:18" x14ac:dyDescent="0.25">
      <c r="A6462">
        <v>7461</v>
      </c>
      <c r="B6462">
        <v>94</v>
      </c>
      <c r="C6462">
        <v>31661773</v>
      </c>
      <c r="D6462" t="s">
        <v>244</v>
      </c>
      <c r="E6462">
        <v>53.953000000000003</v>
      </c>
      <c r="F6462" t="s">
        <v>21</v>
      </c>
      <c r="G6462" t="s">
        <v>26</v>
      </c>
      <c r="H6462" t="s">
        <v>21</v>
      </c>
      <c r="I6462" t="s">
        <v>20</v>
      </c>
      <c r="J6462" t="s">
        <v>20</v>
      </c>
      <c r="K6462" t="s">
        <v>27</v>
      </c>
      <c r="L6462" t="s">
        <v>266</v>
      </c>
      <c r="M6462" t="s">
        <v>386</v>
      </c>
      <c r="N6462">
        <v>38.397095999999998</v>
      </c>
      <c r="O6462">
        <v>-111.615669</v>
      </c>
      <c r="P6462">
        <v>7003.4476160000004</v>
      </c>
      <c r="Q6462">
        <v>1340</v>
      </c>
      <c r="R6462">
        <v>0</v>
      </c>
    </row>
    <row r="6463" spans="1:18" x14ac:dyDescent="0.25">
      <c r="A6463">
        <v>7462</v>
      </c>
      <c r="B6463">
        <v>94</v>
      </c>
      <c r="C6463">
        <v>31438491</v>
      </c>
      <c r="D6463" t="s">
        <v>221</v>
      </c>
      <c r="E6463">
        <v>43.555</v>
      </c>
      <c r="F6463" t="s">
        <v>21</v>
      </c>
      <c r="G6463" t="s">
        <v>26</v>
      </c>
      <c r="H6463" t="s">
        <v>21</v>
      </c>
      <c r="I6463" t="s">
        <v>20</v>
      </c>
      <c r="J6463" t="s">
        <v>20</v>
      </c>
      <c r="K6463" t="s">
        <v>22</v>
      </c>
      <c r="L6463" t="s">
        <v>155</v>
      </c>
      <c r="M6463" t="s">
        <v>174</v>
      </c>
      <c r="N6463">
        <v>39.749657999999997</v>
      </c>
      <c r="O6463">
        <v>-111.83387</v>
      </c>
      <c r="P6463">
        <v>5145.0406599999997</v>
      </c>
      <c r="Q6463">
        <v>1342</v>
      </c>
      <c r="R6463">
        <v>0</v>
      </c>
    </row>
    <row r="6464" spans="1:18" x14ac:dyDescent="0.25">
      <c r="A6464">
        <v>7463</v>
      </c>
      <c r="B6464">
        <v>94</v>
      </c>
      <c r="C6464">
        <v>31578920</v>
      </c>
      <c r="D6464" t="s">
        <v>172</v>
      </c>
      <c r="E6464">
        <v>43.576999999999998</v>
      </c>
      <c r="F6464" t="s">
        <v>21</v>
      </c>
      <c r="G6464" t="s">
        <v>26</v>
      </c>
      <c r="H6464" t="s">
        <v>21</v>
      </c>
      <c r="I6464" t="s">
        <v>20</v>
      </c>
      <c r="J6464" t="s">
        <v>20</v>
      </c>
      <c r="K6464" t="s">
        <v>27</v>
      </c>
      <c r="L6464" t="s">
        <v>230</v>
      </c>
      <c r="M6464" t="s">
        <v>174</v>
      </c>
      <c r="N6464">
        <v>39.677028</v>
      </c>
      <c r="O6464">
        <v>-111.66853399999999</v>
      </c>
      <c r="P6464">
        <v>6277.6138849999998</v>
      </c>
      <c r="Q6464">
        <v>1411</v>
      </c>
      <c r="R6464">
        <v>0</v>
      </c>
    </row>
    <row r="6465" spans="1:18" x14ac:dyDescent="0.25">
      <c r="A6465">
        <v>7464</v>
      </c>
      <c r="B6465">
        <v>94</v>
      </c>
      <c r="C6465">
        <v>31439502</v>
      </c>
      <c r="D6465" t="s">
        <v>221</v>
      </c>
      <c r="E6465">
        <v>43.606999999999999</v>
      </c>
      <c r="F6465" t="s">
        <v>21</v>
      </c>
      <c r="G6465" t="s">
        <v>20</v>
      </c>
      <c r="H6465" t="s">
        <v>21</v>
      </c>
      <c r="I6465" t="s">
        <v>20</v>
      </c>
      <c r="J6465" t="s">
        <v>20</v>
      </c>
      <c r="K6465" t="s">
        <v>22</v>
      </c>
      <c r="L6465" t="s">
        <v>155</v>
      </c>
      <c r="M6465" t="s">
        <v>174</v>
      </c>
      <c r="N6465">
        <v>39.750334000000002</v>
      </c>
      <c r="O6465">
        <v>-111.833097</v>
      </c>
      <c r="P6465">
        <v>5151.3057330000001</v>
      </c>
      <c r="Q6465">
        <v>1342</v>
      </c>
      <c r="R6465">
        <v>0</v>
      </c>
    </row>
    <row r="6466" spans="1:18" x14ac:dyDescent="0.25">
      <c r="A6466">
        <v>7465</v>
      </c>
      <c r="B6466">
        <v>94</v>
      </c>
      <c r="C6466">
        <v>31309635</v>
      </c>
      <c r="D6466" t="s">
        <v>203</v>
      </c>
      <c r="E6466">
        <v>43.622999999999998</v>
      </c>
      <c r="F6466" t="s">
        <v>21</v>
      </c>
      <c r="G6466" t="s">
        <v>20</v>
      </c>
      <c r="H6466" t="s">
        <v>21</v>
      </c>
      <c r="I6466" t="s">
        <v>20</v>
      </c>
      <c r="J6466" t="s">
        <v>20</v>
      </c>
      <c r="K6466" t="s">
        <v>41</v>
      </c>
      <c r="L6466" t="s">
        <v>255</v>
      </c>
      <c r="M6466" t="s">
        <v>204</v>
      </c>
      <c r="N6466">
        <v>41.417459000000001</v>
      </c>
      <c r="O6466">
        <v>-111.522997</v>
      </c>
      <c r="P6466">
        <v>8812.7007969999995</v>
      </c>
      <c r="Q6466">
        <v>1349</v>
      </c>
      <c r="R6466">
        <v>0</v>
      </c>
    </row>
    <row r="6467" spans="1:18" x14ac:dyDescent="0.25">
      <c r="A6467">
        <v>7466</v>
      </c>
      <c r="B6467">
        <v>94</v>
      </c>
      <c r="C6467">
        <v>31385196</v>
      </c>
      <c r="D6467" t="s">
        <v>116</v>
      </c>
      <c r="E6467">
        <v>43.692</v>
      </c>
      <c r="F6467" t="s">
        <v>21</v>
      </c>
      <c r="G6467" t="s">
        <v>26</v>
      </c>
      <c r="H6467" t="s">
        <v>21</v>
      </c>
      <c r="I6467" t="s">
        <v>20</v>
      </c>
      <c r="J6467" t="s">
        <v>20</v>
      </c>
      <c r="K6467" t="s">
        <v>41</v>
      </c>
      <c r="L6467" t="s">
        <v>95</v>
      </c>
      <c r="M6467" t="s">
        <v>117</v>
      </c>
      <c r="N6467">
        <v>41.976019999999998</v>
      </c>
      <c r="O6467">
        <v>-111.812862</v>
      </c>
      <c r="P6467">
        <v>4446.0055009999996</v>
      </c>
      <c r="Q6467">
        <v>324</v>
      </c>
      <c r="R6467">
        <v>0</v>
      </c>
    </row>
    <row r="6468" spans="1:18" x14ac:dyDescent="0.25">
      <c r="A6468">
        <v>7467</v>
      </c>
      <c r="B6468">
        <v>94</v>
      </c>
      <c r="C6468">
        <v>31767210</v>
      </c>
      <c r="D6468" t="s">
        <v>312</v>
      </c>
      <c r="E6468">
        <v>43.707999999999998</v>
      </c>
      <c r="F6468" t="s">
        <v>21</v>
      </c>
      <c r="G6468" t="s">
        <v>20</v>
      </c>
      <c r="H6468" t="s">
        <v>21</v>
      </c>
      <c r="I6468" t="s">
        <v>20</v>
      </c>
      <c r="J6468" t="s">
        <v>20</v>
      </c>
      <c r="K6468" t="s">
        <v>27</v>
      </c>
      <c r="L6468" t="s">
        <v>173</v>
      </c>
      <c r="M6468" t="s">
        <v>313</v>
      </c>
      <c r="N6468">
        <v>38.981988000000001</v>
      </c>
      <c r="O6468">
        <v>-112.794713</v>
      </c>
      <c r="P6468">
        <v>4656.2656059999999</v>
      </c>
      <c r="Q6468">
        <v>255</v>
      </c>
      <c r="R6468">
        <v>0</v>
      </c>
    </row>
    <row r="6469" spans="1:18" x14ac:dyDescent="0.25">
      <c r="A6469">
        <v>7468</v>
      </c>
      <c r="B6469">
        <v>94</v>
      </c>
      <c r="C6469">
        <v>27729908</v>
      </c>
      <c r="D6469" t="s">
        <v>217</v>
      </c>
      <c r="E6469">
        <v>43.731999999999999</v>
      </c>
      <c r="F6469" t="s">
        <v>21</v>
      </c>
      <c r="G6469" t="s">
        <v>26</v>
      </c>
      <c r="H6469" t="s">
        <v>21</v>
      </c>
      <c r="I6469" t="s">
        <v>20</v>
      </c>
      <c r="J6469" t="s">
        <v>20</v>
      </c>
      <c r="K6469" t="s">
        <v>27</v>
      </c>
      <c r="L6469" t="s">
        <v>162</v>
      </c>
      <c r="M6469" t="s">
        <v>163</v>
      </c>
      <c r="N6469">
        <v>37.604818000000002</v>
      </c>
      <c r="O6469">
        <v>-113.66123399999999</v>
      </c>
      <c r="P6469">
        <v>5213.3740029999999</v>
      </c>
      <c r="Q6469">
        <v>304</v>
      </c>
      <c r="R6469">
        <v>0</v>
      </c>
    </row>
    <row r="6470" spans="1:18" x14ac:dyDescent="0.25">
      <c r="A6470">
        <v>7469</v>
      </c>
      <c r="B6470">
        <v>94</v>
      </c>
      <c r="C6470">
        <v>31441772</v>
      </c>
      <c r="D6470" t="s">
        <v>220</v>
      </c>
      <c r="E6470">
        <v>43.734000000000002</v>
      </c>
      <c r="F6470" t="s">
        <v>21</v>
      </c>
      <c r="G6470" t="s">
        <v>20</v>
      </c>
      <c r="H6470" t="s">
        <v>21</v>
      </c>
      <c r="I6470" t="s">
        <v>20</v>
      </c>
      <c r="J6470" t="s">
        <v>20</v>
      </c>
      <c r="K6470" t="s">
        <v>27</v>
      </c>
      <c r="L6470" t="s">
        <v>28</v>
      </c>
      <c r="M6470" t="s">
        <v>366</v>
      </c>
      <c r="N6470">
        <v>37.673966</v>
      </c>
      <c r="O6470">
        <v>-111.827178</v>
      </c>
      <c r="P6470">
        <v>7190.1505669999997</v>
      </c>
      <c r="Q6470">
        <v>1328</v>
      </c>
      <c r="R6470">
        <v>0</v>
      </c>
    </row>
    <row r="6471" spans="1:18" x14ac:dyDescent="0.25">
      <c r="A6471">
        <v>7470</v>
      </c>
      <c r="B6471">
        <v>94</v>
      </c>
      <c r="C6471">
        <v>31728988</v>
      </c>
      <c r="D6471" t="s">
        <v>118</v>
      </c>
      <c r="E6471">
        <v>43.756</v>
      </c>
      <c r="F6471" t="s">
        <v>21</v>
      </c>
      <c r="G6471" t="s">
        <v>20</v>
      </c>
      <c r="H6471" t="s">
        <v>21</v>
      </c>
      <c r="I6471" t="s">
        <v>20</v>
      </c>
      <c r="J6471" t="s">
        <v>20</v>
      </c>
      <c r="K6471" t="s">
        <v>22</v>
      </c>
      <c r="L6471" t="s">
        <v>119</v>
      </c>
      <c r="M6471" t="s">
        <v>120</v>
      </c>
      <c r="N6471">
        <v>40.230589000000002</v>
      </c>
      <c r="O6471">
        <v>-111.122524</v>
      </c>
      <c r="P6471">
        <v>7632.5641939999996</v>
      </c>
      <c r="Q6471">
        <v>310</v>
      </c>
      <c r="R6471">
        <v>0</v>
      </c>
    </row>
    <row r="6472" spans="1:18" x14ac:dyDescent="0.25">
      <c r="A6472">
        <v>7471</v>
      </c>
      <c r="B6472">
        <v>94</v>
      </c>
      <c r="C6472">
        <v>31401297</v>
      </c>
      <c r="D6472" t="s">
        <v>124</v>
      </c>
      <c r="E6472">
        <v>43.816000000000003</v>
      </c>
      <c r="F6472" t="s">
        <v>19</v>
      </c>
      <c r="G6472" t="s">
        <v>20</v>
      </c>
      <c r="H6472" t="s">
        <v>19</v>
      </c>
      <c r="I6472">
        <v>175</v>
      </c>
      <c r="J6472" t="s">
        <v>20</v>
      </c>
      <c r="K6472" t="s">
        <v>31</v>
      </c>
      <c r="L6472" t="s">
        <v>48</v>
      </c>
      <c r="M6472" t="s">
        <v>125</v>
      </c>
      <c r="N6472">
        <v>40.544164000000002</v>
      </c>
      <c r="O6472">
        <v>-111.93871900000001</v>
      </c>
      <c r="P6472">
        <v>4384.5186590000003</v>
      </c>
      <c r="Q6472">
        <v>1368</v>
      </c>
      <c r="R6472">
        <v>0</v>
      </c>
    </row>
    <row r="6473" spans="1:18" x14ac:dyDescent="0.25">
      <c r="A6473">
        <v>7472</v>
      </c>
      <c r="B6473">
        <v>94</v>
      </c>
      <c r="C6473" t="e">
        <f>-IpZMzE5FqLsXvJWSRgyNV</f>
        <v>#NAME?</v>
      </c>
      <c r="D6473" t="s">
        <v>272</v>
      </c>
      <c r="E6473">
        <v>490.11</v>
      </c>
      <c r="F6473" t="s">
        <v>21</v>
      </c>
      <c r="G6473" t="s">
        <v>20</v>
      </c>
      <c r="H6473" t="s">
        <v>21</v>
      </c>
      <c r="I6473" t="s">
        <v>20</v>
      </c>
      <c r="J6473" t="s">
        <v>20</v>
      </c>
      <c r="K6473" t="s">
        <v>41</v>
      </c>
      <c r="L6473" t="s">
        <v>95</v>
      </c>
      <c r="M6473" t="s">
        <v>152</v>
      </c>
      <c r="N6473">
        <v>41.950584999999997</v>
      </c>
      <c r="O6473">
        <v>-111.483628</v>
      </c>
      <c r="P6473">
        <v>7469.7996979999998</v>
      </c>
      <c r="Q6473">
        <v>1384</v>
      </c>
      <c r="R6473">
        <v>0</v>
      </c>
    </row>
    <row r="6474" spans="1:18" x14ac:dyDescent="0.25">
      <c r="A6474">
        <v>7473</v>
      </c>
      <c r="B6474">
        <v>94</v>
      </c>
      <c r="C6474" t="e">
        <f>-IpZO6fVGJawkkzZQKCEok</f>
        <v>#NAME?</v>
      </c>
      <c r="D6474" t="s">
        <v>272</v>
      </c>
      <c r="E6474">
        <v>492.04199999999997</v>
      </c>
      <c r="F6474" t="s">
        <v>21</v>
      </c>
      <c r="G6474" t="s">
        <v>20</v>
      </c>
      <c r="H6474" t="s">
        <v>21</v>
      </c>
      <c r="I6474" t="s">
        <v>20</v>
      </c>
      <c r="J6474" t="s">
        <v>20</v>
      </c>
      <c r="K6474" t="s">
        <v>41</v>
      </c>
      <c r="L6474" t="s">
        <v>95</v>
      </c>
      <c r="M6474" t="s">
        <v>152</v>
      </c>
      <c r="N6474">
        <v>41.92568</v>
      </c>
      <c r="O6474">
        <v>-111.47396500000001</v>
      </c>
      <c r="P6474">
        <v>7745.8649880000003</v>
      </c>
      <c r="Q6474">
        <v>1384</v>
      </c>
      <c r="R6474">
        <v>0</v>
      </c>
    </row>
    <row r="6475" spans="1:18" x14ac:dyDescent="0.25">
      <c r="A6475">
        <v>7474</v>
      </c>
      <c r="B6475">
        <v>94</v>
      </c>
      <c r="C6475" t="e">
        <f>-IpZOPm3IMTIvLmVliBuMF</f>
        <v>#NAME?</v>
      </c>
      <c r="D6475" t="s">
        <v>272</v>
      </c>
      <c r="E6475">
        <v>492.23099999999999</v>
      </c>
      <c r="F6475" t="s">
        <v>21</v>
      </c>
      <c r="G6475" t="s">
        <v>26</v>
      </c>
      <c r="H6475" t="s">
        <v>21</v>
      </c>
      <c r="I6475" t="s">
        <v>20</v>
      </c>
      <c r="J6475" t="s">
        <v>20</v>
      </c>
      <c r="K6475" t="s">
        <v>41</v>
      </c>
      <c r="L6475" t="s">
        <v>325</v>
      </c>
      <c r="M6475" t="s">
        <v>152</v>
      </c>
      <c r="N6475">
        <v>41.924843000000003</v>
      </c>
      <c r="O6475">
        <v>-111.470547</v>
      </c>
      <c r="P6475">
        <v>7706.0676210000001</v>
      </c>
      <c r="Q6475">
        <v>1384</v>
      </c>
      <c r="R6475">
        <v>0</v>
      </c>
    </row>
    <row r="6476" spans="1:18" x14ac:dyDescent="0.25">
      <c r="A6476">
        <v>7475</v>
      </c>
      <c r="B6476">
        <v>94</v>
      </c>
      <c r="C6476" t="e">
        <f>-IpZPBL_HO1iImOEFqjd1F</f>
        <v>#NAME?</v>
      </c>
      <c r="D6476" t="s">
        <v>272</v>
      </c>
      <c r="E6476">
        <v>492.81099999999998</v>
      </c>
      <c r="F6476" t="s">
        <v>21</v>
      </c>
      <c r="G6476" t="s">
        <v>26</v>
      </c>
      <c r="H6476" t="s">
        <v>21</v>
      </c>
      <c r="I6476" t="s">
        <v>20</v>
      </c>
      <c r="J6476" t="s">
        <v>20</v>
      </c>
      <c r="K6476" t="s">
        <v>41</v>
      </c>
      <c r="L6476" t="s">
        <v>325</v>
      </c>
      <c r="M6476" t="s">
        <v>152</v>
      </c>
      <c r="N6476">
        <v>41.921737</v>
      </c>
      <c r="O6476">
        <v>-111.460607</v>
      </c>
      <c r="P6476">
        <v>7573.1178159999999</v>
      </c>
      <c r="Q6476">
        <v>1384</v>
      </c>
      <c r="R6476">
        <v>0</v>
      </c>
    </row>
    <row r="6477" spans="1:18" x14ac:dyDescent="0.25">
      <c r="A6477">
        <v>7476</v>
      </c>
      <c r="B6477">
        <v>94</v>
      </c>
      <c r="C6477" t="s">
        <v>816</v>
      </c>
      <c r="D6477" t="s">
        <v>272</v>
      </c>
      <c r="E6477">
        <v>492.92</v>
      </c>
      <c r="F6477" t="s">
        <v>21</v>
      </c>
      <c r="G6477" t="s">
        <v>26</v>
      </c>
      <c r="H6477" t="s">
        <v>21</v>
      </c>
      <c r="I6477" t="s">
        <v>20</v>
      </c>
      <c r="J6477" t="s">
        <v>20</v>
      </c>
      <c r="K6477" t="s">
        <v>41</v>
      </c>
      <c r="L6477" t="s">
        <v>325</v>
      </c>
      <c r="M6477" t="s">
        <v>152</v>
      </c>
      <c r="N6477">
        <v>41.921655000000001</v>
      </c>
      <c r="O6477">
        <v>-111.45856499999999</v>
      </c>
      <c r="P6477">
        <v>7556.526108</v>
      </c>
      <c r="Q6477">
        <v>1384</v>
      </c>
      <c r="R6477">
        <v>0</v>
      </c>
    </row>
    <row r="6478" spans="1:18" x14ac:dyDescent="0.25">
      <c r="A6478">
        <v>7477</v>
      </c>
      <c r="B6478">
        <v>94</v>
      </c>
      <c r="C6478" t="e">
        <f>-IpZSxN8HfTN4BXmkw75mk</f>
        <v>#NAME?</v>
      </c>
      <c r="D6478" t="s">
        <v>272</v>
      </c>
      <c r="E6478">
        <v>494.67099999999999</v>
      </c>
      <c r="F6478" t="s">
        <v>21</v>
      </c>
      <c r="G6478" t="s">
        <v>26</v>
      </c>
      <c r="H6478" t="s">
        <v>21</v>
      </c>
      <c r="I6478" t="s">
        <v>20</v>
      </c>
      <c r="J6478" t="s">
        <v>20</v>
      </c>
      <c r="K6478" t="s">
        <v>41</v>
      </c>
      <c r="L6478" t="s">
        <v>325</v>
      </c>
      <c r="M6478" t="s">
        <v>152</v>
      </c>
      <c r="N6478">
        <v>41.931685999999999</v>
      </c>
      <c r="O6478">
        <v>-111.436263</v>
      </c>
      <c r="P6478">
        <v>6935.0220689999996</v>
      </c>
      <c r="Q6478">
        <v>1384</v>
      </c>
      <c r="R6478">
        <v>0</v>
      </c>
    </row>
    <row r="6479" spans="1:18" x14ac:dyDescent="0.25">
      <c r="A6479">
        <v>7478</v>
      </c>
      <c r="B6479">
        <v>94</v>
      </c>
      <c r="C6479" t="e">
        <f>-IpPJ97rH15QTfEUhjL6xF</f>
        <v>#NAME?</v>
      </c>
      <c r="D6479" t="s">
        <v>272</v>
      </c>
      <c r="E6479">
        <v>403.24200000000002</v>
      </c>
      <c r="F6479" t="s">
        <v>21</v>
      </c>
      <c r="G6479" t="s">
        <v>26</v>
      </c>
      <c r="H6479" t="s">
        <v>21</v>
      </c>
      <c r="I6479" t="s">
        <v>20</v>
      </c>
      <c r="J6479" t="s">
        <v>20</v>
      </c>
      <c r="K6479" t="s">
        <v>41</v>
      </c>
      <c r="L6479" t="s">
        <v>87</v>
      </c>
      <c r="M6479" t="s">
        <v>46</v>
      </c>
      <c r="N6479">
        <v>41.092419999999997</v>
      </c>
      <c r="O6479">
        <v>-111.91058</v>
      </c>
      <c r="P6479">
        <v>4852.7948880000004</v>
      </c>
      <c r="Q6479">
        <v>1384</v>
      </c>
      <c r="R6479">
        <v>0</v>
      </c>
    </row>
    <row r="6480" spans="1:18" x14ac:dyDescent="0.25">
      <c r="A6480">
        <v>7479</v>
      </c>
      <c r="B6480">
        <v>94</v>
      </c>
      <c r="C6480">
        <v>31486623</v>
      </c>
      <c r="D6480" t="s">
        <v>348</v>
      </c>
      <c r="E6480">
        <v>46.438000000000002</v>
      </c>
      <c r="F6480" t="s">
        <v>21</v>
      </c>
      <c r="G6480" t="s">
        <v>26</v>
      </c>
      <c r="H6480" t="s">
        <v>21</v>
      </c>
      <c r="I6480" t="s">
        <v>20</v>
      </c>
      <c r="J6480" t="s">
        <v>20</v>
      </c>
      <c r="K6480" t="s">
        <v>27</v>
      </c>
      <c r="L6480" t="s">
        <v>122</v>
      </c>
      <c r="M6480" t="s">
        <v>123</v>
      </c>
      <c r="N6480">
        <v>37.901111999999998</v>
      </c>
      <c r="O6480">
        <v>-110.37898800000001</v>
      </c>
      <c r="P6480">
        <v>3908.2706859999998</v>
      </c>
      <c r="Q6480">
        <v>1388</v>
      </c>
      <c r="R6480">
        <v>0</v>
      </c>
    </row>
    <row r="6481" spans="1:18" x14ac:dyDescent="0.25">
      <c r="A6481">
        <v>7480</v>
      </c>
      <c r="B6481">
        <v>94</v>
      </c>
      <c r="C6481">
        <v>31287672</v>
      </c>
      <c r="D6481" t="s">
        <v>241</v>
      </c>
      <c r="E6481">
        <v>46.445</v>
      </c>
      <c r="F6481" t="s">
        <v>21</v>
      </c>
      <c r="G6481" t="s">
        <v>26</v>
      </c>
      <c r="H6481" t="s">
        <v>21</v>
      </c>
      <c r="I6481" t="s">
        <v>20</v>
      </c>
      <c r="J6481" t="s">
        <v>20</v>
      </c>
      <c r="K6481" t="s">
        <v>27</v>
      </c>
      <c r="L6481" t="s">
        <v>111</v>
      </c>
      <c r="M6481" t="s">
        <v>243</v>
      </c>
      <c r="N6481">
        <v>39.317867999999997</v>
      </c>
      <c r="O6481">
        <v>-110.96439700000001</v>
      </c>
      <c r="P6481">
        <v>5727.1311509999996</v>
      </c>
      <c r="Q6481">
        <v>1327</v>
      </c>
      <c r="R6481">
        <v>0</v>
      </c>
    </row>
    <row r="6482" spans="1:18" x14ac:dyDescent="0.25">
      <c r="A6482">
        <v>7481</v>
      </c>
      <c r="B6482">
        <v>94</v>
      </c>
      <c r="C6482" t="e">
        <f>-IpZ0dINH59Lat7CpTaIxk</f>
        <v>#NAME?</v>
      </c>
      <c r="D6482" t="s">
        <v>272</v>
      </c>
      <c r="E6482">
        <v>464.96600000000001</v>
      </c>
      <c r="F6482" t="s">
        <v>21</v>
      </c>
      <c r="G6482" t="s">
        <v>20</v>
      </c>
      <c r="H6482" t="s">
        <v>21</v>
      </c>
      <c r="I6482" t="s">
        <v>20</v>
      </c>
      <c r="J6482" t="s">
        <v>20</v>
      </c>
      <c r="K6482" t="s">
        <v>41</v>
      </c>
      <c r="L6482" t="s">
        <v>95</v>
      </c>
      <c r="M6482" t="s">
        <v>152</v>
      </c>
      <c r="N6482">
        <v>41.752248000000002</v>
      </c>
      <c r="O6482">
        <v>-111.72632400000001</v>
      </c>
      <c r="P6482">
        <v>4971.6555639999997</v>
      </c>
      <c r="Q6482">
        <v>1384</v>
      </c>
      <c r="R6482">
        <v>0</v>
      </c>
    </row>
    <row r="6483" spans="1:18" x14ac:dyDescent="0.25">
      <c r="A6483">
        <v>7482</v>
      </c>
      <c r="B6483">
        <v>94</v>
      </c>
      <c r="C6483" t="e">
        <f>-IpZ0xPHFCmrjHLGohVe9V</f>
        <v>#NAME?</v>
      </c>
      <c r="D6483" t="s">
        <v>272</v>
      </c>
      <c r="E6483">
        <v>465.27199999999999</v>
      </c>
      <c r="F6483" t="s">
        <v>21</v>
      </c>
      <c r="G6483" t="s">
        <v>20</v>
      </c>
      <c r="H6483" t="s">
        <v>21</v>
      </c>
      <c r="I6483" t="s">
        <v>20</v>
      </c>
      <c r="J6483" t="s">
        <v>20</v>
      </c>
      <c r="K6483" t="s">
        <v>41</v>
      </c>
      <c r="L6483" t="s">
        <v>95</v>
      </c>
      <c r="M6483" t="s">
        <v>152</v>
      </c>
      <c r="N6483">
        <v>41.753354999999999</v>
      </c>
      <c r="O6483">
        <v>-111.72107800000001</v>
      </c>
      <c r="P6483">
        <v>4979.5605180000002</v>
      </c>
      <c r="Q6483">
        <v>1384</v>
      </c>
      <c r="R6483">
        <v>0</v>
      </c>
    </row>
    <row r="6484" spans="1:18" x14ac:dyDescent="0.25">
      <c r="A6484">
        <v>7483</v>
      </c>
      <c r="B6484">
        <v>94</v>
      </c>
      <c r="C6484">
        <v>31509835</v>
      </c>
      <c r="D6484" t="s">
        <v>132</v>
      </c>
      <c r="E6484">
        <v>7.9640000000000004</v>
      </c>
      <c r="F6484" t="s">
        <v>21</v>
      </c>
      <c r="G6484" t="s">
        <v>26</v>
      </c>
      <c r="H6484" t="s">
        <v>21</v>
      </c>
      <c r="I6484" t="s">
        <v>20</v>
      </c>
      <c r="J6484" t="s">
        <v>20</v>
      </c>
      <c r="K6484" t="s">
        <v>22</v>
      </c>
      <c r="L6484" t="s">
        <v>133</v>
      </c>
      <c r="M6484" t="s">
        <v>134</v>
      </c>
      <c r="N6484">
        <v>40.403551999999998</v>
      </c>
      <c r="O6484">
        <v>-110.02985200000001</v>
      </c>
      <c r="P6484">
        <v>5723.099142</v>
      </c>
      <c r="Q6484">
        <v>1405</v>
      </c>
      <c r="R6484">
        <v>0</v>
      </c>
    </row>
    <row r="6485" spans="1:18" x14ac:dyDescent="0.25">
      <c r="A6485">
        <v>7484</v>
      </c>
      <c r="B6485">
        <v>94</v>
      </c>
      <c r="C6485">
        <v>28833107</v>
      </c>
      <c r="D6485" t="s">
        <v>316</v>
      </c>
      <c r="E6485">
        <v>7.9779999999999998</v>
      </c>
      <c r="F6485" t="s">
        <v>21</v>
      </c>
      <c r="G6485" t="s">
        <v>26</v>
      </c>
      <c r="H6485" t="s">
        <v>21</v>
      </c>
      <c r="I6485" t="s">
        <v>20</v>
      </c>
      <c r="J6485" t="s">
        <v>20</v>
      </c>
      <c r="K6485" t="s">
        <v>31</v>
      </c>
      <c r="L6485" t="s">
        <v>130</v>
      </c>
      <c r="M6485" t="s">
        <v>302</v>
      </c>
      <c r="N6485">
        <v>40.555700999999999</v>
      </c>
      <c r="O6485">
        <v>-111.16263600000001</v>
      </c>
      <c r="P6485">
        <v>6953.7721000000001</v>
      </c>
      <c r="Q6485">
        <v>1346</v>
      </c>
      <c r="R6485">
        <v>0</v>
      </c>
    </row>
    <row r="6486" spans="1:18" x14ac:dyDescent="0.25">
      <c r="A6486">
        <v>7485</v>
      </c>
      <c r="B6486">
        <v>94</v>
      </c>
      <c r="C6486">
        <v>2189666</v>
      </c>
      <c r="D6486" t="s">
        <v>332</v>
      </c>
      <c r="E6486">
        <v>7.98</v>
      </c>
      <c r="F6486" t="s">
        <v>21</v>
      </c>
      <c r="G6486" t="s">
        <v>26</v>
      </c>
      <c r="H6486" t="s">
        <v>21</v>
      </c>
      <c r="I6486" t="s">
        <v>20</v>
      </c>
      <c r="J6486" t="s">
        <v>20</v>
      </c>
      <c r="K6486" t="s">
        <v>31</v>
      </c>
      <c r="L6486" t="s">
        <v>282</v>
      </c>
      <c r="M6486" t="s">
        <v>206</v>
      </c>
      <c r="N6486">
        <v>40.550992000000001</v>
      </c>
      <c r="O6486">
        <v>-112.302851</v>
      </c>
      <c r="P6486">
        <v>4772.5682509999997</v>
      </c>
      <c r="Q6486">
        <v>1399</v>
      </c>
      <c r="R6486">
        <v>0</v>
      </c>
    </row>
    <row r="6487" spans="1:18" x14ac:dyDescent="0.25">
      <c r="A6487">
        <v>7486</v>
      </c>
      <c r="B6487">
        <v>94</v>
      </c>
      <c r="C6487">
        <v>1014485</v>
      </c>
      <c r="D6487" t="s">
        <v>65</v>
      </c>
      <c r="E6487">
        <v>7.9820000000000002</v>
      </c>
      <c r="F6487" t="s">
        <v>19</v>
      </c>
      <c r="G6487" t="s">
        <v>20</v>
      </c>
      <c r="H6487" t="s">
        <v>21</v>
      </c>
      <c r="I6487" t="s">
        <v>20</v>
      </c>
      <c r="J6487" t="s">
        <v>20</v>
      </c>
      <c r="K6487" t="s">
        <v>31</v>
      </c>
      <c r="L6487" t="s">
        <v>188</v>
      </c>
      <c r="M6487" t="s">
        <v>67</v>
      </c>
      <c r="N6487">
        <v>40.725828999999997</v>
      </c>
      <c r="O6487">
        <v>-111.814863</v>
      </c>
      <c r="P6487">
        <v>4730.5621819999997</v>
      </c>
      <c r="Q6487">
        <v>402</v>
      </c>
      <c r="R6487">
        <v>0</v>
      </c>
    </row>
    <row r="6488" spans="1:18" x14ac:dyDescent="0.25">
      <c r="A6488">
        <v>7487</v>
      </c>
      <c r="B6488">
        <v>94</v>
      </c>
      <c r="C6488">
        <v>31389591</v>
      </c>
      <c r="D6488" t="s">
        <v>364</v>
      </c>
      <c r="E6488">
        <v>7.9889999999999999</v>
      </c>
      <c r="F6488" t="s">
        <v>21</v>
      </c>
      <c r="G6488" t="s">
        <v>26</v>
      </c>
      <c r="H6488" t="s">
        <v>21</v>
      </c>
      <c r="I6488" t="s">
        <v>20</v>
      </c>
      <c r="J6488" t="s">
        <v>20</v>
      </c>
      <c r="K6488" t="s">
        <v>22</v>
      </c>
      <c r="L6488" t="s">
        <v>140</v>
      </c>
      <c r="M6488" t="s">
        <v>85</v>
      </c>
      <c r="N6488">
        <v>40.107975000000003</v>
      </c>
      <c r="O6488">
        <v>-111.65964700000001</v>
      </c>
      <c r="P6488">
        <v>4520.26343</v>
      </c>
      <c r="Q6488">
        <v>1401</v>
      </c>
      <c r="R6488">
        <v>0</v>
      </c>
    </row>
    <row r="6489" spans="1:18" x14ac:dyDescent="0.25">
      <c r="A6489">
        <v>7488</v>
      </c>
      <c r="B6489">
        <v>94</v>
      </c>
      <c r="C6489">
        <v>31390139</v>
      </c>
      <c r="D6489" t="s">
        <v>184</v>
      </c>
      <c r="E6489">
        <v>7.9980000000000002</v>
      </c>
      <c r="F6489" t="s">
        <v>21</v>
      </c>
      <c r="G6489" t="s">
        <v>20</v>
      </c>
      <c r="H6489" t="s">
        <v>21</v>
      </c>
      <c r="I6489" t="s">
        <v>20</v>
      </c>
      <c r="J6489" t="s">
        <v>20</v>
      </c>
      <c r="K6489" t="s">
        <v>27</v>
      </c>
      <c r="L6489" t="s">
        <v>54</v>
      </c>
      <c r="M6489" t="s">
        <v>55</v>
      </c>
      <c r="N6489">
        <v>37.753827000000001</v>
      </c>
      <c r="O6489">
        <v>-113.055272</v>
      </c>
      <c r="P6489">
        <v>5442.5738970000002</v>
      </c>
      <c r="Q6489">
        <v>1410</v>
      </c>
      <c r="R6489">
        <v>0</v>
      </c>
    </row>
    <row r="6490" spans="1:18" x14ac:dyDescent="0.25">
      <c r="A6490">
        <v>7489</v>
      </c>
      <c r="B6490">
        <v>94</v>
      </c>
      <c r="C6490">
        <v>31370457</v>
      </c>
      <c r="D6490" t="s">
        <v>345</v>
      </c>
      <c r="E6490">
        <v>7.9989999999999997</v>
      </c>
      <c r="F6490" t="s">
        <v>21</v>
      </c>
      <c r="G6490" t="s">
        <v>26</v>
      </c>
      <c r="H6490" t="s">
        <v>21</v>
      </c>
      <c r="I6490" t="s">
        <v>20</v>
      </c>
      <c r="J6490" t="s">
        <v>20</v>
      </c>
      <c r="K6490" t="s">
        <v>27</v>
      </c>
      <c r="L6490" t="s">
        <v>75</v>
      </c>
      <c r="M6490" t="s">
        <v>76</v>
      </c>
      <c r="N6490">
        <v>38.658907999999997</v>
      </c>
      <c r="O6490">
        <v>-112.121532</v>
      </c>
      <c r="P6490">
        <v>5248.4439769999999</v>
      </c>
      <c r="Q6490">
        <v>1403</v>
      </c>
      <c r="R6490">
        <v>0</v>
      </c>
    </row>
    <row r="6491" spans="1:18" x14ac:dyDescent="0.25">
      <c r="A6491">
        <v>7490</v>
      </c>
      <c r="B6491">
        <v>94</v>
      </c>
      <c r="C6491">
        <v>31396133</v>
      </c>
      <c r="D6491" t="s">
        <v>114</v>
      </c>
      <c r="E6491">
        <v>7.9180000000000001</v>
      </c>
      <c r="F6491" t="s">
        <v>21</v>
      </c>
      <c r="G6491" t="s">
        <v>26</v>
      </c>
      <c r="H6491" t="s">
        <v>21</v>
      </c>
      <c r="I6491" t="s">
        <v>20</v>
      </c>
      <c r="J6491" t="s">
        <v>20</v>
      </c>
      <c r="K6491" t="s">
        <v>41</v>
      </c>
      <c r="L6491" t="s">
        <v>87</v>
      </c>
      <c r="M6491" t="s">
        <v>82</v>
      </c>
      <c r="N6491">
        <v>41.106991000000001</v>
      </c>
      <c r="O6491">
        <v>-111.918723</v>
      </c>
      <c r="P6491">
        <v>4858.2438259999999</v>
      </c>
      <c r="Q6491">
        <v>405</v>
      </c>
      <c r="R6491">
        <v>0</v>
      </c>
    </row>
    <row r="6492" spans="1:18" x14ac:dyDescent="0.25">
      <c r="A6492">
        <v>7491</v>
      </c>
      <c r="B6492">
        <v>94</v>
      </c>
      <c r="C6492">
        <v>31302272</v>
      </c>
      <c r="D6492" t="s">
        <v>203</v>
      </c>
      <c r="E6492">
        <v>7.9189999999999996</v>
      </c>
      <c r="F6492" t="s">
        <v>21</v>
      </c>
      <c r="G6492" t="s">
        <v>26</v>
      </c>
      <c r="H6492" t="s">
        <v>21</v>
      </c>
      <c r="I6492" t="s">
        <v>20</v>
      </c>
      <c r="J6492" t="s">
        <v>20</v>
      </c>
      <c r="K6492" t="s">
        <v>41</v>
      </c>
      <c r="L6492" t="s">
        <v>255</v>
      </c>
      <c r="M6492" t="s">
        <v>204</v>
      </c>
      <c r="N6492">
        <v>41.240549000000001</v>
      </c>
      <c r="O6492">
        <v>-111.941883</v>
      </c>
      <c r="P6492">
        <v>4317.1617820000001</v>
      </c>
      <c r="Q6492">
        <v>1349</v>
      </c>
      <c r="R6492">
        <v>0</v>
      </c>
    </row>
    <row r="6493" spans="1:18" x14ac:dyDescent="0.25">
      <c r="A6493">
        <v>7492</v>
      </c>
      <c r="B6493">
        <v>94</v>
      </c>
      <c r="C6493">
        <v>1385572</v>
      </c>
      <c r="D6493" t="s">
        <v>100</v>
      </c>
      <c r="E6493">
        <v>7.9219999999999997</v>
      </c>
      <c r="F6493" t="s">
        <v>21</v>
      </c>
      <c r="G6493" t="s">
        <v>26</v>
      </c>
      <c r="H6493" t="s">
        <v>21</v>
      </c>
      <c r="I6493" t="s">
        <v>20</v>
      </c>
      <c r="J6493" t="s">
        <v>20</v>
      </c>
      <c r="K6493" t="s">
        <v>41</v>
      </c>
      <c r="L6493" t="s">
        <v>57</v>
      </c>
      <c r="M6493" t="s">
        <v>46</v>
      </c>
      <c r="N6493">
        <v>41.145854999999997</v>
      </c>
      <c r="O6493">
        <v>-112.064466</v>
      </c>
      <c r="P6493">
        <v>4269.6794220000002</v>
      </c>
      <c r="Q6493">
        <v>1396</v>
      </c>
      <c r="R6493">
        <v>0</v>
      </c>
    </row>
    <row r="6494" spans="1:18" x14ac:dyDescent="0.25">
      <c r="A6494">
        <v>7493</v>
      </c>
      <c r="B6494">
        <v>94</v>
      </c>
      <c r="C6494">
        <v>28161441</v>
      </c>
      <c r="D6494" t="s">
        <v>233</v>
      </c>
      <c r="E6494">
        <v>7.9269999999999996</v>
      </c>
      <c r="F6494" t="s">
        <v>21</v>
      </c>
      <c r="G6494" t="s">
        <v>26</v>
      </c>
      <c r="H6494" t="s">
        <v>21</v>
      </c>
      <c r="I6494" t="s">
        <v>20</v>
      </c>
      <c r="J6494" t="s">
        <v>20</v>
      </c>
      <c r="K6494" t="s">
        <v>22</v>
      </c>
      <c r="L6494" t="s">
        <v>234</v>
      </c>
      <c r="M6494" t="s">
        <v>235</v>
      </c>
      <c r="N6494">
        <v>40.059780000000003</v>
      </c>
      <c r="O6494">
        <v>-109.19576600000001</v>
      </c>
      <c r="P6494">
        <v>5119.2869179999998</v>
      </c>
      <c r="Q6494">
        <v>1354</v>
      </c>
      <c r="R6494">
        <v>0</v>
      </c>
    </row>
    <row r="6495" spans="1:18" x14ac:dyDescent="0.25">
      <c r="A6495">
        <v>7494</v>
      </c>
      <c r="B6495">
        <v>94</v>
      </c>
      <c r="C6495">
        <v>27378405</v>
      </c>
      <c r="D6495" t="s">
        <v>185</v>
      </c>
      <c r="E6495">
        <v>7.9279999999999999</v>
      </c>
      <c r="F6495" t="s">
        <v>21</v>
      </c>
      <c r="G6495" t="s">
        <v>26</v>
      </c>
      <c r="H6495" t="s">
        <v>21</v>
      </c>
      <c r="I6495" t="s">
        <v>20</v>
      </c>
      <c r="J6495" t="s">
        <v>20</v>
      </c>
      <c r="K6495" t="s">
        <v>41</v>
      </c>
      <c r="L6495" t="s">
        <v>57</v>
      </c>
      <c r="M6495" t="s">
        <v>58</v>
      </c>
      <c r="N6495">
        <v>41.181866999999997</v>
      </c>
      <c r="O6495">
        <v>-112.12264999999999</v>
      </c>
      <c r="P6495">
        <v>4178.1702329999998</v>
      </c>
      <c r="Q6495">
        <v>309</v>
      </c>
      <c r="R6495">
        <v>0</v>
      </c>
    </row>
    <row r="6496" spans="1:18" x14ac:dyDescent="0.25">
      <c r="A6496">
        <v>7495</v>
      </c>
      <c r="B6496">
        <v>94</v>
      </c>
      <c r="C6496">
        <v>27508278</v>
      </c>
      <c r="D6496" t="s">
        <v>96</v>
      </c>
      <c r="E6496">
        <v>7.9279999999999999</v>
      </c>
      <c r="F6496" t="s">
        <v>21</v>
      </c>
      <c r="G6496" t="s">
        <v>26</v>
      </c>
      <c r="H6496" t="s">
        <v>19</v>
      </c>
      <c r="I6496">
        <v>44</v>
      </c>
      <c r="J6496" t="s">
        <v>20</v>
      </c>
      <c r="K6496" t="s">
        <v>22</v>
      </c>
      <c r="L6496" t="s">
        <v>97</v>
      </c>
      <c r="M6496" t="s">
        <v>98</v>
      </c>
      <c r="N6496">
        <v>40.988259999999997</v>
      </c>
      <c r="O6496">
        <v>-109.722763</v>
      </c>
      <c r="P6496">
        <v>6303.911075</v>
      </c>
      <c r="Q6496">
        <v>311</v>
      </c>
      <c r="R6496">
        <v>0</v>
      </c>
    </row>
    <row r="6497" spans="1:18" x14ac:dyDescent="0.25">
      <c r="A6497">
        <v>7496</v>
      </c>
      <c r="B6497">
        <v>94</v>
      </c>
      <c r="C6497">
        <v>31392913</v>
      </c>
      <c r="D6497" t="s">
        <v>352</v>
      </c>
      <c r="E6497">
        <v>7.9279999999999999</v>
      </c>
      <c r="F6497" t="s">
        <v>21</v>
      </c>
      <c r="G6497" t="s">
        <v>20</v>
      </c>
      <c r="H6497" t="s">
        <v>21</v>
      </c>
      <c r="I6497" t="s">
        <v>20</v>
      </c>
      <c r="J6497" t="s">
        <v>20</v>
      </c>
      <c r="K6497" t="s">
        <v>31</v>
      </c>
      <c r="L6497" t="s">
        <v>282</v>
      </c>
      <c r="M6497" t="s">
        <v>206</v>
      </c>
      <c r="N6497">
        <v>40.319853999999999</v>
      </c>
      <c r="O6497">
        <v>-112.62781099999999</v>
      </c>
      <c r="P6497">
        <v>5114.2513950000002</v>
      </c>
      <c r="Q6497">
        <v>409</v>
      </c>
      <c r="R6497">
        <v>0</v>
      </c>
    </row>
    <row r="6498" spans="1:18" x14ac:dyDescent="0.25">
      <c r="A6498">
        <v>7497</v>
      </c>
      <c r="B6498">
        <v>94</v>
      </c>
      <c r="C6498">
        <v>538026</v>
      </c>
      <c r="D6498" t="s">
        <v>44</v>
      </c>
      <c r="E6498">
        <v>6.6779999999999999</v>
      </c>
      <c r="F6498" t="s">
        <v>21</v>
      </c>
      <c r="G6498" t="s">
        <v>26</v>
      </c>
      <c r="H6498" t="s">
        <v>21</v>
      </c>
      <c r="I6498" t="s">
        <v>20</v>
      </c>
      <c r="J6498" t="s">
        <v>20</v>
      </c>
      <c r="K6498" t="s">
        <v>41</v>
      </c>
      <c r="L6498" t="s">
        <v>87</v>
      </c>
      <c r="M6498" t="s">
        <v>46</v>
      </c>
      <c r="N6498">
        <v>40.973751999999998</v>
      </c>
      <c r="O6498">
        <v>-111.88330500000001</v>
      </c>
      <c r="P6498">
        <v>4302.0787909999999</v>
      </c>
      <c r="Q6498">
        <v>1395</v>
      </c>
      <c r="R6498">
        <v>0</v>
      </c>
    </row>
    <row r="6499" spans="1:18" x14ac:dyDescent="0.25">
      <c r="A6499">
        <v>7498</v>
      </c>
      <c r="B6499">
        <v>94</v>
      </c>
      <c r="C6499">
        <v>31354955</v>
      </c>
      <c r="D6499" t="s">
        <v>34</v>
      </c>
      <c r="E6499">
        <v>6.6829999999999998</v>
      </c>
      <c r="F6499" t="s">
        <v>21</v>
      </c>
      <c r="G6499" t="s">
        <v>26</v>
      </c>
      <c r="H6499" t="s">
        <v>21</v>
      </c>
      <c r="I6499" t="s">
        <v>20</v>
      </c>
      <c r="J6499" t="s">
        <v>20</v>
      </c>
      <c r="K6499" t="s">
        <v>22</v>
      </c>
      <c r="L6499" t="s">
        <v>35</v>
      </c>
      <c r="M6499" t="s">
        <v>36</v>
      </c>
      <c r="N6499">
        <v>40.506453999999998</v>
      </c>
      <c r="O6499">
        <v>-111.42216500000001</v>
      </c>
      <c r="P6499">
        <v>5518.1335360000003</v>
      </c>
      <c r="Q6499">
        <v>1400</v>
      </c>
      <c r="R6499">
        <v>0</v>
      </c>
    </row>
    <row r="6500" spans="1:18" x14ac:dyDescent="0.25">
      <c r="A6500">
        <v>7499</v>
      </c>
      <c r="B6500">
        <v>94</v>
      </c>
      <c r="C6500">
        <v>31371654</v>
      </c>
      <c r="D6500" t="s">
        <v>199</v>
      </c>
      <c r="E6500">
        <v>6.6859999999999999</v>
      </c>
      <c r="F6500" t="s">
        <v>21</v>
      </c>
      <c r="G6500" t="s">
        <v>20</v>
      </c>
      <c r="H6500" t="s">
        <v>21</v>
      </c>
      <c r="I6500" t="s">
        <v>20</v>
      </c>
      <c r="J6500" t="s">
        <v>20</v>
      </c>
      <c r="K6500" t="s">
        <v>27</v>
      </c>
      <c r="L6500" t="s">
        <v>103</v>
      </c>
      <c r="M6500" t="s">
        <v>200</v>
      </c>
      <c r="N6500">
        <v>38.255521000000002</v>
      </c>
      <c r="O6500">
        <v>-112.54092300000001</v>
      </c>
      <c r="P6500">
        <v>6412.2101620000003</v>
      </c>
      <c r="Q6500">
        <v>341</v>
      </c>
      <c r="R6500">
        <v>0</v>
      </c>
    </row>
    <row r="6501" spans="1:18" x14ac:dyDescent="0.25">
      <c r="A6501">
        <v>7500</v>
      </c>
      <c r="B6501">
        <v>94</v>
      </c>
      <c r="C6501">
        <v>31300263</v>
      </c>
      <c r="D6501" t="s">
        <v>203</v>
      </c>
      <c r="E6501">
        <v>6.6859999999999999</v>
      </c>
      <c r="F6501" t="s">
        <v>21</v>
      </c>
      <c r="G6501" t="s">
        <v>26</v>
      </c>
      <c r="H6501" t="s">
        <v>21</v>
      </c>
      <c r="I6501" t="s">
        <v>20</v>
      </c>
      <c r="J6501" t="s">
        <v>20</v>
      </c>
      <c r="K6501" t="s">
        <v>41</v>
      </c>
      <c r="L6501" t="s">
        <v>81</v>
      </c>
      <c r="M6501" t="s">
        <v>204</v>
      </c>
      <c r="N6501">
        <v>41.244224000000003</v>
      </c>
      <c r="O6501">
        <v>-111.964344</v>
      </c>
      <c r="P6501">
        <v>4254.1825639999997</v>
      </c>
      <c r="Q6501">
        <v>1349</v>
      </c>
      <c r="R6501">
        <v>0</v>
      </c>
    </row>
    <row r="6502" spans="1:18" x14ac:dyDescent="0.25">
      <c r="A6502">
        <v>7501</v>
      </c>
      <c r="B6502">
        <v>94</v>
      </c>
      <c r="C6502">
        <v>27377140</v>
      </c>
      <c r="D6502" t="s">
        <v>185</v>
      </c>
      <c r="E6502">
        <v>6.6890000000000001</v>
      </c>
      <c r="F6502" t="s">
        <v>21</v>
      </c>
      <c r="G6502" t="s">
        <v>26</v>
      </c>
      <c r="H6502" t="s">
        <v>19</v>
      </c>
      <c r="I6502">
        <v>97</v>
      </c>
      <c r="J6502" t="s">
        <v>20</v>
      </c>
      <c r="K6502" t="s">
        <v>41</v>
      </c>
      <c r="L6502" t="s">
        <v>57</v>
      </c>
      <c r="M6502" t="s">
        <v>58</v>
      </c>
      <c r="N6502">
        <v>41.163941000000001</v>
      </c>
      <c r="O6502">
        <v>-112.122781</v>
      </c>
      <c r="P6502">
        <v>4185.5287230000004</v>
      </c>
      <c r="Q6502">
        <v>309</v>
      </c>
      <c r="R6502">
        <v>0</v>
      </c>
    </row>
    <row r="6503" spans="1:18" x14ac:dyDescent="0.25">
      <c r="A6503">
        <v>7502</v>
      </c>
      <c r="B6503">
        <v>94</v>
      </c>
      <c r="C6503">
        <v>31195374</v>
      </c>
      <c r="D6503" t="s">
        <v>395</v>
      </c>
      <c r="E6503">
        <v>6.69</v>
      </c>
      <c r="F6503" t="s">
        <v>21</v>
      </c>
      <c r="G6503" t="s">
        <v>26</v>
      </c>
      <c r="H6503" t="s">
        <v>21</v>
      </c>
      <c r="I6503" t="s">
        <v>20</v>
      </c>
      <c r="J6503" t="s">
        <v>20</v>
      </c>
      <c r="K6503" t="s">
        <v>27</v>
      </c>
      <c r="L6503" t="s">
        <v>165</v>
      </c>
      <c r="M6503" t="s">
        <v>166</v>
      </c>
      <c r="N6503">
        <v>38.887766999999997</v>
      </c>
      <c r="O6503">
        <v>-112.41058700000001</v>
      </c>
      <c r="P6503">
        <v>4774.1199930000002</v>
      </c>
      <c r="Q6503">
        <v>335</v>
      </c>
      <c r="R6503">
        <v>0</v>
      </c>
    </row>
    <row r="6504" spans="1:18" x14ac:dyDescent="0.25">
      <c r="A6504">
        <v>7503</v>
      </c>
      <c r="B6504">
        <v>94</v>
      </c>
      <c r="C6504" t="s">
        <v>817</v>
      </c>
      <c r="D6504" t="s">
        <v>124</v>
      </c>
      <c r="E6504">
        <v>68.734999999999999</v>
      </c>
      <c r="F6504" t="s">
        <v>21</v>
      </c>
      <c r="G6504" t="s">
        <v>26</v>
      </c>
      <c r="H6504" t="s">
        <v>21</v>
      </c>
      <c r="I6504" t="s">
        <v>20</v>
      </c>
      <c r="J6504" t="s">
        <v>20</v>
      </c>
      <c r="K6504" t="s">
        <v>41</v>
      </c>
      <c r="L6504" t="s">
        <v>45</v>
      </c>
      <c r="M6504" t="s">
        <v>365</v>
      </c>
      <c r="N6504">
        <v>40.884253999999999</v>
      </c>
      <c r="O6504">
        <v>-111.90133</v>
      </c>
      <c r="P6504">
        <v>4239.8065930000002</v>
      </c>
      <c r="Q6504">
        <v>1368</v>
      </c>
      <c r="R6504">
        <v>0</v>
      </c>
    </row>
    <row r="6505" spans="1:18" x14ac:dyDescent="0.25">
      <c r="A6505">
        <v>7504</v>
      </c>
      <c r="B6505">
        <v>94</v>
      </c>
      <c r="C6505">
        <v>31859355</v>
      </c>
      <c r="D6505" t="s">
        <v>312</v>
      </c>
      <c r="E6505">
        <v>68.745000000000005</v>
      </c>
      <c r="F6505" t="s">
        <v>21</v>
      </c>
      <c r="G6505" t="s">
        <v>26</v>
      </c>
      <c r="H6505" t="s">
        <v>21</v>
      </c>
      <c r="I6505" t="s">
        <v>20</v>
      </c>
      <c r="J6505" t="s">
        <v>20</v>
      </c>
      <c r="K6505" t="s">
        <v>27</v>
      </c>
      <c r="L6505" t="s">
        <v>173</v>
      </c>
      <c r="M6505" t="s">
        <v>313</v>
      </c>
      <c r="N6505">
        <v>39.323473</v>
      </c>
      <c r="O6505">
        <v>-112.652344</v>
      </c>
      <c r="P6505">
        <v>4535.1390510000001</v>
      </c>
      <c r="Q6505">
        <v>255</v>
      </c>
      <c r="R6505">
        <v>0</v>
      </c>
    </row>
    <row r="6506" spans="1:18" x14ac:dyDescent="0.25">
      <c r="A6506">
        <v>7505</v>
      </c>
      <c r="B6506">
        <v>94</v>
      </c>
      <c r="C6506" t="e">
        <f>-IrBZJrwIMutfr_nQ_vZWk</f>
        <v>#NAME?</v>
      </c>
      <c r="D6506" t="s">
        <v>241</v>
      </c>
      <c r="E6506">
        <v>68.814999999999998</v>
      </c>
      <c r="F6506" t="s">
        <v>19</v>
      </c>
      <c r="G6506" t="s">
        <v>20</v>
      </c>
      <c r="H6506" t="s">
        <v>19</v>
      </c>
      <c r="I6506">
        <v>55</v>
      </c>
      <c r="J6506" t="s">
        <v>20</v>
      </c>
      <c r="K6506" t="s">
        <v>27</v>
      </c>
      <c r="L6506" t="s">
        <v>158</v>
      </c>
      <c r="M6506" t="s">
        <v>243</v>
      </c>
      <c r="N6506">
        <v>39.600976000000003</v>
      </c>
      <c r="O6506">
        <v>-110.811267</v>
      </c>
      <c r="P6506">
        <v>5512.4965469999997</v>
      </c>
      <c r="Q6506">
        <v>1327</v>
      </c>
      <c r="R6506">
        <v>0</v>
      </c>
    </row>
    <row r="6507" spans="1:18" x14ac:dyDescent="0.25">
      <c r="A6507">
        <v>7506</v>
      </c>
      <c r="B6507">
        <v>94</v>
      </c>
      <c r="C6507">
        <v>31515277</v>
      </c>
      <c r="D6507" t="s">
        <v>124</v>
      </c>
      <c r="E6507">
        <v>68.852999999999994</v>
      </c>
      <c r="F6507" t="s">
        <v>21</v>
      </c>
      <c r="G6507" t="s">
        <v>26</v>
      </c>
      <c r="H6507" t="s">
        <v>21</v>
      </c>
      <c r="I6507" t="s">
        <v>20</v>
      </c>
      <c r="J6507" t="s">
        <v>20</v>
      </c>
      <c r="K6507" t="s">
        <v>41</v>
      </c>
      <c r="L6507" t="s">
        <v>45</v>
      </c>
      <c r="M6507" t="s">
        <v>365</v>
      </c>
      <c r="N6507">
        <v>40.884239999999998</v>
      </c>
      <c r="O6507">
        <v>-111.899084</v>
      </c>
      <c r="P6507">
        <v>4249.8481689999999</v>
      </c>
      <c r="Q6507">
        <v>1368</v>
      </c>
      <c r="R6507">
        <v>0</v>
      </c>
    </row>
    <row r="6508" spans="1:18" x14ac:dyDescent="0.25">
      <c r="A6508">
        <v>7507</v>
      </c>
      <c r="B6508">
        <v>94</v>
      </c>
      <c r="C6508">
        <v>31717220</v>
      </c>
      <c r="D6508" t="s">
        <v>244</v>
      </c>
      <c r="E6508">
        <v>68.870999999999995</v>
      </c>
      <c r="F6508" t="s">
        <v>21</v>
      </c>
      <c r="G6508" t="s">
        <v>26</v>
      </c>
      <c r="H6508" t="s">
        <v>21</v>
      </c>
      <c r="I6508" t="s">
        <v>20</v>
      </c>
      <c r="J6508" t="s">
        <v>20</v>
      </c>
      <c r="K6508" t="s">
        <v>27</v>
      </c>
      <c r="L6508" t="s">
        <v>266</v>
      </c>
      <c r="M6508" t="s">
        <v>270</v>
      </c>
      <c r="N6508">
        <v>38.299005999999999</v>
      </c>
      <c r="O6508">
        <v>-111.41416700000001</v>
      </c>
      <c r="P6508">
        <v>6755.8757100000003</v>
      </c>
      <c r="Q6508">
        <v>1340</v>
      </c>
      <c r="R6508">
        <v>0</v>
      </c>
    </row>
    <row r="6509" spans="1:18" x14ac:dyDescent="0.25">
      <c r="A6509">
        <v>7508</v>
      </c>
      <c r="B6509">
        <v>94</v>
      </c>
      <c r="C6509">
        <v>31717231</v>
      </c>
      <c r="D6509" t="s">
        <v>244</v>
      </c>
      <c r="E6509">
        <v>68.879000000000005</v>
      </c>
      <c r="F6509" t="s">
        <v>21</v>
      </c>
      <c r="G6509" t="s">
        <v>26</v>
      </c>
      <c r="H6509" t="s">
        <v>21</v>
      </c>
      <c r="I6509" t="s">
        <v>20</v>
      </c>
      <c r="J6509" t="s">
        <v>20</v>
      </c>
      <c r="K6509" t="s">
        <v>27</v>
      </c>
      <c r="L6509" t="s">
        <v>266</v>
      </c>
      <c r="M6509" t="s">
        <v>270</v>
      </c>
      <c r="N6509">
        <v>38.299002999999999</v>
      </c>
      <c r="O6509">
        <v>-111.414027</v>
      </c>
      <c r="P6509">
        <v>6755.7678649999998</v>
      </c>
      <c r="Q6509">
        <v>1340</v>
      </c>
      <c r="R6509">
        <v>0</v>
      </c>
    </row>
    <row r="6510" spans="1:18" x14ac:dyDescent="0.25">
      <c r="A6510">
        <v>7509</v>
      </c>
      <c r="B6510">
        <v>94</v>
      </c>
      <c r="C6510">
        <v>1226991</v>
      </c>
      <c r="D6510" t="s">
        <v>108</v>
      </c>
      <c r="E6510">
        <v>3.2650000000000001</v>
      </c>
      <c r="F6510" t="s">
        <v>21</v>
      </c>
      <c r="G6510" t="s">
        <v>26</v>
      </c>
      <c r="H6510" t="s">
        <v>21</v>
      </c>
      <c r="I6510" t="s">
        <v>20</v>
      </c>
      <c r="J6510" t="s">
        <v>20</v>
      </c>
      <c r="K6510" t="s">
        <v>41</v>
      </c>
      <c r="L6510" t="s">
        <v>81</v>
      </c>
      <c r="M6510" t="s">
        <v>93</v>
      </c>
      <c r="N6510">
        <v>41.195022000000002</v>
      </c>
      <c r="O6510">
        <v>-111.976675</v>
      </c>
      <c r="P6510">
        <v>4325.3116229999996</v>
      </c>
      <c r="Q6510">
        <v>1341</v>
      </c>
      <c r="R6510">
        <v>0</v>
      </c>
    </row>
    <row r="6511" spans="1:18" x14ac:dyDescent="0.25">
      <c r="A6511">
        <v>7510</v>
      </c>
      <c r="B6511">
        <v>94</v>
      </c>
      <c r="C6511">
        <v>31194269</v>
      </c>
      <c r="D6511" t="s">
        <v>395</v>
      </c>
      <c r="E6511">
        <v>3.266</v>
      </c>
      <c r="F6511" t="s">
        <v>21</v>
      </c>
      <c r="G6511" t="s">
        <v>26</v>
      </c>
      <c r="H6511" t="s">
        <v>21</v>
      </c>
      <c r="I6511" t="s">
        <v>20</v>
      </c>
      <c r="J6511" t="s">
        <v>20</v>
      </c>
      <c r="K6511" t="s">
        <v>27</v>
      </c>
      <c r="L6511" t="s">
        <v>165</v>
      </c>
      <c r="M6511" t="s">
        <v>166</v>
      </c>
      <c r="N6511">
        <v>38.839992000000002</v>
      </c>
      <c r="O6511">
        <v>-112.42650999999999</v>
      </c>
      <c r="P6511">
        <v>4796.4901790000004</v>
      </c>
      <c r="Q6511">
        <v>335</v>
      </c>
      <c r="R6511">
        <v>0</v>
      </c>
    </row>
    <row r="6512" spans="1:18" x14ac:dyDescent="0.25">
      <c r="A6512">
        <v>7511</v>
      </c>
      <c r="B6512">
        <v>94</v>
      </c>
      <c r="C6512">
        <v>541460</v>
      </c>
      <c r="D6512" t="s">
        <v>77</v>
      </c>
      <c r="E6512">
        <v>3.2690000000000001</v>
      </c>
      <c r="F6512" t="s">
        <v>21</v>
      </c>
      <c r="G6512" t="s">
        <v>26</v>
      </c>
      <c r="H6512" t="s">
        <v>21</v>
      </c>
      <c r="I6512" t="s">
        <v>20</v>
      </c>
      <c r="J6512" t="s">
        <v>20</v>
      </c>
      <c r="K6512" t="s">
        <v>31</v>
      </c>
      <c r="L6512" t="s">
        <v>78</v>
      </c>
      <c r="M6512" t="s">
        <v>79</v>
      </c>
      <c r="N6512">
        <v>40.686051999999997</v>
      </c>
      <c r="O6512">
        <v>-112.024787</v>
      </c>
      <c r="P6512">
        <v>4369.9640749999999</v>
      </c>
      <c r="Q6512">
        <v>1436</v>
      </c>
      <c r="R6512">
        <v>0</v>
      </c>
    </row>
    <row r="6513" spans="1:18" x14ac:dyDescent="0.25">
      <c r="A6513">
        <v>7512</v>
      </c>
      <c r="B6513">
        <v>94</v>
      </c>
      <c r="C6513">
        <v>31408762</v>
      </c>
      <c r="D6513" t="s">
        <v>74</v>
      </c>
      <c r="E6513">
        <v>3.27</v>
      </c>
      <c r="F6513" t="s">
        <v>21</v>
      </c>
      <c r="G6513" t="s">
        <v>26</v>
      </c>
      <c r="H6513" t="s">
        <v>21</v>
      </c>
      <c r="I6513" t="s">
        <v>20</v>
      </c>
      <c r="J6513" t="s">
        <v>20</v>
      </c>
      <c r="K6513" t="s">
        <v>27</v>
      </c>
      <c r="L6513" t="s">
        <v>75</v>
      </c>
      <c r="M6513" t="s">
        <v>76</v>
      </c>
      <c r="N6513">
        <v>38.781986000000003</v>
      </c>
      <c r="O6513">
        <v>-112.084793</v>
      </c>
      <c r="P6513">
        <v>5355.6253749999996</v>
      </c>
      <c r="Q6513">
        <v>332</v>
      </c>
      <c r="R6513">
        <v>0</v>
      </c>
    </row>
    <row r="6514" spans="1:18" x14ac:dyDescent="0.25">
      <c r="A6514">
        <v>7513</v>
      </c>
      <c r="B6514">
        <v>94</v>
      </c>
      <c r="C6514">
        <v>31796916</v>
      </c>
      <c r="D6514" t="s">
        <v>61</v>
      </c>
      <c r="E6514">
        <v>3.2759999999999998</v>
      </c>
      <c r="F6514" t="s">
        <v>19</v>
      </c>
      <c r="G6514" t="s">
        <v>20</v>
      </c>
      <c r="H6514" t="s">
        <v>21</v>
      </c>
      <c r="I6514" t="s">
        <v>20</v>
      </c>
      <c r="J6514" t="s">
        <v>20</v>
      </c>
      <c r="K6514" t="s">
        <v>22</v>
      </c>
      <c r="L6514" t="s">
        <v>23</v>
      </c>
      <c r="M6514" t="s">
        <v>62</v>
      </c>
      <c r="N6514">
        <v>40.253495000000001</v>
      </c>
      <c r="O6514">
        <v>-111.658613</v>
      </c>
      <c r="P6514">
        <v>4556.3723069999996</v>
      </c>
      <c r="Q6514">
        <v>403</v>
      </c>
      <c r="R6514">
        <v>0</v>
      </c>
    </row>
    <row r="6515" spans="1:18" x14ac:dyDescent="0.25">
      <c r="A6515">
        <v>7514</v>
      </c>
      <c r="B6515">
        <v>94</v>
      </c>
      <c r="C6515">
        <v>31289796</v>
      </c>
      <c r="D6515" t="s">
        <v>126</v>
      </c>
      <c r="E6515">
        <v>3.2759999999999998</v>
      </c>
      <c r="F6515" t="s">
        <v>21</v>
      </c>
      <c r="G6515" t="s">
        <v>26</v>
      </c>
      <c r="H6515" t="s">
        <v>21</v>
      </c>
      <c r="I6515" t="s">
        <v>20</v>
      </c>
      <c r="J6515" t="s">
        <v>20</v>
      </c>
      <c r="K6515" t="s">
        <v>41</v>
      </c>
      <c r="L6515" t="s">
        <v>57</v>
      </c>
      <c r="M6515" t="s">
        <v>93</v>
      </c>
      <c r="N6515">
        <v>41.238458000000001</v>
      </c>
      <c r="O6515">
        <v>-112.092674</v>
      </c>
      <c r="P6515">
        <v>4176.6666560000003</v>
      </c>
      <c r="Q6515">
        <v>1412</v>
      </c>
      <c r="R6515">
        <v>0</v>
      </c>
    </row>
    <row r="6516" spans="1:18" x14ac:dyDescent="0.25">
      <c r="A6516">
        <v>7515</v>
      </c>
      <c r="B6516">
        <v>94</v>
      </c>
      <c r="C6516">
        <v>31401665</v>
      </c>
      <c r="D6516" t="s">
        <v>124</v>
      </c>
      <c r="E6516">
        <v>44.302</v>
      </c>
      <c r="F6516" t="s">
        <v>19</v>
      </c>
      <c r="G6516" t="s">
        <v>20</v>
      </c>
      <c r="H6516" t="s">
        <v>21</v>
      </c>
      <c r="I6516" t="s">
        <v>20</v>
      </c>
      <c r="J6516" t="s">
        <v>20</v>
      </c>
      <c r="K6516" t="s">
        <v>31</v>
      </c>
      <c r="L6516" t="s">
        <v>48</v>
      </c>
      <c r="M6516" t="s">
        <v>125</v>
      </c>
      <c r="N6516">
        <v>40.55124</v>
      </c>
      <c r="O6516">
        <v>-111.938678</v>
      </c>
      <c r="P6516">
        <v>4383.2173890000004</v>
      </c>
      <c r="Q6516">
        <v>1368</v>
      </c>
      <c r="R6516">
        <v>0</v>
      </c>
    </row>
    <row r="6517" spans="1:18" x14ac:dyDescent="0.25">
      <c r="A6517">
        <v>7516</v>
      </c>
      <c r="B6517">
        <v>94</v>
      </c>
      <c r="C6517">
        <v>27995398</v>
      </c>
      <c r="D6517" t="s">
        <v>281</v>
      </c>
      <c r="E6517">
        <v>44.338000000000001</v>
      </c>
      <c r="F6517" t="s">
        <v>21</v>
      </c>
      <c r="G6517" t="s">
        <v>26</v>
      </c>
      <c r="H6517" t="s">
        <v>21</v>
      </c>
      <c r="I6517" t="s">
        <v>20</v>
      </c>
      <c r="J6517" t="s">
        <v>20</v>
      </c>
      <c r="K6517" t="s">
        <v>31</v>
      </c>
      <c r="L6517" t="s">
        <v>282</v>
      </c>
      <c r="M6517" t="s">
        <v>283</v>
      </c>
      <c r="N6517">
        <v>40.406599999999997</v>
      </c>
      <c r="O6517">
        <v>-112.38539</v>
      </c>
      <c r="P6517">
        <v>4957.0938530000003</v>
      </c>
      <c r="Q6517">
        <v>1347</v>
      </c>
      <c r="R6517">
        <v>0</v>
      </c>
    </row>
    <row r="6518" spans="1:18" x14ac:dyDescent="0.25">
      <c r="A6518">
        <v>7517</v>
      </c>
      <c r="B6518">
        <v>94</v>
      </c>
      <c r="C6518">
        <v>31508100</v>
      </c>
      <c r="D6518" t="s">
        <v>37</v>
      </c>
      <c r="E6518">
        <v>44.374000000000002</v>
      </c>
      <c r="F6518" t="s">
        <v>21</v>
      </c>
      <c r="G6518" t="s">
        <v>26</v>
      </c>
      <c r="H6518" t="s">
        <v>21</v>
      </c>
      <c r="I6518" t="s">
        <v>20</v>
      </c>
      <c r="J6518" t="s">
        <v>20</v>
      </c>
      <c r="K6518" t="s">
        <v>27</v>
      </c>
      <c r="L6518" t="s">
        <v>405</v>
      </c>
      <c r="M6518" t="s">
        <v>39</v>
      </c>
      <c r="N6518">
        <v>38.937058999999998</v>
      </c>
      <c r="O6518">
        <v>-109.406507</v>
      </c>
      <c r="P6518">
        <v>4394.4200030000002</v>
      </c>
      <c r="Q6518">
        <v>1319</v>
      </c>
      <c r="R6518">
        <v>0</v>
      </c>
    </row>
    <row r="6519" spans="1:18" x14ac:dyDescent="0.25">
      <c r="A6519">
        <v>7518</v>
      </c>
      <c r="B6519">
        <v>94</v>
      </c>
      <c r="C6519" t="s">
        <v>818</v>
      </c>
      <c r="D6519" t="s">
        <v>272</v>
      </c>
      <c r="E6519">
        <v>378.92700000000002</v>
      </c>
      <c r="F6519" t="s">
        <v>19</v>
      </c>
      <c r="G6519" t="s">
        <v>20</v>
      </c>
      <c r="H6519" t="s">
        <v>21</v>
      </c>
      <c r="I6519" t="s">
        <v>20</v>
      </c>
      <c r="J6519" t="s">
        <v>20</v>
      </c>
      <c r="K6519" t="s">
        <v>31</v>
      </c>
      <c r="L6519" t="s">
        <v>66</v>
      </c>
      <c r="M6519" t="s">
        <v>49</v>
      </c>
      <c r="N6519">
        <v>40.760665000000003</v>
      </c>
      <c r="O6519">
        <v>-111.893981</v>
      </c>
      <c r="P6519">
        <v>4202.6035700000002</v>
      </c>
      <c r="Q6519">
        <v>1384</v>
      </c>
      <c r="R6519">
        <v>0</v>
      </c>
    </row>
    <row r="6520" spans="1:18" x14ac:dyDescent="0.25">
      <c r="A6520">
        <v>7519</v>
      </c>
      <c r="B6520">
        <v>94</v>
      </c>
      <c r="C6520" t="e">
        <f>-Ip5FjlKFXD_hTO5slA9rV</f>
        <v>#NAME?</v>
      </c>
      <c r="D6520" t="s">
        <v>272</v>
      </c>
      <c r="E6520">
        <v>379.07299999999998</v>
      </c>
      <c r="F6520" t="s">
        <v>19</v>
      </c>
      <c r="G6520" t="s">
        <v>20</v>
      </c>
      <c r="H6520" t="s">
        <v>21</v>
      </c>
      <c r="I6520" t="s">
        <v>20</v>
      </c>
      <c r="J6520" t="s">
        <v>20</v>
      </c>
      <c r="K6520" t="s">
        <v>31</v>
      </c>
      <c r="L6520" t="s">
        <v>66</v>
      </c>
      <c r="M6520" t="s">
        <v>49</v>
      </c>
      <c r="N6520">
        <v>40.760657999999999</v>
      </c>
      <c r="O6520">
        <v>-111.896818</v>
      </c>
      <c r="P6520">
        <v>4196.4869209999997</v>
      </c>
      <c r="Q6520">
        <v>1384</v>
      </c>
      <c r="R6520">
        <v>0</v>
      </c>
    </row>
    <row r="6521" spans="1:18" x14ac:dyDescent="0.25">
      <c r="A6521">
        <v>7520</v>
      </c>
      <c r="B6521">
        <v>94</v>
      </c>
      <c r="C6521">
        <v>31392123</v>
      </c>
      <c r="D6521" t="s">
        <v>114</v>
      </c>
      <c r="E6521">
        <v>3.3159999999999998</v>
      </c>
      <c r="F6521" t="s">
        <v>19</v>
      </c>
      <c r="G6521" t="s">
        <v>20</v>
      </c>
      <c r="H6521" t="s">
        <v>21</v>
      </c>
      <c r="I6521" t="s">
        <v>20</v>
      </c>
      <c r="J6521" t="s">
        <v>20</v>
      </c>
      <c r="K6521" t="s">
        <v>41</v>
      </c>
      <c r="L6521" t="s">
        <v>87</v>
      </c>
      <c r="M6521" t="s">
        <v>82</v>
      </c>
      <c r="N6521">
        <v>41.103521999999998</v>
      </c>
      <c r="O6521">
        <v>-112.00519300000001</v>
      </c>
      <c r="P6521">
        <v>4477.9985649999999</v>
      </c>
      <c r="Q6521">
        <v>405</v>
      </c>
      <c r="R6521">
        <v>0</v>
      </c>
    </row>
    <row r="6522" spans="1:18" x14ac:dyDescent="0.25">
      <c r="A6522">
        <v>7521</v>
      </c>
      <c r="B6522">
        <v>94</v>
      </c>
      <c r="C6522">
        <v>31519215</v>
      </c>
      <c r="D6522" t="s">
        <v>231</v>
      </c>
      <c r="E6522">
        <v>3.3159999999999998</v>
      </c>
      <c r="F6522" t="s">
        <v>19</v>
      </c>
      <c r="G6522" t="s">
        <v>20</v>
      </c>
      <c r="H6522" t="s">
        <v>19</v>
      </c>
      <c r="I6522">
        <v>108</v>
      </c>
      <c r="J6522" t="s">
        <v>20</v>
      </c>
      <c r="K6522" t="s">
        <v>41</v>
      </c>
      <c r="L6522" t="s">
        <v>57</v>
      </c>
      <c r="M6522" t="s">
        <v>93</v>
      </c>
      <c r="N6522">
        <v>41.089143</v>
      </c>
      <c r="O6522">
        <v>-112.001069</v>
      </c>
      <c r="P6522">
        <v>4403.7262019999998</v>
      </c>
      <c r="Q6522">
        <v>1409</v>
      </c>
      <c r="R6522">
        <v>0</v>
      </c>
    </row>
    <row r="6523" spans="1:18" x14ac:dyDescent="0.25">
      <c r="A6523">
        <v>7522</v>
      </c>
      <c r="B6523">
        <v>94</v>
      </c>
      <c r="C6523">
        <v>31385756</v>
      </c>
      <c r="D6523" t="s">
        <v>184</v>
      </c>
      <c r="E6523">
        <v>3.3170000000000002</v>
      </c>
      <c r="F6523" t="s">
        <v>21</v>
      </c>
      <c r="G6523" t="s">
        <v>26</v>
      </c>
      <c r="H6523" t="s">
        <v>21</v>
      </c>
      <c r="I6523" t="s">
        <v>20</v>
      </c>
      <c r="J6523" t="s">
        <v>20</v>
      </c>
      <c r="K6523" t="s">
        <v>27</v>
      </c>
      <c r="L6523" t="s">
        <v>54</v>
      </c>
      <c r="M6523" t="s">
        <v>55</v>
      </c>
      <c r="N6523">
        <v>37.692661000000001</v>
      </c>
      <c r="O6523">
        <v>-113.062044</v>
      </c>
      <c r="P6523">
        <v>5697.4039199999997</v>
      </c>
      <c r="Q6523">
        <v>1410</v>
      </c>
      <c r="R6523">
        <v>0</v>
      </c>
    </row>
    <row r="6524" spans="1:18" x14ac:dyDescent="0.25">
      <c r="A6524">
        <v>7523</v>
      </c>
      <c r="B6524">
        <v>94</v>
      </c>
      <c r="C6524">
        <v>31191339</v>
      </c>
      <c r="D6524" t="s">
        <v>414</v>
      </c>
      <c r="E6524">
        <v>3.3170000000000002</v>
      </c>
      <c r="F6524" t="s">
        <v>21</v>
      </c>
      <c r="G6524" t="s">
        <v>26</v>
      </c>
      <c r="H6524" t="s">
        <v>21</v>
      </c>
      <c r="I6524" t="s">
        <v>20</v>
      </c>
      <c r="J6524" t="s">
        <v>20</v>
      </c>
      <c r="K6524" t="s">
        <v>27</v>
      </c>
      <c r="L6524" t="s">
        <v>350</v>
      </c>
      <c r="M6524" t="s">
        <v>58</v>
      </c>
      <c r="N6524">
        <v>39.144126</v>
      </c>
      <c r="O6524">
        <v>-111.763285</v>
      </c>
      <c r="P6524">
        <v>5156.2602420000003</v>
      </c>
      <c r="Q6524">
        <v>336</v>
      </c>
      <c r="R6524">
        <v>0</v>
      </c>
    </row>
    <row r="6525" spans="1:18" x14ac:dyDescent="0.25">
      <c r="A6525">
        <v>7524</v>
      </c>
      <c r="B6525">
        <v>94</v>
      </c>
      <c r="C6525">
        <v>1007911</v>
      </c>
      <c r="D6525" t="s">
        <v>171</v>
      </c>
      <c r="E6525">
        <v>3.3180000000000001</v>
      </c>
      <c r="F6525" t="s">
        <v>21</v>
      </c>
      <c r="G6525" t="s">
        <v>26</v>
      </c>
      <c r="H6525" t="s">
        <v>21</v>
      </c>
      <c r="I6525" t="s">
        <v>20</v>
      </c>
      <c r="J6525" t="s">
        <v>20</v>
      </c>
      <c r="K6525" t="s">
        <v>31</v>
      </c>
      <c r="L6525" t="s">
        <v>78</v>
      </c>
      <c r="M6525" t="s">
        <v>79</v>
      </c>
      <c r="N6525">
        <v>40.696542000000001</v>
      </c>
      <c r="O6525">
        <v>-112.02843300000001</v>
      </c>
      <c r="P6525">
        <v>4240.6218490000001</v>
      </c>
      <c r="Q6525">
        <v>346</v>
      </c>
      <c r="R6525">
        <v>0</v>
      </c>
    </row>
    <row r="6526" spans="1:18" x14ac:dyDescent="0.25">
      <c r="A6526">
        <v>7525</v>
      </c>
      <c r="B6526">
        <v>94</v>
      </c>
      <c r="C6526" t="s">
        <v>819</v>
      </c>
      <c r="D6526" t="s">
        <v>322</v>
      </c>
      <c r="E6526">
        <v>6.569</v>
      </c>
      <c r="F6526" t="s">
        <v>19</v>
      </c>
      <c r="G6526" t="s">
        <v>20</v>
      </c>
      <c r="H6526" t="s">
        <v>21</v>
      </c>
      <c r="I6526" t="s">
        <v>20</v>
      </c>
      <c r="J6526" t="s">
        <v>20</v>
      </c>
      <c r="K6526" t="s">
        <v>31</v>
      </c>
      <c r="L6526" t="s">
        <v>84</v>
      </c>
      <c r="M6526" t="s">
        <v>24</v>
      </c>
      <c r="N6526">
        <v>40.489232999999999</v>
      </c>
      <c r="O6526">
        <v>-111.999471</v>
      </c>
      <c r="P6526">
        <v>4863.1716200000001</v>
      </c>
      <c r="Q6526">
        <v>6660</v>
      </c>
      <c r="R6526">
        <v>0</v>
      </c>
    </row>
    <row r="6527" spans="1:18" x14ac:dyDescent="0.25">
      <c r="A6527">
        <v>7526</v>
      </c>
      <c r="B6527">
        <v>94</v>
      </c>
      <c r="C6527">
        <v>31661762</v>
      </c>
      <c r="D6527" t="s">
        <v>244</v>
      </c>
      <c r="E6527">
        <v>53.707999999999998</v>
      </c>
      <c r="F6527" t="s">
        <v>21</v>
      </c>
      <c r="G6527" t="s">
        <v>26</v>
      </c>
      <c r="H6527" t="s">
        <v>21</v>
      </c>
      <c r="I6527" t="s">
        <v>20</v>
      </c>
      <c r="J6527" t="s">
        <v>20</v>
      </c>
      <c r="K6527" t="s">
        <v>27</v>
      </c>
      <c r="L6527" t="s">
        <v>266</v>
      </c>
      <c r="M6527" t="s">
        <v>386</v>
      </c>
      <c r="N6527">
        <v>38.397098999999997</v>
      </c>
      <c r="O6527">
        <v>-111.62020099999999</v>
      </c>
      <c r="P6527">
        <v>6988.5709440000001</v>
      </c>
      <c r="Q6527">
        <v>1340</v>
      </c>
      <c r="R6527">
        <v>0</v>
      </c>
    </row>
    <row r="6528" spans="1:18" x14ac:dyDescent="0.25">
      <c r="A6528">
        <v>7527</v>
      </c>
      <c r="B6528">
        <v>94</v>
      </c>
      <c r="C6528">
        <v>31497591</v>
      </c>
      <c r="D6528" t="s">
        <v>124</v>
      </c>
      <c r="E6528">
        <v>53.713999999999999</v>
      </c>
      <c r="F6528" t="s">
        <v>21</v>
      </c>
      <c r="G6528" t="s">
        <v>26</v>
      </c>
      <c r="H6528" t="s">
        <v>21</v>
      </c>
      <c r="I6528" t="s">
        <v>20</v>
      </c>
      <c r="J6528" t="s">
        <v>20</v>
      </c>
      <c r="K6528" t="s">
        <v>31</v>
      </c>
      <c r="L6528" t="s">
        <v>69</v>
      </c>
      <c r="M6528" t="s">
        <v>125</v>
      </c>
      <c r="N6528">
        <v>40.687987999999997</v>
      </c>
      <c r="O6528">
        <v>-111.93889299999999</v>
      </c>
      <c r="P6528">
        <v>4204.447752</v>
      </c>
      <c r="Q6528">
        <v>1368</v>
      </c>
      <c r="R6528">
        <v>0</v>
      </c>
    </row>
    <row r="6529" spans="1:18" x14ac:dyDescent="0.25">
      <c r="A6529">
        <v>7528</v>
      </c>
      <c r="B6529">
        <v>94</v>
      </c>
      <c r="C6529" t="e">
        <f>-JOnuZHwI5LdxXnGLw937V</f>
        <v>#NAME?</v>
      </c>
      <c r="D6529" t="s">
        <v>121</v>
      </c>
      <c r="E6529">
        <v>53.749000000000002</v>
      </c>
      <c r="F6529" t="s">
        <v>21</v>
      </c>
      <c r="G6529" t="s">
        <v>26</v>
      </c>
      <c r="H6529" t="s">
        <v>21</v>
      </c>
      <c r="I6529" t="s">
        <v>20</v>
      </c>
      <c r="J6529" t="s">
        <v>20</v>
      </c>
      <c r="K6529" t="s">
        <v>27</v>
      </c>
      <c r="L6529" t="s">
        <v>122</v>
      </c>
      <c r="M6529" t="s">
        <v>123</v>
      </c>
      <c r="N6529">
        <v>37.446387999999999</v>
      </c>
      <c r="O6529">
        <v>-110.561155</v>
      </c>
      <c r="P6529">
        <v>4301.181286</v>
      </c>
      <c r="Q6529">
        <v>1283</v>
      </c>
      <c r="R6529">
        <v>0</v>
      </c>
    </row>
    <row r="6530" spans="1:18" x14ac:dyDescent="0.25">
      <c r="A6530">
        <v>7529</v>
      </c>
      <c r="B6530">
        <v>94</v>
      </c>
      <c r="C6530">
        <v>31497752</v>
      </c>
      <c r="D6530" t="s">
        <v>124</v>
      </c>
      <c r="E6530">
        <v>53.805</v>
      </c>
      <c r="F6530" t="s">
        <v>19</v>
      </c>
      <c r="G6530" t="s">
        <v>20</v>
      </c>
      <c r="H6530" t="s">
        <v>21</v>
      </c>
      <c r="I6530" t="s">
        <v>20</v>
      </c>
      <c r="J6530" t="s">
        <v>20</v>
      </c>
      <c r="K6530" t="s">
        <v>31</v>
      </c>
      <c r="L6530" t="s">
        <v>69</v>
      </c>
      <c r="M6530" t="s">
        <v>125</v>
      </c>
      <c r="N6530">
        <v>40.689315999999998</v>
      </c>
      <c r="O6530">
        <v>-111.938901</v>
      </c>
      <c r="P6530">
        <v>4204.7168670000001</v>
      </c>
      <c r="Q6530">
        <v>1368</v>
      </c>
      <c r="R6530">
        <v>0</v>
      </c>
    </row>
    <row r="6531" spans="1:18" x14ac:dyDescent="0.25">
      <c r="A6531">
        <v>7530</v>
      </c>
      <c r="B6531">
        <v>94</v>
      </c>
      <c r="C6531">
        <v>31482025</v>
      </c>
      <c r="D6531" t="s">
        <v>244</v>
      </c>
      <c r="E6531">
        <v>8.6669999999999998</v>
      </c>
      <c r="F6531" t="s">
        <v>21</v>
      </c>
      <c r="G6531" t="s">
        <v>26</v>
      </c>
      <c r="H6531" t="s">
        <v>21</v>
      </c>
      <c r="I6531" t="s">
        <v>20</v>
      </c>
      <c r="J6531" t="s">
        <v>20</v>
      </c>
      <c r="K6531" t="s">
        <v>27</v>
      </c>
      <c r="L6531" t="s">
        <v>75</v>
      </c>
      <c r="M6531" t="s">
        <v>58</v>
      </c>
      <c r="N6531">
        <v>38.857925000000002</v>
      </c>
      <c r="O6531">
        <v>-111.965312</v>
      </c>
      <c r="P6531">
        <v>5168.2680499999997</v>
      </c>
      <c r="Q6531">
        <v>1340</v>
      </c>
      <c r="R6531">
        <v>0</v>
      </c>
    </row>
    <row r="6532" spans="1:18" x14ac:dyDescent="0.25">
      <c r="A6532">
        <v>7531</v>
      </c>
      <c r="B6532">
        <v>94</v>
      </c>
      <c r="C6532" t="s">
        <v>820</v>
      </c>
      <c r="D6532" t="s">
        <v>110</v>
      </c>
      <c r="E6532">
        <v>8.6739999999999995</v>
      </c>
      <c r="F6532" t="s">
        <v>21</v>
      </c>
      <c r="G6532" t="s">
        <v>20</v>
      </c>
      <c r="H6532" t="s">
        <v>21</v>
      </c>
      <c r="I6532" t="s">
        <v>20</v>
      </c>
      <c r="J6532" t="s">
        <v>20</v>
      </c>
      <c r="K6532" t="s">
        <v>27</v>
      </c>
      <c r="L6532" t="s">
        <v>111</v>
      </c>
      <c r="M6532" t="s">
        <v>112</v>
      </c>
      <c r="N6532">
        <v>39.282074000000001</v>
      </c>
      <c r="O6532">
        <v>-111.10378799999999</v>
      </c>
      <c r="P6532">
        <v>6347.8232829999997</v>
      </c>
      <c r="Q6532">
        <v>1361</v>
      </c>
      <c r="R6532">
        <v>0</v>
      </c>
    </row>
    <row r="6533" spans="1:18" x14ac:dyDescent="0.25">
      <c r="A6533">
        <v>7532</v>
      </c>
      <c r="B6533">
        <v>94</v>
      </c>
      <c r="C6533">
        <v>31328476</v>
      </c>
      <c r="D6533" t="s">
        <v>413</v>
      </c>
      <c r="E6533">
        <v>8.6739999999999995</v>
      </c>
      <c r="F6533" t="s">
        <v>19</v>
      </c>
      <c r="G6533" t="s">
        <v>361</v>
      </c>
      <c r="H6533" t="s">
        <v>21</v>
      </c>
      <c r="I6533" t="s">
        <v>20</v>
      </c>
      <c r="J6533" t="s">
        <v>20</v>
      </c>
      <c r="K6533" t="s">
        <v>31</v>
      </c>
      <c r="L6533" t="s">
        <v>78</v>
      </c>
      <c r="M6533" t="s">
        <v>206</v>
      </c>
      <c r="N6533">
        <v>40.718583000000002</v>
      </c>
      <c r="O6533">
        <v>-112.06313900000001</v>
      </c>
      <c r="P6533">
        <v>4177.5047219999997</v>
      </c>
      <c r="Q6533">
        <v>411</v>
      </c>
      <c r="R6533">
        <v>0</v>
      </c>
    </row>
    <row r="6534" spans="1:18" x14ac:dyDescent="0.25">
      <c r="A6534">
        <v>7533</v>
      </c>
      <c r="B6534">
        <v>94</v>
      </c>
      <c r="C6534" t="e">
        <f>-Ip5OyxJHITOZ43BfPwutk</f>
        <v>#NAME?</v>
      </c>
      <c r="D6534" t="s">
        <v>208</v>
      </c>
      <c r="E6534">
        <v>8.6760000000000002</v>
      </c>
      <c r="F6534" t="s">
        <v>21</v>
      </c>
      <c r="G6534" t="s">
        <v>26</v>
      </c>
      <c r="H6534" t="s">
        <v>21</v>
      </c>
      <c r="I6534" t="s">
        <v>20</v>
      </c>
      <c r="J6534" t="s">
        <v>20</v>
      </c>
      <c r="K6534" t="s">
        <v>31</v>
      </c>
      <c r="L6534" t="s">
        <v>209</v>
      </c>
      <c r="M6534" t="s">
        <v>131</v>
      </c>
      <c r="N6534">
        <v>40.686371999999999</v>
      </c>
      <c r="O6534">
        <v>-111.543149</v>
      </c>
      <c r="P6534">
        <v>6648.7727690000002</v>
      </c>
      <c r="Q6534">
        <v>357</v>
      </c>
      <c r="R6534">
        <v>0</v>
      </c>
    </row>
    <row r="6535" spans="1:18" x14ac:dyDescent="0.25">
      <c r="A6535">
        <v>7534</v>
      </c>
      <c r="B6535">
        <v>94</v>
      </c>
      <c r="C6535">
        <v>31302283</v>
      </c>
      <c r="D6535" t="s">
        <v>203</v>
      </c>
      <c r="E6535">
        <v>8.6809999999999992</v>
      </c>
      <c r="F6535" t="s">
        <v>21</v>
      </c>
      <c r="G6535" t="s">
        <v>26</v>
      </c>
      <c r="H6535" t="s">
        <v>21</v>
      </c>
      <c r="I6535" t="s">
        <v>20</v>
      </c>
      <c r="J6535" t="s">
        <v>20</v>
      </c>
      <c r="K6535" t="s">
        <v>41</v>
      </c>
      <c r="L6535" t="s">
        <v>255</v>
      </c>
      <c r="M6535" t="s">
        <v>204</v>
      </c>
      <c r="N6535">
        <v>41.236832999999997</v>
      </c>
      <c r="O6535">
        <v>-111.928602</v>
      </c>
      <c r="P6535">
        <v>4365.7652159999998</v>
      </c>
      <c r="Q6535">
        <v>1349</v>
      </c>
      <c r="R6535">
        <v>0</v>
      </c>
    </row>
    <row r="6536" spans="1:18" x14ac:dyDescent="0.25">
      <c r="A6536">
        <v>7535</v>
      </c>
      <c r="B6536">
        <v>94</v>
      </c>
      <c r="C6536">
        <v>31534271</v>
      </c>
      <c r="D6536" t="s">
        <v>412</v>
      </c>
      <c r="E6536">
        <v>9.4429999999999996</v>
      </c>
      <c r="F6536" t="s">
        <v>21</v>
      </c>
      <c r="G6536" t="s">
        <v>26</v>
      </c>
      <c r="H6536" t="s">
        <v>21</v>
      </c>
      <c r="I6536" t="s">
        <v>20</v>
      </c>
      <c r="J6536" t="s">
        <v>20</v>
      </c>
      <c r="K6536" t="s">
        <v>27</v>
      </c>
      <c r="L6536" t="s">
        <v>173</v>
      </c>
      <c r="M6536" t="s">
        <v>267</v>
      </c>
      <c r="N6536">
        <v>39.377200999999999</v>
      </c>
      <c r="O6536">
        <v>-112.336065</v>
      </c>
      <c r="P6536">
        <v>5032.044758</v>
      </c>
      <c r="Q6536">
        <v>1408</v>
      </c>
      <c r="R6536">
        <v>0</v>
      </c>
    </row>
    <row r="6537" spans="1:18" x14ac:dyDescent="0.25">
      <c r="A6537">
        <v>7536</v>
      </c>
      <c r="B6537">
        <v>94</v>
      </c>
      <c r="C6537">
        <v>2579852</v>
      </c>
      <c r="D6537" t="s">
        <v>176</v>
      </c>
      <c r="E6537">
        <v>9.4489999999999998</v>
      </c>
      <c r="F6537" t="s">
        <v>21</v>
      </c>
      <c r="G6537" t="s">
        <v>26</v>
      </c>
      <c r="H6537" t="s">
        <v>21</v>
      </c>
      <c r="I6537" t="s">
        <v>20</v>
      </c>
      <c r="J6537" t="s">
        <v>20</v>
      </c>
      <c r="K6537" t="s">
        <v>41</v>
      </c>
      <c r="L6537" t="s">
        <v>181</v>
      </c>
      <c r="M6537" t="s">
        <v>178</v>
      </c>
      <c r="N6537">
        <v>41.559393</v>
      </c>
      <c r="O6537">
        <v>-112.129552</v>
      </c>
      <c r="P6537">
        <v>4184.5627699999995</v>
      </c>
      <c r="Q6537">
        <v>1329</v>
      </c>
      <c r="R6537">
        <v>0</v>
      </c>
    </row>
    <row r="6538" spans="1:18" x14ac:dyDescent="0.25">
      <c r="A6538">
        <v>7537</v>
      </c>
      <c r="B6538">
        <v>94</v>
      </c>
      <c r="C6538">
        <v>31412122</v>
      </c>
      <c r="D6538" t="s">
        <v>129</v>
      </c>
      <c r="E6538">
        <v>9.4619999999999997</v>
      </c>
      <c r="F6538" t="s">
        <v>21</v>
      </c>
      <c r="G6538" t="s">
        <v>26</v>
      </c>
      <c r="H6538" t="s">
        <v>21</v>
      </c>
      <c r="I6538" t="s">
        <v>20</v>
      </c>
      <c r="J6538" t="s">
        <v>20</v>
      </c>
      <c r="K6538" t="s">
        <v>31</v>
      </c>
      <c r="L6538" t="s">
        <v>130</v>
      </c>
      <c r="M6538" t="s">
        <v>131</v>
      </c>
      <c r="N6538">
        <v>40.614884000000004</v>
      </c>
      <c r="O6538">
        <v>-111.129563</v>
      </c>
      <c r="P6538">
        <v>7447.1115950000003</v>
      </c>
      <c r="Q6538">
        <v>340</v>
      </c>
      <c r="R6538">
        <v>0</v>
      </c>
    </row>
    <row r="6539" spans="1:18" x14ac:dyDescent="0.25">
      <c r="A6539">
        <v>7538</v>
      </c>
      <c r="B6539">
        <v>94</v>
      </c>
      <c r="C6539">
        <v>27601060</v>
      </c>
      <c r="D6539" t="s">
        <v>110</v>
      </c>
      <c r="E6539">
        <v>9.4619999999999997</v>
      </c>
      <c r="F6539" t="s">
        <v>21</v>
      </c>
      <c r="G6539" t="s">
        <v>20</v>
      </c>
      <c r="H6539" t="s">
        <v>21</v>
      </c>
      <c r="I6539" t="s">
        <v>20</v>
      </c>
      <c r="J6539" t="s">
        <v>20</v>
      </c>
      <c r="K6539" t="s">
        <v>27</v>
      </c>
      <c r="L6539" t="s">
        <v>111</v>
      </c>
      <c r="M6539" t="s">
        <v>112</v>
      </c>
      <c r="N6539">
        <v>39.292110000000001</v>
      </c>
      <c r="O6539">
        <v>-111.11057099999999</v>
      </c>
      <c r="P6539">
        <v>6579.1045519999998</v>
      </c>
      <c r="Q6539">
        <v>1361</v>
      </c>
      <c r="R6539">
        <v>0</v>
      </c>
    </row>
    <row r="6540" spans="1:18" x14ac:dyDescent="0.25">
      <c r="A6540">
        <v>7539</v>
      </c>
      <c r="B6540">
        <v>94</v>
      </c>
      <c r="C6540" t="s">
        <v>821</v>
      </c>
      <c r="D6540" t="s">
        <v>315</v>
      </c>
      <c r="E6540">
        <v>3.3090000000000002</v>
      </c>
      <c r="F6540" t="s">
        <v>21</v>
      </c>
      <c r="G6540" t="s">
        <v>26</v>
      </c>
      <c r="H6540" t="s">
        <v>21</v>
      </c>
      <c r="I6540" t="s">
        <v>20</v>
      </c>
      <c r="J6540" t="s">
        <v>20</v>
      </c>
      <c r="K6540" t="s">
        <v>27</v>
      </c>
      <c r="L6540" t="s">
        <v>111</v>
      </c>
      <c r="M6540" t="s">
        <v>243</v>
      </c>
      <c r="N6540">
        <v>39.308340999999999</v>
      </c>
      <c r="O6540">
        <v>-111.273343</v>
      </c>
      <c r="P6540">
        <v>6979.9874909999999</v>
      </c>
      <c r="Q6540">
        <v>307</v>
      </c>
      <c r="R6540">
        <v>0</v>
      </c>
    </row>
    <row r="6541" spans="1:18" x14ac:dyDescent="0.25">
      <c r="A6541">
        <v>7540</v>
      </c>
      <c r="B6541">
        <v>94</v>
      </c>
      <c r="C6541" t="s">
        <v>822</v>
      </c>
      <c r="D6541" t="s">
        <v>182</v>
      </c>
      <c r="E6541">
        <v>3.31</v>
      </c>
      <c r="F6541" t="s">
        <v>21</v>
      </c>
      <c r="G6541" t="s">
        <v>20</v>
      </c>
      <c r="H6541" t="s">
        <v>21</v>
      </c>
      <c r="I6541" t="s">
        <v>20</v>
      </c>
      <c r="J6541" t="s">
        <v>20</v>
      </c>
      <c r="K6541" t="s">
        <v>27</v>
      </c>
      <c r="L6541" t="s">
        <v>183</v>
      </c>
      <c r="M6541" t="s">
        <v>76</v>
      </c>
      <c r="N6541">
        <v>38.948721999999997</v>
      </c>
      <c r="O6541">
        <v>-111.93414799999999</v>
      </c>
      <c r="P6541">
        <v>5272.3142399999997</v>
      </c>
      <c r="Q6541">
        <v>429</v>
      </c>
      <c r="R6541">
        <v>0</v>
      </c>
    </row>
    <row r="6542" spans="1:18" x14ac:dyDescent="0.25">
      <c r="A6542">
        <v>7541</v>
      </c>
      <c r="B6542">
        <v>94</v>
      </c>
      <c r="C6542">
        <v>28603507</v>
      </c>
      <c r="D6542" t="s">
        <v>148</v>
      </c>
      <c r="E6542">
        <v>3.3149999999999999</v>
      </c>
      <c r="F6542" t="s">
        <v>21</v>
      </c>
      <c r="G6542" t="s">
        <v>20</v>
      </c>
      <c r="H6542" t="s">
        <v>21</v>
      </c>
      <c r="I6542" t="s">
        <v>20</v>
      </c>
      <c r="J6542" t="s">
        <v>20</v>
      </c>
      <c r="K6542" t="s">
        <v>31</v>
      </c>
      <c r="L6542" t="s">
        <v>149</v>
      </c>
      <c r="M6542" t="s">
        <v>131</v>
      </c>
      <c r="N6542">
        <v>40.783580000000001</v>
      </c>
      <c r="O6542">
        <v>-111.393986</v>
      </c>
      <c r="P6542">
        <v>6031.8907280000003</v>
      </c>
      <c r="Q6542">
        <v>263</v>
      </c>
      <c r="R6542">
        <v>0</v>
      </c>
    </row>
    <row r="6543" spans="1:18" x14ac:dyDescent="0.25">
      <c r="A6543">
        <v>7542</v>
      </c>
      <c r="B6543">
        <v>94</v>
      </c>
      <c r="C6543">
        <v>1266389</v>
      </c>
      <c r="D6543" t="s">
        <v>128</v>
      </c>
      <c r="E6543">
        <v>3.3149999999999999</v>
      </c>
      <c r="F6543" t="s">
        <v>21</v>
      </c>
      <c r="G6543" t="s">
        <v>20</v>
      </c>
      <c r="H6543" t="s">
        <v>21</v>
      </c>
      <c r="I6543" t="s">
        <v>20</v>
      </c>
      <c r="J6543" t="s">
        <v>20</v>
      </c>
      <c r="K6543" t="s">
        <v>41</v>
      </c>
      <c r="L6543" t="s">
        <v>95</v>
      </c>
      <c r="M6543" t="s">
        <v>73</v>
      </c>
      <c r="N6543">
        <v>41.745654999999999</v>
      </c>
      <c r="O6543">
        <v>-111.859127</v>
      </c>
      <c r="P6543">
        <v>4405.903894</v>
      </c>
      <c r="Q6543">
        <v>5943</v>
      </c>
      <c r="R6543">
        <v>0</v>
      </c>
    </row>
    <row r="6544" spans="1:18" x14ac:dyDescent="0.25">
      <c r="A6544">
        <v>7543</v>
      </c>
      <c r="B6544">
        <v>94</v>
      </c>
      <c r="C6544">
        <v>486449</v>
      </c>
      <c r="D6544" t="s">
        <v>83</v>
      </c>
      <c r="E6544">
        <v>3.3149999999999999</v>
      </c>
      <c r="F6544" t="s">
        <v>21</v>
      </c>
      <c r="G6544" t="s">
        <v>26</v>
      </c>
      <c r="H6544" t="s">
        <v>21</v>
      </c>
      <c r="I6544" t="s">
        <v>20</v>
      </c>
      <c r="J6544" t="s">
        <v>20</v>
      </c>
      <c r="K6544" t="s">
        <v>22</v>
      </c>
      <c r="L6544" t="s">
        <v>84</v>
      </c>
      <c r="M6544" t="s">
        <v>85</v>
      </c>
      <c r="N6544">
        <v>40.423524999999998</v>
      </c>
      <c r="O6544">
        <v>-111.78616</v>
      </c>
      <c r="P6544">
        <v>4844.7950440000004</v>
      </c>
      <c r="Q6544">
        <v>319</v>
      </c>
      <c r="R6544">
        <v>0</v>
      </c>
    </row>
    <row r="6545" spans="1:18" x14ac:dyDescent="0.25">
      <c r="A6545">
        <v>7544</v>
      </c>
      <c r="B6545">
        <v>94</v>
      </c>
      <c r="C6545" t="e">
        <f>-JWRTCD1FAHmvXD9dH11IF</f>
        <v>#NAME?</v>
      </c>
      <c r="D6545" t="s">
        <v>316</v>
      </c>
      <c r="E6545">
        <v>31.495000000000001</v>
      </c>
      <c r="F6545" t="s">
        <v>21</v>
      </c>
      <c r="G6545" t="s">
        <v>20</v>
      </c>
      <c r="H6545" t="s">
        <v>21</v>
      </c>
      <c r="I6545" t="s">
        <v>20</v>
      </c>
      <c r="J6545" t="s">
        <v>20</v>
      </c>
      <c r="K6545" t="s">
        <v>22</v>
      </c>
      <c r="L6545" t="s">
        <v>168</v>
      </c>
      <c r="M6545" t="s">
        <v>302</v>
      </c>
      <c r="N6545">
        <v>40.461844999999997</v>
      </c>
      <c r="O6545">
        <v>-110.84232799999999</v>
      </c>
      <c r="P6545">
        <v>6983.8146189999998</v>
      </c>
      <c r="Q6545">
        <v>1346</v>
      </c>
      <c r="R6545">
        <v>0</v>
      </c>
    </row>
    <row r="6546" spans="1:18" x14ac:dyDescent="0.25">
      <c r="A6546">
        <v>7545</v>
      </c>
      <c r="B6546">
        <v>94</v>
      </c>
      <c r="C6546">
        <v>31334412</v>
      </c>
      <c r="D6546" t="s">
        <v>303</v>
      </c>
      <c r="E6546">
        <v>31.515000000000001</v>
      </c>
      <c r="F6546" t="s">
        <v>21</v>
      </c>
      <c r="G6546" t="s">
        <v>26</v>
      </c>
      <c r="H6546" t="s">
        <v>21</v>
      </c>
      <c r="I6546" t="s">
        <v>20</v>
      </c>
      <c r="J6546" t="s">
        <v>20</v>
      </c>
      <c r="K6546" t="s">
        <v>27</v>
      </c>
      <c r="L6546" t="s">
        <v>72</v>
      </c>
      <c r="M6546" t="s">
        <v>73</v>
      </c>
      <c r="N6546">
        <v>37.188428000000002</v>
      </c>
      <c r="O6546">
        <v>-113.000635</v>
      </c>
      <c r="P6546">
        <v>3834.7945580000001</v>
      </c>
      <c r="Q6546">
        <v>1326</v>
      </c>
      <c r="R6546">
        <v>0</v>
      </c>
    </row>
    <row r="6547" spans="1:18" x14ac:dyDescent="0.25">
      <c r="A6547">
        <v>7546</v>
      </c>
      <c r="B6547">
        <v>94</v>
      </c>
      <c r="C6547">
        <v>31442069</v>
      </c>
      <c r="D6547" t="s">
        <v>319</v>
      </c>
      <c r="E6547">
        <v>31.532</v>
      </c>
      <c r="F6547" t="s">
        <v>21</v>
      </c>
      <c r="G6547" t="s">
        <v>26</v>
      </c>
      <c r="H6547" t="s">
        <v>21</v>
      </c>
      <c r="I6547" t="s">
        <v>20</v>
      </c>
      <c r="J6547" t="s">
        <v>20</v>
      </c>
      <c r="K6547" t="s">
        <v>27</v>
      </c>
      <c r="L6547" t="s">
        <v>162</v>
      </c>
      <c r="M6547" t="s">
        <v>55</v>
      </c>
      <c r="N6547">
        <v>37.672173000000001</v>
      </c>
      <c r="O6547">
        <v>-113.549029</v>
      </c>
      <c r="P6547">
        <v>5218.7479460000004</v>
      </c>
      <c r="Q6547">
        <v>314</v>
      </c>
      <c r="R6547">
        <v>0</v>
      </c>
    </row>
    <row r="6548" spans="1:18" x14ac:dyDescent="0.25">
      <c r="A6548">
        <v>7547</v>
      </c>
      <c r="B6548">
        <v>94</v>
      </c>
      <c r="C6548">
        <v>31334423</v>
      </c>
      <c r="D6548" t="s">
        <v>303</v>
      </c>
      <c r="E6548">
        <v>31.553000000000001</v>
      </c>
      <c r="F6548" t="s">
        <v>21</v>
      </c>
      <c r="G6548" t="s">
        <v>26</v>
      </c>
      <c r="H6548" t="s">
        <v>21</v>
      </c>
      <c r="I6548" t="s">
        <v>20</v>
      </c>
      <c r="J6548" t="s">
        <v>20</v>
      </c>
      <c r="K6548" t="s">
        <v>27</v>
      </c>
      <c r="L6548" t="s">
        <v>72</v>
      </c>
      <c r="M6548" t="s">
        <v>73</v>
      </c>
      <c r="N6548">
        <v>37.188695000000003</v>
      </c>
      <c r="O6548">
        <v>-113.000061</v>
      </c>
      <c r="P6548">
        <v>3834.7799869999999</v>
      </c>
      <c r="Q6548">
        <v>1326</v>
      </c>
      <c r="R6548">
        <v>0</v>
      </c>
    </row>
    <row r="6549" spans="1:18" x14ac:dyDescent="0.25">
      <c r="A6549">
        <v>7548</v>
      </c>
      <c r="B6549">
        <v>94</v>
      </c>
      <c r="C6549">
        <v>27720488</v>
      </c>
      <c r="D6549" t="s">
        <v>217</v>
      </c>
      <c r="E6549">
        <v>31.574999999999999</v>
      </c>
      <c r="F6549" t="s">
        <v>21</v>
      </c>
      <c r="G6549" t="s">
        <v>26</v>
      </c>
      <c r="H6549" t="s">
        <v>21</v>
      </c>
      <c r="I6549" t="s">
        <v>20</v>
      </c>
      <c r="J6549" t="s">
        <v>20</v>
      </c>
      <c r="K6549" t="s">
        <v>27</v>
      </c>
      <c r="L6549" t="s">
        <v>162</v>
      </c>
      <c r="M6549" t="s">
        <v>163</v>
      </c>
      <c r="N6549">
        <v>37.478341</v>
      </c>
      <c r="O6549">
        <v>-113.628112</v>
      </c>
      <c r="P6549">
        <v>5809.0376340000003</v>
      </c>
      <c r="Q6549">
        <v>304</v>
      </c>
      <c r="R6549">
        <v>0</v>
      </c>
    </row>
    <row r="6550" spans="1:18" x14ac:dyDescent="0.25">
      <c r="A6550">
        <v>7549</v>
      </c>
      <c r="B6550">
        <v>94</v>
      </c>
      <c r="C6550" t="e">
        <f>-JODuZpBHVuTgNmMOXH7rk</f>
        <v>#NAME?</v>
      </c>
      <c r="D6550" t="s">
        <v>210</v>
      </c>
      <c r="E6550">
        <v>31.581</v>
      </c>
      <c r="F6550" t="s">
        <v>21</v>
      </c>
      <c r="G6550" t="s">
        <v>20</v>
      </c>
      <c r="H6550" t="s">
        <v>21</v>
      </c>
      <c r="I6550" t="s">
        <v>20</v>
      </c>
      <c r="J6550" t="s">
        <v>20</v>
      </c>
      <c r="K6550" t="s">
        <v>27</v>
      </c>
      <c r="L6550" t="s">
        <v>211</v>
      </c>
      <c r="M6550" t="s">
        <v>212</v>
      </c>
      <c r="N6550">
        <v>37.152811999999997</v>
      </c>
      <c r="O6550">
        <v>-109.048776</v>
      </c>
      <c r="P6550">
        <v>4660.4429540000001</v>
      </c>
      <c r="Q6550">
        <v>344</v>
      </c>
      <c r="R6550">
        <v>0</v>
      </c>
    </row>
    <row r="6551" spans="1:18" x14ac:dyDescent="0.25">
      <c r="A6551">
        <v>7550</v>
      </c>
      <c r="B6551">
        <v>94</v>
      </c>
      <c r="C6551">
        <v>31381396</v>
      </c>
      <c r="D6551" t="s">
        <v>116</v>
      </c>
      <c r="E6551">
        <v>31.581</v>
      </c>
      <c r="F6551" t="s">
        <v>21</v>
      </c>
      <c r="G6551" t="s">
        <v>26</v>
      </c>
      <c r="H6551" t="s">
        <v>21</v>
      </c>
      <c r="I6551" t="s">
        <v>20</v>
      </c>
      <c r="J6551" t="s">
        <v>20</v>
      </c>
      <c r="K6551" t="s">
        <v>41</v>
      </c>
      <c r="L6551" t="s">
        <v>95</v>
      </c>
      <c r="M6551" t="s">
        <v>117</v>
      </c>
      <c r="N6551">
        <v>41.803265000000003</v>
      </c>
      <c r="O6551">
        <v>-111.833426</v>
      </c>
      <c r="P6551">
        <v>4424.4695009999996</v>
      </c>
      <c r="Q6551">
        <v>324</v>
      </c>
      <c r="R6551">
        <v>0</v>
      </c>
    </row>
    <row r="6552" spans="1:18" x14ac:dyDescent="0.25">
      <c r="A6552">
        <v>7551</v>
      </c>
      <c r="B6552">
        <v>94</v>
      </c>
      <c r="C6552">
        <v>31371800</v>
      </c>
      <c r="D6552" t="s">
        <v>142</v>
      </c>
      <c r="E6552">
        <v>79.921000000000006</v>
      </c>
      <c r="F6552" t="s">
        <v>21</v>
      </c>
      <c r="G6552" t="s">
        <v>26</v>
      </c>
      <c r="H6552" t="s">
        <v>21</v>
      </c>
      <c r="I6552" t="s">
        <v>20</v>
      </c>
      <c r="J6552" t="s">
        <v>20</v>
      </c>
      <c r="K6552" t="s">
        <v>27</v>
      </c>
      <c r="L6552" t="s">
        <v>143</v>
      </c>
      <c r="M6552" t="s">
        <v>106</v>
      </c>
      <c r="N6552">
        <v>38.361615999999998</v>
      </c>
      <c r="O6552">
        <v>-112.99122</v>
      </c>
      <c r="P6552">
        <v>4924.817771</v>
      </c>
      <c r="Q6552">
        <v>305</v>
      </c>
      <c r="R6552">
        <v>0</v>
      </c>
    </row>
    <row r="6553" spans="1:18" x14ac:dyDescent="0.25">
      <c r="A6553">
        <v>7552</v>
      </c>
      <c r="B6553">
        <v>94</v>
      </c>
      <c r="C6553">
        <v>2564244</v>
      </c>
      <c r="D6553" t="s">
        <v>176</v>
      </c>
      <c r="E6553">
        <v>8.0009999999999994</v>
      </c>
      <c r="F6553" t="s">
        <v>21</v>
      </c>
      <c r="G6553" t="s">
        <v>26</v>
      </c>
      <c r="H6553" t="s">
        <v>21</v>
      </c>
      <c r="I6553" t="s">
        <v>20</v>
      </c>
      <c r="J6553" t="s">
        <v>20</v>
      </c>
      <c r="K6553" t="s">
        <v>41</v>
      </c>
      <c r="L6553" t="s">
        <v>177</v>
      </c>
      <c r="M6553" t="s">
        <v>178</v>
      </c>
      <c r="N6553">
        <v>41.550426999999999</v>
      </c>
      <c r="O6553">
        <v>-112.108198</v>
      </c>
      <c r="P6553">
        <v>4178.8136690000001</v>
      </c>
      <c r="Q6553">
        <v>1329</v>
      </c>
      <c r="R6553">
        <v>0</v>
      </c>
    </row>
    <row r="6554" spans="1:18" x14ac:dyDescent="0.25">
      <c r="A6554">
        <v>7553</v>
      </c>
      <c r="B6554">
        <v>94</v>
      </c>
      <c r="C6554" t="s">
        <v>823</v>
      </c>
      <c r="D6554" t="s">
        <v>417</v>
      </c>
      <c r="E6554">
        <v>8.0069999999999997</v>
      </c>
      <c r="F6554" t="s">
        <v>19</v>
      </c>
      <c r="G6554" t="s">
        <v>20</v>
      </c>
      <c r="H6554" t="s">
        <v>21</v>
      </c>
      <c r="I6554" t="s">
        <v>20</v>
      </c>
      <c r="J6554" t="s">
        <v>20</v>
      </c>
      <c r="K6554" t="s">
        <v>31</v>
      </c>
      <c r="L6554" t="s">
        <v>84</v>
      </c>
      <c r="M6554" t="s">
        <v>24</v>
      </c>
      <c r="N6554">
        <v>40.507930999999999</v>
      </c>
      <c r="O6554">
        <v>-112.005174</v>
      </c>
      <c r="P6554">
        <v>4720.1037500000002</v>
      </c>
      <c r="Q6554">
        <v>6765</v>
      </c>
      <c r="R6554">
        <v>0</v>
      </c>
    </row>
    <row r="6555" spans="1:18" x14ac:dyDescent="0.25">
      <c r="A6555">
        <v>7554</v>
      </c>
      <c r="B6555">
        <v>94</v>
      </c>
      <c r="C6555">
        <v>1385579</v>
      </c>
      <c r="D6555" t="s">
        <v>100</v>
      </c>
      <c r="E6555">
        <v>8.0109999999999992</v>
      </c>
      <c r="F6555" t="s">
        <v>19</v>
      </c>
      <c r="G6555" t="s">
        <v>20</v>
      </c>
      <c r="H6555" t="s">
        <v>21</v>
      </c>
      <c r="I6555" t="s">
        <v>20</v>
      </c>
      <c r="J6555" t="s">
        <v>20</v>
      </c>
      <c r="K6555" t="s">
        <v>41</v>
      </c>
      <c r="L6555" t="s">
        <v>57</v>
      </c>
      <c r="M6555" t="s">
        <v>46</v>
      </c>
      <c r="N6555">
        <v>41.147137000000001</v>
      </c>
      <c r="O6555">
        <v>-112.064464</v>
      </c>
      <c r="P6555">
        <v>4267.2666300000001</v>
      </c>
      <c r="Q6555">
        <v>1396</v>
      </c>
      <c r="R6555">
        <v>0</v>
      </c>
    </row>
    <row r="6556" spans="1:18" x14ac:dyDescent="0.25">
      <c r="A6556">
        <v>7555</v>
      </c>
      <c r="B6556">
        <v>94</v>
      </c>
      <c r="C6556" t="e">
        <f>-IoIZZ77IRegIsTHpMUXXk</f>
        <v>#NAME?</v>
      </c>
      <c r="D6556" t="s">
        <v>304</v>
      </c>
      <c r="E6556">
        <v>8.0109999999999992</v>
      </c>
      <c r="F6556" t="s">
        <v>21</v>
      </c>
      <c r="G6556" t="s">
        <v>20</v>
      </c>
      <c r="H6556" t="s">
        <v>21</v>
      </c>
      <c r="I6556" t="s">
        <v>20</v>
      </c>
      <c r="J6556" t="s">
        <v>20</v>
      </c>
      <c r="K6556" t="s">
        <v>41</v>
      </c>
      <c r="L6556" t="s">
        <v>177</v>
      </c>
      <c r="M6556" t="s">
        <v>43</v>
      </c>
      <c r="N6556">
        <v>41.630989</v>
      </c>
      <c r="O6556">
        <v>-112.077552</v>
      </c>
      <c r="P6556">
        <v>4223.3682239999998</v>
      </c>
      <c r="Q6556">
        <v>1348</v>
      </c>
      <c r="R6556">
        <v>0</v>
      </c>
    </row>
    <row r="6557" spans="1:18" x14ac:dyDescent="0.25">
      <c r="A6557">
        <v>7556</v>
      </c>
      <c r="B6557">
        <v>94</v>
      </c>
      <c r="C6557">
        <v>31538609</v>
      </c>
      <c r="D6557" t="s">
        <v>376</v>
      </c>
      <c r="E6557">
        <v>8.0129999999999999</v>
      </c>
      <c r="F6557" t="s">
        <v>21</v>
      </c>
      <c r="G6557" t="s">
        <v>26</v>
      </c>
      <c r="H6557" t="s">
        <v>19</v>
      </c>
      <c r="I6557">
        <v>6</v>
      </c>
      <c r="J6557">
        <v>50</v>
      </c>
      <c r="K6557" t="s">
        <v>27</v>
      </c>
      <c r="L6557" t="s">
        <v>173</v>
      </c>
      <c r="M6557" t="s">
        <v>106</v>
      </c>
      <c r="N6557">
        <v>39.056189000000003</v>
      </c>
      <c r="O6557">
        <v>-114.03658299999999</v>
      </c>
      <c r="P6557">
        <v>5026.6905129999996</v>
      </c>
      <c r="Q6557">
        <v>343</v>
      </c>
      <c r="R6557">
        <v>0</v>
      </c>
    </row>
    <row r="6558" spans="1:18" x14ac:dyDescent="0.25">
      <c r="A6558">
        <v>7557</v>
      </c>
      <c r="B6558">
        <v>94</v>
      </c>
      <c r="C6558">
        <v>552390</v>
      </c>
      <c r="D6558" t="s">
        <v>77</v>
      </c>
      <c r="E6558">
        <v>8.0150000000000006</v>
      </c>
      <c r="F6558" t="s">
        <v>21</v>
      </c>
      <c r="G6558" t="s">
        <v>26</v>
      </c>
      <c r="H6558" t="s">
        <v>21</v>
      </c>
      <c r="I6558" t="s">
        <v>20</v>
      </c>
      <c r="J6558" t="s">
        <v>20</v>
      </c>
      <c r="K6558" t="s">
        <v>31</v>
      </c>
      <c r="L6558" t="s">
        <v>78</v>
      </c>
      <c r="M6558" t="s">
        <v>79</v>
      </c>
      <c r="N6558">
        <v>40.754770999999998</v>
      </c>
      <c r="O6558">
        <v>-112.024941</v>
      </c>
      <c r="P6558">
        <v>4177.8769169999996</v>
      </c>
      <c r="Q6558">
        <v>1436</v>
      </c>
      <c r="R6558">
        <v>0</v>
      </c>
    </row>
    <row r="6559" spans="1:18" x14ac:dyDescent="0.25">
      <c r="A6559">
        <v>7558</v>
      </c>
      <c r="B6559">
        <v>94</v>
      </c>
      <c r="C6559">
        <v>27868360</v>
      </c>
      <c r="D6559" t="s">
        <v>91</v>
      </c>
      <c r="E6559">
        <v>8.0180000000000007</v>
      </c>
      <c r="F6559" t="s">
        <v>21</v>
      </c>
      <c r="G6559" t="s">
        <v>20</v>
      </c>
      <c r="H6559" t="s">
        <v>21</v>
      </c>
      <c r="I6559" t="s">
        <v>20</v>
      </c>
      <c r="J6559" t="s">
        <v>20</v>
      </c>
      <c r="K6559" t="s">
        <v>41</v>
      </c>
      <c r="L6559" t="s">
        <v>42</v>
      </c>
      <c r="M6559" t="s">
        <v>73</v>
      </c>
      <c r="N6559">
        <v>41.721147000000002</v>
      </c>
      <c r="O6559">
        <v>-111.979067</v>
      </c>
      <c r="P6559">
        <v>4509.1834559999998</v>
      </c>
      <c r="Q6559">
        <v>1339</v>
      </c>
      <c r="R6559">
        <v>0</v>
      </c>
    </row>
    <row r="6560" spans="1:18" x14ac:dyDescent="0.25">
      <c r="A6560">
        <v>7559</v>
      </c>
      <c r="B6560">
        <v>94</v>
      </c>
      <c r="C6560">
        <v>1041288</v>
      </c>
      <c r="D6560" t="s">
        <v>171</v>
      </c>
      <c r="E6560">
        <v>8.02</v>
      </c>
      <c r="F6560" t="s">
        <v>19</v>
      </c>
      <c r="G6560" t="s">
        <v>20</v>
      </c>
      <c r="H6560" t="s">
        <v>19</v>
      </c>
      <c r="I6560">
        <v>68</v>
      </c>
      <c r="J6560" t="s">
        <v>20</v>
      </c>
      <c r="K6560" t="s">
        <v>31</v>
      </c>
      <c r="L6560" t="s">
        <v>362</v>
      </c>
      <c r="M6560" t="s">
        <v>79</v>
      </c>
      <c r="N6560">
        <v>40.696624</v>
      </c>
      <c r="O6560">
        <v>-111.93893</v>
      </c>
      <c r="P6560">
        <v>4199.9130809999997</v>
      </c>
      <c r="Q6560">
        <v>346</v>
      </c>
      <c r="R6560">
        <v>0</v>
      </c>
    </row>
    <row r="6561" spans="1:18" x14ac:dyDescent="0.25">
      <c r="A6561">
        <v>7560</v>
      </c>
      <c r="B6561">
        <v>94</v>
      </c>
      <c r="C6561">
        <v>31389652</v>
      </c>
      <c r="D6561" t="s">
        <v>364</v>
      </c>
      <c r="E6561">
        <v>8.0269999999999992</v>
      </c>
      <c r="F6561" t="s">
        <v>21</v>
      </c>
      <c r="G6561" t="s">
        <v>26</v>
      </c>
      <c r="H6561" t="s">
        <v>21</v>
      </c>
      <c r="I6561" t="s">
        <v>20</v>
      </c>
      <c r="J6561" t="s">
        <v>20</v>
      </c>
      <c r="K6561" t="s">
        <v>22</v>
      </c>
      <c r="L6561" t="s">
        <v>140</v>
      </c>
      <c r="M6561" t="s">
        <v>85</v>
      </c>
      <c r="N6561">
        <v>40.108094000000001</v>
      </c>
      <c r="O6561">
        <v>-111.658976</v>
      </c>
      <c r="P6561">
        <v>4520.6187259999997</v>
      </c>
      <c r="Q6561">
        <v>1401</v>
      </c>
      <c r="R6561">
        <v>0</v>
      </c>
    </row>
    <row r="6562" spans="1:18" x14ac:dyDescent="0.25">
      <c r="A6562">
        <v>7561</v>
      </c>
      <c r="B6562">
        <v>94</v>
      </c>
      <c r="C6562">
        <v>31423783</v>
      </c>
      <c r="D6562" t="s">
        <v>288</v>
      </c>
      <c r="E6562">
        <v>86.137</v>
      </c>
      <c r="F6562" t="s">
        <v>21</v>
      </c>
      <c r="G6562" t="s">
        <v>26</v>
      </c>
      <c r="H6562" t="s">
        <v>19</v>
      </c>
      <c r="I6562">
        <v>211</v>
      </c>
      <c r="J6562" t="s">
        <v>20</v>
      </c>
      <c r="K6562" t="s">
        <v>27</v>
      </c>
      <c r="L6562" t="s">
        <v>146</v>
      </c>
      <c r="M6562" t="s">
        <v>147</v>
      </c>
      <c r="N6562">
        <v>38.074257000000003</v>
      </c>
      <c r="O6562">
        <v>-109.350261</v>
      </c>
      <c r="P6562">
        <v>5967.1164360000002</v>
      </c>
      <c r="Q6562">
        <v>350</v>
      </c>
      <c r="R6562">
        <v>0</v>
      </c>
    </row>
    <row r="6563" spans="1:18" x14ac:dyDescent="0.25">
      <c r="A6563">
        <v>7562</v>
      </c>
      <c r="B6563">
        <v>94</v>
      </c>
      <c r="C6563">
        <v>31768733</v>
      </c>
      <c r="D6563" t="s">
        <v>290</v>
      </c>
      <c r="E6563">
        <v>86.149000000000001</v>
      </c>
      <c r="F6563" t="s">
        <v>21</v>
      </c>
      <c r="G6563" t="s">
        <v>26</v>
      </c>
      <c r="H6563" t="s">
        <v>21</v>
      </c>
      <c r="I6563" t="s">
        <v>20</v>
      </c>
      <c r="J6563" t="s">
        <v>20</v>
      </c>
      <c r="K6563" t="s">
        <v>41</v>
      </c>
      <c r="L6563" t="s">
        <v>291</v>
      </c>
      <c r="M6563" t="s">
        <v>238</v>
      </c>
      <c r="N6563">
        <v>41.967256999999996</v>
      </c>
      <c r="O6563">
        <v>-112.838272</v>
      </c>
      <c r="P6563">
        <v>4356.2066370000002</v>
      </c>
      <c r="Q6563">
        <v>1343</v>
      </c>
      <c r="R6563">
        <v>0</v>
      </c>
    </row>
    <row r="6564" spans="1:18" x14ac:dyDescent="0.25">
      <c r="A6564">
        <v>7563</v>
      </c>
      <c r="B6564">
        <v>94</v>
      </c>
      <c r="C6564">
        <v>31772546</v>
      </c>
      <c r="D6564" t="s">
        <v>118</v>
      </c>
      <c r="E6564">
        <v>86.161000000000001</v>
      </c>
      <c r="F6564" t="s">
        <v>21</v>
      </c>
      <c r="G6564" t="s">
        <v>26</v>
      </c>
      <c r="H6564" t="s">
        <v>21</v>
      </c>
      <c r="I6564" t="s">
        <v>20</v>
      </c>
      <c r="J6564" t="s">
        <v>20</v>
      </c>
      <c r="K6564" t="s">
        <v>22</v>
      </c>
      <c r="L6564" t="s">
        <v>253</v>
      </c>
      <c r="M6564" t="s">
        <v>120</v>
      </c>
      <c r="N6564">
        <v>40.163384999999998</v>
      </c>
      <c r="O6564">
        <v>-110.408249</v>
      </c>
      <c r="P6564">
        <v>5465.4981809999999</v>
      </c>
      <c r="Q6564">
        <v>310</v>
      </c>
      <c r="R6564">
        <v>0</v>
      </c>
    </row>
    <row r="6565" spans="1:18" x14ac:dyDescent="0.25">
      <c r="A6565">
        <v>7564</v>
      </c>
      <c r="B6565">
        <v>94</v>
      </c>
      <c r="C6565">
        <v>31896516</v>
      </c>
      <c r="D6565" t="s">
        <v>272</v>
      </c>
      <c r="E6565">
        <v>86.230999999999995</v>
      </c>
      <c r="F6565" t="s">
        <v>21</v>
      </c>
      <c r="G6565" t="s">
        <v>26</v>
      </c>
      <c r="H6565" t="s">
        <v>21</v>
      </c>
      <c r="I6565" t="s">
        <v>20</v>
      </c>
      <c r="J6565" t="s">
        <v>20</v>
      </c>
      <c r="K6565" t="s">
        <v>27</v>
      </c>
      <c r="L6565" t="s">
        <v>279</v>
      </c>
      <c r="M6565" t="s">
        <v>214</v>
      </c>
      <c r="N6565">
        <v>37.277510999999997</v>
      </c>
      <c r="O6565">
        <v>-112.629835</v>
      </c>
      <c r="P6565">
        <v>5416.5614439999999</v>
      </c>
      <c r="Q6565">
        <v>1384</v>
      </c>
      <c r="R6565">
        <v>0</v>
      </c>
    </row>
    <row r="6566" spans="1:18" x14ac:dyDescent="0.25">
      <c r="A6566">
        <v>7565</v>
      </c>
      <c r="B6566">
        <v>94</v>
      </c>
      <c r="C6566">
        <v>31774307</v>
      </c>
      <c r="D6566" t="s">
        <v>118</v>
      </c>
      <c r="E6566">
        <v>86.251999999999995</v>
      </c>
      <c r="F6566" t="s">
        <v>21</v>
      </c>
      <c r="G6566" t="s">
        <v>26</v>
      </c>
      <c r="H6566" t="s">
        <v>21</v>
      </c>
      <c r="I6566" t="s">
        <v>20</v>
      </c>
      <c r="J6566" t="s">
        <v>20</v>
      </c>
      <c r="K6566" t="s">
        <v>22</v>
      </c>
      <c r="L6566" t="s">
        <v>253</v>
      </c>
      <c r="M6566" t="s">
        <v>120</v>
      </c>
      <c r="N6566">
        <v>40.163401999999998</v>
      </c>
      <c r="O6566">
        <v>-110.40654000000001</v>
      </c>
      <c r="P6566">
        <v>5464.5094090000002</v>
      </c>
      <c r="Q6566">
        <v>310</v>
      </c>
      <c r="R6566">
        <v>0</v>
      </c>
    </row>
    <row r="6567" spans="1:18" x14ac:dyDescent="0.25">
      <c r="A6567">
        <v>7566</v>
      </c>
      <c r="B6567">
        <v>94</v>
      </c>
      <c r="C6567">
        <v>31774318</v>
      </c>
      <c r="D6567" t="s">
        <v>118</v>
      </c>
      <c r="E6567">
        <v>86.340999999999994</v>
      </c>
      <c r="F6567" t="s">
        <v>21</v>
      </c>
      <c r="G6567" t="s">
        <v>26</v>
      </c>
      <c r="H6567" t="s">
        <v>21</v>
      </c>
      <c r="I6567" t="s">
        <v>20</v>
      </c>
      <c r="J6567" t="s">
        <v>20</v>
      </c>
      <c r="K6567" t="s">
        <v>22</v>
      </c>
      <c r="L6567" t="s">
        <v>253</v>
      </c>
      <c r="M6567" t="s">
        <v>120</v>
      </c>
      <c r="N6567">
        <v>40.163398999999998</v>
      </c>
      <c r="O6567">
        <v>-110.404844</v>
      </c>
      <c r="P6567">
        <v>5461.6509480000004</v>
      </c>
      <c r="Q6567">
        <v>310</v>
      </c>
      <c r="R6567">
        <v>0</v>
      </c>
    </row>
    <row r="6568" spans="1:18" x14ac:dyDescent="0.25">
      <c r="A6568">
        <v>7567</v>
      </c>
      <c r="B6568">
        <v>94</v>
      </c>
      <c r="C6568">
        <v>28242911</v>
      </c>
      <c r="D6568" t="s">
        <v>220</v>
      </c>
      <c r="E6568">
        <v>86.352000000000004</v>
      </c>
      <c r="F6568" t="s">
        <v>21</v>
      </c>
      <c r="G6568" t="s">
        <v>26</v>
      </c>
      <c r="H6568" t="s">
        <v>21</v>
      </c>
      <c r="I6568" t="s">
        <v>20</v>
      </c>
      <c r="J6568" t="s">
        <v>20</v>
      </c>
      <c r="K6568" t="s">
        <v>27</v>
      </c>
      <c r="L6568" t="s">
        <v>28</v>
      </c>
      <c r="M6568" t="s">
        <v>366</v>
      </c>
      <c r="N6568">
        <v>37.901255999999997</v>
      </c>
      <c r="O6568">
        <v>-111.425079</v>
      </c>
      <c r="P6568">
        <v>6560.0459700000001</v>
      </c>
      <c r="Q6568">
        <v>1328</v>
      </c>
      <c r="R6568">
        <v>0</v>
      </c>
    </row>
    <row r="6569" spans="1:18" x14ac:dyDescent="0.25">
      <c r="A6569">
        <v>7568</v>
      </c>
      <c r="B6569">
        <v>94</v>
      </c>
      <c r="C6569">
        <v>1266359</v>
      </c>
      <c r="D6569" t="s">
        <v>128</v>
      </c>
      <c r="E6569">
        <v>5.5449999999999999</v>
      </c>
      <c r="F6569" t="s">
        <v>21</v>
      </c>
      <c r="G6569" t="s">
        <v>26</v>
      </c>
      <c r="H6569" t="s">
        <v>19</v>
      </c>
      <c r="I6569">
        <v>252</v>
      </c>
      <c r="J6569" t="s">
        <v>20</v>
      </c>
      <c r="K6569" t="s">
        <v>41</v>
      </c>
      <c r="L6569" t="s">
        <v>95</v>
      </c>
      <c r="M6569" t="s">
        <v>73</v>
      </c>
      <c r="N6569">
        <v>41.778098999999997</v>
      </c>
      <c r="O6569">
        <v>-111.858385</v>
      </c>
      <c r="P6569">
        <v>4396.8127729999997</v>
      </c>
      <c r="Q6569">
        <v>5943</v>
      </c>
      <c r="R6569">
        <v>0</v>
      </c>
    </row>
    <row r="6570" spans="1:18" x14ac:dyDescent="0.25">
      <c r="A6570">
        <v>7569</v>
      </c>
      <c r="B6570">
        <v>94</v>
      </c>
      <c r="C6570" t="e">
        <f>-JOh4N32GgiztKaxPc3fJF</f>
        <v>#NAME?</v>
      </c>
      <c r="D6570" t="s">
        <v>124</v>
      </c>
      <c r="E6570">
        <v>68.884</v>
      </c>
      <c r="F6570" t="s">
        <v>21</v>
      </c>
      <c r="G6570" t="s">
        <v>26</v>
      </c>
      <c r="H6570" t="s">
        <v>21</v>
      </c>
      <c r="I6570" t="s">
        <v>20</v>
      </c>
      <c r="J6570" t="s">
        <v>20</v>
      </c>
      <c r="K6570" t="s">
        <v>41</v>
      </c>
      <c r="L6570" t="s">
        <v>45</v>
      </c>
      <c r="M6570" t="s">
        <v>194</v>
      </c>
      <c r="N6570">
        <v>40.884292000000002</v>
      </c>
      <c r="O6570">
        <v>-111.898483</v>
      </c>
      <c r="P6570">
        <v>4253.0642239999997</v>
      </c>
      <c r="Q6570">
        <v>1368</v>
      </c>
      <c r="R6570">
        <v>0</v>
      </c>
    </row>
    <row r="6571" spans="1:18" x14ac:dyDescent="0.25">
      <c r="A6571">
        <v>7570</v>
      </c>
      <c r="B6571">
        <v>94</v>
      </c>
      <c r="C6571">
        <v>31357146</v>
      </c>
      <c r="D6571" t="s">
        <v>288</v>
      </c>
      <c r="E6571">
        <v>68.935000000000002</v>
      </c>
      <c r="F6571" t="s">
        <v>21</v>
      </c>
      <c r="G6571" t="s">
        <v>20</v>
      </c>
      <c r="H6571" t="s">
        <v>21</v>
      </c>
      <c r="I6571" t="s">
        <v>20</v>
      </c>
      <c r="J6571" t="s">
        <v>20</v>
      </c>
      <c r="K6571" t="s">
        <v>27</v>
      </c>
      <c r="L6571" t="s">
        <v>146</v>
      </c>
      <c r="M6571" t="s">
        <v>147</v>
      </c>
      <c r="N6571">
        <v>37.831699999999998</v>
      </c>
      <c r="O6571">
        <v>-109.336915</v>
      </c>
      <c r="P6571">
        <v>7006.9583730000004</v>
      </c>
      <c r="Q6571">
        <v>350</v>
      </c>
      <c r="R6571">
        <v>0</v>
      </c>
    </row>
    <row r="6572" spans="1:18" x14ac:dyDescent="0.25">
      <c r="A6572">
        <v>7571</v>
      </c>
      <c r="B6572">
        <v>94</v>
      </c>
      <c r="C6572">
        <v>31515288</v>
      </c>
      <c r="D6572" t="s">
        <v>124</v>
      </c>
      <c r="E6572">
        <v>68.941000000000003</v>
      </c>
      <c r="F6572" t="s">
        <v>19</v>
      </c>
      <c r="G6572" t="s">
        <v>20</v>
      </c>
      <c r="H6572" t="s">
        <v>21</v>
      </c>
      <c r="I6572" t="s">
        <v>20</v>
      </c>
      <c r="J6572" t="s">
        <v>20</v>
      </c>
      <c r="K6572" t="s">
        <v>41</v>
      </c>
      <c r="L6572" t="s">
        <v>45</v>
      </c>
      <c r="M6572" t="s">
        <v>365</v>
      </c>
      <c r="N6572">
        <v>40.884236000000001</v>
      </c>
      <c r="O6572">
        <v>-111.897398</v>
      </c>
      <c r="P6572">
        <v>4257.6432919999997</v>
      </c>
      <c r="Q6572">
        <v>1368</v>
      </c>
      <c r="R6572">
        <v>0</v>
      </c>
    </row>
    <row r="6573" spans="1:18" x14ac:dyDescent="0.25">
      <c r="A6573">
        <v>7572</v>
      </c>
      <c r="B6573">
        <v>94</v>
      </c>
      <c r="C6573">
        <v>28228002</v>
      </c>
      <c r="D6573" t="s">
        <v>220</v>
      </c>
      <c r="E6573">
        <v>70.010999999999996</v>
      </c>
      <c r="F6573" t="s">
        <v>21</v>
      </c>
      <c r="G6573" t="s">
        <v>26</v>
      </c>
      <c r="H6573" t="s">
        <v>21</v>
      </c>
      <c r="I6573" t="s">
        <v>20</v>
      </c>
      <c r="J6573" t="s">
        <v>20</v>
      </c>
      <c r="K6573" t="s">
        <v>27</v>
      </c>
      <c r="L6573" t="s">
        <v>28</v>
      </c>
      <c r="M6573" t="s">
        <v>366</v>
      </c>
      <c r="N6573">
        <v>37.743014000000002</v>
      </c>
      <c r="O6573">
        <v>-111.448059</v>
      </c>
      <c r="P6573">
        <v>5927.2740030000004</v>
      </c>
      <c r="Q6573">
        <v>1328</v>
      </c>
      <c r="R6573">
        <v>0</v>
      </c>
    </row>
    <row r="6574" spans="1:18" x14ac:dyDescent="0.25">
      <c r="A6574">
        <v>7573</v>
      </c>
      <c r="B6574">
        <v>94</v>
      </c>
      <c r="C6574">
        <v>824458</v>
      </c>
      <c r="D6574" t="s">
        <v>68</v>
      </c>
      <c r="E6574">
        <v>6.38</v>
      </c>
      <c r="F6574" t="s">
        <v>21</v>
      </c>
      <c r="G6574" t="s">
        <v>26</v>
      </c>
      <c r="H6574" t="s">
        <v>21</v>
      </c>
      <c r="I6574" t="s">
        <v>20</v>
      </c>
      <c r="J6574" t="s">
        <v>20</v>
      </c>
      <c r="K6574" t="s">
        <v>31</v>
      </c>
      <c r="L6574" t="s">
        <v>32</v>
      </c>
      <c r="M6574" t="s">
        <v>70</v>
      </c>
      <c r="N6574">
        <v>40.674278000000001</v>
      </c>
      <c r="O6574">
        <v>-111.834276</v>
      </c>
      <c r="P6574">
        <v>4396.8570689999997</v>
      </c>
      <c r="Q6574">
        <v>431</v>
      </c>
      <c r="R6574">
        <v>0</v>
      </c>
    </row>
    <row r="6575" spans="1:18" x14ac:dyDescent="0.25">
      <c r="A6575">
        <v>7574</v>
      </c>
      <c r="B6575">
        <v>94</v>
      </c>
      <c r="C6575">
        <v>31370063</v>
      </c>
      <c r="D6575" t="s">
        <v>345</v>
      </c>
      <c r="E6575">
        <v>6.3810000000000002</v>
      </c>
      <c r="F6575" t="s">
        <v>21</v>
      </c>
      <c r="G6575" t="s">
        <v>26</v>
      </c>
      <c r="H6575" t="s">
        <v>21</v>
      </c>
      <c r="I6575" t="s">
        <v>20</v>
      </c>
      <c r="J6575" t="s">
        <v>20</v>
      </c>
      <c r="K6575" t="s">
        <v>27</v>
      </c>
      <c r="L6575" t="s">
        <v>75</v>
      </c>
      <c r="M6575" t="s">
        <v>76</v>
      </c>
      <c r="N6575">
        <v>38.635433999999997</v>
      </c>
      <c r="O6575">
        <v>-112.121415</v>
      </c>
      <c r="P6575">
        <v>5302.7499619999999</v>
      </c>
      <c r="Q6575">
        <v>1403</v>
      </c>
      <c r="R6575">
        <v>0</v>
      </c>
    </row>
    <row r="6576" spans="1:18" x14ac:dyDescent="0.25">
      <c r="A6576">
        <v>7575</v>
      </c>
      <c r="B6576">
        <v>94</v>
      </c>
      <c r="C6576">
        <v>31596667</v>
      </c>
      <c r="D6576" t="s">
        <v>145</v>
      </c>
      <c r="E6576">
        <v>6.3840000000000003</v>
      </c>
      <c r="F6576" t="s">
        <v>21</v>
      </c>
      <c r="G6576" t="s">
        <v>26</v>
      </c>
      <c r="H6576" t="s">
        <v>21</v>
      </c>
      <c r="I6576" t="s">
        <v>20</v>
      </c>
      <c r="J6576" t="s">
        <v>20</v>
      </c>
      <c r="K6576" t="s">
        <v>27</v>
      </c>
      <c r="L6576" t="s">
        <v>146</v>
      </c>
      <c r="M6576" t="s">
        <v>147</v>
      </c>
      <c r="N6576">
        <v>37.864544000000002</v>
      </c>
      <c r="O6576">
        <v>-109.22725699999999</v>
      </c>
      <c r="P6576">
        <v>6775.1967240000004</v>
      </c>
      <c r="Q6576">
        <v>1291</v>
      </c>
      <c r="R6576">
        <v>0</v>
      </c>
    </row>
    <row r="6577" spans="1:18" x14ac:dyDescent="0.25">
      <c r="A6577">
        <v>7576</v>
      </c>
      <c r="B6577">
        <v>94</v>
      </c>
      <c r="C6577">
        <v>31299451</v>
      </c>
      <c r="D6577" t="s">
        <v>203</v>
      </c>
      <c r="E6577">
        <v>6.3959999999999999</v>
      </c>
      <c r="F6577" t="s">
        <v>19</v>
      </c>
      <c r="G6577" t="s">
        <v>20</v>
      </c>
      <c r="H6577" t="s">
        <v>19</v>
      </c>
      <c r="I6577">
        <v>89</v>
      </c>
      <c r="J6577" t="s">
        <v>20</v>
      </c>
      <c r="K6577" t="s">
        <v>41</v>
      </c>
      <c r="L6577" t="s">
        <v>81</v>
      </c>
      <c r="M6577" t="s">
        <v>204</v>
      </c>
      <c r="N6577">
        <v>41.244284</v>
      </c>
      <c r="O6577">
        <v>-111.96994100000001</v>
      </c>
      <c r="P6577">
        <v>4245.5963430000002</v>
      </c>
      <c r="Q6577">
        <v>1349</v>
      </c>
      <c r="R6577">
        <v>0</v>
      </c>
    </row>
    <row r="6578" spans="1:18" x14ac:dyDescent="0.25">
      <c r="A6578">
        <v>7577</v>
      </c>
      <c r="B6578">
        <v>94</v>
      </c>
      <c r="C6578">
        <v>1487766</v>
      </c>
      <c r="D6578" t="s">
        <v>88</v>
      </c>
      <c r="E6578">
        <v>6.3979999999999997</v>
      </c>
      <c r="F6578" t="s">
        <v>21</v>
      </c>
      <c r="G6578" t="s">
        <v>26</v>
      </c>
      <c r="H6578" t="s">
        <v>21</v>
      </c>
      <c r="I6578" t="s">
        <v>20</v>
      </c>
      <c r="J6578" t="s">
        <v>20</v>
      </c>
      <c r="K6578" t="s">
        <v>31</v>
      </c>
      <c r="L6578" t="s">
        <v>89</v>
      </c>
      <c r="M6578" t="s">
        <v>90</v>
      </c>
      <c r="N6578">
        <v>40.532535000000003</v>
      </c>
      <c r="O6578">
        <v>-111.871145</v>
      </c>
      <c r="P6578">
        <v>4420.9572319999997</v>
      </c>
      <c r="Q6578">
        <v>318</v>
      </c>
      <c r="R6578">
        <v>0</v>
      </c>
    </row>
    <row r="6579" spans="1:18" x14ac:dyDescent="0.25">
      <c r="A6579">
        <v>7578</v>
      </c>
      <c r="B6579">
        <v>94</v>
      </c>
      <c r="C6579">
        <v>31713749</v>
      </c>
      <c r="D6579" t="s">
        <v>244</v>
      </c>
      <c r="E6579">
        <v>65.366</v>
      </c>
      <c r="F6579" t="s">
        <v>21</v>
      </c>
      <c r="G6579" t="s">
        <v>26</v>
      </c>
      <c r="H6579" t="s">
        <v>21</v>
      </c>
      <c r="I6579" t="s">
        <v>20</v>
      </c>
      <c r="J6579" t="s">
        <v>20</v>
      </c>
      <c r="K6579" t="s">
        <v>27</v>
      </c>
      <c r="L6579" t="s">
        <v>266</v>
      </c>
      <c r="M6579" t="s">
        <v>386</v>
      </c>
      <c r="N6579">
        <v>38.302795000000003</v>
      </c>
      <c r="O6579">
        <v>-111.4783</v>
      </c>
      <c r="P6579">
        <v>6925.8572569999997</v>
      </c>
      <c r="Q6579">
        <v>1340</v>
      </c>
      <c r="R6579">
        <v>0</v>
      </c>
    </row>
    <row r="6580" spans="1:18" x14ac:dyDescent="0.25">
      <c r="A6580">
        <v>7579</v>
      </c>
      <c r="B6580">
        <v>94</v>
      </c>
      <c r="C6580">
        <v>31328927</v>
      </c>
      <c r="D6580" t="s">
        <v>241</v>
      </c>
      <c r="E6580">
        <v>65.373000000000005</v>
      </c>
      <c r="F6580" t="s">
        <v>21</v>
      </c>
      <c r="G6580" t="s">
        <v>26</v>
      </c>
      <c r="H6580" t="s">
        <v>21</v>
      </c>
      <c r="I6580" t="s">
        <v>20</v>
      </c>
      <c r="J6580" t="s">
        <v>20</v>
      </c>
      <c r="K6580" t="s">
        <v>27</v>
      </c>
      <c r="L6580" t="s">
        <v>158</v>
      </c>
      <c r="M6580" t="s">
        <v>243</v>
      </c>
      <c r="N6580">
        <v>39.551653999999999</v>
      </c>
      <c r="O6580">
        <v>-110.815872</v>
      </c>
      <c r="P6580">
        <v>5601.7961619999996</v>
      </c>
      <c r="Q6580">
        <v>1327</v>
      </c>
      <c r="R6580">
        <v>0</v>
      </c>
    </row>
    <row r="6581" spans="1:18" x14ac:dyDescent="0.25">
      <c r="A6581">
        <v>7580</v>
      </c>
      <c r="B6581">
        <v>94</v>
      </c>
      <c r="C6581" t="e">
        <f>-Ip-N9vyHVLhzZzwQlSXVV</f>
        <v>#NAME?</v>
      </c>
      <c r="D6581" t="s">
        <v>203</v>
      </c>
      <c r="E6581">
        <v>65.379000000000005</v>
      </c>
      <c r="F6581" t="s">
        <v>21</v>
      </c>
      <c r="G6581" t="s">
        <v>26</v>
      </c>
      <c r="H6581" t="s">
        <v>21</v>
      </c>
      <c r="I6581" t="s">
        <v>20</v>
      </c>
      <c r="J6581" t="s">
        <v>20</v>
      </c>
      <c r="K6581" t="s">
        <v>41</v>
      </c>
      <c r="L6581" t="s">
        <v>325</v>
      </c>
      <c r="M6581" t="s">
        <v>204</v>
      </c>
      <c r="N6581">
        <v>41.518279999999997</v>
      </c>
      <c r="O6581">
        <v>-111.207036</v>
      </c>
      <c r="P6581">
        <v>6450.3638680000004</v>
      </c>
      <c r="Q6581">
        <v>1349</v>
      </c>
      <c r="R6581">
        <v>0</v>
      </c>
    </row>
    <row r="6582" spans="1:18" x14ac:dyDescent="0.25">
      <c r="A6582">
        <v>7581</v>
      </c>
      <c r="B6582">
        <v>94</v>
      </c>
      <c r="C6582">
        <v>31737230</v>
      </c>
      <c r="D6582" t="s">
        <v>118</v>
      </c>
      <c r="E6582">
        <v>65.432000000000002</v>
      </c>
      <c r="F6582" t="s">
        <v>21</v>
      </c>
      <c r="G6582" t="s">
        <v>26</v>
      </c>
      <c r="H6582" t="s">
        <v>21</v>
      </c>
      <c r="I6582" t="s">
        <v>20</v>
      </c>
      <c r="J6582" t="s">
        <v>20</v>
      </c>
      <c r="K6582" t="s">
        <v>22</v>
      </c>
      <c r="L6582" t="s">
        <v>168</v>
      </c>
      <c r="M6582" t="s">
        <v>120</v>
      </c>
      <c r="N6582">
        <v>40.199244</v>
      </c>
      <c r="O6582">
        <v>-110.777869</v>
      </c>
      <c r="P6582">
        <v>6382.4200719999999</v>
      </c>
      <c r="Q6582">
        <v>310</v>
      </c>
      <c r="R6582">
        <v>0</v>
      </c>
    </row>
    <row r="6583" spans="1:18" x14ac:dyDescent="0.25">
      <c r="A6583">
        <v>7582</v>
      </c>
      <c r="B6583">
        <v>94</v>
      </c>
      <c r="C6583">
        <v>31513521</v>
      </c>
      <c r="D6583" t="s">
        <v>124</v>
      </c>
      <c r="E6583">
        <v>65.451999999999998</v>
      </c>
      <c r="F6583" t="s">
        <v>21</v>
      </c>
      <c r="G6583" t="s">
        <v>26</v>
      </c>
      <c r="H6583" t="s">
        <v>21</v>
      </c>
      <c r="I6583" t="s">
        <v>20</v>
      </c>
      <c r="J6583" t="s">
        <v>20</v>
      </c>
      <c r="K6583" t="s">
        <v>41</v>
      </c>
      <c r="L6583" t="s">
        <v>45</v>
      </c>
      <c r="M6583" t="s">
        <v>365</v>
      </c>
      <c r="N6583">
        <v>40.857523</v>
      </c>
      <c r="O6583">
        <v>-111.929833</v>
      </c>
      <c r="P6583">
        <v>4175.888739</v>
      </c>
      <c r="Q6583">
        <v>1368</v>
      </c>
      <c r="R6583">
        <v>0</v>
      </c>
    </row>
    <row r="6584" spans="1:18" x14ac:dyDescent="0.25">
      <c r="A6584">
        <v>7583</v>
      </c>
      <c r="B6584">
        <v>94</v>
      </c>
      <c r="C6584">
        <v>28057685</v>
      </c>
      <c r="D6584" t="s">
        <v>281</v>
      </c>
      <c r="E6584">
        <v>65.468000000000004</v>
      </c>
      <c r="F6584" t="s">
        <v>19</v>
      </c>
      <c r="G6584" t="s">
        <v>20</v>
      </c>
      <c r="H6584" t="s">
        <v>19</v>
      </c>
      <c r="I6584">
        <v>80</v>
      </c>
      <c r="J6584" t="s">
        <v>20</v>
      </c>
      <c r="K6584" t="s">
        <v>31</v>
      </c>
      <c r="L6584" t="s">
        <v>285</v>
      </c>
      <c r="M6584" t="s">
        <v>283</v>
      </c>
      <c r="N6584">
        <v>40.6858</v>
      </c>
      <c r="O6584">
        <v>-112.268427</v>
      </c>
      <c r="P6584">
        <v>4173.7901410000004</v>
      </c>
      <c r="Q6584">
        <v>1347</v>
      </c>
      <c r="R6584">
        <v>0</v>
      </c>
    </row>
    <row r="6585" spans="1:18" x14ac:dyDescent="0.25">
      <c r="A6585">
        <v>7584</v>
      </c>
      <c r="B6585">
        <v>94</v>
      </c>
      <c r="C6585" t="e">
        <f>-JN4FKyVHqLwA2xFKmZZUF</f>
        <v>#NAME?</v>
      </c>
      <c r="D6585" t="s">
        <v>312</v>
      </c>
      <c r="E6585">
        <v>65.477000000000004</v>
      </c>
      <c r="F6585" t="s">
        <v>21</v>
      </c>
      <c r="G6585" t="s">
        <v>20</v>
      </c>
      <c r="H6585" t="s">
        <v>21</v>
      </c>
      <c r="I6585" t="s">
        <v>20</v>
      </c>
      <c r="J6585" t="s">
        <v>20</v>
      </c>
      <c r="K6585" t="s">
        <v>27</v>
      </c>
      <c r="L6585" t="s">
        <v>173</v>
      </c>
      <c r="M6585" t="s">
        <v>313</v>
      </c>
      <c r="N6585">
        <v>39.276012000000001</v>
      </c>
      <c r="O6585">
        <v>-112.652987</v>
      </c>
      <c r="P6585">
        <v>4521.0757640000002</v>
      </c>
      <c r="Q6585">
        <v>255</v>
      </c>
      <c r="R6585">
        <v>0</v>
      </c>
    </row>
    <row r="6586" spans="1:18" x14ac:dyDescent="0.25">
      <c r="A6586">
        <v>7585</v>
      </c>
      <c r="B6586">
        <v>94</v>
      </c>
      <c r="C6586">
        <v>31748669</v>
      </c>
      <c r="D6586" t="s">
        <v>290</v>
      </c>
      <c r="E6586">
        <v>65.69</v>
      </c>
      <c r="F6586" t="s">
        <v>21</v>
      </c>
      <c r="G6586" t="s">
        <v>20</v>
      </c>
      <c r="H6586" t="s">
        <v>21</v>
      </c>
      <c r="I6586" t="s">
        <v>20</v>
      </c>
      <c r="J6586" t="s">
        <v>20</v>
      </c>
      <c r="K6586" t="s">
        <v>41</v>
      </c>
      <c r="L6586" t="s">
        <v>291</v>
      </c>
      <c r="M6586" t="s">
        <v>238</v>
      </c>
      <c r="N6586">
        <v>41.848557999999997</v>
      </c>
      <c r="O6586">
        <v>-113.135537</v>
      </c>
      <c r="P6586">
        <v>4585.457609</v>
      </c>
      <c r="Q6586">
        <v>1343</v>
      </c>
      <c r="R6586">
        <v>0</v>
      </c>
    </row>
    <row r="6587" spans="1:18" x14ac:dyDescent="0.25">
      <c r="A6587">
        <v>7586</v>
      </c>
      <c r="B6587">
        <v>94</v>
      </c>
      <c r="C6587">
        <v>31858717</v>
      </c>
      <c r="D6587" t="s">
        <v>312</v>
      </c>
      <c r="E6587">
        <v>65.731999999999999</v>
      </c>
      <c r="F6587" t="s">
        <v>21</v>
      </c>
      <c r="G6587" t="s">
        <v>20</v>
      </c>
      <c r="H6587" t="s">
        <v>21</v>
      </c>
      <c r="I6587" t="s">
        <v>20</v>
      </c>
      <c r="J6587" t="s">
        <v>20</v>
      </c>
      <c r="K6587" t="s">
        <v>27</v>
      </c>
      <c r="L6587" t="s">
        <v>173</v>
      </c>
      <c r="M6587" t="s">
        <v>313</v>
      </c>
      <c r="N6587">
        <v>39.279704000000002</v>
      </c>
      <c r="O6587">
        <v>-112.652905</v>
      </c>
      <c r="P6587">
        <v>4523.2765829999998</v>
      </c>
      <c r="Q6587">
        <v>255</v>
      </c>
      <c r="R6587">
        <v>0</v>
      </c>
    </row>
    <row r="6588" spans="1:18" x14ac:dyDescent="0.25">
      <c r="A6588">
        <v>7587</v>
      </c>
      <c r="B6588">
        <v>94</v>
      </c>
      <c r="C6588">
        <v>31558745</v>
      </c>
      <c r="D6588" t="s">
        <v>213</v>
      </c>
      <c r="E6588">
        <v>96.932000000000002</v>
      </c>
      <c r="F6588" t="s">
        <v>21</v>
      </c>
      <c r="G6588" t="s">
        <v>26</v>
      </c>
      <c r="H6588" t="s">
        <v>21</v>
      </c>
      <c r="I6588" t="s">
        <v>20</v>
      </c>
      <c r="J6588" t="s">
        <v>20</v>
      </c>
      <c r="K6588" t="s">
        <v>27</v>
      </c>
      <c r="L6588" t="s">
        <v>173</v>
      </c>
      <c r="M6588" t="s">
        <v>214</v>
      </c>
      <c r="N6588">
        <v>39.430556000000003</v>
      </c>
      <c r="O6588">
        <v>-112.46642900000001</v>
      </c>
      <c r="P6588">
        <v>4705.9796489999999</v>
      </c>
      <c r="Q6588">
        <v>1332</v>
      </c>
      <c r="R6588">
        <v>0</v>
      </c>
    </row>
    <row r="6589" spans="1:18" x14ac:dyDescent="0.25">
      <c r="A6589">
        <v>7588</v>
      </c>
      <c r="B6589">
        <v>94</v>
      </c>
      <c r="C6589" t="s">
        <v>824</v>
      </c>
      <c r="D6589" t="s">
        <v>142</v>
      </c>
      <c r="E6589">
        <v>97.016999999999996</v>
      </c>
      <c r="F6589" t="s">
        <v>21</v>
      </c>
      <c r="G6589" t="s">
        <v>26</v>
      </c>
      <c r="H6589" t="s">
        <v>21</v>
      </c>
      <c r="I6589" t="s">
        <v>20</v>
      </c>
      <c r="J6589" t="s">
        <v>20</v>
      </c>
      <c r="K6589" t="s">
        <v>27</v>
      </c>
      <c r="L6589" t="s">
        <v>143</v>
      </c>
      <c r="M6589" t="s">
        <v>106</v>
      </c>
      <c r="N6589">
        <v>38.222631</v>
      </c>
      <c r="O6589">
        <v>-112.813636</v>
      </c>
      <c r="P6589">
        <v>5506.8911879999996</v>
      </c>
      <c r="Q6589">
        <v>305</v>
      </c>
      <c r="R6589">
        <v>0</v>
      </c>
    </row>
    <row r="6590" spans="1:18" x14ac:dyDescent="0.25">
      <c r="A6590">
        <v>7589</v>
      </c>
      <c r="B6590">
        <v>94</v>
      </c>
      <c r="C6590">
        <v>31374930</v>
      </c>
      <c r="D6590" t="s">
        <v>142</v>
      </c>
      <c r="E6590">
        <v>97.231999999999999</v>
      </c>
      <c r="F6590" t="s">
        <v>21</v>
      </c>
      <c r="G6590" t="s">
        <v>26</v>
      </c>
      <c r="H6590" t="s">
        <v>21</v>
      </c>
      <c r="I6590" t="s">
        <v>20</v>
      </c>
      <c r="J6590" t="s">
        <v>20</v>
      </c>
      <c r="K6590" t="s">
        <v>27</v>
      </c>
      <c r="L6590" t="s">
        <v>143</v>
      </c>
      <c r="M6590" t="s">
        <v>106</v>
      </c>
      <c r="N6590">
        <v>38.224631000000002</v>
      </c>
      <c r="O6590">
        <v>-112.810607</v>
      </c>
      <c r="P6590">
        <v>5510.2364090000001</v>
      </c>
      <c r="Q6590">
        <v>305</v>
      </c>
      <c r="R6590">
        <v>0</v>
      </c>
    </row>
    <row r="6591" spans="1:18" x14ac:dyDescent="0.25">
      <c r="A6591">
        <v>7590</v>
      </c>
      <c r="B6591">
        <v>94</v>
      </c>
      <c r="C6591">
        <v>31781849</v>
      </c>
      <c r="D6591" t="s">
        <v>118</v>
      </c>
      <c r="E6591">
        <v>97.59</v>
      </c>
      <c r="F6591" t="s">
        <v>21</v>
      </c>
      <c r="G6591" t="s">
        <v>26</v>
      </c>
      <c r="H6591" t="s">
        <v>21</v>
      </c>
      <c r="I6591" t="s">
        <v>20</v>
      </c>
      <c r="J6591" t="s">
        <v>20</v>
      </c>
      <c r="K6591" t="s">
        <v>22</v>
      </c>
      <c r="L6591" t="s">
        <v>133</v>
      </c>
      <c r="M6591" t="s">
        <v>169</v>
      </c>
      <c r="N6591">
        <v>40.155648999999997</v>
      </c>
      <c r="O6591">
        <v>-110.19973899999999</v>
      </c>
      <c r="P6591">
        <v>5228.3390639999998</v>
      </c>
      <c r="Q6591">
        <v>310</v>
      </c>
      <c r="R6591">
        <v>0</v>
      </c>
    </row>
    <row r="6592" spans="1:18" x14ac:dyDescent="0.25">
      <c r="A6592">
        <v>7591</v>
      </c>
      <c r="B6592">
        <v>94</v>
      </c>
      <c r="C6592">
        <v>31354233</v>
      </c>
      <c r="D6592" t="s">
        <v>34</v>
      </c>
      <c r="E6592">
        <v>6.45</v>
      </c>
      <c r="F6592" t="s">
        <v>21</v>
      </c>
      <c r="G6592" t="s">
        <v>26</v>
      </c>
      <c r="H6592" t="s">
        <v>21</v>
      </c>
      <c r="I6592" t="s">
        <v>20</v>
      </c>
      <c r="J6592" t="s">
        <v>20</v>
      </c>
      <c r="K6592" t="s">
        <v>22</v>
      </c>
      <c r="L6592" t="s">
        <v>35</v>
      </c>
      <c r="M6592" t="s">
        <v>36</v>
      </c>
      <c r="N6592">
        <v>40.506844000000001</v>
      </c>
      <c r="O6592">
        <v>-111.42655000000001</v>
      </c>
      <c r="P6592">
        <v>5500.8657229999999</v>
      </c>
      <c r="Q6592">
        <v>1400</v>
      </c>
      <c r="R6592">
        <v>0</v>
      </c>
    </row>
    <row r="6593" spans="1:18" x14ac:dyDescent="0.25">
      <c r="A6593">
        <v>7592</v>
      </c>
      <c r="B6593">
        <v>94</v>
      </c>
      <c r="C6593" t="s">
        <v>825</v>
      </c>
      <c r="D6593" t="s">
        <v>417</v>
      </c>
      <c r="E6593">
        <v>6.4530000000000003</v>
      </c>
      <c r="F6593" t="s">
        <v>21</v>
      </c>
      <c r="G6593" t="s">
        <v>20</v>
      </c>
      <c r="H6593" t="s">
        <v>21</v>
      </c>
      <c r="I6593" t="s">
        <v>20</v>
      </c>
      <c r="J6593" t="s">
        <v>20</v>
      </c>
      <c r="K6593" t="s">
        <v>31</v>
      </c>
      <c r="L6593" t="s">
        <v>84</v>
      </c>
      <c r="M6593" t="s">
        <v>24</v>
      </c>
      <c r="N6593">
        <v>40.486927999999999</v>
      </c>
      <c r="O6593">
        <v>-111.997978</v>
      </c>
      <c r="P6593">
        <v>4882.0194359999996</v>
      </c>
      <c r="Q6593">
        <v>6765</v>
      </c>
      <c r="R6593">
        <v>0</v>
      </c>
    </row>
    <row r="6594" spans="1:18" x14ac:dyDescent="0.25">
      <c r="A6594">
        <v>7593</v>
      </c>
      <c r="B6594">
        <v>94</v>
      </c>
      <c r="C6594">
        <v>31403823</v>
      </c>
      <c r="D6594" t="s">
        <v>309</v>
      </c>
      <c r="E6594">
        <v>6.4619999999999997</v>
      </c>
      <c r="F6594" t="s">
        <v>21</v>
      </c>
      <c r="G6594" t="s">
        <v>26</v>
      </c>
      <c r="H6594" t="s">
        <v>21</v>
      </c>
      <c r="I6594" t="s">
        <v>20</v>
      </c>
      <c r="J6594" t="s">
        <v>20</v>
      </c>
      <c r="K6594" t="s">
        <v>22</v>
      </c>
      <c r="L6594" t="s">
        <v>198</v>
      </c>
      <c r="M6594" t="s">
        <v>125</v>
      </c>
      <c r="N6594">
        <v>40.098036</v>
      </c>
      <c r="O6594">
        <v>-111.740032</v>
      </c>
      <c r="P6594">
        <v>4463.8727920000001</v>
      </c>
      <c r="Q6594">
        <v>339</v>
      </c>
      <c r="R6594">
        <v>0</v>
      </c>
    </row>
    <row r="6595" spans="1:18" x14ac:dyDescent="0.25">
      <c r="A6595">
        <v>7594</v>
      </c>
      <c r="B6595">
        <v>94</v>
      </c>
      <c r="C6595">
        <v>31420973</v>
      </c>
      <c r="D6595" t="s">
        <v>319</v>
      </c>
      <c r="E6595">
        <v>6.4630000000000001</v>
      </c>
      <c r="F6595" t="s">
        <v>21</v>
      </c>
      <c r="G6595" t="s">
        <v>26</v>
      </c>
      <c r="H6595" t="s">
        <v>21</v>
      </c>
      <c r="I6595" t="s">
        <v>20</v>
      </c>
      <c r="J6595" t="s">
        <v>20</v>
      </c>
      <c r="K6595" t="s">
        <v>27</v>
      </c>
      <c r="L6595" t="s">
        <v>162</v>
      </c>
      <c r="M6595" t="s">
        <v>55</v>
      </c>
      <c r="N6595">
        <v>37.782702999999998</v>
      </c>
      <c r="O6595">
        <v>-113.964179</v>
      </c>
      <c r="P6595">
        <v>5423.2449710000001</v>
      </c>
      <c r="Q6595">
        <v>314</v>
      </c>
      <c r="R6595">
        <v>0</v>
      </c>
    </row>
    <row r="6596" spans="1:18" x14ac:dyDescent="0.25">
      <c r="A6596">
        <v>7595</v>
      </c>
      <c r="B6596">
        <v>94</v>
      </c>
      <c r="C6596">
        <v>27867541</v>
      </c>
      <c r="D6596" t="s">
        <v>91</v>
      </c>
      <c r="E6596">
        <v>6.468</v>
      </c>
      <c r="F6596" t="s">
        <v>21</v>
      </c>
      <c r="G6596" t="s">
        <v>26</v>
      </c>
      <c r="H6596" t="s">
        <v>21</v>
      </c>
      <c r="I6596" t="s">
        <v>20</v>
      </c>
      <c r="J6596" t="s">
        <v>20</v>
      </c>
      <c r="K6596" t="s">
        <v>41</v>
      </c>
      <c r="L6596" t="s">
        <v>42</v>
      </c>
      <c r="M6596" t="s">
        <v>73</v>
      </c>
      <c r="N6596">
        <v>41.699402999999997</v>
      </c>
      <c r="O6596">
        <v>-111.976049</v>
      </c>
      <c r="P6596">
        <v>4455.9462649999996</v>
      </c>
      <c r="Q6596">
        <v>1339</v>
      </c>
      <c r="R6596">
        <v>0</v>
      </c>
    </row>
    <row r="6597" spans="1:18" x14ac:dyDescent="0.25">
      <c r="A6597">
        <v>7596</v>
      </c>
      <c r="B6597">
        <v>94</v>
      </c>
      <c r="C6597">
        <v>31379408</v>
      </c>
      <c r="D6597" t="s">
        <v>221</v>
      </c>
      <c r="E6597">
        <v>6.4690000000000003</v>
      </c>
      <c r="F6597" t="s">
        <v>21</v>
      </c>
      <c r="G6597" t="s">
        <v>26</v>
      </c>
      <c r="H6597" t="s">
        <v>21</v>
      </c>
      <c r="I6597" t="s">
        <v>20</v>
      </c>
      <c r="J6597" t="s">
        <v>20</v>
      </c>
      <c r="K6597" t="s">
        <v>27</v>
      </c>
      <c r="L6597" t="s">
        <v>350</v>
      </c>
      <c r="M6597" t="s">
        <v>174</v>
      </c>
      <c r="N6597">
        <v>39.243783000000001</v>
      </c>
      <c r="O6597">
        <v>-111.852908</v>
      </c>
      <c r="P6597">
        <v>5121.9721840000002</v>
      </c>
      <c r="Q6597">
        <v>1342</v>
      </c>
      <c r="R6597">
        <v>0</v>
      </c>
    </row>
    <row r="6598" spans="1:18" x14ac:dyDescent="0.25">
      <c r="A6598">
        <v>7597</v>
      </c>
      <c r="B6598">
        <v>94</v>
      </c>
      <c r="C6598">
        <v>550824</v>
      </c>
      <c r="D6598" t="s">
        <v>77</v>
      </c>
      <c r="E6598">
        <v>6.4740000000000002</v>
      </c>
      <c r="F6598" t="s">
        <v>19</v>
      </c>
      <c r="G6598" t="s">
        <v>20</v>
      </c>
      <c r="H6598" t="s">
        <v>21</v>
      </c>
      <c r="I6598" t="s">
        <v>20</v>
      </c>
      <c r="J6598" t="s">
        <v>20</v>
      </c>
      <c r="K6598" t="s">
        <v>31</v>
      </c>
      <c r="L6598" t="s">
        <v>78</v>
      </c>
      <c r="M6598" t="s">
        <v>79</v>
      </c>
      <c r="N6598">
        <v>40.732460000000003</v>
      </c>
      <c r="O6598">
        <v>-112.02490899999999</v>
      </c>
      <c r="P6598">
        <v>4181.9739390000004</v>
      </c>
      <c r="Q6598">
        <v>1436</v>
      </c>
      <c r="R6598">
        <v>0</v>
      </c>
    </row>
    <row r="6599" spans="1:18" x14ac:dyDescent="0.25">
      <c r="A6599">
        <v>7598</v>
      </c>
      <c r="B6599">
        <v>94</v>
      </c>
      <c r="C6599">
        <v>31395159</v>
      </c>
      <c r="D6599" t="s">
        <v>114</v>
      </c>
      <c r="E6599">
        <v>6.4740000000000002</v>
      </c>
      <c r="F6599" t="s">
        <v>21</v>
      </c>
      <c r="G6599" t="s">
        <v>26</v>
      </c>
      <c r="H6599" t="s">
        <v>21</v>
      </c>
      <c r="I6599" t="s">
        <v>20</v>
      </c>
      <c r="J6599" t="s">
        <v>20</v>
      </c>
      <c r="K6599" t="s">
        <v>41</v>
      </c>
      <c r="L6599" t="s">
        <v>87</v>
      </c>
      <c r="M6599" t="s">
        <v>82</v>
      </c>
      <c r="N6599">
        <v>41.101796</v>
      </c>
      <c r="O6599">
        <v>-111.944655</v>
      </c>
      <c r="P6599">
        <v>4738.4800770000002</v>
      </c>
      <c r="Q6599">
        <v>405</v>
      </c>
      <c r="R6599">
        <v>0</v>
      </c>
    </row>
    <row r="6600" spans="1:18" x14ac:dyDescent="0.25">
      <c r="A6600">
        <v>7599</v>
      </c>
      <c r="B6600">
        <v>94</v>
      </c>
      <c r="C6600">
        <v>31267225</v>
      </c>
      <c r="D6600" t="s">
        <v>303</v>
      </c>
      <c r="E6600">
        <v>9.4629999999999992</v>
      </c>
      <c r="F6600" t="s">
        <v>19</v>
      </c>
      <c r="G6600" t="s">
        <v>20</v>
      </c>
      <c r="H6600" t="s">
        <v>21</v>
      </c>
      <c r="I6600" t="s">
        <v>20</v>
      </c>
      <c r="J6600" t="s">
        <v>20</v>
      </c>
      <c r="K6600" t="s">
        <v>27</v>
      </c>
      <c r="L6600" t="s">
        <v>72</v>
      </c>
      <c r="M6600" t="s">
        <v>73</v>
      </c>
      <c r="N6600">
        <v>37.176551000000003</v>
      </c>
      <c r="O6600">
        <v>-113.293812</v>
      </c>
      <c r="P6600">
        <v>3154.9686590000001</v>
      </c>
      <c r="Q6600">
        <v>1326</v>
      </c>
      <c r="R6600">
        <v>0</v>
      </c>
    </row>
    <row r="6601" spans="1:18" x14ac:dyDescent="0.25">
      <c r="A6601">
        <v>7600</v>
      </c>
      <c r="B6601">
        <v>94</v>
      </c>
      <c r="C6601">
        <v>1504522</v>
      </c>
      <c r="D6601" t="s">
        <v>88</v>
      </c>
      <c r="E6601">
        <v>9.4659999999999993</v>
      </c>
      <c r="F6601" t="s">
        <v>21</v>
      </c>
      <c r="G6601" t="s">
        <v>26</v>
      </c>
      <c r="H6601" t="s">
        <v>21</v>
      </c>
      <c r="I6601" t="s">
        <v>20</v>
      </c>
      <c r="J6601" t="s">
        <v>20</v>
      </c>
      <c r="K6601" t="s">
        <v>31</v>
      </c>
      <c r="L6601" t="s">
        <v>89</v>
      </c>
      <c r="M6601" t="s">
        <v>90</v>
      </c>
      <c r="N6601">
        <v>40.576970000000003</v>
      </c>
      <c r="O6601">
        <v>-111.872208</v>
      </c>
      <c r="P6601">
        <v>4467.6875110000001</v>
      </c>
      <c r="Q6601">
        <v>318</v>
      </c>
      <c r="R6601">
        <v>0</v>
      </c>
    </row>
    <row r="6602" spans="1:18" x14ac:dyDescent="0.25">
      <c r="A6602">
        <v>7601</v>
      </c>
      <c r="B6602">
        <v>94</v>
      </c>
      <c r="C6602">
        <v>31811227</v>
      </c>
      <c r="D6602" t="s">
        <v>100</v>
      </c>
      <c r="E6602">
        <v>9.4740000000000002</v>
      </c>
      <c r="F6602" t="s">
        <v>21</v>
      </c>
      <c r="G6602" t="s">
        <v>26</v>
      </c>
      <c r="H6602" t="s">
        <v>21</v>
      </c>
      <c r="I6602" t="s">
        <v>20</v>
      </c>
      <c r="J6602" t="s">
        <v>20</v>
      </c>
      <c r="K6602" t="s">
        <v>41</v>
      </c>
      <c r="L6602" t="s">
        <v>57</v>
      </c>
      <c r="M6602" t="s">
        <v>46</v>
      </c>
      <c r="N6602">
        <v>41.168318999999997</v>
      </c>
      <c r="O6602">
        <v>-112.064447</v>
      </c>
      <c r="P6602">
        <v>4245.4669160000003</v>
      </c>
      <c r="Q6602">
        <v>1396</v>
      </c>
      <c r="R6602">
        <v>0</v>
      </c>
    </row>
    <row r="6603" spans="1:18" x14ac:dyDescent="0.25">
      <c r="A6603">
        <v>7602</v>
      </c>
      <c r="B6603">
        <v>94</v>
      </c>
      <c r="C6603">
        <v>31291550</v>
      </c>
      <c r="D6603" t="s">
        <v>126</v>
      </c>
      <c r="E6603">
        <v>9.4760000000000009</v>
      </c>
      <c r="F6603" t="s">
        <v>21</v>
      </c>
      <c r="G6603" t="s">
        <v>26</v>
      </c>
      <c r="H6603" t="s">
        <v>21</v>
      </c>
      <c r="I6603" t="s">
        <v>20</v>
      </c>
      <c r="J6603" t="s">
        <v>20</v>
      </c>
      <c r="K6603" t="s">
        <v>41</v>
      </c>
      <c r="L6603" t="s">
        <v>57</v>
      </c>
      <c r="M6603" t="s">
        <v>93</v>
      </c>
      <c r="N6603">
        <v>41.305048999999997</v>
      </c>
      <c r="O6603">
        <v>-112.061018</v>
      </c>
      <c r="P6603">
        <v>4186.0658519999997</v>
      </c>
      <c r="Q6603">
        <v>1412</v>
      </c>
      <c r="R6603">
        <v>0</v>
      </c>
    </row>
    <row r="6604" spans="1:18" x14ac:dyDescent="0.25">
      <c r="A6604">
        <v>7603</v>
      </c>
      <c r="B6604">
        <v>94</v>
      </c>
      <c r="C6604">
        <v>27508660</v>
      </c>
      <c r="D6604" t="s">
        <v>96</v>
      </c>
      <c r="E6604">
        <v>9.484</v>
      </c>
      <c r="F6604" t="s">
        <v>21</v>
      </c>
      <c r="G6604" t="s">
        <v>26</v>
      </c>
      <c r="H6604" t="s">
        <v>21</v>
      </c>
      <c r="I6604" t="s">
        <v>20</v>
      </c>
      <c r="J6604" t="s">
        <v>20</v>
      </c>
      <c r="K6604" t="s">
        <v>22</v>
      </c>
      <c r="L6604" t="s">
        <v>97</v>
      </c>
      <c r="M6604" t="s">
        <v>98</v>
      </c>
      <c r="N6604">
        <v>40.988985999999997</v>
      </c>
      <c r="O6604">
        <v>-109.69307999999999</v>
      </c>
      <c r="P6604">
        <v>6136.8819439999997</v>
      </c>
      <c r="Q6604">
        <v>311</v>
      </c>
      <c r="R6604">
        <v>0</v>
      </c>
    </row>
    <row r="6605" spans="1:18" x14ac:dyDescent="0.25">
      <c r="A6605">
        <v>7604</v>
      </c>
      <c r="B6605">
        <v>94</v>
      </c>
      <c r="C6605">
        <v>31596700</v>
      </c>
      <c r="D6605" t="s">
        <v>145</v>
      </c>
      <c r="E6605">
        <v>9.4849999999999994</v>
      </c>
      <c r="F6605" t="s">
        <v>21</v>
      </c>
      <c r="G6605" t="s">
        <v>26</v>
      </c>
      <c r="H6605" t="s">
        <v>21</v>
      </c>
      <c r="I6605" t="s">
        <v>20</v>
      </c>
      <c r="J6605" t="s">
        <v>20</v>
      </c>
      <c r="K6605" t="s">
        <v>27</v>
      </c>
      <c r="L6605" t="s">
        <v>146</v>
      </c>
      <c r="M6605" t="s">
        <v>147</v>
      </c>
      <c r="N6605">
        <v>37.851964000000002</v>
      </c>
      <c r="O6605">
        <v>-109.172629</v>
      </c>
      <c r="P6605">
        <v>6766.8864549999998</v>
      </c>
      <c r="Q6605">
        <v>1291</v>
      </c>
      <c r="R6605">
        <v>0</v>
      </c>
    </row>
    <row r="6606" spans="1:18" x14ac:dyDescent="0.25">
      <c r="A6606">
        <v>7605</v>
      </c>
      <c r="B6606">
        <v>94</v>
      </c>
      <c r="C6606">
        <v>31280477</v>
      </c>
      <c r="D6606" t="s">
        <v>347</v>
      </c>
      <c r="E6606">
        <v>9.4870000000000001</v>
      </c>
      <c r="F6606" t="s">
        <v>21</v>
      </c>
      <c r="G6606" t="s">
        <v>26</v>
      </c>
      <c r="H6606" t="s">
        <v>21</v>
      </c>
      <c r="I6606" t="s">
        <v>20</v>
      </c>
      <c r="J6606" t="s">
        <v>20</v>
      </c>
      <c r="K6606" t="s">
        <v>41</v>
      </c>
      <c r="L6606" t="s">
        <v>325</v>
      </c>
      <c r="M6606" t="s">
        <v>204</v>
      </c>
      <c r="N6606">
        <v>41.517378999999998</v>
      </c>
      <c r="O6606">
        <v>-111.151392</v>
      </c>
      <c r="P6606">
        <v>6274.4820890000001</v>
      </c>
      <c r="Q6606">
        <v>1334</v>
      </c>
      <c r="R6606">
        <v>0</v>
      </c>
    </row>
    <row r="6607" spans="1:18" x14ac:dyDescent="0.25">
      <c r="A6607">
        <v>7606</v>
      </c>
      <c r="B6607">
        <v>94</v>
      </c>
      <c r="C6607">
        <v>812000</v>
      </c>
      <c r="D6607" t="s">
        <v>236</v>
      </c>
      <c r="E6607">
        <v>9.4909999999999997</v>
      </c>
      <c r="F6607" t="s">
        <v>21</v>
      </c>
      <c r="G6607" t="s">
        <v>26</v>
      </c>
      <c r="H6607" t="s">
        <v>21</v>
      </c>
      <c r="I6607" t="s">
        <v>20</v>
      </c>
      <c r="J6607" t="s">
        <v>20</v>
      </c>
      <c r="K6607" t="s">
        <v>31</v>
      </c>
      <c r="L6607" t="s">
        <v>78</v>
      </c>
      <c r="M6607" t="s">
        <v>79</v>
      </c>
      <c r="N6607">
        <v>40.702109999999998</v>
      </c>
      <c r="O6607">
        <v>-112.09182800000001</v>
      </c>
      <c r="P6607">
        <v>4293.1079630000004</v>
      </c>
      <c r="Q6607">
        <v>1398</v>
      </c>
      <c r="R6607">
        <v>0</v>
      </c>
    </row>
    <row r="6608" spans="1:18" x14ac:dyDescent="0.25">
      <c r="A6608">
        <v>7607</v>
      </c>
      <c r="B6608">
        <v>94</v>
      </c>
      <c r="C6608">
        <v>31191909</v>
      </c>
      <c r="D6608" t="s">
        <v>310</v>
      </c>
      <c r="E6608">
        <v>9.4979999999999993</v>
      </c>
      <c r="F6608" t="s">
        <v>21</v>
      </c>
      <c r="G6608" t="s">
        <v>26</v>
      </c>
      <c r="H6608" t="s">
        <v>21</v>
      </c>
      <c r="I6608" t="s">
        <v>20</v>
      </c>
      <c r="J6608" t="s">
        <v>20</v>
      </c>
      <c r="K6608" t="s">
        <v>31</v>
      </c>
      <c r="L6608" t="s">
        <v>285</v>
      </c>
      <c r="M6608" t="s">
        <v>206</v>
      </c>
      <c r="N6608">
        <v>40.599975999999998</v>
      </c>
      <c r="O6608">
        <v>-112.47744299999999</v>
      </c>
      <c r="P6608">
        <v>4286.5788499999999</v>
      </c>
      <c r="Q6608">
        <v>1414</v>
      </c>
      <c r="R6608">
        <v>0</v>
      </c>
    </row>
    <row r="6609" spans="1:18" x14ac:dyDescent="0.25">
      <c r="A6609">
        <v>7608</v>
      </c>
      <c r="B6609">
        <v>94</v>
      </c>
      <c r="C6609">
        <v>31602923</v>
      </c>
      <c r="D6609" t="s">
        <v>50</v>
      </c>
      <c r="E6609">
        <v>6.58</v>
      </c>
      <c r="F6609" t="s">
        <v>21</v>
      </c>
      <c r="G6609" t="s">
        <v>26</v>
      </c>
      <c r="H6609" t="s">
        <v>21</v>
      </c>
      <c r="I6609" t="s">
        <v>20</v>
      </c>
      <c r="J6609" t="s">
        <v>20</v>
      </c>
      <c r="K6609" t="s">
        <v>27</v>
      </c>
      <c r="L6609" t="s">
        <v>51</v>
      </c>
      <c r="M6609" t="s">
        <v>52</v>
      </c>
      <c r="N6609">
        <v>37.794595999999999</v>
      </c>
      <c r="O6609">
        <v>-112.81809800000001</v>
      </c>
      <c r="P6609">
        <v>6609.022919</v>
      </c>
      <c r="Q6609">
        <v>1418</v>
      </c>
      <c r="R6609">
        <v>0</v>
      </c>
    </row>
    <row r="6610" spans="1:18" x14ac:dyDescent="0.25">
      <c r="A6610">
        <v>7609</v>
      </c>
      <c r="B6610">
        <v>94</v>
      </c>
      <c r="C6610" t="e">
        <f>-JXVCqgxH19pV6qIOMiaMF</f>
        <v>#NAME?</v>
      </c>
      <c r="D6610" t="s">
        <v>239</v>
      </c>
      <c r="E6610">
        <v>6.5880000000000001</v>
      </c>
      <c r="F6610" t="s">
        <v>21</v>
      </c>
      <c r="G6610" t="s">
        <v>20</v>
      </c>
      <c r="H6610" t="s">
        <v>21</v>
      </c>
      <c r="I6610" t="s">
        <v>20</v>
      </c>
      <c r="J6610" t="s">
        <v>20</v>
      </c>
      <c r="K6610" t="s">
        <v>41</v>
      </c>
      <c r="L6610" t="s">
        <v>181</v>
      </c>
      <c r="M6610" t="s">
        <v>178</v>
      </c>
      <c r="N6610">
        <v>41.665264000000001</v>
      </c>
      <c r="O6610">
        <v>-112.296457</v>
      </c>
      <c r="P6610">
        <v>4257.9076530000002</v>
      </c>
      <c r="Q6610">
        <v>1392</v>
      </c>
      <c r="R6610">
        <v>0</v>
      </c>
    </row>
    <row r="6611" spans="1:18" x14ac:dyDescent="0.25">
      <c r="A6611">
        <v>7610</v>
      </c>
      <c r="B6611">
        <v>94</v>
      </c>
      <c r="C6611">
        <v>31525839</v>
      </c>
      <c r="D6611" t="s">
        <v>390</v>
      </c>
      <c r="E6611">
        <v>6.5910000000000002</v>
      </c>
      <c r="F6611" t="s">
        <v>21</v>
      </c>
      <c r="G6611" t="s">
        <v>26</v>
      </c>
      <c r="H6611" t="s">
        <v>21</v>
      </c>
      <c r="I6611" t="s">
        <v>20</v>
      </c>
      <c r="J6611" t="s">
        <v>20</v>
      </c>
      <c r="K6611" t="s">
        <v>22</v>
      </c>
      <c r="L6611" t="s">
        <v>84</v>
      </c>
      <c r="M6611" t="s">
        <v>335</v>
      </c>
      <c r="N6611">
        <v>40.432025000000003</v>
      </c>
      <c r="O6611">
        <v>-111.770695</v>
      </c>
      <c r="P6611">
        <v>4902.3546679999999</v>
      </c>
      <c r="Q6611">
        <v>1386</v>
      </c>
      <c r="R6611">
        <v>0</v>
      </c>
    </row>
    <row r="6612" spans="1:18" x14ac:dyDescent="0.25">
      <c r="A6612">
        <v>7611</v>
      </c>
      <c r="B6612">
        <v>94</v>
      </c>
      <c r="C6612">
        <v>538011</v>
      </c>
      <c r="D6612" t="s">
        <v>44</v>
      </c>
      <c r="E6612">
        <v>6.5949999999999998</v>
      </c>
      <c r="F6612" t="s">
        <v>21</v>
      </c>
      <c r="G6612" t="s">
        <v>26</v>
      </c>
      <c r="H6612" t="s">
        <v>21</v>
      </c>
      <c r="I6612" t="s">
        <v>20</v>
      </c>
      <c r="J6612" t="s">
        <v>20</v>
      </c>
      <c r="K6612" t="s">
        <v>41</v>
      </c>
      <c r="L6612" t="s">
        <v>87</v>
      </c>
      <c r="M6612" t="s">
        <v>46</v>
      </c>
      <c r="N6612">
        <v>40.972538</v>
      </c>
      <c r="O6612">
        <v>-111.883321</v>
      </c>
      <c r="P6612">
        <v>4289.4456440000004</v>
      </c>
      <c r="Q6612">
        <v>1395</v>
      </c>
      <c r="R6612">
        <v>0</v>
      </c>
    </row>
    <row r="6613" spans="1:18" x14ac:dyDescent="0.25">
      <c r="A6613">
        <v>7612</v>
      </c>
      <c r="B6613">
        <v>94</v>
      </c>
      <c r="C6613">
        <v>31756592</v>
      </c>
      <c r="D6613" t="s">
        <v>65</v>
      </c>
      <c r="E6613">
        <v>6.601</v>
      </c>
      <c r="F6613" t="s">
        <v>21</v>
      </c>
      <c r="G6613" t="s">
        <v>26</v>
      </c>
      <c r="H6613" t="s">
        <v>21</v>
      </c>
      <c r="I6613" t="s">
        <v>20</v>
      </c>
      <c r="J6613" t="s">
        <v>20</v>
      </c>
      <c r="K6613" t="s">
        <v>31</v>
      </c>
      <c r="L6613" t="s">
        <v>188</v>
      </c>
      <c r="M6613" t="s">
        <v>67</v>
      </c>
      <c r="N6613">
        <v>40.743113999999998</v>
      </c>
      <c r="O6613">
        <v>-111.82854</v>
      </c>
      <c r="P6613">
        <v>4652.363558</v>
      </c>
      <c r="Q6613">
        <v>402</v>
      </c>
      <c r="R6613">
        <v>0</v>
      </c>
    </row>
    <row r="6614" spans="1:18" x14ac:dyDescent="0.25">
      <c r="A6614">
        <v>7613</v>
      </c>
      <c r="B6614">
        <v>94</v>
      </c>
      <c r="C6614">
        <v>31540023</v>
      </c>
      <c r="D6614" t="s">
        <v>213</v>
      </c>
      <c r="E6614">
        <v>76.084999999999994</v>
      </c>
      <c r="F6614" t="s">
        <v>21</v>
      </c>
      <c r="G6614" t="s">
        <v>26</v>
      </c>
      <c r="H6614" t="s">
        <v>21</v>
      </c>
      <c r="I6614" t="s">
        <v>20</v>
      </c>
      <c r="J6614" t="s">
        <v>20</v>
      </c>
      <c r="K6614" t="s">
        <v>27</v>
      </c>
      <c r="L6614" t="s">
        <v>173</v>
      </c>
      <c r="M6614" t="s">
        <v>214</v>
      </c>
      <c r="N6614">
        <v>39.307219000000003</v>
      </c>
      <c r="O6614">
        <v>-112.791135</v>
      </c>
      <c r="P6614">
        <v>4502.9583149999999</v>
      </c>
      <c r="Q6614">
        <v>1332</v>
      </c>
      <c r="R6614">
        <v>0</v>
      </c>
    </row>
    <row r="6615" spans="1:18" x14ac:dyDescent="0.25">
      <c r="A6615">
        <v>7614</v>
      </c>
      <c r="B6615">
        <v>94</v>
      </c>
      <c r="C6615">
        <v>31634930</v>
      </c>
      <c r="D6615" t="s">
        <v>113</v>
      </c>
      <c r="E6615">
        <v>5.5519999999999996</v>
      </c>
      <c r="F6615" t="s">
        <v>21</v>
      </c>
      <c r="G6615" t="s">
        <v>26</v>
      </c>
      <c r="H6615" t="s">
        <v>21</v>
      </c>
      <c r="I6615" t="s">
        <v>20</v>
      </c>
      <c r="J6615" t="s">
        <v>20</v>
      </c>
      <c r="K6615" t="s">
        <v>41</v>
      </c>
      <c r="L6615" t="s">
        <v>87</v>
      </c>
      <c r="M6615" t="s">
        <v>58</v>
      </c>
      <c r="N6615">
        <v>41.132745999999997</v>
      </c>
      <c r="O6615">
        <v>-111.937904</v>
      </c>
      <c r="P6615">
        <v>4455.0114860000003</v>
      </c>
      <c r="Q6615">
        <v>1363</v>
      </c>
      <c r="R6615">
        <v>0</v>
      </c>
    </row>
    <row r="6616" spans="1:18" x14ac:dyDescent="0.25">
      <c r="A6616">
        <v>7615</v>
      </c>
      <c r="B6616">
        <v>94</v>
      </c>
      <c r="C6616" t="e">
        <f>-Ip5L8f4F_Hoi2oht3hddV</f>
        <v>#NAME?</v>
      </c>
      <c r="D6616" t="s">
        <v>208</v>
      </c>
      <c r="E6616">
        <v>5.5590000000000002</v>
      </c>
      <c r="F6616" t="s">
        <v>19</v>
      </c>
      <c r="G6616" t="s">
        <v>20</v>
      </c>
      <c r="H6616" t="s">
        <v>21</v>
      </c>
      <c r="I6616" t="s">
        <v>20</v>
      </c>
      <c r="J6616" t="s">
        <v>20</v>
      </c>
      <c r="K6616" t="s">
        <v>31</v>
      </c>
      <c r="L6616" t="s">
        <v>209</v>
      </c>
      <c r="M6616" t="s">
        <v>131</v>
      </c>
      <c r="N6616">
        <v>40.656528000000002</v>
      </c>
      <c r="O6616">
        <v>-111.503181</v>
      </c>
      <c r="P6616">
        <v>6812.7525230000001</v>
      </c>
      <c r="Q6616">
        <v>357</v>
      </c>
      <c r="R6616">
        <v>0</v>
      </c>
    </row>
    <row r="6617" spans="1:18" x14ac:dyDescent="0.25">
      <c r="A6617">
        <v>7616</v>
      </c>
      <c r="B6617">
        <v>94</v>
      </c>
      <c r="C6617">
        <v>31521747</v>
      </c>
      <c r="D6617" t="s">
        <v>231</v>
      </c>
      <c r="E6617">
        <v>5.5620000000000003</v>
      </c>
      <c r="F6617" t="s">
        <v>21</v>
      </c>
      <c r="G6617" t="s">
        <v>26</v>
      </c>
      <c r="H6617" t="s">
        <v>21</v>
      </c>
      <c r="I6617" t="s">
        <v>20</v>
      </c>
      <c r="J6617" t="s">
        <v>20</v>
      </c>
      <c r="K6617" t="s">
        <v>41</v>
      </c>
      <c r="L6617" t="s">
        <v>57</v>
      </c>
      <c r="M6617" t="s">
        <v>93</v>
      </c>
      <c r="N6617">
        <v>41.115428000000001</v>
      </c>
      <c r="O6617">
        <v>-112.02606299999999</v>
      </c>
      <c r="P6617">
        <v>4442.7937419999998</v>
      </c>
      <c r="Q6617">
        <v>1409</v>
      </c>
      <c r="R6617">
        <v>0</v>
      </c>
    </row>
    <row r="6618" spans="1:18" x14ac:dyDescent="0.25">
      <c r="A6618">
        <v>7617</v>
      </c>
      <c r="B6618">
        <v>94</v>
      </c>
      <c r="C6618">
        <v>31446120</v>
      </c>
      <c r="D6618" t="s">
        <v>254</v>
      </c>
      <c r="E6618">
        <v>5.5679999999999996</v>
      </c>
      <c r="F6618" t="s">
        <v>21</v>
      </c>
      <c r="G6618" t="s">
        <v>26</v>
      </c>
      <c r="H6618" t="s">
        <v>21</v>
      </c>
      <c r="I6618" t="s">
        <v>20</v>
      </c>
      <c r="J6618" t="s">
        <v>20</v>
      </c>
      <c r="K6618" t="s">
        <v>41</v>
      </c>
      <c r="L6618" t="s">
        <v>255</v>
      </c>
      <c r="M6618" t="s">
        <v>204</v>
      </c>
      <c r="N6618">
        <v>41.320709999999998</v>
      </c>
      <c r="O6618">
        <v>-111.82964200000001</v>
      </c>
      <c r="P6618">
        <v>5018.9340009999996</v>
      </c>
      <c r="Q6618">
        <v>1429</v>
      </c>
      <c r="R6618">
        <v>0</v>
      </c>
    </row>
    <row r="6619" spans="1:18" x14ac:dyDescent="0.25">
      <c r="A6619">
        <v>7618</v>
      </c>
      <c r="B6619">
        <v>94</v>
      </c>
      <c r="C6619">
        <v>31523372</v>
      </c>
      <c r="D6619" t="s">
        <v>390</v>
      </c>
      <c r="E6619">
        <v>5.5679999999999996</v>
      </c>
      <c r="F6619" t="s">
        <v>21</v>
      </c>
      <c r="G6619" t="s">
        <v>26</v>
      </c>
      <c r="H6619" t="s">
        <v>21</v>
      </c>
      <c r="I6619" t="s">
        <v>20</v>
      </c>
      <c r="J6619" t="s">
        <v>20</v>
      </c>
      <c r="K6619" t="s">
        <v>22</v>
      </c>
      <c r="L6619" t="s">
        <v>84</v>
      </c>
      <c r="M6619" t="s">
        <v>335</v>
      </c>
      <c r="N6619">
        <v>40.431902999999998</v>
      </c>
      <c r="O6619">
        <v>-111.790173</v>
      </c>
      <c r="P6619">
        <v>4839.2585280000003</v>
      </c>
      <c r="Q6619">
        <v>1386</v>
      </c>
      <c r="R6619">
        <v>0</v>
      </c>
    </row>
    <row r="6620" spans="1:18" x14ac:dyDescent="0.25">
      <c r="A6620">
        <v>7619</v>
      </c>
      <c r="B6620">
        <v>94</v>
      </c>
      <c r="C6620">
        <v>637316</v>
      </c>
      <c r="D6620" t="s">
        <v>262</v>
      </c>
      <c r="E6620">
        <v>5.5679999999999996</v>
      </c>
      <c r="F6620" t="s">
        <v>19</v>
      </c>
      <c r="G6620" t="s">
        <v>20</v>
      </c>
      <c r="H6620" t="s">
        <v>21</v>
      </c>
      <c r="I6620" t="s">
        <v>20</v>
      </c>
      <c r="J6620" t="s">
        <v>20</v>
      </c>
      <c r="K6620" t="s">
        <v>22</v>
      </c>
      <c r="L6620" t="s">
        <v>263</v>
      </c>
      <c r="M6620" t="s">
        <v>24</v>
      </c>
      <c r="N6620">
        <v>40.376916000000001</v>
      </c>
      <c r="O6620">
        <v>-111.81458600000001</v>
      </c>
      <c r="P6620">
        <v>4498.7272199999998</v>
      </c>
      <c r="Q6620">
        <v>1419</v>
      </c>
      <c r="R6620">
        <v>0</v>
      </c>
    </row>
    <row r="6621" spans="1:18" x14ac:dyDescent="0.25">
      <c r="A6621">
        <v>7620</v>
      </c>
      <c r="B6621">
        <v>94</v>
      </c>
      <c r="C6621">
        <v>31853740</v>
      </c>
      <c r="D6621" t="s">
        <v>272</v>
      </c>
      <c r="E6621">
        <v>81.212999999999994</v>
      </c>
      <c r="F6621" t="s">
        <v>21</v>
      </c>
      <c r="G6621" t="s">
        <v>26</v>
      </c>
      <c r="H6621" t="s">
        <v>19</v>
      </c>
      <c r="I6621">
        <v>9</v>
      </c>
      <c r="J6621" t="s">
        <v>20</v>
      </c>
      <c r="K6621" t="s">
        <v>27</v>
      </c>
      <c r="L6621" t="s">
        <v>279</v>
      </c>
      <c r="M6621" t="s">
        <v>214</v>
      </c>
      <c r="N6621">
        <v>37.223250999999998</v>
      </c>
      <c r="O6621">
        <v>-112.68110299999999</v>
      </c>
      <c r="P6621">
        <v>5124.1634670000003</v>
      </c>
      <c r="Q6621">
        <v>1384</v>
      </c>
      <c r="R6621">
        <v>0</v>
      </c>
    </row>
    <row r="6622" spans="1:18" x14ac:dyDescent="0.25">
      <c r="A6622">
        <v>7621</v>
      </c>
      <c r="B6622">
        <v>94</v>
      </c>
      <c r="C6622">
        <v>31545478</v>
      </c>
      <c r="D6622" t="s">
        <v>213</v>
      </c>
      <c r="E6622">
        <v>81.638000000000005</v>
      </c>
      <c r="F6622" t="s">
        <v>21</v>
      </c>
      <c r="G6622" t="s">
        <v>26</v>
      </c>
      <c r="H6622" t="s">
        <v>21</v>
      </c>
      <c r="I6622" t="s">
        <v>20</v>
      </c>
      <c r="J6622" t="s">
        <v>20</v>
      </c>
      <c r="K6622" t="s">
        <v>27</v>
      </c>
      <c r="L6622" t="s">
        <v>173</v>
      </c>
      <c r="M6622" t="s">
        <v>214</v>
      </c>
      <c r="N6622">
        <v>39.330866</v>
      </c>
      <c r="O6622">
        <v>-112.694429</v>
      </c>
      <c r="P6622">
        <v>4522.3788089999998</v>
      </c>
      <c r="Q6622">
        <v>1332</v>
      </c>
      <c r="R6622">
        <v>0</v>
      </c>
    </row>
    <row r="6623" spans="1:18" x14ac:dyDescent="0.25">
      <c r="A6623">
        <v>7622</v>
      </c>
      <c r="B6623">
        <v>94</v>
      </c>
      <c r="C6623">
        <v>31372355</v>
      </c>
      <c r="D6623" t="s">
        <v>142</v>
      </c>
      <c r="E6623">
        <v>81.691000000000003</v>
      </c>
      <c r="F6623" t="s">
        <v>21</v>
      </c>
      <c r="G6623" t="s">
        <v>26</v>
      </c>
      <c r="H6623" t="s">
        <v>21</v>
      </c>
      <c r="I6623" t="s">
        <v>20</v>
      </c>
      <c r="J6623" t="s">
        <v>20</v>
      </c>
      <c r="K6623" t="s">
        <v>27</v>
      </c>
      <c r="L6623" t="s">
        <v>143</v>
      </c>
      <c r="M6623" t="s">
        <v>106</v>
      </c>
      <c r="N6623">
        <v>38.338738999999997</v>
      </c>
      <c r="O6623">
        <v>-112.976448</v>
      </c>
      <c r="P6623">
        <v>4983.9534050000002</v>
      </c>
      <c r="Q6623">
        <v>305</v>
      </c>
      <c r="R6623">
        <v>0</v>
      </c>
    </row>
    <row r="6624" spans="1:18" x14ac:dyDescent="0.25">
      <c r="A6624">
        <v>7623</v>
      </c>
      <c r="B6624">
        <v>94</v>
      </c>
      <c r="C6624">
        <v>31844352</v>
      </c>
      <c r="D6624" t="s">
        <v>290</v>
      </c>
      <c r="E6624">
        <v>81.849000000000004</v>
      </c>
      <c r="F6624" t="s">
        <v>21</v>
      </c>
      <c r="G6624" t="s">
        <v>20</v>
      </c>
      <c r="H6624" t="s">
        <v>21</v>
      </c>
      <c r="I6624" t="s">
        <v>20</v>
      </c>
      <c r="J6624" t="s">
        <v>20</v>
      </c>
      <c r="K6624" t="s">
        <v>41</v>
      </c>
      <c r="L6624" t="s">
        <v>291</v>
      </c>
      <c r="M6624" t="s">
        <v>238</v>
      </c>
      <c r="N6624">
        <v>41.966467999999999</v>
      </c>
      <c r="O6624">
        <v>-112.92151200000001</v>
      </c>
      <c r="P6624">
        <v>4355.3544899999997</v>
      </c>
      <c r="Q6624">
        <v>1343</v>
      </c>
      <c r="R6624">
        <v>0</v>
      </c>
    </row>
    <row r="6625" spans="1:18" x14ac:dyDescent="0.25">
      <c r="A6625">
        <v>7624</v>
      </c>
      <c r="B6625">
        <v>94</v>
      </c>
      <c r="C6625">
        <v>31772502</v>
      </c>
      <c r="D6625" t="s">
        <v>118</v>
      </c>
      <c r="E6625">
        <v>82.158000000000001</v>
      </c>
      <c r="F6625" t="s">
        <v>21</v>
      </c>
      <c r="G6625" t="s">
        <v>20</v>
      </c>
      <c r="H6625" t="s">
        <v>21</v>
      </c>
      <c r="I6625" t="s">
        <v>20</v>
      </c>
      <c r="J6625" t="s">
        <v>20</v>
      </c>
      <c r="K6625" t="s">
        <v>22</v>
      </c>
      <c r="L6625" t="s">
        <v>253</v>
      </c>
      <c r="M6625" t="s">
        <v>120</v>
      </c>
      <c r="N6625">
        <v>40.167439000000002</v>
      </c>
      <c r="O6625">
        <v>-110.483113</v>
      </c>
      <c r="P6625">
        <v>5750.6989549999998</v>
      </c>
      <c r="Q6625">
        <v>310</v>
      </c>
      <c r="R6625">
        <v>0</v>
      </c>
    </row>
    <row r="6626" spans="1:18" x14ac:dyDescent="0.25">
      <c r="A6626">
        <v>7625</v>
      </c>
      <c r="B6626">
        <v>94</v>
      </c>
      <c r="C6626">
        <v>764530</v>
      </c>
      <c r="D6626" t="s">
        <v>115</v>
      </c>
      <c r="E6626">
        <v>6.4089999999999998</v>
      </c>
      <c r="F6626" t="s">
        <v>21</v>
      </c>
      <c r="G6626" t="s">
        <v>26</v>
      </c>
      <c r="H6626" t="s">
        <v>21</v>
      </c>
      <c r="I6626" t="s">
        <v>20</v>
      </c>
      <c r="J6626" t="s">
        <v>20</v>
      </c>
      <c r="K6626" t="s">
        <v>31</v>
      </c>
      <c r="L6626" t="s">
        <v>48</v>
      </c>
      <c r="M6626" t="s">
        <v>70</v>
      </c>
      <c r="N6626">
        <v>40.653053999999997</v>
      </c>
      <c r="O6626">
        <v>-111.955158</v>
      </c>
      <c r="P6626">
        <v>4332.2609069999999</v>
      </c>
      <c r="Q6626">
        <v>1437</v>
      </c>
      <c r="R6626">
        <v>0</v>
      </c>
    </row>
    <row r="6627" spans="1:18" x14ac:dyDescent="0.25">
      <c r="A6627">
        <v>7626</v>
      </c>
      <c r="B6627">
        <v>94</v>
      </c>
      <c r="C6627">
        <v>31407748</v>
      </c>
      <c r="D6627" t="s">
        <v>224</v>
      </c>
      <c r="E6627">
        <v>6.41</v>
      </c>
      <c r="F6627" t="s">
        <v>21</v>
      </c>
      <c r="G6627" t="s">
        <v>26</v>
      </c>
      <c r="H6627" t="s">
        <v>21</v>
      </c>
      <c r="I6627" t="s">
        <v>20</v>
      </c>
      <c r="J6627" t="s">
        <v>20</v>
      </c>
      <c r="K6627" t="s">
        <v>22</v>
      </c>
      <c r="L6627" t="s">
        <v>198</v>
      </c>
      <c r="M6627" t="s">
        <v>194</v>
      </c>
      <c r="N6627">
        <v>40.045000999999999</v>
      </c>
      <c r="O6627">
        <v>-111.713145</v>
      </c>
      <c r="P6627">
        <v>4533.3374530000001</v>
      </c>
      <c r="Q6627">
        <v>408</v>
      </c>
      <c r="R6627">
        <v>0</v>
      </c>
    </row>
    <row r="6628" spans="1:18" x14ac:dyDescent="0.25">
      <c r="A6628">
        <v>7627</v>
      </c>
      <c r="B6628">
        <v>94</v>
      </c>
      <c r="C6628">
        <v>1011015</v>
      </c>
      <c r="D6628" t="s">
        <v>65</v>
      </c>
      <c r="E6628">
        <v>6.4109999999999996</v>
      </c>
      <c r="F6628" t="s">
        <v>19</v>
      </c>
      <c r="G6628" t="s">
        <v>20</v>
      </c>
      <c r="H6628" t="s">
        <v>21</v>
      </c>
      <c r="I6628" t="s">
        <v>20</v>
      </c>
      <c r="J6628" t="s">
        <v>20</v>
      </c>
      <c r="K6628" t="s">
        <v>31</v>
      </c>
      <c r="L6628" t="s">
        <v>188</v>
      </c>
      <c r="M6628" t="s">
        <v>67</v>
      </c>
      <c r="N6628">
        <v>40.745502000000002</v>
      </c>
      <c r="O6628">
        <v>-111.830358</v>
      </c>
      <c r="P6628">
        <v>4648.095413</v>
      </c>
      <c r="Q6628">
        <v>402</v>
      </c>
      <c r="R6628">
        <v>0</v>
      </c>
    </row>
    <row r="6629" spans="1:18" x14ac:dyDescent="0.25">
      <c r="A6629">
        <v>7628</v>
      </c>
      <c r="B6629">
        <v>94</v>
      </c>
      <c r="C6629">
        <v>1374755</v>
      </c>
      <c r="D6629" t="s">
        <v>100</v>
      </c>
      <c r="E6629">
        <v>6.4119999999999999</v>
      </c>
      <c r="F6629" t="s">
        <v>21</v>
      </c>
      <c r="G6629" t="s">
        <v>26</v>
      </c>
      <c r="H6629" t="s">
        <v>21</v>
      </c>
      <c r="I6629" t="s">
        <v>20</v>
      </c>
      <c r="J6629" t="s">
        <v>20</v>
      </c>
      <c r="K6629" t="s">
        <v>41</v>
      </c>
      <c r="L6629" t="s">
        <v>57</v>
      </c>
      <c r="M6629" t="s">
        <v>46</v>
      </c>
      <c r="N6629">
        <v>41.124023999999999</v>
      </c>
      <c r="O6629">
        <v>-112.064525</v>
      </c>
      <c r="P6629">
        <v>4323.8843429999997</v>
      </c>
      <c r="Q6629">
        <v>1396</v>
      </c>
      <c r="R6629">
        <v>0</v>
      </c>
    </row>
    <row r="6630" spans="1:18" x14ac:dyDescent="0.25">
      <c r="A6630">
        <v>7629</v>
      </c>
      <c r="B6630">
        <v>94</v>
      </c>
      <c r="C6630">
        <v>2364896</v>
      </c>
      <c r="D6630" t="s">
        <v>113</v>
      </c>
      <c r="E6630">
        <v>6.415</v>
      </c>
      <c r="F6630" t="s">
        <v>21</v>
      </c>
      <c r="G6630" t="s">
        <v>26</v>
      </c>
      <c r="H6630" t="s">
        <v>21</v>
      </c>
      <c r="I6630" t="s">
        <v>20</v>
      </c>
      <c r="J6630" t="s">
        <v>20</v>
      </c>
      <c r="K6630" t="s">
        <v>41</v>
      </c>
      <c r="L6630" t="s">
        <v>87</v>
      </c>
      <c r="M6630" t="s">
        <v>58</v>
      </c>
      <c r="N6630">
        <v>41.129758000000002</v>
      </c>
      <c r="O6630">
        <v>-111.923957</v>
      </c>
      <c r="P6630">
        <v>4466.3150180000002</v>
      </c>
      <c r="Q6630">
        <v>1363</v>
      </c>
      <c r="R6630">
        <v>0</v>
      </c>
    </row>
    <row r="6631" spans="1:18" x14ac:dyDescent="0.25">
      <c r="A6631">
        <v>7630</v>
      </c>
      <c r="B6631">
        <v>94</v>
      </c>
      <c r="C6631">
        <v>31278552</v>
      </c>
      <c r="D6631" t="s">
        <v>288</v>
      </c>
      <c r="E6631">
        <v>6.4180000000000001</v>
      </c>
      <c r="F6631" t="s">
        <v>21</v>
      </c>
      <c r="G6631" t="s">
        <v>26</v>
      </c>
      <c r="H6631" t="s">
        <v>21</v>
      </c>
      <c r="I6631" t="s">
        <v>20</v>
      </c>
      <c r="J6631" t="s">
        <v>20</v>
      </c>
      <c r="K6631" t="s">
        <v>27</v>
      </c>
      <c r="L6631" t="s">
        <v>211</v>
      </c>
      <c r="M6631" t="s">
        <v>318</v>
      </c>
      <c r="N6631">
        <v>37.072991999999999</v>
      </c>
      <c r="O6631">
        <v>-109.550026</v>
      </c>
      <c r="P6631">
        <v>4777.1724770000001</v>
      </c>
      <c r="Q6631">
        <v>350</v>
      </c>
      <c r="R6631">
        <v>0</v>
      </c>
    </row>
    <row r="6632" spans="1:18" x14ac:dyDescent="0.25">
      <c r="A6632">
        <v>7631</v>
      </c>
      <c r="B6632">
        <v>94</v>
      </c>
      <c r="C6632">
        <v>27376536</v>
      </c>
      <c r="D6632" t="s">
        <v>185</v>
      </c>
      <c r="E6632">
        <v>6.43</v>
      </c>
      <c r="F6632" t="s">
        <v>21</v>
      </c>
      <c r="G6632" t="s">
        <v>26</v>
      </c>
      <c r="H6632" t="s">
        <v>21</v>
      </c>
      <c r="I6632" t="s">
        <v>20</v>
      </c>
      <c r="J6632" t="s">
        <v>20</v>
      </c>
      <c r="K6632" t="s">
        <v>41</v>
      </c>
      <c r="L6632" t="s">
        <v>57</v>
      </c>
      <c r="M6632" t="s">
        <v>58</v>
      </c>
      <c r="N6632">
        <v>41.160186000000003</v>
      </c>
      <c r="O6632">
        <v>-112.122866</v>
      </c>
      <c r="P6632">
        <v>4183.9793870000003</v>
      </c>
      <c r="Q6632">
        <v>309</v>
      </c>
      <c r="R6632">
        <v>0</v>
      </c>
    </row>
    <row r="6633" spans="1:18" x14ac:dyDescent="0.25">
      <c r="A6633">
        <v>7632</v>
      </c>
      <c r="B6633">
        <v>94</v>
      </c>
      <c r="C6633">
        <v>31530795</v>
      </c>
      <c r="D6633" t="s">
        <v>228</v>
      </c>
      <c r="E6633">
        <v>6.4340000000000002</v>
      </c>
      <c r="F6633" t="s">
        <v>21</v>
      </c>
      <c r="G6633" t="s">
        <v>26</v>
      </c>
      <c r="H6633" t="s">
        <v>21</v>
      </c>
      <c r="I6633" t="s">
        <v>20</v>
      </c>
      <c r="J6633" t="s">
        <v>20</v>
      </c>
      <c r="K6633" t="s">
        <v>22</v>
      </c>
      <c r="L6633" t="s">
        <v>155</v>
      </c>
      <c r="M6633" t="s">
        <v>76</v>
      </c>
      <c r="N6633">
        <v>39.556733999999999</v>
      </c>
      <c r="O6633">
        <v>-111.919292</v>
      </c>
      <c r="P6633">
        <v>5093.5716940000002</v>
      </c>
      <c r="Q6633">
        <v>320</v>
      </c>
      <c r="R6633">
        <v>0</v>
      </c>
    </row>
    <row r="6634" spans="1:18" x14ac:dyDescent="0.25">
      <c r="A6634">
        <v>7633</v>
      </c>
      <c r="B6634">
        <v>94</v>
      </c>
      <c r="C6634">
        <v>31389508</v>
      </c>
      <c r="D6634" t="s">
        <v>184</v>
      </c>
      <c r="E6634">
        <v>6.4340000000000002</v>
      </c>
      <c r="F6634" t="s">
        <v>19</v>
      </c>
      <c r="G6634" t="s">
        <v>20</v>
      </c>
      <c r="H6634" t="s">
        <v>21</v>
      </c>
      <c r="I6634" t="s">
        <v>20</v>
      </c>
      <c r="J6634" t="s">
        <v>20</v>
      </c>
      <c r="K6634" t="s">
        <v>27</v>
      </c>
      <c r="L6634" t="s">
        <v>54</v>
      </c>
      <c r="M6634" t="s">
        <v>55</v>
      </c>
      <c r="N6634">
        <v>37.731358</v>
      </c>
      <c r="O6634">
        <v>-113.055246</v>
      </c>
      <c r="P6634">
        <v>5607.2349679999998</v>
      </c>
      <c r="Q6634">
        <v>1410</v>
      </c>
      <c r="R6634">
        <v>0</v>
      </c>
    </row>
    <row r="6635" spans="1:18" x14ac:dyDescent="0.25">
      <c r="A6635">
        <v>7634</v>
      </c>
      <c r="B6635">
        <v>94</v>
      </c>
      <c r="C6635">
        <v>31195352</v>
      </c>
      <c r="D6635" t="s">
        <v>395</v>
      </c>
      <c r="E6635">
        <v>6.4379999999999997</v>
      </c>
      <c r="F6635" t="s">
        <v>21</v>
      </c>
      <c r="G6635" t="s">
        <v>26</v>
      </c>
      <c r="H6635" t="s">
        <v>21</v>
      </c>
      <c r="I6635" t="s">
        <v>20</v>
      </c>
      <c r="J6635" t="s">
        <v>20</v>
      </c>
      <c r="K6635" t="s">
        <v>27</v>
      </c>
      <c r="L6635" t="s">
        <v>165</v>
      </c>
      <c r="M6635" t="s">
        <v>166</v>
      </c>
      <c r="N6635">
        <v>38.884124999999997</v>
      </c>
      <c r="O6635">
        <v>-112.410526</v>
      </c>
      <c r="P6635">
        <v>4777.4286499999998</v>
      </c>
      <c r="Q6635">
        <v>335</v>
      </c>
      <c r="R6635">
        <v>0</v>
      </c>
    </row>
    <row r="6636" spans="1:18" x14ac:dyDescent="0.25">
      <c r="A6636">
        <v>7635</v>
      </c>
      <c r="B6636">
        <v>94</v>
      </c>
      <c r="C6636">
        <v>31389297</v>
      </c>
      <c r="D6636" t="s">
        <v>184</v>
      </c>
      <c r="E6636">
        <v>6.3470000000000004</v>
      </c>
      <c r="F6636" t="s">
        <v>21</v>
      </c>
      <c r="G6636" t="s">
        <v>26</v>
      </c>
      <c r="H6636" t="s">
        <v>21</v>
      </c>
      <c r="I6636" t="s">
        <v>20</v>
      </c>
      <c r="J6636" t="s">
        <v>20</v>
      </c>
      <c r="K6636" t="s">
        <v>27</v>
      </c>
      <c r="L6636" t="s">
        <v>54</v>
      </c>
      <c r="M6636" t="s">
        <v>55</v>
      </c>
      <c r="N6636">
        <v>37.730072999999997</v>
      </c>
      <c r="O6636">
        <v>-113.05503899999999</v>
      </c>
      <c r="P6636">
        <v>5630.3874850000002</v>
      </c>
      <c r="Q6636">
        <v>1410</v>
      </c>
      <c r="R6636">
        <v>0</v>
      </c>
    </row>
    <row r="6637" spans="1:18" x14ac:dyDescent="0.25">
      <c r="A6637">
        <v>7636</v>
      </c>
      <c r="B6637">
        <v>94</v>
      </c>
      <c r="C6637">
        <v>31809812</v>
      </c>
      <c r="D6637" t="s">
        <v>61</v>
      </c>
      <c r="E6637">
        <v>6.351</v>
      </c>
      <c r="F6637" t="s">
        <v>19</v>
      </c>
      <c r="G6637" t="s">
        <v>20</v>
      </c>
      <c r="H6637" t="s">
        <v>21</v>
      </c>
      <c r="I6637" t="s">
        <v>20</v>
      </c>
      <c r="J6637" t="s">
        <v>20</v>
      </c>
      <c r="K6637" t="s">
        <v>22</v>
      </c>
      <c r="L6637" t="s">
        <v>60</v>
      </c>
      <c r="M6637" t="s">
        <v>62</v>
      </c>
      <c r="N6637">
        <v>40.297640000000001</v>
      </c>
      <c r="O6637">
        <v>-111.65698500000001</v>
      </c>
      <c r="P6637">
        <v>4703.0958680000003</v>
      </c>
      <c r="Q6637">
        <v>403</v>
      </c>
      <c r="R6637">
        <v>0</v>
      </c>
    </row>
    <row r="6638" spans="1:18" x14ac:dyDescent="0.25">
      <c r="A6638">
        <v>7637</v>
      </c>
      <c r="B6638">
        <v>94</v>
      </c>
      <c r="C6638">
        <v>27507742</v>
      </c>
      <c r="D6638" t="s">
        <v>96</v>
      </c>
      <c r="E6638">
        <v>6.359</v>
      </c>
      <c r="F6638" t="s">
        <v>21</v>
      </c>
      <c r="G6638" t="s">
        <v>26</v>
      </c>
      <c r="H6638" t="s">
        <v>21</v>
      </c>
      <c r="I6638" t="s">
        <v>20</v>
      </c>
      <c r="J6638" t="s">
        <v>20</v>
      </c>
      <c r="K6638" t="s">
        <v>22</v>
      </c>
      <c r="L6638" t="s">
        <v>97</v>
      </c>
      <c r="M6638" t="s">
        <v>98</v>
      </c>
      <c r="N6638">
        <v>40.978487000000001</v>
      </c>
      <c r="O6638">
        <v>-109.747956</v>
      </c>
      <c r="P6638">
        <v>6558.1111270000001</v>
      </c>
      <c r="Q6638">
        <v>311</v>
      </c>
      <c r="R6638">
        <v>0</v>
      </c>
    </row>
    <row r="6639" spans="1:18" x14ac:dyDescent="0.25">
      <c r="A6639">
        <v>7638</v>
      </c>
      <c r="B6639">
        <v>94</v>
      </c>
      <c r="C6639">
        <v>31411788</v>
      </c>
      <c r="D6639" t="s">
        <v>317</v>
      </c>
      <c r="E6639">
        <v>6.3639999999999999</v>
      </c>
      <c r="F6639" t="s">
        <v>21</v>
      </c>
      <c r="G6639" t="s">
        <v>26</v>
      </c>
      <c r="H6639" t="s">
        <v>21</v>
      </c>
      <c r="I6639" t="s">
        <v>20</v>
      </c>
      <c r="J6639" t="s">
        <v>20</v>
      </c>
      <c r="K6639" t="s">
        <v>27</v>
      </c>
      <c r="L6639" t="s">
        <v>211</v>
      </c>
      <c r="M6639" t="s">
        <v>212</v>
      </c>
      <c r="N6639">
        <v>37.052616</v>
      </c>
      <c r="O6639">
        <v>-110.08918300000001</v>
      </c>
      <c r="P6639">
        <v>5558.9234399999996</v>
      </c>
      <c r="Q6639">
        <v>1432</v>
      </c>
      <c r="R6639">
        <v>0</v>
      </c>
    </row>
    <row r="6640" spans="1:18" x14ac:dyDescent="0.25">
      <c r="A6640">
        <v>7639</v>
      </c>
      <c r="B6640">
        <v>94</v>
      </c>
      <c r="C6640">
        <v>1374513</v>
      </c>
      <c r="D6640" t="s">
        <v>100</v>
      </c>
      <c r="E6640">
        <v>5.569</v>
      </c>
      <c r="F6640" t="s">
        <v>21</v>
      </c>
      <c r="G6640" t="s">
        <v>26</v>
      </c>
      <c r="H6640" t="s">
        <v>21</v>
      </c>
      <c r="I6640" t="s">
        <v>20</v>
      </c>
      <c r="J6640" t="s">
        <v>20</v>
      </c>
      <c r="K6640" t="s">
        <v>41</v>
      </c>
      <c r="L6640" t="s">
        <v>57</v>
      </c>
      <c r="M6640" t="s">
        <v>46</v>
      </c>
      <c r="N6640">
        <v>41.111808000000003</v>
      </c>
      <c r="O6640">
        <v>-112.06454100000001</v>
      </c>
      <c r="P6640">
        <v>4280.4915410000003</v>
      </c>
      <c r="Q6640">
        <v>1396</v>
      </c>
      <c r="R6640">
        <v>0</v>
      </c>
    </row>
    <row r="6641" spans="1:18" x14ac:dyDescent="0.25">
      <c r="A6641">
        <v>7640</v>
      </c>
      <c r="B6641">
        <v>94</v>
      </c>
      <c r="C6641">
        <v>31503645</v>
      </c>
      <c r="D6641" t="s">
        <v>292</v>
      </c>
      <c r="E6641">
        <v>5.57</v>
      </c>
      <c r="F6641" t="s">
        <v>21</v>
      </c>
      <c r="G6641" t="s">
        <v>20</v>
      </c>
      <c r="H6641" t="s">
        <v>21</v>
      </c>
      <c r="I6641" t="s">
        <v>20</v>
      </c>
      <c r="J6641" t="s">
        <v>20</v>
      </c>
      <c r="K6641" t="s">
        <v>22</v>
      </c>
      <c r="L6641" t="s">
        <v>253</v>
      </c>
      <c r="M6641" t="s">
        <v>134</v>
      </c>
      <c r="N6641">
        <v>40.242472999999997</v>
      </c>
      <c r="O6641">
        <v>-110.388347</v>
      </c>
      <c r="P6641">
        <v>5919.9930800000002</v>
      </c>
      <c r="Q6641">
        <v>323</v>
      </c>
      <c r="R6641">
        <v>0</v>
      </c>
    </row>
    <row r="6642" spans="1:18" x14ac:dyDescent="0.25">
      <c r="A6642">
        <v>7641</v>
      </c>
      <c r="B6642">
        <v>94</v>
      </c>
      <c r="C6642">
        <v>28122157</v>
      </c>
      <c r="D6642" t="s">
        <v>239</v>
      </c>
      <c r="E6642">
        <v>5.5730000000000004</v>
      </c>
      <c r="F6642" t="s">
        <v>21</v>
      </c>
      <c r="G6642" t="s">
        <v>26</v>
      </c>
      <c r="H6642" t="s">
        <v>21</v>
      </c>
      <c r="I6642" t="s">
        <v>20</v>
      </c>
      <c r="J6642" t="s">
        <v>20</v>
      </c>
      <c r="K6642" t="s">
        <v>41</v>
      </c>
      <c r="L6642" t="s">
        <v>181</v>
      </c>
      <c r="M6642" t="s">
        <v>178</v>
      </c>
      <c r="N6642">
        <v>41.650905999999999</v>
      </c>
      <c r="O6642">
        <v>-112.296708</v>
      </c>
      <c r="P6642">
        <v>4217.5666600000004</v>
      </c>
      <c r="Q6642">
        <v>1392</v>
      </c>
      <c r="R6642">
        <v>0</v>
      </c>
    </row>
    <row r="6643" spans="1:18" x14ac:dyDescent="0.25">
      <c r="A6643">
        <v>7642</v>
      </c>
      <c r="B6643">
        <v>94</v>
      </c>
      <c r="C6643">
        <v>31403523</v>
      </c>
      <c r="D6643" t="s">
        <v>224</v>
      </c>
      <c r="E6643">
        <v>5.5880000000000001</v>
      </c>
      <c r="F6643" t="s">
        <v>21</v>
      </c>
      <c r="G6643" t="s">
        <v>26</v>
      </c>
      <c r="H6643" t="s">
        <v>21</v>
      </c>
      <c r="I6643" t="s">
        <v>20</v>
      </c>
      <c r="J6643" t="s">
        <v>20</v>
      </c>
      <c r="K6643" t="s">
        <v>22</v>
      </c>
      <c r="L6643" t="s">
        <v>198</v>
      </c>
      <c r="M6643" t="s">
        <v>194</v>
      </c>
      <c r="N6643">
        <v>40.044539</v>
      </c>
      <c r="O6643">
        <v>-111.728562</v>
      </c>
      <c r="P6643">
        <v>4591.9146019999998</v>
      </c>
      <c r="Q6643">
        <v>408</v>
      </c>
      <c r="R6643">
        <v>0</v>
      </c>
    </row>
    <row r="6644" spans="1:18" x14ac:dyDescent="0.25">
      <c r="A6644">
        <v>7643</v>
      </c>
      <c r="B6644">
        <v>94</v>
      </c>
      <c r="C6644">
        <v>31643592</v>
      </c>
      <c r="D6644" t="s">
        <v>393</v>
      </c>
      <c r="E6644">
        <v>5.5890000000000004</v>
      </c>
      <c r="F6644" t="s">
        <v>21</v>
      </c>
      <c r="G6644" t="s">
        <v>20</v>
      </c>
      <c r="H6644" t="s">
        <v>21</v>
      </c>
      <c r="I6644" t="s">
        <v>20</v>
      </c>
      <c r="J6644" t="s">
        <v>20</v>
      </c>
      <c r="K6644" t="s">
        <v>27</v>
      </c>
      <c r="L6644" t="s">
        <v>158</v>
      </c>
      <c r="M6644" t="s">
        <v>190</v>
      </c>
      <c r="N6644">
        <v>39.519258000000001</v>
      </c>
      <c r="O6644">
        <v>-110.394137</v>
      </c>
      <c r="P6644">
        <v>5965.5935060000002</v>
      </c>
      <c r="Q6644">
        <v>333</v>
      </c>
      <c r="R6644">
        <v>0</v>
      </c>
    </row>
    <row r="6645" spans="1:18" x14ac:dyDescent="0.25">
      <c r="A6645">
        <v>7644</v>
      </c>
      <c r="B6645">
        <v>94</v>
      </c>
      <c r="C6645">
        <v>31355528</v>
      </c>
      <c r="D6645" t="s">
        <v>288</v>
      </c>
      <c r="E6645">
        <v>66.302999999999997</v>
      </c>
      <c r="F6645" t="s">
        <v>21</v>
      </c>
      <c r="G6645" t="s">
        <v>26</v>
      </c>
      <c r="H6645" t="s">
        <v>21</v>
      </c>
      <c r="I6645" t="s">
        <v>20</v>
      </c>
      <c r="J6645" t="s">
        <v>20</v>
      </c>
      <c r="K6645" t="s">
        <v>27</v>
      </c>
      <c r="L6645" t="s">
        <v>146</v>
      </c>
      <c r="M6645" t="s">
        <v>147</v>
      </c>
      <c r="N6645">
        <v>37.793905000000002</v>
      </c>
      <c r="O6645">
        <v>-109.340694</v>
      </c>
      <c r="P6645">
        <v>6831.6041759999998</v>
      </c>
      <c r="Q6645">
        <v>350</v>
      </c>
      <c r="R6645">
        <v>0</v>
      </c>
    </row>
    <row r="6646" spans="1:18" x14ac:dyDescent="0.25">
      <c r="A6646">
        <v>7645</v>
      </c>
      <c r="B6646">
        <v>94</v>
      </c>
      <c r="C6646" t="s">
        <v>826</v>
      </c>
      <c r="D6646" t="s">
        <v>244</v>
      </c>
      <c r="E6646">
        <v>66.363</v>
      </c>
      <c r="F6646" t="s">
        <v>21</v>
      </c>
      <c r="G6646" t="s">
        <v>20</v>
      </c>
      <c r="H6646" t="s">
        <v>21</v>
      </c>
      <c r="I6646" t="s">
        <v>20</v>
      </c>
      <c r="J6646" t="s">
        <v>20</v>
      </c>
      <c r="K6646" t="s">
        <v>27</v>
      </c>
      <c r="L6646" t="s">
        <v>266</v>
      </c>
      <c r="M6646" t="s">
        <v>386</v>
      </c>
      <c r="N6646">
        <v>38.302587000000003</v>
      </c>
      <c r="O6646">
        <v>-111.459937</v>
      </c>
      <c r="P6646">
        <v>6817.6232010000003</v>
      </c>
      <c r="Q6646">
        <v>1340</v>
      </c>
      <c r="R6646">
        <v>0</v>
      </c>
    </row>
    <row r="6647" spans="1:18" x14ac:dyDescent="0.25">
      <c r="A6647">
        <v>7646</v>
      </c>
      <c r="B6647">
        <v>94</v>
      </c>
      <c r="C6647">
        <v>31714510</v>
      </c>
      <c r="D6647" t="s">
        <v>244</v>
      </c>
      <c r="E6647">
        <v>66.373999999999995</v>
      </c>
      <c r="F6647" t="s">
        <v>21</v>
      </c>
      <c r="G6647" t="s">
        <v>26</v>
      </c>
      <c r="H6647" t="s">
        <v>21</v>
      </c>
      <c r="I6647" t="s">
        <v>20</v>
      </c>
      <c r="J6647" t="s">
        <v>20</v>
      </c>
      <c r="K6647" t="s">
        <v>27</v>
      </c>
      <c r="L6647" t="s">
        <v>266</v>
      </c>
      <c r="M6647" t="s">
        <v>386</v>
      </c>
      <c r="N6647">
        <v>38.302588</v>
      </c>
      <c r="O6647">
        <v>-111.459733</v>
      </c>
      <c r="P6647">
        <v>6815.8067849999998</v>
      </c>
      <c r="Q6647">
        <v>1340</v>
      </c>
      <c r="R6647">
        <v>0</v>
      </c>
    </row>
    <row r="6648" spans="1:18" x14ac:dyDescent="0.25">
      <c r="A6648">
        <v>7647</v>
      </c>
      <c r="B6648">
        <v>94</v>
      </c>
      <c r="C6648" t="e">
        <f>-IpZ11ufFfXqGRVkoqf5xF</f>
        <v>#NAME?</v>
      </c>
      <c r="D6648" t="s">
        <v>272</v>
      </c>
      <c r="E6648">
        <v>465.50400000000002</v>
      </c>
      <c r="F6648" t="s">
        <v>21</v>
      </c>
      <c r="G6648" t="s">
        <v>26</v>
      </c>
      <c r="H6648" t="s">
        <v>21</v>
      </c>
      <c r="I6648" t="s">
        <v>20</v>
      </c>
      <c r="J6648" t="s">
        <v>20</v>
      </c>
      <c r="K6648" t="s">
        <v>41</v>
      </c>
      <c r="L6648" t="s">
        <v>95</v>
      </c>
      <c r="M6648" t="s">
        <v>152</v>
      </c>
      <c r="N6648">
        <v>41.753881999999997</v>
      </c>
      <c r="O6648">
        <v>-111.71668</v>
      </c>
      <c r="P6648">
        <v>4979.9861899999996</v>
      </c>
      <c r="Q6648">
        <v>1384</v>
      </c>
      <c r="R6648">
        <v>0</v>
      </c>
    </row>
    <row r="6649" spans="1:18" x14ac:dyDescent="0.25">
      <c r="A6649">
        <v>7648</v>
      </c>
      <c r="B6649">
        <v>94</v>
      </c>
      <c r="C6649" t="e">
        <f>-IpZ1IgqHMetKgdyD1FKwk</f>
        <v>#NAME?</v>
      </c>
      <c r="D6649" t="s">
        <v>272</v>
      </c>
      <c r="E6649">
        <v>465.565</v>
      </c>
      <c r="F6649" t="s">
        <v>21</v>
      </c>
      <c r="G6649" t="s">
        <v>20</v>
      </c>
      <c r="H6649" t="s">
        <v>21</v>
      </c>
      <c r="I6649" t="s">
        <v>20</v>
      </c>
      <c r="J6649" t="s">
        <v>20</v>
      </c>
      <c r="K6649" t="s">
        <v>41</v>
      </c>
      <c r="L6649" t="s">
        <v>95</v>
      </c>
      <c r="M6649" t="s">
        <v>152</v>
      </c>
      <c r="N6649">
        <v>41.754264999999997</v>
      </c>
      <c r="O6649">
        <v>-111.71563</v>
      </c>
      <c r="P6649">
        <v>4980.4766339999996</v>
      </c>
      <c r="Q6649">
        <v>1384</v>
      </c>
      <c r="R6649">
        <v>0</v>
      </c>
    </row>
    <row r="6650" spans="1:18" x14ac:dyDescent="0.25">
      <c r="A6650">
        <v>7649</v>
      </c>
      <c r="B6650">
        <v>94</v>
      </c>
      <c r="C6650" t="e">
        <f>-IpZ1QTIFeqxsMZ2NMYpXk</f>
        <v>#NAME?</v>
      </c>
      <c r="D6650" t="s">
        <v>272</v>
      </c>
      <c r="E6650">
        <v>465.822</v>
      </c>
      <c r="F6650" t="s">
        <v>21</v>
      </c>
      <c r="G6650" t="s">
        <v>20</v>
      </c>
      <c r="H6650" t="s">
        <v>21</v>
      </c>
      <c r="I6650" t="s">
        <v>20</v>
      </c>
      <c r="J6650" t="s">
        <v>20</v>
      </c>
      <c r="K6650" t="s">
        <v>41</v>
      </c>
      <c r="L6650" t="s">
        <v>95</v>
      </c>
      <c r="M6650" t="s">
        <v>152</v>
      </c>
      <c r="N6650">
        <v>41.756627000000002</v>
      </c>
      <c r="O6650">
        <v>-111.71189800000001</v>
      </c>
      <c r="P6650">
        <v>4988.2034860000003</v>
      </c>
      <c r="Q6650">
        <v>1384</v>
      </c>
      <c r="R6650">
        <v>0</v>
      </c>
    </row>
    <row r="6651" spans="1:18" x14ac:dyDescent="0.25">
      <c r="A6651">
        <v>7650</v>
      </c>
      <c r="B6651">
        <v>94</v>
      </c>
      <c r="C6651" t="e">
        <f>-IpZ2geeHgyyMF5no4WdBV</f>
        <v>#NAME?</v>
      </c>
      <c r="D6651" t="s">
        <v>272</v>
      </c>
      <c r="E6651">
        <v>467.40300000000002</v>
      </c>
      <c r="F6651" t="s">
        <v>21</v>
      </c>
      <c r="G6651" t="s">
        <v>20</v>
      </c>
      <c r="H6651" t="s">
        <v>21</v>
      </c>
      <c r="I6651" t="s">
        <v>20</v>
      </c>
      <c r="J6651" t="s">
        <v>20</v>
      </c>
      <c r="K6651" t="s">
        <v>41</v>
      </c>
      <c r="L6651" t="s">
        <v>95</v>
      </c>
      <c r="M6651" t="s">
        <v>152</v>
      </c>
      <c r="N6651">
        <v>41.765335</v>
      </c>
      <c r="O6651">
        <v>-111.686598</v>
      </c>
      <c r="P6651">
        <v>5042.0258400000002</v>
      </c>
      <c r="Q6651">
        <v>1384</v>
      </c>
      <c r="R6651">
        <v>0</v>
      </c>
    </row>
    <row r="6652" spans="1:18" x14ac:dyDescent="0.25">
      <c r="A6652">
        <v>7651</v>
      </c>
      <c r="B6652">
        <v>94</v>
      </c>
      <c r="C6652" t="s">
        <v>827</v>
      </c>
      <c r="D6652" t="s">
        <v>272</v>
      </c>
      <c r="E6652">
        <v>468.51900000000001</v>
      </c>
      <c r="F6652" t="s">
        <v>21</v>
      </c>
      <c r="G6652" t="s">
        <v>26</v>
      </c>
      <c r="H6652" t="s">
        <v>21</v>
      </c>
      <c r="I6652" t="s">
        <v>20</v>
      </c>
      <c r="J6652" t="s">
        <v>20</v>
      </c>
      <c r="K6652" t="s">
        <v>41</v>
      </c>
      <c r="L6652" t="s">
        <v>95</v>
      </c>
      <c r="M6652" t="s">
        <v>152</v>
      </c>
      <c r="N6652">
        <v>41.765954999999998</v>
      </c>
      <c r="O6652">
        <v>-111.66712200000001</v>
      </c>
      <c r="P6652">
        <v>5084.99791</v>
      </c>
      <c r="Q6652">
        <v>1384</v>
      </c>
      <c r="R6652">
        <v>0</v>
      </c>
    </row>
    <row r="6653" spans="1:18" x14ac:dyDescent="0.25">
      <c r="A6653">
        <v>7652</v>
      </c>
      <c r="B6653">
        <v>94</v>
      </c>
      <c r="C6653" t="e">
        <f>-IpZ4WnFGLLJu1WWYMX1KF</f>
        <v>#NAME?</v>
      </c>
      <c r="D6653" t="s">
        <v>272</v>
      </c>
      <c r="E6653">
        <v>468.93299999999999</v>
      </c>
      <c r="F6653" t="s">
        <v>21</v>
      </c>
      <c r="G6653" t="s">
        <v>20</v>
      </c>
      <c r="H6653" t="s">
        <v>21</v>
      </c>
      <c r="I6653" t="s">
        <v>20</v>
      </c>
      <c r="J6653" t="s">
        <v>20</v>
      </c>
      <c r="K6653" t="s">
        <v>41</v>
      </c>
      <c r="L6653" t="s">
        <v>95</v>
      </c>
      <c r="M6653" t="s">
        <v>152</v>
      </c>
      <c r="N6653">
        <v>41.769303999999998</v>
      </c>
      <c r="O6653">
        <v>-111.66099199999999</v>
      </c>
      <c r="P6653">
        <v>5110.7829099999999</v>
      </c>
      <c r="Q6653">
        <v>1384</v>
      </c>
      <c r="R6653">
        <v>0</v>
      </c>
    </row>
    <row r="6654" spans="1:18" x14ac:dyDescent="0.25">
      <c r="A6654">
        <v>7653</v>
      </c>
      <c r="B6654">
        <v>94</v>
      </c>
      <c r="C6654" t="e">
        <f>-IpZ4ln0Fq1FgzYjiwWcXk</f>
        <v>#NAME?</v>
      </c>
      <c r="D6654" t="s">
        <v>272</v>
      </c>
      <c r="E6654">
        <v>469.10199999999998</v>
      </c>
      <c r="F6654" t="s">
        <v>21</v>
      </c>
      <c r="G6654" t="s">
        <v>20</v>
      </c>
      <c r="H6654" t="s">
        <v>21</v>
      </c>
      <c r="I6654" t="s">
        <v>20</v>
      </c>
      <c r="J6654" t="s">
        <v>20</v>
      </c>
      <c r="K6654" t="s">
        <v>41</v>
      </c>
      <c r="L6654" t="s">
        <v>95</v>
      </c>
      <c r="M6654" t="s">
        <v>152</v>
      </c>
      <c r="N6654">
        <v>41.770532000000003</v>
      </c>
      <c r="O6654">
        <v>-111.65829600000001</v>
      </c>
      <c r="P6654">
        <v>5119.1080030000003</v>
      </c>
      <c r="Q6654">
        <v>1384</v>
      </c>
      <c r="R6654">
        <v>0</v>
      </c>
    </row>
    <row r="6655" spans="1:18" x14ac:dyDescent="0.25">
      <c r="A6655">
        <v>7654</v>
      </c>
      <c r="B6655">
        <v>94</v>
      </c>
      <c r="C6655" t="e">
        <f>-IpZ5RcUI3DQ7FY21oQBgV</f>
        <v>#NAME?</v>
      </c>
      <c r="D6655" t="s">
        <v>272</v>
      </c>
      <c r="E6655">
        <v>469.464</v>
      </c>
      <c r="F6655" t="s">
        <v>21</v>
      </c>
      <c r="G6655" t="s">
        <v>26</v>
      </c>
      <c r="H6655" t="s">
        <v>21</v>
      </c>
      <c r="I6655" t="s">
        <v>20</v>
      </c>
      <c r="J6655" t="s">
        <v>20</v>
      </c>
      <c r="K6655" t="s">
        <v>41</v>
      </c>
      <c r="L6655" t="s">
        <v>95</v>
      </c>
      <c r="M6655" t="s">
        <v>152</v>
      </c>
      <c r="N6655">
        <v>41.773712000000003</v>
      </c>
      <c r="O6655">
        <v>-111.654844</v>
      </c>
      <c r="P6655">
        <v>5135.8012710000003</v>
      </c>
      <c r="Q6655">
        <v>1384</v>
      </c>
      <c r="R6655">
        <v>0</v>
      </c>
    </row>
    <row r="6656" spans="1:18" x14ac:dyDescent="0.25">
      <c r="A6656">
        <v>7655</v>
      </c>
      <c r="B6656">
        <v>94</v>
      </c>
      <c r="C6656" t="e">
        <f>-IpZ5lzAHuygvuewU7Hcvk</f>
        <v>#NAME?</v>
      </c>
      <c r="D6656" t="s">
        <v>272</v>
      </c>
      <c r="E6656">
        <v>469.82900000000001</v>
      </c>
      <c r="F6656" t="s">
        <v>21</v>
      </c>
      <c r="G6656" t="s">
        <v>20</v>
      </c>
      <c r="H6656" t="s">
        <v>21</v>
      </c>
      <c r="I6656" t="s">
        <v>20</v>
      </c>
      <c r="J6656" t="s">
        <v>20</v>
      </c>
      <c r="K6656" t="s">
        <v>41</v>
      </c>
      <c r="L6656" t="s">
        <v>95</v>
      </c>
      <c r="M6656" t="s">
        <v>152</v>
      </c>
      <c r="N6656">
        <v>41.776505</v>
      </c>
      <c r="O6656">
        <v>-111.649412</v>
      </c>
      <c r="P6656">
        <v>5158.2540140000001</v>
      </c>
      <c r="Q6656">
        <v>1384</v>
      </c>
      <c r="R6656">
        <v>0</v>
      </c>
    </row>
    <row r="6657" spans="1:18" x14ac:dyDescent="0.25">
      <c r="A6657">
        <v>7656</v>
      </c>
      <c r="B6657">
        <v>94</v>
      </c>
      <c r="C6657">
        <v>31287927</v>
      </c>
      <c r="D6657" t="s">
        <v>241</v>
      </c>
      <c r="E6657">
        <v>47.033999999999999</v>
      </c>
      <c r="F6657" t="s">
        <v>21</v>
      </c>
      <c r="G6657" t="s">
        <v>26</v>
      </c>
      <c r="H6657" t="s">
        <v>21</v>
      </c>
      <c r="I6657" t="s">
        <v>20</v>
      </c>
      <c r="J6657" t="s">
        <v>20</v>
      </c>
      <c r="K6657" t="s">
        <v>27</v>
      </c>
      <c r="L6657" t="s">
        <v>111</v>
      </c>
      <c r="M6657" t="s">
        <v>243</v>
      </c>
      <c r="N6657">
        <v>39.326411</v>
      </c>
      <c r="O6657">
        <v>-110.964536</v>
      </c>
      <c r="P6657">
        <v>5732.4820820000004</v>
      </c>
      <c r="Q6657">
        <v>1327</v>
      </c>
      <c r="R6657">
        <v>0</v>
      </c>
    </row>
    <row r="6658" spans="1:18" x14ac:dyDescent="0.25">
      <c r="A6658">
        <v>7657</v>
      </c>
      <c r="B6658">
        <v>94</v>
      </c>
      <c r="C6658">
        <v>31579564</v>
      </c>
      <c r="D6658" t="s">
        <v>172</v>
      </c>
      <c r="E6658">
        <v>47.05</v>
      </c>
      <c r="F6658" t="s">
        <v>21</v>
      </c>
      <c r="G6658" t="s">
        <v>26</v>
      </c>
      <c r="H6658" t="s">
        <v>21</v>
      </c>
      <c r="I6658" t="s">
        <v>20</v>
      </c>
      <c r="J6658" t="s">
        <v>20</v>
      </c>
      <c r="K6658" t="s">
        <v>27</v>
      </c>
      <c r="L6658" t="s">
        <v>230</v>
      </c>
      <c r="M6658" t="s">
        <v>174</v>
      </c>
      <c r="N6658">
        <v>39.635328000000001</v>
      </c>
      <c r="O6658">
        <v>-111.634468</v>
      </c>
      <c r="P6658">
        <v>5890.7601000000004</v>
      </c>
      <c r="Q6658">
        <v>1411</v>
      </c>
      <c r="R6658">
        <v>0</v>
      </c>
    </row>
    <row r="6659" spans="1:18" x14ac:dyDescent="0.25">
      <c r="A6659">
        <v>7658</v>
      </c>
      <c r="B6659">
        <v>94</v>
      </c>
      <c r="C6659">
        <v>31404187</v>
      </c>
      <c r="D6659" t="s">
        <v>124</v>
      </c>
      <c r="E6659">
        <v>47.116</v>
      </c>
      <c r="F6659" t="s">
        <v>21</v>
      </c>
      <c r="G6659" t="s">
        <v>26</v>
      </c>
      <c r="H6659" t="s">
        <v>21</v>
      </c>
      <c r="I6659" t="s">
        <v>20</v>
      </c>
      <c r="J6659" t="s">
        <v>20</v>
      </c>
      <c r="K6659" t="s">
        <v>31</v>
      </c>
      <c r="L6659" t="s">
        <v>48</v>
      </c>
      <c r="M6659" t="s">
        <v>125</v>
      </c>
      <c r="N6659">
        <v>40.592108000000003</v>
      </c>
      <c r="O6659">
        <v>-111.93872399999999</v>
      </c>
      <c r="P6659">
        <v>4336.1973989999997</v>
      </c>
      <c r="Q6659">
        <v>1368</v>
      </c>
      <c r="R6659">
        <v>0</v>
      </c>
    </row>
    <row r="6660" spans="1:18" x14ac:dyDescent="0.25">
      <c r="A6660">
        <v>7659</v>
      </c>
      <c r="B6660">
        <v>94</v>
      </c>
      <c r="C6660">
        <v>31404198</v>
      </c>
      <c r="D6660" t="s">
        <v>124</v>
      </c>
      <c r="E6660">
        <v>47.131</v>
      </c>
      <c r="F6660" t="s">
        <v>21</v>
      </c>
      <c r="G6660" t="s">
        <v>26</v>
      </c>
      <c r="H6660" t="s">
        <v>21</v>
      </c>
      <c r="I6660" t="s">
        <v>20</v>
      </c>
      <c r="J6660" t="s">
        <v>20</v>
      </c>
      <c r="K6660" t="s">
        <v>31</v>
      </c>
      <c r="L6660" t="s">
        <v>48</v>
      </c>
      <c r="M6660" t="s">
        <v>125</v>
      </c>
      <c r="N6660">
        <v>40.592320000000001</v>
      </c>
      <c r="O6660">
        <v>-111.93872500000001</v>
      </c>
      <c r="P6660">
        <v>4335.7786599999999</v>
      </c>
      <c r="Q6660">
        <v>1368</v>
      </c>
      <c r="R6660">
        <v>0</v>
      </c>
    </row>
    <row r="6661" spans="1:18" x14ac:dyDescent="0.25">
      <c r="A6661">
        <v>7660</v>
      </c>
      <c r="B6661">
        <v>94</v>
      </c>
      <c r="C6661">
        <v>31590038</v>
      </c>
      <c r="D6661" t="s">
        <v>288</v>
      </c>
      <c r="E6661">
        <v>387.363</v>
      </c>
      <c r="F6661" t="s">
        <v>21</v>
      </c>
      <c r="G6661" t="s">
        <v>26</v>
      </c>
      <c r="H6661" t="s">
        <v>21</v>
      </c>
      <c r="I6661" t="s">
        <v>20</v>
      </c>
      <c r="J6661" t="s">
        <v>20</v>
      </c>
      <c r="K6661" t="s">
        <v>22</v>
      </c>
      <c r="L6661" t="s">
        <v>97</v>
      </c>
      <c r="M6661" t="s">
        <v>98</v>
      </c>
      <c r="N6661">
        <v>40.864885000000001</v>
      </c>
      <c r="O6661">
        <v>-109.482238</v>
      </c>
      <c r="P6661">
        <v>7438.9224260000001</v>
      </c>
      <c r="Q6661">
        <v>350</v>
      </c>
      <c r="R6661">
        <v>0</v>
      </c>
    </row>
    <row r="6662" spans="1:18" x14ac:dyDescent="0.25">
      <c r="A6662">
        <v>7661</v>
      </c>
      <c r="B6662">
        <v>94</v>
      </c>
      <c r="C6662" t="s">
        <v>828</v>
      </c>
      <c r="D6662" t="s">
        <v>272</v>
      </c>
      <c r="E6662">
        <v>387.49</v>
      </c>
      <c r="F6662" t="s">
        <v>21</v>
      </c>
      <c r="G6662" t="s">
        <v>26</v>
      </c>
      <c r="H6662" t="s">
        <v>21</v>
      </c>
      <c r="I6662" t="s">
        <v>20</v>
      </c>
      <c r="J6662" t="s">
        <v>20</v>
      </c>
      <c r="K6662" t="s">
        <v>41</v>
      </c>
      <c r="L6662" t="s">
        <v>45</v>
      </c>
      <c r="M6662" t="s">
        <v>49</v>
      </c>
      <c r="N6662">
        <v>40.870662000000003</v>
      </c>
      <c r="O6662">
        <v>-111.892252</v>
      </c>
      <c r="P6662">
        <v>4317.6062860000002</v>
      </c>
      <c r="Q6662">
        <v>1384</v>
      </c>
      <c r="R6662">
        <v>0</v>
      </c>
    </row>
    <row r="6663" spans="1:18" x14ac:dyDescent="0.25">
      <c r="A6663">
        <v>7662</v>
      </c>
      <c r="B6663">
        <v>94</v>
      </c>
      <c r="C6663" t="e">
        <f>-JSQ6lTKG7uwojvfReibyV</f>
        <v>#NAME?</v>
      </c>
      <c r="D6663" t="s">
        <v>272</v>
      </c>
      <c r="E6663">
        <v>387.55200000000002</v>
      </c>
      <c r="F6663" t="s">
        <v>21</v>
      </c>
      <c r="G6663" t="s">
        <v>26</v>
      </c>
      <c r="H6663" t="s">
        <v>21</v>
      </c>
      <c r="I6663" t="s">
        <v>20</v>
      </c>
      <c r="J6663" t="s">
        <v>20</v>
      </c>
      <c r="K6663" t="s">
        <v>41</v>
      </c>
      <c r="L6663" t="s">
        <v>45</v>
      </c>
      <c r="M6663" t="s">
        <v>49</v>
      </c>
      <c r="N6663">
        <v>40.871552000000001</v>
      </c>
      <c r="O6663">
        <v>-111.892229</v>
      </c>
      <c r="P6663">
        <v>4317.3474990000004</v>
      </c>
      <c r="Q6663">
        <v>1384</v>
      </c>
      <c r="R6663">
        <v>0</v>
      </c>
    </row>
    <row r="6664" spans="1:18" x14ac:dyDescent="0.25">
      <c r="A6664">
        <v>7663</v>
      </c>
      <c r="B6664">
        <v>94</v>
      </c>
      <c r="C6664" t="e">
        <f>-JTWpTuiIZXcDP4H-Tfwck</f>
        <v>#NAME?</v>
      </c>
      <c r="D6664" t="s">
        <v>272</v>
      </c>
      <c r="E6664">
        <v>387.55799999999999</v>
      </c>
      <c r="F6664" t="s">
        <v>21</v>
      </c>
      <c r="G6664" t="s">
        <v>26</v>
      </c>
      <c r="H6664" t="s">
        <v>21</v>
      </c>
      <c r="I6664" t="s">
        <v>20</v>
      </c>
      <c r="J6664" t="s">
        <v>20</v>
      </c>
      <c r="K6664" t="s">
        <v>41</v>
      </c>
      <c r="L6664" t="s">
        <v>45</v>
      </c>
      <c r="M6664" t="s">
        <v>49</v>
      </c>
      <c r="N6664">
        <v>40.871631000000001</v>
      </c>
      <c r="O6664">
        <v>-111.892225</v>
      </c>
      <c r="P6664">
        <v>4317.2787170000001</v>
      </c>
      <c r="Q6664">
        <v>1384</v>
      </c>
      <c r="R6664">
        <v>0</v>
      </c>
    </row>
    <row r="6665" spans="1:18" x14ac:dyDescent="0.25">
      <c r="A6665">
        <v>7664</v>
      </c>
      <c r="B6665">
        <v>94</v>
      </c>
      <c r="C6665" t="s">
        <v>829</v>
      </c>
      <c r="D6665" t="s">
        <v>272</v>
      </c>
      <c r="E6665">
        <v>387.77300000000002</v>
      </c>
      <c r="F6665" t="s">
        <v>19</v>
      </c>
      <c r="G6665" t="s">
        <v>20</v>
      </c>
      <c r="H6665" t="s">
        <v>21</v>
      </c>
      <c r="I6665" t="s">
        <v>20</v>
      </c>
      <c r="J6665" t="s">
        <v>20</v>
      </c>
      <c r="K6665" t="s">
        <v>41</v>
      </c>
      <c r="L6665" t="s">
        <v>45</v>
      </c>
      <c r="M6665" t="s">
        <v>49</v>
      </c>
      <c r="N6665">
        <v>40.874713</v>
      </c>
      <c r="O6665">
        <v>-111.892207</v>
      </c>
      <c r="P6665">
        <v>4309.7000250000001</v>
      </c>
      <c r="Q6665">
        <v>1384</v>
      </c>
      <c r="R6665">
        <v>0</v>
      </c>
    </row>
    <row r="6666" spans="1:18" x14ac:dyDescent="0.25">
      <c r="A6666">
        <v>7665</v>
      </c>
      <c r="B6666">
        <v>94</v>
      </c>
      <c r="C6666" t="e">
        <f>-IsT_k2ZFJ1WL85bSB75EF</f>
        <v>#NAME?</v>
      </c>
      <c r="D6666" t="s">
        <v>272</v>
      </c>
      <c r="E6666">
        <v>476.35199999999998</v>
      </c>
      <c r="F6666" t="s">
        <v>21</v>
      </c>
      <c r="G6666" t="s">
        <v>26</v>
      </c>
      <c r="H6666" t="s">
        <v>21</v>
      </c>
      <c r="I6666" t="s">
        <v>20</v>
      </c>
      <c r="J6666" t="s">
        <v>20</v>
      </c>
      <c r="K6666" t="s">
        <v>41</v>
      </c>
      <c r="L6666" t="s">
        <v>95</v>
      </c>
      <c r="M6666" t="s">
        <v>152</v>
      </c>
      <c r="N6666">
        <v>41.835416000000002</v>
      </c>
      <c r="O6666">
        <v>-111.593639</v>
      </c>
      <c r="P6666">
        <v>5752.077311</v>
      </c>
      <c r="Q6666">
        <v>1384</v>
      </c>
      <c r="R6666">
        <v>0</v>
      </c>
    </row>
    <row r="6667" spans="1:18" x14ac:dyDescent="0.25">
      <c r="A6667">
        <v>7666</v>
      </c>
      <c r="B6667">
        <v>94</v>
      </c>
      <c r="C6667">
        <v>31404381</v>
      </c>
      <c r="D6667" t="s">
        <v>124</v>
      </c>
      <c r="E6667">
        <v>47.521000000000001</v>
      </c>
      <c r="F6667" t="s">
        <v>21</v>
      </c>
      <c r="G6667" t="s">
        <v>26</v>
      </c>
      <c r="H6667" t="s">
        <v>21</v>
      </c>
      <c r="I6667" t="s">
        <v>20</v>
      </c>
      <c r="J6667" t="s">
        <v>20</v>
      </c>
      <c r="K6667" t="s">
        <v>31</v>
      </c>
      <c r="L6667" t="s">
        <v>48</v>
      </c>
      <c r="M6667" t="s">
        <v>125</v>
      </c>
      <c r="N6667">
        <v>40.597994999999997</v>
      </c>
      <c r="O6667">
        <v>-111.938737</v>
      </c>
      <c r="P6667">
        <v>4320.4490669999996</v>
      </c>
      <c r="Q6667">
        <v>1368</v>
      </c>
      <c r="R6667">
        <v>0</v>
      </c>
    </row>
    <row r="6668" spans="1:18" x14ac:dyDescent="0.25">
      <c r="A6668">
        <v>7667</v>
      </c>
      <c r="B6668">
        <v>94</v>
      </c>
      <c r="C6668">
        <v>31319795</v>
      </c>
      <c r="D6668" t="s">
        <v>241</v>
      </c>
      <c r="E6668">
        <v>47.526000000000003</v>
      </c>
      <c r="F6668" t="s">
        <v>21</v>
      </c>
      <c r="G6668" t="s">
        <v>26</v>
      </c>
      <c r="H6668" t="s">
        <v>21</v>
      </c>
      <c r="I6668" t="s">
        <v>20</v>
      </c>
      <c r="J6668" t="s">
        <v>20</v>
      </c>
      <c r="K6668" t="s">
        <v>27</v>
      </c>
      <c r="L6668" t="s">
        <v>111</v>
      </c>
      <c r="M6668" t="s">
        <v>243</v>
      </c>
      <c r="N6668">
        <v>39.333554999999997</v>
      </c>
      <c r="O6668">
        <v>-110.96465999999999</v>
      </c>
      <c r="P6668">
        <v>5757.1190809999998</v>
      </c>
      <c r="Q6668">
        <v>1327</v>
      </c>
      <c r="R6668">
        <v>0</v>
      </c>
    </row>
    <row r="6669" spans="1:18" x14ac:dyDescent="0.25">
      <c r="A6669">
        <v>7668</v>
      </c>
      <c r="B6669">
        <v>94</v>
      </c>
      <c r="C6669">
        <v>31580169</v>
      </c>
      <c r="D6669" t="s">
        <v>172</v>
      </c>
      <c r="E6669">
        <v>47.531999999999996</v>
      </c>
      <c r="F6669" t="s">
        <v>21</v>
      </c>
      <c r="G6669" t="s">
        <v>26</v>
      </c>
      <c r="H6669" t="s">
        <v>21</v>
      </c>
      <c r="I6669" t="s">
        <v>20</v>
      </c>
      <c r="J6669" t="s">
        <v>20</v>
      </c>
      <c r="K6669" t="s">
        <v>27</v>
      </c>
      <c r="L6669" t="s">
        <v>230</v>
      </c>
      <c r="M6669" t="s">
        <v>174</v>
      </c>
      <c r="N6669">
        <v>39.628326000000001</v>
      </c>
      <c r="O6669">
        <v>-111.634462</v>
      </c>
      <c r="P6669">
        <v>5834.0383270000002</v>
      </c>
      <c r="Q6669">
        <v>1411</v>
      </c>
      <c r="R6669">
        <v>0</v>
      </c>
    </row>
    <row r="6670" spans="1:18" x14ac:dyDescent="0.25">
      <c r="A6670">
        <v>7669</v>
      </c>
      <c r="B6670">
        <v>94</v>
      </c>
      <c r="C6670">
        <v>31504186</v>
      </c>
      <c r="D6670" t="s">
        <v>129</v>
      </c>
      <c r="E6670">
        <v>47.581000000000003</v>
      </c>
      <c r="F6670" t="s">
        <v>21</v>
      </c>
      <c r="G6670" t="s">
        <v>26</v>
      </c>
      <c r="H6670" t="s">
        <v>21</v>
      </c>
      <c r="I6670" t="s">
        <v>20</v>
      </c>
      <c r="J6670" t="s">
        <v>20</v>
      </c>
      <c r="K6670" t="s">
        <v>31</v>
      </c>
      <c r="L6670" t="s">
        <v>130</v>
      </c>
      <c r="M6670" t="s">
        <v>328</v>
      </c>
      <c r="N6670">
        <v>40.899659</v>
      </c>
      <c r="O6670">
        <v>-110.829038</v>
      </c>
      <c r="P6670">
        <v>8372.7252549999994</v>
      </c>
      <c r="Q6670">
        <v>340</v>
      </c>
      <c r="R6670">
        <v>0</v>
      </c>
    </row>
    <row r="6671" spans="1:18" x14ac:dyDescent="0.25">
      <c r="A6671">
        <v>7670</v>
      </c>
      <c r="B6671">
        <v>94</v>
      </c>
      <c r="C6671">
        <v>31320306</v>
      </c>
      <c r="D6671" t="s">
        <v>241</v>
      </c>
      <c r="E6671">
        <v>47.585999999999999</v>
      </c>
      <c r="F6671" t="s">
        <v>21</v>
      </c>
      <c r="G6671" t="s">
        <v>26</v>
      </c>
      <c r="H6671" t="s">
        <v>19</v>
      </c>
      <c r="I6671">
        <v>31</v>
      </c>
      <c r="J6671" t="s">
        <v>20</v>
      </c>
      <c r="K6671" t="s">
        <v>27</v>
      </c>
      <c r="L6671" t="s">
        <v>111</v>
      </c>
      <c r="M6671" t="s">
        <v>243</v>
      </c>
      <c r="N6671">
        <v>39.334426000000001</v>
      </c>
      <c r="O6671">
        <v>-110.96467</v>
      </c>
      <c r="P6671">
        <v>5757.3605710000002</v>
      </c>
      <c r="Q6671">
        <v>1327</v>
      </c>
      <c r="R6671">
        <v>0</v>
      </c>
    </row>
    <row r="6672" spans="1:18" x14ac:dyDescent="0.25">
      <c r="A6672">
        <v>7671</v>
      </c>
      <c r="B6672">
        <v>94</v>
      </c>
      <c r="C6672" t="s">
        <v>830</v>
      </c>
      <c r="D6672" t="s">
        <v>272</v>
      </c>
      <c r="E6672">
        <v>388.87299999999999</v>
      </c>
      <c r="F6672" t="s">
        <v>19</v>
      </c>
      <c r="G6672" t="s">
        <v>20</v>
      </c>
      <c r="H6672" t="s">
        <v>21</v>
      </c>
      <c r="I6672" t="s">
        <v>20</v>
      </c>
      <c r="J6672" t="s">
        <v>20</v>
      </c>
      <c r="K6672" t="s">
        <v>41</v>
      </c>
      <c r="L6672" t="s">
        <v>45</v>
      </c>
      <c r="M6672" t="s">
        <v>49</v>
      </c>
      <c r="N6672">
        <v>40.890472000000003</v>
      </c>
      <c r="O6672">
        <v>-111.892231</v>
      </c>
      <c r="P6672">
        <v>4265.176383</v>
      </c>
      <c r="Q6672">
        <v>1384</v>
      </c>
      <c r="R6672">
        <v>0</v>
      </c>
    </row>
    <row r="6673" spans="1:18" x14ac:dyDescent="0.25">
      <c r="A6673">
        <v>7672</v>
      </c>
      <c r="B6673">
        <v>94</v>
      </c>
      <c r="C6673">
        <v>31354209</v>
      </c>
      <c r="D6673" t="s">
        <v>34</v>
      </c>
      <c r="E6673">
        <v>5.5970000000000004</v>
      </c>
      <c r="F6673" t="s">
        <v>21</v>
      </c>
      <c r="G6673" t="s">
        <v>26</v>
      </c>
      <c r="H6673" t="s">
        <v>21</v>
      </c>
      <c r="I6673" t="s">
        <v>20</v>
      </c>
      <c r="J6673" t="s">
        <v>20</v>
      </c>
      <c r="K6673" t="s">
        <v>22</v>
      </c>
      <c r="L6673" t="s">
        <v>35</v>
      </c>
      <c r="M6673" t="s">
        <v>36</v>
      </c>
      <c r="N6673">
        <v>40.506984000000003</v>
      </c>
      <c r="O6673">
        <v>-111.44273800000001</v>
      </c>
      <c r="P6673">
        <v>5451.1227150000004</v>
      </c>
      <c r="Q6673">
        <v>1400</v>
      </c>
      <c r="R6673">
        <v>0</v>
      </c>
    </row>
    <row r="6674" spans="1:18" x14ac:dyDescent="0.25">
      <c r="A6674">
        <v>7673</v>
      </c>
      <c r="B6674">
        <v>94</v>
      </c>
      <c r="C6674">
        <v>31661784</v>
      </c>
      <c r="D6674" t="s">
        <v>244</v>
      </c>
      <c r="E6674">
        <v>55.265999999999998</v>
      </c>
      <c r="F6674" t="s">
        <v>21</v>
      </c>
      <c r="G6674" t="s">
        <v>26</v>
      </c>
      <c r="H6674" t="s">
        <v>21</v>
      </c>
      <c r="I6674" t="s">
        <v>20</v>
      </c>
      <c r="J6674" t="s">
        <v>20</v>
      </c>
      <c r="K6674" t="s">
        <v>27</v>
      </c>
      <c r="L6674" t="s">
        <v>266</v>
      </c>
      <c r="M6674" t="s">
        <v>386</v>
      </c>
      <c r="N6674">
        <v>38.397058999999999</v>
      </c>
      <c r="O6674">
        <v>-111.591441</v>
      </c>
      <c r="P6674">
        <v>7109.1115449999998</v>
      </c>
      <c r="Q6674">
        <v>1340</v>
      </c>
      <c r="R6674">
        <v>0</v>
      </c>
    </row>
    <row r="6675" spans="1:18" x14ac:dyDescent="0.25">
      <c r="A6675">
        <v>7674</v>
      </c>
      <c r="B6675">
        <v>94</v>
      </c>
      <c r="C6675">
        <v>28024517</v>
      </c>
      <c r="D6675" t="s">
        <v>281</v>
      </c>
      <c r="E6675">
        <v>55.277999999999999</v>
      </c>
      <c r="F6675" t="s">
        <v>21</v>
      </c>
      <c r="G6675" t="s">
        <v>26</v>
      </c>
      <c r="H6675" t="s">
        <v>21</v>
      </c>
      <c r="I6675" t="s">
        <v>20</v>
      </c>
      <c r="J6675" t="s">
        <v>20</v>
      </c>
      <c r="K6675" t="s">
        <v>31</v>
      </c>
      <c r="L6675" t="s">
        <v>282</v>
      </c>
      <c r="M6675" t="s">
        <v>174</v>
      </c>
      <c r="N6675">
        <v>40.543939999999999</v>
      </c>
      <c r="O6675">
        <v>-112.298292</v>
      </c>
      <c r="P6675">
        <v>4859.3091539999996</v>
      </c>
      <c r="Q6675">
        <v>1347</v>
      </c>
      <c r="R6675">
        <v>0</v>
      </c>
    </row>
    <row r="6676" spans="1:18" x14ac:dyDescent="0.25">
      <c r="A6676">
        <v>7675</v>
      </c>
      <c r="B6676">
        <v>94</v>
      </c>
      <c r="C6676">
        <v>31499384</v>
      </c>
      <c r="D6676" t="s">
        <v>124</v>
      </c>
      <c r="E6676">
        <v>55.277999999999999</v>
      </c>
      <c r="F6676" t="s">
        <v>21</v>
      </c>
      <c r="G6676" t="s">
        <v>26</v>
      </c>
      <c r="H6676" t="s">
        <v>21</v>
      </c>
      <c r="I6676" t="s">
        <v>20</v>
      </c>
      <c r="J6676" t="s">
        <v>20</v>
      </c>
      <c r="K6676" t="s">
        <v>31</v>
      </c>
      <c r="L6676" t="s">
        <v>362</v>
      </c>
      <c r="M6676" t="s">
        <v>125</v>
      </c>
      <c r="N6676">
        <v>40.710715</v>
      </c>
      <c r="O6676">
        <v>-111.93897699999999</v>
      </c>
      <c r="P6676">
        <v>4185.4714249999997</v>
      </c>
      <c r="Q6676">
        <v>1368</v>
      </c>
      <c r="R6676">
        <v>0</v>
      </c>
    </row>
    <row r="6677" spans="1:18" x14ac:dyDescent="0.25">
      <c r="A6677">
        <v>7676</v>
      </c>
      <c r="B6677">
        <v>94</v>
      </c>
      <c r="C6677" t="e">
        <f>-JQgxOjUFoDMp45erhZXYF</f>
        <v>#NAME?</v>
      </c>
      <c r="D6677" t="s">
        <v>272</v>
      </c>
      <c r="E6677">
        <v>55.302</v>
      </c>
      <c r="F6677" t="s">
        <v>21</v>
      </c>
      <c r="G6677" t="s">
        <v>26</v>
      </c>
      <c r="H6677" t="s">
        <v>21</v>
      </c>
      <c r="I6677" t="s">
        <v>20</v>
      </c>
      <c r="J6677" t="s">
        <v>20</v>
      </c>
      <c r="K6677" t="s">
        <v>27</v>
      </c>
      <c r="L6677" t="s">
        <v>259</v>
      </c>
      <c r="M6677" t="s">
        <v>214</v>
      </c>
      <c r="N6677">
        <v>37.035670000000003</v>
      </c>
      <c r="O6677">
        <v>-112.37912900000001</v>
      </c>
      <c r="P6677">
        <v>5039.7622810000003</v>
      </c>
      <c r="Q6677">
        <v>1384</v>
      </c>
      <c r="R6677">
        <v>0</v>
      </c>
    </row>
    <row r="6678" spans="1:18" x14ac:dyDescent="0.25">
      <c r="A6678">
        <v>7677</v>
      </c>
      <c r="B6678">
        <v>94</v>
      </c>
      <c r="C6678">
        <v>31499395</v>
      </c>
      <c r="D6678" t="s">
        <v>124</v>
      </c>
      <c r="E6678">
        <v>55.305999999999997</v>
      </c>
      <c r="F6678" t="s">
        <v>19</v>
      </c>
      <c r="G6678" t="s">
        <v>20</v>
      </c>
      <c r="H6678" t="s">
        <v>21</v>
      </c>
      <c r="I6678" t="s">
        <v>20</v>
      </c>
      <c r="J6678" t="s">
        <v>20</v>
      </c>
      <c r="K6678" t="s">
        <v>31</v>
      </c>
      <c r="L6678" t="s">
        <v>362</v>
      </c>
      <c r="M6678" t="s">
        <v>125</v>
      </c>
      <c r="N6678">
        <v>40.711117999999999</v>
      </c>
      <c r="O6678">
        <v>-111.93895000000001</v>
      </c>
      <c r="P6678">
        <v>4185.3072410000004</v>
      </c>
      <c r="Q6678">
        <v>1368</v>
      </c>
      <c r="R6678">
        <v>0</v>
      </c>
    </row>
    <row r="6679" spans="1:18" x14ac:dyDescent="0.25">
      <c r="A6679">
        <v>7678</v>
      </c>
      <c r="B6679">
        <v>94</v>
      </c>
      <c r="C6679">
        <v>31662662</v>
      </c>
      <c r="D6679" t="s">
        <v>244</v>
      </c>
      <c r="E6679">
        <v>55.317</v>
      </c>
      <c r="F6679" t="s">
        <v>21</v>
      </c>
      <c r="G6679" t="s">
        <v>26</v>
      </c>
      <c r="H6679" t="s">
        <v>21</v>
      </c>
      <c r="I6679" t="s">
        <v>20</v>
      </c>
      <c r="J6679" t="s">
        <v>20</v>
      </c>
      <c r="K6679" t="s">
        <v>27</v>
      </c>
      <c r="L6679" t="s">
        <v>266</v>
      </c>
      <c r="M6679" t="s">
        <v>386</v>
      </c>
      <c r="N6679">
        <v>38.397002999999998</v>
      </c>
      <c r="O6679">
        <v>-111.590497</v>
      </c>
      <c r="P6679">
        <v>7114.5755120000003</v>
      </c>
      <c r="Q6679">
        <v>1340</v>
      </c>
      <c r="R6679">
        <v>0</v>
      </c>
    </row>
    <row r="6680" spans="1:18" x14ac:dyDescent="0.25">
      <c r="A6680">
        <v>7679</v>
      </c>
      <c r="B6680">
        <v>94</v>
      </c>
      <c r="C6680">
        <v>28024548</v>
      </c>
      <c r="D6680" t="s">
        <v>281</v>
      </c>
      <c r="E6680">
        <v>55.334000000000003</v>
      </c>
      <c r="F6680" t="s">
        <v>21</v>
      </c>
      <c r="G6680" t="s">
        <v>26</v>
      </c>
      <c r="H6680" t="s">
        <v>21</v>
      </c>
      <c r="I6680" t="s">
        <v>20</v>
      </c>
      <c r="J6680" t="s">
        <v>20</v>
      </c>
      <c r="K6680" t="s">
        <v>31</v>
      </c>
      <c r="L6680" t="s">
        <v>282</v>
      </c>
      <c r="M6680" t="s">
        <v>174</v>
      </c>
      <c r="N6680">
        <v>40.544744999999999</v>
      </c>
      <c r="O6680">
        <v>-112.298294</v>
      </c>
      <c r="P6680">
        <v>4851.695635</v>
      </c>
      <c r="Q6680">
        <v>1347</v>
      </c>
      <c r="R6680">
        <v>0</v>
      </c>
    </row>
    <row r="6681" spans="1:18" x14ac:dyDescent="0.25">
      <c r="A6681">
        <v>7680</v>
      </c>
      <c r="B6681">
        <v>94</v>
      </c>
      <c r="C6681">
        <v>31583112</v>
      </c>
      <c r="D6681" t="s">
        <v>172</v>
      </c>
      <c r="E6681">
        <v>55.341000000000001</v>
      </c>
      <c r="F6681" t="s">
        <v>21</v>
      </c>
      <c r="G6681" t="s">
        <v>26</v>
      </c>
      <c r="H6681" t="s">
        <v>21</v>
      </c>
      <c r="I6681" t="s">
        <v>20</v>
      </c>
      <c r="J6681" t="s">
        <v>20</v>
      </c>
      <c r="K6681" t="s">
        <v>27</v>
      </c>
      <c r="L6681" t="s">
        <v>230</v>
      </c>
      <c r="M6681" t="s">
        <v>174</v>
      </c>
      <c r="N6681">
        <v>39.524917000000002</v>
      </c>
      <c r="O6681">
        <v>-111.585652</v>
      </c>
      <c r="P6681">
        <v>5498.7002689999999</v>
      </c>
      <c r="Q6681">
        <v>1411</v>
      </c>
      <c r="R6681">
        <v>0</v>
      </c>
    </row>
    <row r="6682" spans="1:18" x14ac:dyDescent="0.25">
      <c r="A6682">
        <v>7681</v>
      </c>
      <c r="B6682">
        <v>94</v>
      </c>
      <c r="C6682">
        <v>31500282</v>
      </c>
      <c r="D6682" t="s">
        <v>124</v>
      </c>
      <c r="E6682">
        <v>55.345999999999997</v>
      </c>
      <c r="F6682" t="s">
        <v>21</v>
      </c>
      <c r="G6682" t="s">
        <v>26</v>
      </c>
      <c r="H6682" t="s">
        <v>21</v>
      </c>
      <c r="I6682" t="s">
        <v>20</v>
      </c>
      <c r="J6682" t="s">
        <v>20</v>
      </c>
      <c r="K6682" t="s">
        <v>31</v>
      </c>
      <c r="L6682" t="s">
        <v>362</v>
      </c>
      <c r="M6682" t="s">
        <v>125</v>
      </c>
      <c r="N6682">
        <v>40.711709999999997</v>
      </c>
      <c r="O6682">
        <v>-111.938956</v>
      </c>
      <c r="P6682">
        <v>4184.9657520000001</v>
      </c>
      <c r="Q6682">
        <v>1368</v>
      </c>
      <c r="R6682">
        <v>0</v>
      </c>
    </row>
    <row r="6683" spans="1:18" x14ac:dyDescent="0.25">
      <c r="A6683">
        <v>7682</v>
      </c>
      <c r="B6683">
        <v>94</v>
      </c>
      <c r="C6683">
        <v>31662673</v>
      </c>
      <c r="D6683" t="s">
        <v>244</v>
      </c>
      <c r="E6683">
        <v>55.392000000000003</v>
      </c>
      <c r="F6683" t="s">
        <v>21</v>
      </c>
      <c r="G6683" t="s">
        <v>26</v>
      </c>
      <c r="H6683" t="s">
        <v>21</v>
      </c>
      <c r="I6683" t="s">
        <v>20</v>
      </c>
      <c r="J6683" t="s">
        <v>20</v>
      </c>
      <c r="K6683" t="s">
        <v>27</v>
      </c>
      <c r="L6683" t="s">
        <v>266</v>
      </c>
      <c r="M6683" t="s">
        <v>386</v>
      </c>
      <c r="N6683">
        <v>38.396268999999997</v>
      </c>
      <c r="O6683">
        <v>-111.58955400000001</v>
      </c>
      <c r="P6683">
        <v>7117.4326680000004</v>
      </c>
      <c r="Q6683">
        <v>1340</v>
      </c>
      <c r="R6683">
        <v>0</v>
      </c>
    </row>
    <row r="6684" spans="1:18" x14ac:dyDescent="0.25">
      <c r="A6684">
        <v>7683</v>
      </c>
      <c r="B6684">
        <v>94</v>
      </c>
      <c r="C6684">
        <v>31496284</v>
      </c>
      <c r="D6684" t="s">
        <v>63</v>
      </c>
      <c r="E6684">
        <v>41.139000000000003</v>
      </c>
      <c r="F6684" t="s">
        <v>21</v>
      </c>
      <c r="G6684" t="s">
        <v>26</v>
      </c>
      <c r="H6684" t="s">
        <v>21</v>
      </c>
      <c r="I6684" t="s">
        <v>20</v>
      </c>
      <c r="J6684" t="s">
        <v>20</v>
      </c>
      <c r="K6684" t="s">
        <v>27</v>
      </c>
      <c r="L6684" t="s">
        <v>266</v>
      </c>
      <c r="M6684" t="s">
        <v>29</v>
      </c>
      <c r="N6684">
        <v>38.554757000000002</v>
      </c>
      <c r="O6684">
        <v>-111.866224</v>
      </c>
      <c r="P6684">
        <v>6881.7743140000002</v>
      </c>
      <c r="Q6684">
        <v>1365</v>
      </c>
      <c r="R6684">
        <v>0</v>
      </c>
    </row>
    <row r="6685" spans="1:18" x14ac:dyDescent="0.25">
      <c r="A6685">
        <v>7684</v>
      </c>
      <c r="B6685">
        <v>94</v>
      </c>
      <c r="C6685" t="e">
        <f>-IozwNF1FtiMpT5LEJFfrF</f>
        <v>#NAME?</v>
      </c>
      <c r="D6685" t="s">
        <v>203</v>
      </c>
      <c r="E6685">
        <v>41.146999999999998</v>
      </c>
      <c r="F6685" t="s">
        <v>21</v>
      </c>
      <c r="G6685" t="s">
        <v>20</v>
      </c>
      <c r="H6685" t="s">
        <v>21</v>
      </c>
      <c r="I6685" t="s">
        <v>20</v>
      </c>
      <c r="J6685" t="s">
        <v>20</v>
      </c>
      <c r="K6685" t="s">
        <v>41</v>
      </c>
      <c r="L6685" t="s">
        <v>255</v>
      </c>
      <c r="M6685" t="s">
        <v>653</v>
      </c>
      <c r="N6685">
        <v>41.409377999999997</v>
      </c>
      <c r="O6685">
        <v>-111.539935</v>
      </c>
      <c r="P6685">
        <v>8196.1247449999992</v>
      </c>
      <c r="Q6685">
        <v>1349</v>
      </c>
      <c r="R6685">
        <v>0</v>
      </c>
    </row>
    <row r="6686" spans="1:18" x14ac:dyDescent="0.25">
      <c r="A6686">
        <v>7685</v>
      </c>
      <c r="B6686">
        <v>94</v>
      </c>
      <c r="C6686">
        <v>31437320</v>
      </c>
      <c r="D6686" t="s">
        <v>221</v>
      </c>
      <c r="E6686">
        <v>41.16</v>
      </c>
      <c r="F6686" t="s">
        <v>21</v>
      </c>
      <c r="G6686" t="s">
        <v>26</v>
      </c>
      <c r="H6686" t="s">
        <v>21</v>
      </c>
      <c r="I6686" t="s">
        <v>20</v>
      </c>
      <c r="J6686" t="s">
        <v>20</v>
      </c>
      <c r="K6686" t="s">
        <v>22</v>
      </c>
      <c r="L6686" t="s">
        <v>155</v>
      </c>
      <c r="M6686" t="s">
        <v>174</v>
      </c>
      <c r="N6686">
        <v>39.715815999999997</v>
      </c>
      <c r="O6686">
        <v>-111.83615</v>
      </c>
      <c r="P6686">
        <v>5071.2024000000001</v>
      </c>
      <c r="Q6686">
        <v>1342</v>
      </c>
      <c r="R6686">
        <v>0</v>
      </c>
    </row>
    <row r="6687" spans="1:18" x14ac:dyDescent="0.25">
      <c r="A6687">
        <v>7686</v>
      </c>
      <c r="B6687">
        <v>94</v>
      </c>
      <c r="C6687" t="s">
        <v>831</v>
      </c>
      <c r="D6687" t="s">
        <v>184</v>
      </c>
      <c r="E6687">
        <v>41.182000000000002</v>
      </c>
      <c r="F6687" t="s">
        <v>21</v>
      </c>
      <c r="G6687" t="s">
        <v>20</v>
      </c>
      <c r="H6687" t="s">
        <v>21</v>
      </c>
      <c r="I6687" t="s">
        <v>20</v>
      </c>
      <c r="J6687" t="s">
        <v>20</v>
      </c>
      <c r="K6687" t="s">
        <v>27</v>
      </c>
      <c r="L6687" t="s">
        <v>143</v>
      </c>
      <c r="M6687" t="s">
        <v>55</v>
      </c>
      <c r="N6687">
        <v>38.195486000000002</v>
      </c>
      <c r="O6687">
        <v>-112.934743</v>
      </c>
      <c r="P6687">
        <v>5335.5606390000003</v>
      </c>
      <c r="Q6687">
        <v>1410</v>
      </c>
      <c r="R6687">
        <v>0</v>
      </c>
    </row>
    <row r="6688" spans="1:18" x14ac:dyDescent="0.25">
      <c r="A6688">
        <v>7687</v>
      </c>
      <c r="B6688">
        <v>94</v>
      </c>
      <c r="C6688">
        <v>31399489</v>
      </c>
      <c r="D6688" t="s">
        <v>124</v>
      </c>
      <c r="E6688">
        <v>41.204999999999998</v>
      </c>
      <c r="F6688" t="s">
        <v>21</v>
      </c>
      <c r="G6688" t="s">
        <v>26</v>
      </c>
      <c r="H6688" t="s">
        <v>21</v>
      </c>
      <c r="I6688" t="s">
        <v>20</v>
      </c>
      <c r="J6688" t="s">
        <v>20</v>
      </c>
      <c r="K6688" t="s">
        <v>31</v>
      </c>
      <c r="L6688" t="s">
        <v>89</v>
      </c>
      <c r="M6688" t="s">
        <v>125</v>
      </c>
      <c r="N6688">
        <v>40.506208999999998</v>
      </c>
      <c r="O6688">
        <v>-111.93872</v>
      </c>
      <c r="P6688">
        <v>4386.7922280000003</v>
      </c>
      <c r="Q6688">
        <v>1368</v>
      </c>
      <c r="R6688">
        <v>0</v>
      </c>
    </row>
    <row r="6689" spans="1:18" x14ac:dyDescent="0.25">
      <c r="A6689">
        <v>7688</v>
      </c>
      <c r="B6689">
        <v>94</v>
      </c>
      <c r="C6689">
        <v>31486612</v>
      </c>
      <c r="D6689" t="s">
        <v>348</v>
      </c>
      <c r="E6689">
        <v>41.213999999999999</v>
      </c>
      <c r="F6689" t="s">
        <v>21</v>
      </c>
      <c r="G6689" t="s">
        <v>26</v>
      </c>
      <c r="H6689" t="s">
        <v>21</v>
      </c>
      <c r="I6689" t="s">
        <v>20</v>
      </c>
      <c r="J6689" t="s">
        <v>20</v>
      </c>
      <c r="K6689" t="s">
        <v>27</v>
      </c>
      <c r="L6689" t="s">
        <v>122</v>
      </c>
      <c r="M6689" t="s">
        <v>123</v>
      </c>
      <c r="N6689">
        <v>37.886069999999997</v>
      </c>
      <c r="O6689">
        <v>-110.414483</v>
      </c>
      <c r="P6689">
        <v>4026.098473</v>
      </c>
      <c r="Q6689">
        <v>1388</v>
      </c>
      <c r="R6689">
        <v>0</v>
      </c>
    </row>
    <row r="6690" spans="1:18" x14ac:dyDescent="0.25">
      <c r="A6690">
        <v>7689</v>
      </c>
      <c r="B6690">
        <v>94</v>
      </c>
      <c r="C6690">
        <v>31286778</v>
      </c>
      <c r="D6690" t="s">
        <v>241</v>
      </c>
      <c r="E6690">
        <v>41.235999999999997</v>
      </c>
      <c r="F6690" t="s">
        <v>21</v>
      </c>
      <c r="G6690" t="s">
        <v>26</v>
      </c>
      <c r="H6690" t="s">
        <v>19</v>
      </c>
      <c r="I6690">
        <v>29</v>
      </c>
      <c r="J6690" t="s">
        <v>20</v>
      </c>
      <c r="K6690" t="s">
        <v>27</v>
      </c>
      <c r="L6690" t="s">
        <v>111</v>
      </c>
      <c r="M6690" t="s">
        <v>243</v>
      </c>
      <c r="N6690">
        <v>39.245528999999998</v>
      </c>
      <c r="O6690">
        <v>-110.98831300000001</v>
      </c>
      <c r="P6690">
        <v>5650.3089280000004</v>
      </c>
      <c r="Q6690">
        <v>1327</v>
      </c>
      <c r="R6690">
        <v>0</v>
      </c>
    </row>
    <row r="6691" spans="1:18" x14ac:dyDescent="0.25">
      <c r="A6691">
        <v>7690</v>
      </c>
      <c r="B6691">
        <v>94</v>
      </c>
      <c r="C6691">
        <v>31328060</v>
      </c>
      <c r="D6691" t="s">
        <v>288</v>
      </c>
      <c r="E6691">
        <v>41.247999999999998</v>
      </c>
      <c r="F6691" t="s">
        <v>21</v>
      </c>
      <c r="G6691" t="s">
        <v>20</v>
      </c>
      <c r="H6691" t="s">
        <v>21</v>
      </c>
      <c r="I6691" t="s">
        <v>20</v>
      </c>
      <c r="J6691" t="s">
        <v>20</v>
      </c>
      <c r="K6691" t="s">
        <v>27</v>
      </c>
      <c r="L6691" t="s">
        <v>327</v>
      </c>
      <c r="M6691" t="s">
        <v>212</v>
      </c>
      <c r="N6691">
        <v>37.489429999999999</v>
      </c>
      <c r="O6691">
        <v>-109.47826999999999</v>
      </c>
      <c r="P6691">
        <v>5294.6447989999997</v>
      </c>
      <c r="Q6691">
        <v>350</v>
      </c>
      <c r="R6691">
        <v>0</v>
      </c>
    </row>
    <row r="6692" spans="1:18" x14ac:dyDescent="0.25">
      <c r="A6692">
        <v>7691</v>
      </c>
      <c r="B6692">
        <v>94</v>
      </c>
      <c r="C6692">
        <v>31437331</v>
      </c>
      <c r="D6692" t="s">
        <v>221</v>
      </c>
      <c r="E6692">
        <v>41.259</v>
      </c>
      <c r="F6692" t="s">
        <v>21</v>
      </c>
      <c r="G6692" t="s">
        <v>26</v>
      </c>
      <c r="H6692" t="s">
        <v>21</v>
      </c>
      <c r="I6692" t="s">
        <v>20</v>
      </c>
      <c r="J6692" t="s">
        <v>20</v>
      </c>
      <c r="K6692" t="s">
        <v>22</v>
      </c>
      <c r="L6692" t="s">
        <v>155</v>
      </c>
      <c r="M6692" t="s">
        <v>174</v>
      </c>
      <c r="N6692">
        <v>39.717286999999999</v>
      </c>
      <c r="O6692">
        <v>-111.83614300000001</v>
      </c>
      <c r="P6692">
        <v>5068.1246160000001</v>
      </c>
      <c r="Q6692">
        <v>1342</v>
      </c>
      <c r="R6692">
        <v>0</v>
      </c>
    </row>
    <row r="6693" spans="1:18" x14ac:dyDescent="0.25">
      <c r="A6693">
        <v>7692</v>
      </c>
      <c r="B6693">
        <v>94</v>
      </c>
      <c r="C6693" t="e">
        <f>-Ip5aKj5HRaD0ia3eFZC-k</f>
        <v>#NAME?</v>
      </c>
      <c r="D6693" t="s">
        <v>124</v>
      </c>
      <c r="E6693">
        <v>41.274000000000001</v>
      </c>
      <c r="F6693" t="s">
        <v>21</v>
      </c>
      <c r="G6693" t="s">
        <v>26</v>
      </c>
      <c r="H6693" t="s">
        <v>21</v>
      </c>
      <c r="I6693" t="s">
        <v>20</v>
      </c>
      <c r="J6693" t="s">
        <v>20</v>
      </c>
      <c r="K6693" t="s">
        <v>31</v>
      </c>
      <c r="L6693" t="s">
        <v>89</v>
      </c>
      <c r="M6693" t="s">
        <v>125</v>
      </c>
      <c r="N6693">
        <v>40.507221999999999</v>
      </c>
      <c r="O6693">
        <v>-111.938711</v>
      </c>
      <c r="P6693">
        <v>4388.6931910000003</v>
      </c>
      <c r="Q6693">
        <v>1368</v>
      </c>
      <c r="R6693">
        <v>0</v>
      </c>
    </row>
    <row r="6694" spans="1:18" x14ac:dyDescent="0.25">
      <c r="A6694">
        <v>7693</v>
      </c>
      <c r="B6694">
        <v>94</v>
      </c>
      <c r="C6694" t="e">
        <f>-IpZGEVGItLsYMHM6la1zV</f>
        <v>#NAME?</v>
      </c>
      <c r="D6694" t="s">
        <v>272</v>
      </c>
      <c r="E6694">
        <v>482.91300000000001</v>
      </c>
      <c r="F6694" t="s">
        <v>21</v>
      </c>
      <c r="G6694" t="s">
        <v>20</v>
      </c>
      <c r="H6694" t="s">
        <v>21</v>
      </c>
      <c r="I6694" t="s">
        <v>20</v>
      </c>
      <c r="J6694" t="s">
        <v>20</v>
      </c>
      <c r="K6694" t="s">
        <v>41</v>
      </c>
      <c r="L6694" t="s">
        <v>95</v>
      </c>
      <c r="M6694" t="s">
        <v>152</v>
      </c>
      <c r="N6694">
        <v>41.912951999999997</v>
      </c>
      <c r="O6694">
        <v>-111.562528</v>
      </c>
      <c r="P6694">
        <v>6434.5936510000001</v>
      </c>
      <c r="Q6694">
        <v>1384</v>
      </c>
      <c r="R6694">
        <v>0</v>
      </c>
    </row>
    <row r="6695" spans="1:18" x14ac:dyDescent="0.25">
      <c r="A6695">
        <v>7694</v>
      </c>
      <c r="B6695">
        <v>94</v>
      </c>
      <c r="C6695" t="s">
        <v>832</v>
      </c>
      <c r="D6695" t="s">
        <v>272</v>
      </c>
      <c r="E6695">
        <v>483.36799999999999</v>
      </c>
      <c r="F6695" t="s">
        <v>21</v>
      </c>
      <c r="G6695" t="s">
        <v>20</v>
      </c>
      <c r="H6695" t="s">
        <v>21</v>
      </c>
      <c r="I6695" t="s">
        <v>20</v>
      </c>
      <c r="J6695" t="s">
        <v>20</v>
      </c>
      <c r="K6695" t="s">
        <v>41</v>
      </c>
      <c r="L6695" t="s">
        <v>95</v>
      </c>
      <c r="M6695" t="s">
        <v>152</v>
      </c>
      <c r="N6695">
        <v>41.919401000000001</v>
      </c>
      <c r="O6695">
        <v>-111.561378</v>
      </c>
      <c r="P6695">
        <v>6501.4500319999997</v>
      </c>
      <c r="Q6695">
        <v>1384</v>
      </c>
      <c r="R6695">
        <v>0</v>
      </c>
    </row>
    <row r="6696" spans="1:18" x14ac:dyDescent="0.25">
      <c r="A6696">
        <v>7695</v>
      </c>
      <c r="B6696">
        <v>94</v>
      </c>
      <c r="C6696" t="e">
        <f>-IsTlOrSH91k4HKxLlf7bk</f>
        <v>#NAME?</v>
      </c>
      <c r="D6696" t="s">
        <v>272</v>
      </c>
      <c r="E6696">
        <v>494.71800000000002</v>
      </c>
      <c r="F6696" t="s">
        <v>21</v>
      </c>
      <c r="G6696" t="s">
        <v>26</v>
      </c>
      <c r="H6696" t="s">
        <v>21</v>
      </c>
      <c r="I6696" t="s">
        <v>20</v>
      </c>
      <c r="J6696" t="s">
        <v>20</v>
      </c>
      <c r="K6696" t="s">
        <v>41</v>
      </c>
      <c r="L6696" t="s">
        <v>325</v>
      </c>
      <c r="M6696" t="s">
        <v>152</v>
      </c>
      <c r="N6696">
        <v>41.931902000000001</v>
      </c>
      <c r="O6696">
        <v>-111.435395</v>
      </c>
      <c r="P6696">
        <v>6914.9020529999998</v>
      </c>
      <c r="Q6696">
        <v>1384</v>
      </c>
      <c r="R6696">
        <v>0</v>
      </c>
    </row>
    <row r="6697" spans="1:18" x14ac:dyDescent="0.25">
      <c r="A6697">
        <v>7696</v>
      </c>
      <c r="B6697">
        <v>94</v>
      </c>
      <c r="C6697" t="s">
        <v>833</v>
      </c>
      <c r="D6697" t="s">
        <v>272</v>
      </c>
      <c r="E6697">
        <v>494.87299999999999</v>
      </c>
      <c r="F6697" t="s">
        <v>21</v>
      </c>
      <c r="G6697" t="s">
        <v>26</v>
      </c>
      <c r="H6697" t="s">
        <v>21</v>
      </c>
      <c r="I6697" t="s">
        <v>20</v>
      </c>
      <c r="J6697" t="s">
        <v>20</v>
      </c>
      <c r="K6697" t="s">
        <v>41</v>
      </c>
      <c r="L6697" t="s">
        <v>325</v>
      </c>
      <c r="M6697" t="s">
        <v>152</v>
      </c>
      <c r="N6697">
        <v>41.930604000000002</v>
      </c>
      <c r="O6697">
        <v>-111.433385</v>
      </c>
      <c r="P6697">
        <v>6850.5673580000002</v>
      </c>
      <c r="Q6697">
        <v>1384</v>
      </c>
      <c r="R6697">
        <v>0</v>
      </c>
    </row>
    <row r="6698" spans="1:18" x14ac:dyDescent="0.25">
      <c r="A6698">
        <v>7697</v>
      </c>
      <c r="B6698">
        <v>94</v>
      </c>
      <c r="C6698" t="e">
        <f>-IpZTXkHGTi6hu1tZXKnok</f>
        <v>#NAME?</v>
      </c>
      <c r="D6698" t="s">
        <v>272</v>
      </c>
      <c r="E6698">
        <v>495.15600000000001</v>
      </c>
      <c r="F6698" t="s">
        <v>21</v>
      </c>
      <c r="G6698" t="s">
        <v>26</v>
      </c>
      <c r="H6698" t="s">
        <v>21</v>
      </c>
      <c r="I6698" t="s">
        <v>20</v>
      </c>
      <c r="J6698" t="s">
        <v>20</v>
      </c>
      <c r="K6698" t="s">
        <v>41</v>
      </c>
      <c r="L6698" t="s">
        <v>325</v>
      </c>
      <c r="M6698" t="s">
        <v>152</v>
      </c>
      <c r="N6698">
        <v>41.926611000000001</v>
      </c>
      <c r="O6698">
        <v>-111.432603</v>
      </c>
      <c r="P6698">
        <v>6730.9156640000001</v>
      </c>
      <c r="Q6698">
        <v>1384</v>
      </c>
      <c r="R6698">
        <v>0</v>
      </c>
    </row>
    <row r="6699" spans="1:18" x14ac:dyDescent="0.25">
      <c r="A6699">
        <v>7698</v>
      </c>
      <c r="B6699">
        <v>94</v>
      </c>
      <c r="C6699" t="e">
        <f>-IpZTnlkGcTGltiFtqkKfF</f>
        <v>#NAME?</v>
      </c>
      <c r="D6699" t="s">
        <v>272</v>
      </c>
      <c r="E6699">
        <v>495.38</v>
      </c>
      <c r="F6699" t="s">
        <v>21</v>
      </c>
      <c r="G6699" t="s">
        <v>26</v>
      </c>
      <c r="H6699" t="s">
        <v>21</v>
      </c>
      <c r="I6699" t="s">
        <v>20</v>
      </c>
      <c r="J6699" t="s">
        <v>20</v>
      </c>
      <c r="K6699" t="s">
        <v>41</v>
      </c>
      <c r="L6699" t="s">
        <v>325</v>
      </c>
      <c r="M6699" t="s">
        <v>152</v>
      </c>
      <c r="N6699">
        <v>41.924545999999999</v>
      </c>
      <c r="O6699">
        <v>-111.429742</v>
      </c>
      <c r="P6699">
        <v>6648.0823119999995</v>
      </c>
      <c r="Q6699">
        <v>1384</v>
      </c>
      <c r="R6699">
        <v>0</v>
      </c>
    </row>
    <row r="6700" spans="1:18" x14ac:dyDescent="0.25">
      <c r="A6700">
        <v>7699</v>
      </c>
      <c r="B6700">
        <v>94</v>
      </c>
      <c r="C6700" t="e">
        <f>-IpZU8llIqyGpjmxlX9N2k</f>
        <v>#NAME?</v>
      </c>
      <c r="D6700" t="s">
        <v>272</v>
      </c>
      <c r="E6700">
        <v>495.61500000000001</v>
      </c>
      <c r="F6700" t="s">
        <v>21</v>
      </c>
      <c r="G6700" t="s">
        <v>26</v>
      </c>
      <c r="H6700" t="s">
        <v>21</v>
      </c>
      <c r="I6700" t="s">
        <v>20</v>
      </c>
      <c r="J6700" t="s">
        <v>20</v>
      </c>
      <c r="K6700" t="s">
        <v>41</v>
      </c>
      <c r="L6700" t="s">
        <v>325</v>
      </c>
      <c r="M6700" t="s">
        <v>152</v>
      </c>
      <c r="N6700">
        <v>41.922173000000001</v>
      </c>
      <c r="O6700">
        <v>-111.42773099999999</v>
      </c>
      <c r="P6700">
        <v>6560.3635480000003</v>
      </c>
      <c r="Q6700">
        <v>1384</v>
      </c>
      <c r="R6700">
        <v>0</v>
      </c>
    </row>
    <row r="6701" spans="1:18" x14ac:dyDescent="0.25">
      <c r="A6701">
        <v>7700</v>
      </c>
      <c r="B6701">
        <v>94</v>
      </c>
      <c r="C6701" t="e">
        <f>-IpZUHnCHjH4IYH1ACvOLF</f>
        <v>#NAME?</v>
      </c>
      <c r="D6701" t="s">
        <v>272</v>
      </c>
      <c r="E6701">
        <v>495.84800000000001</v>
      </c>
      <c r="F6701" t="s">
        <v>21</v>
      </c>
      <c r="G6701" t="s">
        <v>26</v>
      </c>
      <c r="H6701" t="s">
        <v>21</v>
      </c>
      <c r="I6701" t="s">
        <v>20</v>
      </c>
      <c r="J6701" t="s">
        <v>20</v>
      </c>
      <c r="K6701" t="s">
        <v>41</v>
      </c>
      <c r="L6701" t="s">
        <v>325</v>
      </c>
      <c r="M6701" t="s">
        <v>152</v>
      </c>
      <c r="N6701">
        <v>41.924922000000002</v>
      </c>
      <c r="O6701">
        <v>-111.426272</v>
      </c>
      <c r="P6701">
        <v>6482.0643849999997</v>
      </c>
      <c r="Q6701">
        <v>1384</v>
      </c>
      <c r="R6701">
        <v>0</v>
      </c>
    </row>
    <row r="6702" spans="1:18" x14ac:dyDescent="0.25">
      <c r="A6702">
        <v>7701</v>
      </c>
      <c r="B6702">
        <v>94</v>
      </c>
      <c r="C6702" t="e">
        <f>-IpOZi7_I6aSSon8GTd58k</f>
        <v>#NAME?</v>
      </c>
      <c r="D6702" t="s">
        <v>272</v>
      </c>
      <c r="E6702">
        <v>388.94</v>
      </c>
      <c r="F6702" t="s">
        <v>21</v>
      </c>
      <c r="G6702" t="s">
        <v>26</v>
      </c>
      <c r="H6702" t="s">
        <v>21</v>
      </c>
      <c r="I6702" t="s">
        <v>20</v>
      </c>
      <c r="J6702" t="s">
        <v>20</v>
      </c>
      <c r="K6702" t="s">
        <v>41</v>
      </c>
      <c r="L6702" t="s">
        <v>45</v>
      </c>
      <c r="M6702" t="s">
        <v>49</v>
      </c>
      <c r="N6702">
        <v>40.891423000000003</v>
      </c>
      <c r="O6702">
        <v>-111.892231</v>
      </c>
      <c r="P6702">
        <v>4259.7295620000004</v>
      </c>
      <c r="Q6702">
        <v>1384</v>
      </c>
      <c r="R6702">
        <v>0</v>
      </c>
    </row>
    <row r="6703" spans="1:18" x14ac:dyDescent="0.25">
      <c r="A6703">
        <v>7702</v>
      </c>
      <c r="B6703">
        <v>94</v>
      </c>
      <c r="C6703" t="s">
        <v>834</v>
      </c>
      <c r="D6703" t="s">
        <v>272</v>
      </c>
      <c r="E6703">
        <v>389.12200000000001</v>
      </c>
      <c r="F6703" t="s">
        <v>19</v>
      </c>
      <c r="G6703" t="s">
        <v>20</v>
      </c>
      <c r="H6703" t="s">
        <v>19</v>
      </c>
      <c r="I6703">
        <v>106</v>
      </c>
      <c r="J6703" t="s">
        <v>20</v>
      </c>
      <c r="K6703" t="s">
        <v>41</v>
      </c>
      <c r="L6703" t="s">
        <v>45</v>
      </c>
      <c r="M6703" t="s">
        <v>49</v>
      </c>
      <c r="N6703">
        <v>40.894038000000002</v>
      </c>
      <c r="O6703">
        <v>-111.892228</v>
      </c>
      <c r="P6703">
        <v>4246.8678769999997</v>
      </c>
      <c r="Q6703">
        <v>1384</v>
      </c>
      <c r="R6703">
        <v>0</v>
      </c>
    </row>
    <row r="6704" spans="1:18" x14ac:dyDescent="0.25">
      <c r="A6704">
        <v>7703</v>
      </c>
      <c r="B6704">
        <v>94</v>
      </c>
      <c r="C6704">
        <v>31591621</v>
      </c>
      <c r="D6704" t="s">
        <v>288</v>
      </c>
      <c r="E6704">
        <v>389.16899999999998</v>
      </c>
      <c r="F6704" t="s">
        <v>21</v>
      </c>
      <c r="G6704" t="s">
        <v>26</v>
      </c>
      <c r="H6704" t="s">
        <v>21</v>
      </c>
      <c r="I6704" t="s">
        <v>20</v>
      </c>
      <c r="J6704" t="s">
        <v>20</v>
      </c>
      <c r="K6704" t="s">
        <v>22</v>
      </c>
      <c r="L6704" t="s">
        <v>97</v>
      </c>
      <c r="M6704" t="s">
        <v>98</v>
      </c>
      <c r="N6704">
        <v>40.881982999999998</v>
      </c>
      <c r="O6704">
        <v>-109.45858200000001</v>
      </c>
      <c r="P6704">
        <v>6974.3210859999999</v>
      </c>
      <c r="Q6704">
        <v>350</v>
      </c>
      <c r="R6704">
        <v>0</v>
      </c>
    </row>
    <row r="6705" spans="1:18" x14ac:dyDescent="0.25">
      <c r="A6705">
        <v>7704</v>
      </c>
      <c r="B6705">
        <v>94</v>
      </c>
      <c r="C6705">
        <v>31768811</v>
      </c>
      <c r="D6705" t="s">
        <v>118</v>
      </c>
      <c r="E6705">
        <v>70.034000000000006</v>
      </c>
      <c r="F6705" t="s">
        <v>21</v>
      </c>
      <c r="G6705" t="s">
        <v>20</v>
      </c>
      <c r="H6705" t="s">
        <v>21</v>
      </c>
      <c r="I6705" t="s">
        <v>20</v>
      </c>
      <c r="J6705" t="s">
        <v>20</v>
      </c>
      <c r="K6705" t="s">
        <v>22</v>
      </c>
      <c r="L6705" t="s">
        <v>253</v>
      </c>
      <c r="M6705" t="s">
        <v>120</v>
      </c>
      <c r="N6705">
        <v>40.199902999999999</v>
      </c>
      <c r="O6705">
        <v>-110.698311</v>
      </c>
      <c r="P6705">
        <v>6813.2973330000004</v>
      </c>
      <c r="Q6705">
        <v>310</v>
      </c>
      <c r="R6705">
        <v>0</v>
      </c>
    </row>
    <row r="6706" spans="1:18" x14ac:dyDescent="0.25">
      <c r="A6706">
        <v>7705</v>
      </c>
      <c r="B6706">
        <v>94</v>
      </c>
      <c r="C6706">
        <v>31717814</v>
      </c>
      <c r="D6706" t="s">
        <v>244</v>
      </c>
      <c r="E6706">
        <v>70.064999999999998</v>
      </c>
      <c r="F6706" t="s">
        <v>21</v>
      </c>
      <c r="G6706" t="s">
        <v>20</v>
      </c>
      <c r="H6706" t="s">
        <v>21</v>
      </c>
      <c r="I6706" t="s">
        <v>20</v>
      </c>
      <c r="J6706" t="s">
        <v>20</v>
      </c>
      <c r="K6706" t="s">
        <v>27</v>
      </c>
      <c r="L6706" t="s">
        <v>266</v>
      </c>
      <c r="M6706" t="s">
        <v>270</v>
      </c>
      <c r="N6706">
        <v>38.298597999999998</v>
      </c>
      <c r="O6706">
        <v>-111.39314400000001</v>
      </c>
      <c r="P6706">
        <v>6712.2828390000004</v>
      </c>
      <c r="Q6706">
        <v>1340</v>
      </c>
      <c r="R6706">
        <v>0</v>
      </c>
    </row>
    <row r="6707" spans="1:18" x14ac:dyDescent="0.25">
      <c r="A6707">
        <v>7706</v>
      </c>
      <c r="B6707">
        <v>94</v>
      </c>
      <c r="C6707">
        <v>31358218</v>
      </c>
      <c r="D6707" t="s">
        <v>288</v>
      </c>
      <c r="E6707">
        <v>70.177000000000007</v>
      </c>
      <c r="F6707" t="s">
        <v>21</v>
      </c>
      <c r="G6707" t="s">
        <v>26</v>
      </c>
      <c r="H6707" t="s">
        <v>21</v>
      </c>
      <c r="I6707" t="s">
        <v>20</v>
      </c>
      <c r="J6707" t="s">
        <v>20</v>
      </c>
      <c r="K6707" t="s">
        <v>27</v>
      </c>
      <c r="L6707" t="s">
        <v>146</v>
      </c>
      <c r="M6707" t="s">
        <v>147</v>
      </c>
      <c r="N6707">
        <v>37.849725999999997</v>
      </c>
      <c r="O6707">
        <v>-109.33687</v>
      </c>
      <c r="P6707">
        <v>6997.4584199999999</v>
      </c>
      <c r="Q6707">
        <v>350</v>
      </c>
      <c r="R6707">
        <v>0</v>
      </c>
    </row>
    <row r="6708" spans="1:18" x14ac:dyDescent="0.25">
      <c r="A6708">
        <v>7707</v>
      </c>
      <c r="B6708">
        <v>94</v>
      </c>
      <c r="C6708">
        <v>1691636</v>
      </c>
      <c r="D6708" t="s">
        <v>100</v>
      </c>
      <c r="E6708">
        <v>9.4019999999999992</v>
      </c>
      <c r="F6708" t="s">
        <v>21</v>
      </c>
      <c r="G6708" t="s">
        <v>26</v>
      </c>
      <c r="H6708" t="s">
        <v>21</v>
      </c>
      <c r="I6708" t="s">
        <v>20</v>
      </c>
      <c r="J6708" t="s">
        <v>20</v>
      </c>
      <c r="K6708" t="s">
        <v>41</v>
      </c>
      <c r="L6708" t="s">
        <v>57</v>
      </c>
      <c r="M6708" t="s">
        <v>46</v>
      </c>
      <c r="N6708">
        <v>41.167282</v>
      </c>
      <c r="O6708">
        <v>-112.064426</v>
      </c>
      <c r="P6708">
        <v>4247.0674719999997</v>
      </c>
      <c r="Q6708">
        <v>1396</v>
      </c>
      <c r="R6708">
        <v>0</v>
      </c>
    </row>
    <row r="6709" spans="1:18" x14ac:dyDescent="0.25">
      <c r="A6709">
        <v>7708</v>
      </c>
      <c r="B6709">
        <v>94</v>
      </c>
      <c r="C6709">
        <v>31531339</v>
      </c>
      <c r="D6709" t="s">
        <v>228</v>
      </c>
      <c r="E6709">
        <v>9.4060000000000006</v>
      </c>
      <c r="F6709" t="s">
        <v>21</v>
      </c>
      <c r="G6709" t="s">
        <v>26</v>
      </c>
      <c r="H6709" t="s">
        <v>19</v>
      </c>
      <c r="I6709">
        <v>28</v>
      </c>
      <c r="J6709" t="s">
        <v>20</v>
      </c>
      <c r="K6709" t="s">
        <v>22</v>
      </c>
      <c r="L6709" t="s">
        <v>155</v>
      </c>
      <c r="M6709" t="s">
        <v>76</v>
      </c>
      <c r="N6709">
        <v>39.558847999999998</v>
      </c>
      <c r="O6709">
        <v>-111.86383499999999</v>
      </c>
      <c r="P6709">
        <v>5251.8066090000002</v>
      </c>
      <c r="Q6709">
        <v>320</v>
      </c>
      <c r="R6709">
        <v>0</v>
      </c>
    </row>
    <row r="6710" spans="1:18" x14ac:dyDescent="0.25">
      <c r="A6710">
        <v>7709</v>
      </c>
      <c r="B6710">
        <v>94</v>
      </c>
      <c r="C6710">
        <v>31195863</v>
      </c>
      <c r="D6710" t="s">
        <v>126</v>
      </c>
      <c r="E6710">
        <v>9.407</v>
      </c>
      <c r="F6710" t="s">
        <v>21</v>
      </c>
      <c r="G6710" t="s">
        <v>26</v>
      </c>
      <c r="H6710" t="s">
        <v>21</v>
      </c>
      <c r="I6710" t="s">
        <v>20</v>
      </c>
      <c r="J6710" t="s">
        <v>20</v>
      </c>
      <c r="K6710" t="s">
        <v>41</v>
      </c>
      <c r="L6710" t="s">
        <v>57</v>
      </c>
      <c r="M6710" t="s">
        <v>93</v>
      </c>
      <c r="N6710">
        <v>41.305078000000002</v>
      </c>
      <c r="O6710">
        <v>-112.062342</v>
      </c>
      <c r="P6710">
        <v>4186.137307</v>
      </c>
      <c r="Q6710">
        <v>1412</v>
      </c>
      <c r="R6710">
        <v>0</v>
      </c>
    </row>
    <row r="6711" spans="1:18" x14ac:dyDescent="0.25">
      <c r="A6711">
        <v>7710</v>
      </c>
      <c r="B6711">
        <v>94</v>
      </c>
      <c r="C6711">
        <v>31314499</v>
      </c>
      <c r="D6711" t="s">
        <v>215</v>
      </c>
      <c r="E6711">
        <v>9.4079999999999995</v>
      </c>
      <c r="F6711" t="s">
        <v>21</v>
      </c>
      <c r="G6711" t="s">
        <v>26</v>
      </c>
      <c r="H6711" t="s">
        <v>21</v>
      </c>
      <c r="I6711" t="s">
        <v>20</v>
      </c>
      <c r="J6711" t="s">
        <v>20</v>
      </c>
      <c r="K6711" t="s">
        <v>22</v>
      </c>
      <c r="L6711" t="s">
        <v>23</v>
      </c>
      <c r="M6711" t="s">
        <v>85</v>
      </c>
      <c r="N6711">
        <v>40.337994999999999</v>
      </c>
      <c r="O6711">
        <v>-111.73946599999999</v>
      </c>
      <c r="P6711">
        <v>4479.7076029999998</v>
      </c>
      <c r="Q6711">
        <v>330</v>
      </c>
      <c r="R6711">
        <v>0</v>
      </c>
    </row>
    <row r="6712" spans="1:18" x14ac:dyDescent="0.25">
      <c r="A6712">
        <v>7711</v>
      </c>
      <c r="B6712">
        <v>94</v>
      </c>
      <c r="C6712">
        <v>1441735</v>
      </c>
      <c r="D6712" t="s">
        <v>304</v>
      </c>
      <c r="E6712">
        <v>9.4169999999999998</v>
      </c>
      <c r="F6712" t="s">
        <v>21</v>
      </c>
      <c r="G6712" t="s">
        <v>26</v>
      </c>
      <c r="H6712" t="s">
        <v>21</v>
      </c>
      <c r="I6712" t="s">
        <v>20</v>
      </c>
      <c r="J6712" t="s">
        <v>20</v>
      </c>
      <c r="K6712" t="s">
        <v>41</v>
      </c>
      <c r="L6712" t="s">
        <v>223</v>
      </c>
      <c r="M6712" t="s">
        <v>43</v>
      </c>
      <c r="N6712">
        <v>41.649759000000003</v>
      </c>
      <c r="O6712">
        <v>-112.084861</v>
      </c>
      <c r="P6712">
        <v>4246.524402</v>
      </c>
      <c r="Q6712">
        <v>1348</v>
      </c>
      <c r="R6712">
        <v>0</v>
      </c>
    </row>
    <row r="6713" spans="1:18" x14ac:dyDescent="0.25">
      <c r="A6713">
        <v>7712</v>
      </c>
      <c r="B6713">
        <v>94</v>
      </c>
      <c r="C6713">
        <v>803547</v>
      </c>
      <c r="D6713" t="s">
        <v>44</v>
      </c>
      <c r="E6713">
        <v>9.4260000000000002</v>
      </c>
      <c r="F6713" t="s">
        <v>19</v>
      </c>
      <c r="G6713" t="s">
        <v>20</v>
      </c>
      <c r="H6713" t="s">
        <v>21</v>
      </c>
      <c r="I6713" t="s">
        <v>20</v>
      </c>
      <c r="J6713" t="s">
        <v>20</v>
      </c>
      <c r="K6713" t="s">
        <v>41</v>
      </c>
      <c r="L6713" t="s">
        <v>87</v>
      </c>
      <c r="M6713" t="s">
        <v>46</v>
      </c>
      <c r="N6713">
        <v>41.000793000000002</v>
      </c>
      <c r="O6713">
        <v>-111.908168</v>
      </c>
      <c r="P6713">
        <v>4223.1534000000001</v>
      </c>
      <c r="Q6713">
        <v>1395</v>
      </c>
      <c r="R6713">
        <v>0</v>
      </c>
    </row>
    <row r="6714" spans="1:18" x14ac:dyDescent="0.25">
      <c r="A6714">
        <v>7713</v>
      </c>
      <c r="B6714">
        <v>94</v>
      </c>
      <c r="C6714">
        <v>28128913</v>
      </c>
      <c r="D6714" t="s">
        <v>239</v>
      </c>
      <c r="E6714">
        <v>9.4309999999999992</v>
      </c>
      <c r="F6714" t="s">
        <v>21</v>
      </c>
      <c r="G6714" t="s">
        <v>361</v>
      </c>
      <c r="H6714" t="s">
        <v>21</v>
      </c>
      <c r="I6714" t="s">
        <v>20</v>
      </c>
      <c r="J6714" t="s">
        <v>20</v>
      </c>
      <c r="K6714" t="s">
        <v>41</v>
      </c>
      <c r="L6714" t="s">
        <v>181</v>
      </c>
      <c r="M6714" t="s">
        <v>178</v>
      </c>
      <c r="N6714">
        <v>41.694696</v>
      </c>
      <c r="O6714">
        <v>-112.27874799999999</v>
      </c>
      <c r="P6714">
        <v>4248.6204239999997</v>
      </c>
      <c r="Q6714">
        <v>1392</v>
      </c>
      <c r="R6714">
        <v>0</v>
      </c>
    </row>
    <row r="6715" spans="1:18" x14ac:dyDescent="0.25">
      <c r="A6715">
        <v>7714</v>
      </c>
      <c r="B6715">
        <v>94</v>
      </c>
      <c r="C6715">
        <v>811137</v>
      </c>
      <c r="D6715" t="s">
        <v>236</v>
      </c>
      <c r="E6715">
        <v>9.4359999999999999</v>
      </c>
      <c r="F6715" t="s">
        <v>21</v>
      </c>
      <c r="G6715" t="s">
        <v>26</v>
      </c>
      <c r="H6715" t="s">
        <v>21</v>
      </c>
      <c r="I6715" t="s">
        <v>20</v>
      </c>
      <c r="J6715" t="s">
        <v>20</v>
      </c>
      <c r="K6715" t="s">
        <v>31</v>
      </c>
      <c r="L6715" t="s">
        <v>78</v>
      </c>
      <c r="M6715" t="s">
        <v>79</v>
      </c>
      <c r="N6715">
        <v>40.701317000000003</v>
      </c>
      <c r="O6715">
        <v>-112.09183299999999</v>
      </c>
      <c r="P6715">
        <v>4302.1062840000004</v>
      </c>
      <c r="Q6715">
        <v>1398</v>
      </c>
      <c r="R6715">
        <v>0</v>
      </c>
    </row>
    <row r="6716" spans="1:18" x14ac:dyDescent="0.25">
      <c r="A6716">
        <v>7715</v>
      </c>
      <c r="B6716">
        <v>94</v>
      </c>
      <c r="C6716">
        <v>1504421</v>
      </c>
      <c r="D6716" t="s">
        <v>88</v>
      </c>
      <c r="E6716">
        <v>9.4369999999999994</v>
      </c>
      <c r="F6716" t="s">
        <v>21</v>
      </c>
      <c r="G6716" t="s">
        <v>26</v>
      </c>
      <c r="H6716" t="s">
        <v>21</v>
      </c>
      <c r="I6716" t="s">
        <v>20</v>
      </c>
      <c r="J6716" t="s">
        <v>20</v>
      </c>
      <c r="K6716" t="s">
        <v>31</v>
      </c>
      <c r="L6716" t="s">
        <v>89</v>
      </c>
      <c r="M6716" t="s">
        <v>90</v>
      </c>
      <c r="N6716">
        <v>40.576540999999999</v>
      </c>
      <c r="O6716">
        <v>-111.872201</v>
      </c>
      <c r="P6716">
        <v>4467.0808029999998</v>
      </c>
      <c r="Q6716">
        <v>318</v>
      </c>
      <c r="R6716">
        <v>0</v>
      </c>
    </row>
    <row r="6717" spans="1:18" x14ac:dyDescent="0.25">
      <c r="A6717">
        <v>7716</v>
      </c>
      <c r="B6717">
        <v>94</v>
      </c>
      <c r="C6717">
        <v>28127410</v>
      </c>
      <c r="D6717" t="s">
        <v>239</v>
      </c>
      <c r="E6717">
        <v>8.6270000000000007</v>
      </c>
      <c r="F6717" t="s">
        <v>21</v>
      </c>
      <c r="G6717" t="s">
        <v>20</v>
      </c>
      <c r="H6717" t="s">
        <v>21</v>
      </c>
      <c r="I6717" t="s">
        <v>20</v>
      </c>
      <c r="J6717" t="s">
        <v>20</v>
      </c>
      <c r="K6717" t="s">
        <v>41</v>
      </c>
      <c r="L6717" t="s">
        <v>181</v>
      </c>
      <c r="M6717" t="s">
        <v>178</v>
      </c>
      <c r="N6717">
        <v>41.694311999999996</v>
      </c>
      <c r="O6717">
        <v>-112.294299</v>
      </c>
      <c r="P6717">
        <v>4278.276707</v>
      </c>
      <c r="Q6717">
        <v>1392</v>
      </c>
      <c r="R6717">
        <v>0</v>
      </c>
    </row>
    <row r="6718" spans="1:18" x14ac:dyDescent="0.25">
      <c r="A6718">
        <v>7717</v>
      </c>
      <c r="B6718">
        <v>94</v>
      </c>
      <c r="C6718">
        <v>1385593</v>
      </c>
      <c r="D6718" t="s">
        <v>100</v>
      </c>
      <c r="E6718">
        <v>8.6289999999999996</v>
      </c>
      <c r="F6718" t="s">
        <v>21</v>
      </c>
      <c r="G6718" t="s">
        <v>26</v>
      </c>
      <c r="H6718" t="s">
        <v>21</v>
      </c>
      <c r="I6718" t="s">
        <v>20</v>
      </c>
      <c r="J6718" t="s">
        <v>20</v>
      </c>
      <c r="K6718" t="s">
        <v>41</v>
      </c>
      <c r="L6718" t="s">
        <v>57</v>
      </c>
      <c r="M6718" t="s">
        <v>46</v>
      </c>
      <c r="N6718">
        <v>41.156072000000002</v>
      </c>
      <c r="O6718">
        <v>-112.064438</v>
      </c>
      <c r="P6718">
        <v>4256.9549939999997</v>
      </c>
      <c r="Q6718">
        <v>1396</v>
      </c>
      <c r="R6718">
        <v>0</v>
      </c>
    </row>
    <row r="6719" spans="1:18" x14ac:dyDescent="0.25">
      <c r="A6719">
        <v>7718</v>
      </c>
      <c r="B6719">
        <v>94</v>
      </c>
      <c r="C6719" t="e">
        <f>-Iov1BveHrmIzXxaIFNd4k</f>
        <v>#NAME?</v>
      </c>
      <c r="D6719" t="s">
        <v>176</v>
      </c>
      <c r="E6719">
        <v>8.6289999999999996</v>
      </c>
      <c r="F6719" t="s">
        <v>21</v>
      </c>
      <c r="G6719" t="s">
        <v>26</v>
      </c>
      <c r="H6719" t="s">
        <v>21</v>
      </c>
      <c r="I6719" t="s">
        <v>20</v>
      </c>
      <c r="J6719" t="s">
        <v>20</v>
      </c>
      <c r="K6719" t="s">
        <v>41</v>
      </c>
      <c r="L6719" t="s">
        <v>177</v>
      </c>
      <c r="M6719" t="s">
        <v>178</v>
      </c>
      <c r="N6719">
        <v>41.553102000000003</v>
      </c>
      <c r="O6719">
        <v>-112.11982500000001</v>
      </c>
      <c r="P6719">
        <v>4180.5400630000004</v>
      </c>
      <c r="Q6719">
        <v>1329</v>
      </c>
      <c r="R6719">
        <v>0</v>
      </c>
    </row>
    <row r="6720" spans="1:18" x14ac:dyDescent="0.25">
      <c r="A6720">
        <v>7719</v>
      </c>
      <c r="B6720">
        <v>94</v>
      </c>
      <c r="C6720">
        <v>31191715</v>
      </c>
      <c r="D6720" t="s">
        <v>310</v>
      </c>
      <c r="E6720">
        <v>8.6300000000000008</v>
      </c>
      <c r="F6720" t="s">
        <v>21</v>
      </c>
      <c r="G6720" t="s">
        <v>26</v>
      </c>
      <c r="H6720" t="s">
        <v>21</v>
      </c>
      <c r="I6720" t="s">
        <v>20</v>
      </c>
      <c r="J6720" t="s">
        <v>20</v>
      </c>
      <c r="K6720" t="s">
        <v>31</v>
      </c>
      <c r="L6720" t="s">
        <v>285</v>
      </c>
      <c r="M6720" t="s">
        <v>206</v>
      </c>
      <c r="N6720">
        <v>40.607222</v>
      </c>
      <c r="O6720">
        <v>-112.48960599999999</v>
      </c>
      <c r="P6720">
        <v>4297.7872129999996</v>
      </c>
      <c r="Q6720">
        <v>1414</v>
      </c>
      <c r="R6720">
        <v>0</v>
      </c>
    </row>
    <row r="6721" spans="1:18" x14ac:dyDescent="0.25">
      <c r="A6721">
        <v>7720</v>
      </c>
      <c r="B6721">
        <v>94</v>
      </c>
      <c r="C6721">
        <v>27963788</v>
      </c>
      <c r="D6721" t="s">
        <v>265</v>
      </c>
      <c r="E6721">
        <v>8.6340000000000003</v>
      </c>
      <c r="F6721" t="s">
        <v>21</v>
      </c>
      <c r="G6721" t="s">
        <v>20</v>
      </c>
      <c r="H6721" t="s">
        <v>21</v>
      </c>
      <c r="I6721" t="s">
        <v>20</v>
      </c>
      <c r="J6721" t="s">
        <v>20</v>
      </c>
      <c r="K6721" t="s">
        <v>27</v>
      </c>
      <c r="L6721" t="s">
        <v>266</v>
      </c>
      <c r="M6721" t="s">
        <v>267</v>
      </c>
      <c r="N6721">
        <v>38.479281</v>
      </c>
      <c r="O6721">
        <v>-111.55255099999999</v>
      </c>
      <c r="P6721">
        <v>7817.5576110000002</v>
      </c>
      <c r="Q6721">
        <v>1371</v>
      </c>
      <c r="R6721">
        <v>0</v>
      </c>
    </row>
    <row r="6722" spans="1:18" x14ac:dyDescent="0.25">
      <c r="A6722">
        <v>7721</v>
      </c>
      <c r="B6722">
        <v>94</v>
      </c>
      <c r="C6722">
        <v>31409913</v>
      </c>
      <c r="D6722" t="s">
        <v>224</v>
      </c>
      <c r="E6722">
        <v>8.6340000000000003</v>
      </c>
      <c r="F6722" t="s">
        <v>21</v>
      </c>
      <c r="G6722" t="s">
        <v>26</v>
      </c>
      <c r="H6722" t="s">
        <v>21</v>
      </c>
      <c r="I6722" t="s">
        <v>20</v>
      </c>
      <c r="J6722" t="s">
        <v>20</v>
      </c>
      <c r="K6722" t="s">
        <v>22</v>
      </c>
      <c r="L6722" t="s">
        <v>198</v>
      </c>
      <c r="M6722" t="s">
        <v>194</v>
      </c>
      <c r="N6722">
        <v>40.056244</v>
      </c>
      <c r="O6722">
        <v>-111.674853</v>
      </c>
      <c r="P6722">
        <v>4528.8917449999999</v>
      </c>
      <c r="Q6722">
        <v>408</v>
      </c>
      <c r="R6722">
        <v>0</v>
      </c>
    </row>
    <row r="6723" spans="1:18" x14ac:dyDescent="0.25">
      <c r="A6723">
        <v>7722</v>
      </c>
      <c r="B6723">
        <v>94</v>
      </c>
      <c r="C6723">
        <v>31505722</v>
      </c>
      <c r="D6723" t="s">
        <v>292</v>
      </c>
      <c r="E6723">
        <v>8.6370000000000005</v>
      </c>
      <c r="F6723" t="s">
        <v>21</v>
      </c>
      <c r="G6723" t="s">
        <v>26</v>
      </c>
      <c r="H6723" t="s">
        <v>21</v>
      </c>
      <c r="I6723" t="s">
        <v>20</v>
      </c>
      <c r="J6723" t="s">
        <v>20</v>
      </c>
      <c r="K6723" t="s">
        <v>22</v>
      </c>
      <c r="L6723" t="s">
        <v>253</v>
      </c>
      <c r="M6723" t="s">
        <v>134</v>
      </c>
      <c r="N6723">
        <v>40.285995999999997</v>
      </c>
      <c r="O6723">
        <v>-110.37699000000001</v>
      </c>
      <c r="P6723">
        <v>6158.2647029999998</v>
      </c>
      <c r="Q6723">
        <v>323</v>
      </c>
      <c r="R6723">
        <v>0</v>
      </c>
    </row>
    <row r="6724" spans="1:18" x14ac:dyDescent="0.25">
      <c r="A6724">
        <v>7723</v>
      </c>
      <c r="B6724">
        <v>94</v>
      </c>
      <c r="C6724">
        <v>31367361</v>
      </c>
      <c r="D6724" t="s">
        <v>229</v>
      </c>
      <c r="E6724">
        <v>8.6379999999999999</v>
      </c>
      <c r="F6724" t="s">
        <v>21</v>
      </c>
      <c r="G6724" t="s">
        <v>26</v>
      </c>
      <c r="H6724" t="s">
        <v>21</v>
      </c>
      <c r="I6724" t="s">
        <v>20</v>
      </c>
      <c r="J6724" t="s">
        <v>20</v>
      </c>
      <c r="K6724" t="s">
        <v>27</v>
      </c>
      <c r="L6724" t="s">
        <v>230</v>
      </c>
      <c r="M6724" t="s">
        <v>82</v>
      </c>
      <c r="N6724">
        <v>39.483752000000003</v>
      </c>
      <c r="O6724">
        <v>-111.496071</v>
      </c>
      <c r="P6724">
        <v>5757.3135599999996</v>
      </c>
      <c r="Q6724">
        <v>331</v>
      </c>
      <c r="R6724">
        <v>0</v>
      </c>
    </row>
    <row r="6725" spans="1:18" x14ac:dyDescent="0.25">
      <c r="A6725">
        <v>7724</v>
      </c>
      <c r="B6725">
        <v>94</v>
      </c>
      <c r="C6725">
        <v>31633194</v>
      </c>
      <c r="D6725" t="s">
        <v>227</v>
      </c>
      <c r="E6725">
        <v>8.6440000000000001</v>
      </c>
      <c r="F6725" t="s">
        <v>21</v>
      </c>
      <c r="G6725" t="s">
        <v>26</v>
      </c>
      <c r="H6725" t="s">
        <v>21</v>
      </c>
      <c r="I6725" t="s">
        <v>20</v>
      </c>
      <c r="J6725" t="s">
        <v>20</v>
      </c>
      <c r="K6725" t="s">
        <v>27</v>
      </c>
      <c r="L6725" t="s">
        <v>158</v>
      </c>
      <c r="M6725" t="s">
        <v>190</v>
      </c>
      <c r="N6725">
        <v>39.543075000000002</v>
      </c>
      <c r="O6725">
        <v>-110.415442</v>
      </c>
      <c r="P6725">
        <v>6242.5397380000004</v>
      </c>
      <c r="Q6725">
        <v>1407</v>
      </c>
      <c r="R6725">
        <v>0</v>
      </c>
    </row>
    <row r="6726" spans="1:18" x14ac:dyDescent="0.25">
      <c r="A6726">
        <v>7725</v>
      </c>
      <c r="B6726">
        <v>94</v>
      </c>
      <c r="C6726">
        <v>31515460</v>
      </c>
      <c r="D6726" t="s">
        <v>124</v>
      </c>
      <c r="E6726">
        <v>69.007999999999996</v>
      </c>
      <c r="F6726" t="s">
        <v>19</v>
      </c>
      <c r="G6726" t="s">
        <v>20</v>
      </c>
      <c r="H6726" t="s">
        <v>21</v>
      </c>
      <c r="I6726" t="s">
        <v>20</v>
      </c>
      <c r="J6726" t="s">
        <v>20</v>
      </c>
      <c r="K6726" t="s">
        <v>41</v>
      </c>
      <c r="L6726" t="s">
        <v>45</v>
      </c>
      <c r="M6726" t="s">
        <v>365</v>
      </c>
      <c r="N6726">
        <v>40.884217999999997</v>
      </c>
      <c r="O6726">
        <v>-111.896129</v>
      </c>
      <c r="P6726">
        <v>4261.2858850000002</v>
      </c>
      <c r="Q6726">
        <v>1368</v>
      </c>
      <c r="R6726">
        <v>0</v>
      </c>
    </row>
    <row r="6727" spans="1:18" x14ac:dyDescent="0.25">
      <c r="A6727">
        <v>7726</v>
      </c>
      <c r="B6727">
        <v>94</v>
      </c>
      <c r="C6727">
        <v>31768028</v>
      </c>
      <c r="D6727" t="s">
        <v>118</v>
      </c>
      <c r="E6727">
        <v>69.057000000000002</v>
      </c>
      <c r="F6727" t="s">
        <v>21</v>
      </c>
      <c r="G6727" t="s">
        <v>20</v>
      </c>
      <c r="H6727" t="s">
        <v>21</v>
      </c>
      <c r="I6727" t="s">
        <v>20</v>
      </c>
      <c r="J6727" t="s">
        <v>20</v>
      </c>
      <c r="K6727" t="s">
        <v>22</v>
      </c>
      <c r="L6727" t="s">
        <v>253</v>
      </c>
      <c r="M6727" t="s">
        <v>120</v>
      </c>
      <c r="N6727">
        <v>40.20337</v>
      </c>
      <c r="O6727">
        <v>-110.71627100000001</v>
      </c>
      <c r="P6727">
        <v>6687.4884689999999</v>
      </c>
      <c r="Q6727">
        <v>310</v>
      </c>
      <c r="R6727">
        <v>0</v>
      </c>
    </row>
    <row r="6728" spans="1:18" x14ac:dyDescent="0.25">
      <c r="A6728">
        <v>7727</v>
      </c>
      <c r="B6728">
        <v>94</v>
      </c>
      <c r="C6728">
        <v>31515650</v>
      </c>
      <c r="D6728" t="s">
        <v>124</v>
      </c>
      <c r="E6728">
        <v>69.212000000000003</v>
      </c>
      <c r="F6728" t="s">
        <v>19</v>
      </c>
      <c r="G6728" t="s">
        <v>20</v>
      </c>
      <c r="H6728" t="s">
        <v>19</v>
      </c>
      <c r="I6728">
        <v>89</v>
      </c>
      <c r="J6728" t="s">
        <v>20</v>
      </c>
      <c r="K6728" t="s">
        <v>41</v>
      </c>
      <c r="L6728" t="s">
        <v>45</v>
      </c>
      <c r="M6728" t="s">
        <v>365</v>
      </c>
      <c r="N6728">
        <v>40.884239999999998</v>
      </c>
      <c r="O6728">
        <v>-111.89221000000001</v>
      </c>
      <c r="P6728">
        <v>4287.5287129999997</v>
      </c>
      <c r="Q6728">
        <v>1368</v>
      </c>
      <c r="R6728">
        <v>0</v>
      </c>
    </row>
    <row r="6729" spans="1:18" x14ac:dyDescent="0.25">
      <c r="A6729">
        <v>7728</v>
      </c>
      <c r="B6729">
        <v>94</v>
      </c>
      <c r="C6729">
        <v>31859366</v>
      </c>
      <c r="D6729" t="s">
        <v>312</v>
      </c>
      <c r="E6729">
        <v>69.244</v>
      </c>
      <c r="F6729" t="s">
        <v>21</v>
      </c>
      <c r="G6729" t="s">
        <v>26</v>
      </c>
      <c r="H6729" t="s">
        <v>19</v>
      </c>
      <c r="I6729">
        <v>6</v>
      </c>
      <c r="J6729">
        <v>50</v>
      </c>
      <c r="K6729" t="s">
        <v>27</v>
      </c>
      <c r="L6729" t="s">
        <v>173</v>
      </c>
      <c r="M6729" t="s">
        <v>313</v>
      </c>
      <c r="N6729">
        <v>39.330717999999997</v>
      </c>
      <c r="O6729">
        <v>-112.652259</v>
      </c>
      <c r="P6729">
        <v>4537.8092420000003</v>
      </c>
      <c r="Q6729">
        <v>255</v>
      </c>
      <c r="R6729">
        <v>0</v>
      </c>
    </row>
    <row r="6730" spans="1:18" x14ac:dyDescent="0.25">
      <c r="A6730">
        <v>7729</v>
      </c>
      <c r="B6730">
        <v>94</v>
      </c>
      <c r="C6730">
        <v>31358207</v>
      </c>
      <c r="D6730" t="s">
        <v>288</v>
      </c>
      <c r="E6730">
        <v>69.266000000000005</v>
      </c>
      <c r="F6730" t="s">
        <v>21</v>
      </c>
      <c r="G6730" t="s">
        <v>20</v>
      </c>
      <c r="H6730" t="s">
        <v>21</v>
      </c>
      <c r="I6730" t="s">
        <v>20</v>
      </c>
      <c r="J6730" t="s">
        <v>20</v>
      </c>
      <c r="K6730" t="s">
        <v>27</v>
      </c>
      <c r="L6730" t="s">
        <v>146</v>
      </c>
      <c r="M6730" t="s">
        <v>147</v>
      </c>
      <c r="N6730">
        <v>37.836506999999997</v>
      </c>
      <c r="O6730">
        <v>-109.33691</v>
      </c>
      <c r="P6730">
        <v>7030.313384</v>
      </c>
      <c r="Q6730">
        <v>350</v>
      </c>
      <c r="R6730">
        <v>0</v>
      </c>
    </row>
    <row r="6731" spans="1:18" x14ac:dyDescent="0.25">
      <c r="A6731">
        <v>7730</v>
      </c>
      <c r="B6731">
        <v>94</v>
      </c>
      <c r="C6731">
        <v>31515990</v>
      </c>
      <c r="D6731" t="s">
        <v>124</v>
      </c>
      <c r="E6731">
        <v>69.292000000000002</v>
      </c>
      <c r="F6731" t="s">
        <v>21</v>
      </c>
      <c r="G6731" t="s">
        <v>26</v>
      </c>
      <c r="H6731" t="s">
        <v>21</v>
      </c>
      <c r="I6731" t="s">
        <v>20</v>
      </c>
      <c r="J6731" t="s">
        <v>20</v>
      </c>
      <c r="K6731" t="s">
        <v>41</v>
      </c>
      <c r="L6731" t="s">
        <v>45</v>
      </c>
      <c r="M6731" t="s">
        <v>365</v>
      </c>
      <c r="N6731">
        <v>40.884248999999997</v>
      </c>
      <c r="O6731">
        <v>-111.89066699999999</v>
      </c>
      <c r="P6731">
        <v>4293.9152050000002</v>
      </c>
      <c r="Q6731">
        <v>1368</v>
      </c>
      <c r="R6731">
        <v>0</v>
      </c>
    </row>
    <row r="6732" spans="1:18" x14ac:dyDescent="0.25">
      <c r="A6732">
        <v>7731</v>
      </c>
      <c r="B6732">
        <v>94</v>
      </c>
      <c r="C6732" t="s">
        <v>835</v>
      </c>
      <c r="D6732" t="s">
        <v>272</v>
      </c>
      <c r="E6732">
        <v>496.25900000000001</v>
      </c>
      <c r="F6732" t="s">
        <v>21</v>
      </c>
      <c r="G6732" t="s">
        <v>26</v>
      </c>
      <c r="H6732" t="s">
        <v>21</v>
      </c>
      <c r="I6732" t="s">
        <v>20</v>
      </c>
      <c r="J6732" t="s">
        <v>20</v>
      </c>
      <c r="K6732" t="s">
        <v>41</v>
      </c>
      <c r="L6732" t="s">
        <v>325</v>
      </c>
      <c r="M6732" t="s">
        <v>152</v>
      </c>
      <c r="N6732">
        <v>41.930531000000002</v>
      </c>
      <c r="O6732">
        <v>-111.42444399999999</v>
      </c>
      <c r="P6732">
        <v>6400.3806940000004</v>
      </c>
      <c r="Q6732">
        <v>1384</v>
      </c>
      <c r="R6732">
        <v>0</v>
      </c>
    </row>
    <row r="6733" spans="1:18" x14ac:dyDescent="0.25">
      <c r="A6733">
        <v>7732</v>
      </c>
      <c r="B6733">
        <v>94</v>
      </c>
      <c r="C6733" t="s">
        <v>836</v>
      </c>
      <c r="D6733" t="s">
        <v>272</v>
      </c>
      <c r="E6733">
        <v>496.34100000000001</v>
      </c>
      <c r="F6733" t="s">
        <v>21</v>
      </c>
      <c r="G6733" t="s">
        <v>26</v>
      </c>
      <c r="H6733" t="s">
        <v>21</v>
      </c>
      <c r="I6733" t="s">
        <v>20</v>
      </c>
      <c r="J6733" t="s">
        <v>20</v>
      </c>
      <c r="K6733" t="s">
        <v>41</v>
      </c>
      <c r="L6733" t="s">
        <v>325</v>
      </c>
      <c r="M6733" t="s">
        <v>152</v>
      </c>
      <c r="N6733">
        <v>41.930836999999997</v>
      </c>
      <c r="O6733">
        <v>-111.422928</v>
      </c>
      <c r="P6733">
        <v>6379.9037060000001</v>
      </c>
      <c r="Q6733">
        <v>1384</v>
      </c>
      <c r="R6733">
        <v>0</v>
      </c>
    </row>
    <row r="6734" spans="1:18" x14ac:dyDescent="0.25">
      <c r="A6734">
        <v>7733</v>
      </c>
      <c r="B6734">
        <v>94</v>
      </c>
      <c r="C6734" t="e">
        <f>-IpZVO5KFXTuBv5a02PJxF</f>
        <v>#NAME?</v>
      </c>
      <c r="D6734" t="s">
        <v>272</v>
      </c>
      <c r="E6734">
        <v>497.31</v>
      </c>
      <c r="F6734" t="s">
        <v>21</v>
      </c>
      <c r="G6734" t="s">
        <v>26</v>
      </c>
      <c r="H6734" t="s">
        <v>21</v>
      </c>
      <c r="I6734" t="s">
        <v>20</v>
      </c>
      <c r="J6734" t="s">
        <v>20</v>
      </c>
      <c r="K6734" t="s">
        <v>41</v>
      </c>
      <c r="L6734" t="s">
        <v>325</v>
      </c>
      <c r="M6734" t="s">
        <v>152</v>
      </c>
      <c r="N6734">
        <v>41.939469000000003</v>
      </c>
      <c r="O6734">
        <v>-111.41040599999999</v>
      </c>
      <c r="P6734">
        <v>6041.671276</v>
      </c>
      <c r="Q6734">
        <v>1384</v>
      </c>
      <c r="R6734">
        <v>0</v>
      </c>
    </row>
    <row r="6735" spans="1:18" x14ac:dyDescent="0.25">
      <c r="A6735">
        <v>7734</v>
      </c>
      <c r="B6735">
        <v>94</v>
      </c>
      <c r="C6735" t="e">
        <f>-IpZVTK0HWucqHsP7nj0vF</f>
        <v>#NAME?</v>
      </c>
      <c r="D6735" t="s">
        <v>272</v>
      </c>
      <c r="E6735">
        <v>497.43599999999998</v>
      </c>
      <c r="F6735" t="s">
        <v>21</v>
      </c>
      <c r="G6735" t="s">
        <v>26</v>
      </c>
      <c r="H6735" t="s">
        <v>21</v>
      </c>
      <c r="I6735" t="s">
        <v>20</v>
      </c>
      <c r="J6735" t="s">
        <v>20</v>
      </c>
      <c r="K6735" t="s">
        <v>41</v>
      </c>
      <c r="L6735" t="s">
        <v>325</v>
      </c>
      <c r="M6735" t="s">
        <v>152</v>
      </c>
      <c r="N6735">
        <v>41.941276999999999</v>
      </c>
      <c r="O6735">
        <v>-111.410094</v>
      </c>
      <c r="P6735">
        <v>6020.2617899999996</v>
      </c>
      <c r="Q6735">
        <v>1384</v>
      </c>
      <c r="R6735">
        <v>0</v>
      </c>
    </row>
    <row r="6736" spans="1:18" x14ac:dyDescent="0.25">
      <c r="A6736">
        <v>7735</v>
      </c>
      <c r="B6736">
        <v>94</v>
      </c>
      <c r="C6736" t="s">
        <v>837</v>
      </c>
      <c r="D6736" t="s">
        <v>272</v>
      </c>
      <c r="E6736">
        <v>497.85399999999998</v>
      </c>
      <c r="F6736" t="s">
        <v>21</v>
      </c>
      <c r="G6736" t="s">
        <v>26</v>
      </c>
      <c r="H6736" t="s">
        <v>21</v>
      </c>
      <c r="I6736" t="s">
        <v>20</v>
      </c>
      <c r="J6736" t="s">
        <v>20</v>
      </c>
      <c r="K6736" t="s">
        <v>41</v>
      </c>
      <c r="L6736" t="s">
        <v>325</v>
      </c>
      <c r="M6736" t="s">
        <v>152</v>
      </c>
      <c r="N6736">
        <v>41.946452000000001</v>
      </c>
      <c r="O6736">
        <v>-111.40611800000001</v>
      </c>
      <c r="P6736">
        <v>5998.3146420000003</v>
      </c>
      <c r="Q6736">
        <v>1384</v>
      </c>
      <c r="R6736">
        <v>0</v>
      </c>
    </row>
    <row r="6737" spans="1:18" x14ac:dyDescent="0.25">
      <c r="A6737">
        <v>7736</v>
      </c>
      <c r="B6737">
        <v>94</v>
      </c>
      <c r="C6737" t="e">
        <f>-IpZVq7dIpH1FxP7n1oSCV</f>
        <v>#NAME?</v>
      </c>
      <c r="D6737" t="s">
        <v>272</v>
      </c>
      <c r="E6737">
        <v>497.91399999999999</v>
      </c>
      <c r="F6737" t="s">
        <v>21</v>
      </c>
      <c r="G6737" t="s">
        <v>26</v>
      </c>
      <c r="H6737" t="s">
        <v>21</v>
      </c>
      <c r="I6737" t="s">
        <v>20</v>
      </c>
      <c r="J6737" t="s">
        <v>20</v>
      </c>
      <c r="K6737" t="s">
        <v>41</v>
      </c>
      <c r="L6737" t="s">
        <v>325</v>
      </c>
      <c r="M6737" t="s">
        <v>152</v>
      </c>
      <c r="N6737">
        <v>41.946750999999999</v>
      </c>
      <c r="O6737">
        <v>-111.405018</v>
      </c>
      <c r="P6737">
        <v>5988.282725</v>
      </c>
      <c r="Q6737">
        <v>1384</v>
      </c>
      <c r="R6737">
        <v>0</v>
      </c>
    </row>
    <row r="6738" spans="1:18" x14ac:dyDescent="0.25">
      <c r="A6738">
        <v>7737</v>
      </c>
      <c r="B6738">
        <v>94</v>
      </c>
      <c r="C6738" t="s">
        <v>838</v>
      </c>
      <c r="D6738" t="s">
        <v>272</v>
      </c>
      <c r="E6738">
        <v>498.161</v>
      </c>
      <c r="F6738" t="s">
        <v>21</v>
      </c>
      <c r="G6738" t="s">
        <v>26</v>
      </c>
      <c r="H6738" t="s">
        <v>21</v>
      </c>
      <c r="I6738" t="s">
        <v>20</v>
      </c>
      <c r="J6738" t="s">
        <v>20</v>
      </c>
      <c r="K6738" t="s">
        <v>41</v>
      </c>
      <c r="L6738" t="s">
        <v>325</v>
      </c>
      <c r="M6738" t="s">
        <v>152</v>
      </c>
      <c r="N6738">
        <v>41.946714999999998</v>
      </c>
      <c r="O6738">
        <v>-111.400218</v>
      </c>
      <c r="P6738">
        <v>5950.6005059999998</v>
      </c>
      <c r="Q6738">
        <v>1384</v>
      </c>
      <c r="R6738">
        <v>0</v>
      </c>
    </row>
    <row r="6739" spans="1:18" x14ac:dyDescent="0.25">
      <c r="A6739">
        <v>7738</v>
      </c>
      <c r="B6739">
        <v>94</v>
      </c>
      <c r="C6739" t="e">
        <f>-IpZWOxOHh1ksaGmc43lDk</f>
        <v>#NAME?</v>
      </c>
      <c r="D6739" t="s">
        <v>272</v>
      </c>
      <c r="E6739">
        <v>498.38400000000001</v>
      </c>
      <c r="F6739" t="s">
        <v>21</v>
      </c>
      <c r="G6739" t="s">
        <v>26</v>
      </c>
      <c r="H6739" t="s">
        <v>21</v>
      </c>
      <c r="I6739" t="s">
        <v>20</v>
      </c>
      <c r="J6739" t="s">
        <v>20</v>
      </c>
      <c r="K6739" t="s">
        <v>41</v>
      </c>
      <c r="L6739" t="s">
        <v>325</v>
      </c>
      <c r="M6739" t="s">
        <v>152</v>
      </c>
      <c r="N6739">
        <v>41.946674999999999</v>
      </c>
      <c r="O6739">
        <v>-111.395886</v>
      </c>
      <c r="P6739">
        <v>5928.0512559999997</v>
      </c>
      <c r="Q6739">
        <v>1384</v>
      </c>
      <c r="R6739">
        <v>0</v>
      </c>
    </row>
    <row r="6740" spans="1:18" x14ac:dyDescent="0.25">
      <c r="A6740">
        <v>7739</v>
      </c>
      <c r="B6740">
        <v>94</v>
      </c>
      <c r="C6740" t="s">
        <v>839</v>
      </c>
      <c r="D6740" t="s">
        <v>184</v>
      </c>
      <c r="E6740">
        <v>4.13</v>
      </c>
      <c r="F6740" t="s">
        <v>21</v>
      </c>
      <c r="G6740" t="s">
        <v>26</v>
      </c>
      <c r="H6740" t="s">
        <v>21</v>
      </c>
      <c r="I6740" t="s">
        <v>20</v>
      </c>
      <c r="J6740" t="s">
        <v>20</v>
      </c>
      <c r="K6740" t="s">
        <v>27</v>
      </c>
      <c r="L6740" t="s">
        <v>54</v>
      </c>
      <c r="M6740" t="s">
        <v>55</v>
      </c>
      <c r="N6740">
        <v>37.70411</v>
      </c>
      <c r="O6740">
        <v>-113.063396</v>
      </c>
      <c r="P6740">
        <v>5632.0768099999996</v>
      </c>
      <c r="Q6740">
        <v>1410</v>
      </c>
      <c r="R6740">
        <v>0</v>
      </c>
    </row>
    <row r="6741" spans="1:18" x14ac:dyDescent="0.25">
      <c r="A6741">
        <v>7740</v>
      </c>
      <c r="B6741">
        <v>94</v>
      </c>
      <c r="C6741">
        <v>31545489</v>
      </c>
      <c r="D6741" t="s">
        <v>213</v>
      </c>
      <c r="E6741">
        <v>82.378</v>
      </c>
      <c r="F6741" t="s">
        <v>21</v>
      </c>
      <c r="G6741" t="s">
        <v>26</v>
      </c>
      <c r="H6741" t="s">
        <v>21</v>
      </c>
      <c r="I6741" t="s">
        <v>20</v>
      </c>
      <c r="J6741" t="s">
        <v>20</v>
      </c>
      <c r="K6741" t="s">
        <v>27</v>
      </c>
      <c r="L6741" t="s">
        <v>173</v>
      </c>
      <c r="M6741" t="s">
        <v>214</v>
      </c>
      <c r="N6741">
        <v>39.330832999999998</v>
      </c>
      <c r="O6741">
        <v>-112.68060199999999</v>
      </c>
      <c r="P6741">
        <v>4527.3169330000001</v>
      </c>
      <c r="Q6741">
        <v>1332</v>
      </c>
      <c r="R6741">
        <v>0</v>
      </c>
    </row>
    <row r="6742" spans="1:18" x14ac:dyDescent="0.25">
      <c r="A6742">
        <v>7741</v>
      </c>
      <c r="B6742">
        <v>94</v>
      </c>
      <c r="C6742">
        <v>31545500</v>
      </c>
      <c r="D6742" t="s">
        <v>213</v>
      </c>
      <c r="E6742">
        <v>82.486999999999995</v>
      </c>
      <c r="F6742" t="s">
        <v>21</v>
      </c>
      <c r="G6742" t="s">
        <v>26</v>
      </c>
      <c r="H6742" t="s">
        <v>21</v>
      </c>
      <c r="I6742" t="s">
        <v>20</v>
      </c>
      <c r="J6742" t="s">
        <v>20</v>
      </c>
      <c r="K6742" t="s">
        <v>27</v>
      </c>
      <c r="L6742" t="s">
        <v>173</v>
      </c>
      <c r="M6742" t="s">
        <v>214</v>
      </c>
      <c r="N6742">
        <v>39.330823000000002</v>
      </c>
      <c r="O6742">
        <v>-112.678574</v>
      </c>
      <c r="P6742">
        <v>4528.3187710000002</v>
      </c>
      <c r="Q6742">
        <v>1332</v>
      </c>
      <c r="R6742">
        <v>0</v>
      </c>
    </row>
    <row r="6743" spans="1:18" x14ac:dyDescent="0.25">
      <c r="A6743">
        <v>7742</v>
      </c>
      <c r="B6743">
        <v>94</v>
      </c>
      <c r="C6743" t="e">
        <f>-Ip-AtDSH5X45trHD1NE0k</f>
        <v>#NAME?</v>
      </c>
      <c r="D6743" t="s">
        <v>118</v>
      </c>
      <c r="E6743">
        <v>82.572000000000003</v>
      </c>
      <c r="F6743" t="s">
        <v>21</v>
      </c>
      <c r="G6743" t="s">
        <v>20</v>
      </c>
      <c r="H6743" t="s">
        <v>21</v>
      </c>
      <c r="I6743" t="s">
        <v>20</v>
      </c>
      <c r="J6743" t="s">
        <v>20</v>
      </c>
      <c r="K6743" t="s">
        <v>22</v>
      </c>
      <c r="L6743" t="s">
        <v>253</v>
      </c>
      <c r="M6743" t="s">
        <v>120</v>
      </c>
      <c r="N6743">
        <v>40.165723999999997</v>
      </c>
      <c r="O6743">
        <v>-110.47567100000001</v>
      </c>
      <c r="P6743">
        <v>5759.6636239999998</v>
      </c>
      <c r="Q6743">
        <v>310</v>
      </c>
      <c r="R6743">
        <v>0</v>
      </c>
    </row>
    <row r="6744" spans="1:18" x14ac:dyDescent="0.25">
      <c r="A6744">
        <v>7743</v>
      </c>
      <c r="B6744">
        <v>94</v>
      </c>
      <c r="C6744">
        <v>31546611</v>
      </c>
      <c r="D6744" t="s">
        <v>213</v>
      </c>
      <c r="E6744">
        <v>82.632999999999996</v>
      </c>
      <c r="F6744" t="s">
        <v>21</v>
      </c>
      <c r="G6744" t="s">
        <v>26</v>
      </c>
      <c r="H6744" t="s">
        <v>21</v>
      </c>
      <c r="I6744" t="s">
        <v>20</v>
      </c>
      <c r="J6744" t="s">
        <v>20</v>
      </c>
      <c r="K6744" t="s">
        <v>27</v>
      </c>
      <c r="L6744" t="s">
        <v>173</v>
      </c>
      <c r="M6744" t="s">
        <v>214</v>
      </c>
      <c r="N6744">
        <v>39.330804000000001</v>
      </c>
      <c r="O6744">
        <v>-112.675842</v>
      </c>
      <c r="P6744">
        <v>4529.7292779999998</v>
      </c>
      <c r="Q6744">
        <v>1332</v>
      </c>
      <c r="R6744">
        <v>0</v>
      </c>
    </row>
    <row r="6745" spans="1:18" x14ac:dyDescent="0.25">
      <c r="A6745">
        <v>7744</v>
      </c>
      <c r="B6745">
        <v>94</v>
      </c>
      <c r="C6745">
        <v>31546622</v>
      </c>
      <c r="D6745" t="s">
        <v>213</v>
      </c>
      <c r="E6745">
        <v>82.683000000000007</v>
      </c>
      <c r="F6745" t="s">
        <v>21</v>
      </c>
      <c r="G6745" t="s">
        <v>26</v>
      </c>
      <c r="H6745" t="s">
        <v>21</v>
      </c>
      <c r="I6745" t="s">
        <v>20</v>
      </c>
      <c r="J6745" t="s">
        <v>20</v>
      </c>
      <c r="K6745" t="s">
        <v>27</v>
      </c>
      <c r="L6745" t="s">
        <v>173</v>
      </c>
      <c r="M6745" t="s">
        <v>214</v>
      </c>
      <c r="N6745">
        <v>39.330798999999999</v>
      </c>
      <c r="O6745">
        <v>-112.67491</v>
      </c>
      <c r="P6745">
        <v>4530.1938069999997</v>
      </c>
      <c r="Q6745">
        <v>1332</v>
      </c>
      <c r="R6745">
        <v>0</v>
      </c>
    </row>
    <row r="6746" spans="1:18" x14ac:dyDescent="0.25">
      <c r="A6746">
        <v>7745</v>
      </c>
      <c r="B6746">
        <v>94</v>
      </c>
      <c r="C6746">
        <v>31372366</v>
      </c>
      <c r="D6746" t="s">
        <v>142</v>
      </c>
      <c r="E6746">
        <v>82.748000000000005</v>
      </c>
      <c r="F6746" t="s">
        <v>21</v>
      </c>
      <c r="G6746" t="s">
        <v>26</v>
      </c>
      <c r="H6746" t="s">
        <v>21</v>
      </c>
      <c r="I6746" t="s">
        <v>20</v>
      </c>
      <c r="J6746" t="s">
        <v>20</v>
      </c>
      <c r="K6746" t="s">
        <v>27</v>
      </c>
      <c r="L6746" t="s">
        <v>143</v>
      </c>
      <c r="M6746" t="s">
        <v>106</v>
      </c>
      <c r="N6746">
        <v>38.32403</v>
      </c>
      <c r="O6746">
        <v>-112.971344</v>
      </c>
      <c r="P6746">
        <v>5031.9029559999999</v>
      </c>
      <c r="Q6746">
        <v>305</v>
      </c>
      <c r="R6746">
        <v>0</v>
      </c>
    </row>
    <row r="6747" spans="1:18" x14ac:dyDescent="0.25">
      <c r="A6747">
        <v>7746</v>
      </c>
      <c r="B6747">
        <v>94</v>
      </c>
      <c r="C6747">
        <v>31871662</v>
      </c>
      <c r="D6747" t="s">
        <v>272</v>
      </c>
      <c r="E6747">
        <v>82.808999999999997</v>
      </c>
      <c r="F6747" t="s">
        <v>21</v>
      </c>
      <c r="G6747" t="s">
        <v>26</v>
      </c>
      <c r="H6747" t="s">
        <v>21</v>
      </c>
      <c r="I6747" t="s">
        <v>20</v>
      </c>
      <c r="J6747" t="s">
        <v>20</v>
      </c>
      <c r="K6747" t="s">
        <v>27</v>
      </c>
      <c r="L6747" t="s">
        <v>279</v>
      </c>
      <c r="M6747" t="s">
        <v>214</v>
      </c>
      <c r="N6747">
        <v>37.243819000000002</v>
      </c>
      <c r="O6747">
        <v>-112.668677</v>
      </c>
      <c r="P6747">
        <v>5228.1355869999998</v>
      </c>
      <c r="Q6747">
        <v>1384</v>
      </c>
      <c r="R6747">
        <v>0</v>
      </c>
    </row>
    <row r="6748" spans="1:18" x14ac:dyDescent="0.25">
      <c r="A6748">
        <v>7747</v>
      </c>
      <c r="B6748">
        <v>94</v>
      </c>
      <c r="C6748">
        <v>31768517</v>
      </c>
      <c r="D6748" t="s">
        <v>290</v>
      </c>
      <c r="E6748">
        <v>82.846000000000004</v>
      </c>
      <c r="F6748" t="s">
        <v>21</v>
      </c>
      <c r="G6748" t="s">
        <v>26</v>
      </c>
      <c r="H6748" t="s">
        <v>21</v>
      </c>
      <c r="I6748" t="s">
        <v>20</v>
      </c>
      <c r="J6748" t="s">
        <v>20</v>
      </c>
      <c r="K6748" t="s">
        <v>41</v>
      </c>
      <c r="L6748" t="s">
        <v>291</v>
      </c>
      <c r="M6748" t="s">
        <v>238</v>
      </c>
      <c r="N6748">
        <v>41.966624000000003</v>
      </c>
      <c r="O6748">
        <v>-112.902219</v>
      </c>
      <c r="P6748">
        <v>4349.7965640000002</v>
      </c>
      <c r="Q6748">
        <v>1343</v>
      </c>
      <c r="R6748">
        <v>0</v>
      </c>
    </row>
    <row r="6749" spans="1:18" x14ac:dyDescent="0.25">
      <c r="A6749">
        <v>7748</v>
      </c>
      <c r="B6749">
        <v>94</v>
      </c>
      <c r="C6749">
        <v>31546633</v>
      </c>
      <c r="D6749" t="s">
        <v>213</v>
      </c>
      <c r="E6749">
        <v>82.884</v>
      </c>
      <c r="F6749" t="s">
        <v>21</v>
      </c>
      <c r="G6749" t="s">
        <v>26</v>
      </c>
      <c r="H6749" t="s">
        <v>21</v>
      </c>
      <c r="I6749" t="s">
        <v>20</v>
      </c>
      <c r="J6749" t="s">
        <v>20</v>
      </c>
      <c r="K6749" t="s">
        <v>27</v>
      </c>
      <c r="L6749" t="s">
        <v>173</v>
      </c>
      <c r="M6749" t="s">
        <v>214</v>
      </c>
      <c r="N6749">
        <v>39.330765999999997</v>
      </c>
      <c r="O6749">
        <v>-112.671171</v>
      </c>
      <c r="P6749">
        <v>4531.9554310000003</v>
      </c>
      <c r="Q6749">
        <v>1332</v>
      </c>
      <c r="R6749">
        <v>0</v>
      </c>
    </row>
    <row r="6750" spans="1:18" x14ac:dyDescent="0.25">
      <c r="A6750">
        <v>7749</v>
      </c>
      <c r="B6750">
        <v>94</v>
      </c>
      <c r="C6750">
        <v>31546651</v>
      </c>
      <c r="D6750" t="s">
        <v>213</v>
      </c>
      <c r="E6750">
        <v>82.983000000000004</v>
      </c>
      <c r="F6750" t="s">
        <v>21</v>
      </c>
      <c r="G6750" t="s">
        <v>26</v>
      </c>
      <c r="H6750" t="s">
        <v>21</v>
      </c>
      <c r="I6750" t="s">
        <v>20</v>
      </c>
      <c r="J6750" t="s">
        <v>20</v>
      </c>
      <c r="K6750" t="s">
        <v>27</v>
      </c>
      <c r="L6750" t="s">
        <v>173</v>
      </c>
      <c r="M6750" t="s">
        <v>214</v>
      </c>
      <c r="N6750">
        <v>39.330756999999998</v>
      </c>
      <c r="O6750">
        <v>-112.669301</v>
      </c>
      <c r="P6750">
        <v>4534.441503</v>
      </c>
      <c r="Q6750">
        <v>1332</v>
      </c>
      <c r="R6750">
        <v>0</v>
      </c>
    </row>
    <row r="6751" spans="1:18" x14ac:dyDescent="0.25">
      <c r="A6751">
        <v>7750</v>
      </c>
      <c r="B6751">
        <v>94</v>
      </c>
      <c r="C6751">
        <v>527622</v>
      </c>
      <c r="D6751" t="s">
        <v>262</v>
      </c>
      <c r="E6751">
        <v>5.4770000000000003</v>
      </c>
      <c r="F6751" t="s">
        <v>21</v>
      </c>
      <c r="G6751" t="s">
        <v>361</v>
      </c>
      <c r="H6751" t="s">
        <v>21</v>
      </c>
      <c r="I6751" t="s">
        <v>20</v>
      </c>
      <c r="J6751" t="s">
        <v>20</v>
      </c>
      <c r="K6751" t="s">
        <v>22</v>
      </c>
      <c r="L6751" t="s">
        <v>263</v>
      </c>
      <c r="M6751" t="s">
        <v>24</v>
      </c>
      <c r="N6751">
        <v>40.376683999999997</v>
      </c>
      <c r="O6751">
        <v>-111.816281</v>
      </c>
      <c r="P6751">
        <v>4496.7769509999998</v>
      </c>
      <c r="Q6751">
        <v>1419</v>
      </c>
      <c r="R6751">
        <v>0</v>
      </c>
    </row>
    <row r="6752" spans="1:18" x14ac:dyDescent="0.25">
      <c r="A6752">
        <v>7751</v>
      </c>
      <c r="B6752">
        <v>94</v>
      </c>
      <c r="C6752">
        <v>1374506</v>
      </c>
      <c r="D6752" t="s">
        <v>100</v>
      </c>
      <c r="E6752">
        <v>5.484</v>
      </c>
      <c r="F6752" t="s">
        <v>19</v>
      </c>
      <c r="G6752" t="s">
        <v>20</v>
      </c>
      <c r="H6752" t="s">
        <v>21</v>
      </c>
      <c r="I6752" t="s">
        <v>20</v>
      </c>
      <c r="J6752" t="s">
        <v>20</v>
      </c>
      <c r="K6752" t="s">
        <v>41</v>
      </c>
      <c r="L6752" t="s">
        <v>57</v>
      </c>
      <c r="M6752" t="s">
        <v>46</v>
      </c>
      <c r="N6752">
        <v>41.110588</v>
      </c>
      <c r="O6752">
        <v>-112.064514</v>
      </c>
      <c r="P6752">
        <v>4278.4024360000003</v>
      </c>
      <c r="Q6752">
        <v>1396</v>
      </c>
      <c r="R6752">
        <v>0</v>
      </c>
    </row>
    <row r="6753" spans="1:18" x14ac:dyDescent="0.25">
      <c r="A6753">
        <v>7752</v>
      </c>
      <c r="B6753">
        <v>94</v>
      </c>
      <c r="C6753">
        <v>31693045</v>
      </c>
      <c r="D6753" t="s">
        <v>96</v>
      </c>
      <c r="E6753">
        <v>5.484</v>
      </c>
      <c r="F6753" t="s">
        <v>21</v>
      </c>
      <c r="G6753" t="s">
        <v>20</v>
      </c>
      <c r="H6753" t="s">
        <v>21</v>
      </c>
      <c r="I6753" t="s">
        <v>20</v>
      </c>
      <c r="J6753" t="s">
        <v>20</v>
      </c>
      <c r="K6753" t="s">
        <v>22</v>
      </c>
      <c r="L6753" t="s">
        <v>97</v>
      </c>
      <c r="M6753" t="s">
        <v>98</v>
      </c>
      <c r="N6753">
        <v>40.976011</v>
      </c>
      <c r="O6753">
        <v>-109.763971</v>
      </c>
      <c r="P6753">
        <v>6674.4755009999999</v>
      </c>
      <c r="Q6753">
        <v>311</v>
      </c>
      <c r="R6753">
        <v>0</v>
      </c>
    </row>
    <row r="6754" spans="1:18" x14ac:dyDescent="0.25">
      <c r="A6754">
        <v>7753</v>
      </c>
      <c r="B6754">
        <v>94</v>
      </c>
      <c r="C6754">
        <v>31369768</v>
      </c>
      <c r="D6754" t="s">
        <v>345</v>
      </c>
      <c r="E6754">
        <v>5.4859999999999998</v>
      </c>
      <c r="F6754" t="s">
        <v>21</v>
      </c>
      <c r="G6754" t="s">
        <v>26</v>
      </c>
      <c r="H6754" t="s">
        <v>21</v>
      </c>
      <c r="I6754" t="s">
        <v>20</v>
      </c>
      <c r="J6754" t="s">
        <v>20</v>
      </c>
      <c r="K6754" t="s">
        <v>27</v>
      </c>
      <c r="L6754" t="s">
        <v>75</v>
      </c>
      <c r="M6754" t="s">
        <v>76</v>
      </c>
      <c r="N6754">
        <v>38.629533000000002</v>
      </c>
      <c r="O6754">
        <v>-112.131202</v>
      </c>
      <c r="P6754">
        <v>5308.0193490000001</v>
      </c>
      <c r="Q6754">
        <v>1403</v>
      </c>
      <c r="R6754">
        <v>0</v>
      </c>
    </row>
    <row r="6755" spans="1:18" x14ac:dyDescent="0.25">
      <c r="A6755">
        <v>7754</v>
      </c>
      <c r="B6755">
        <v>94</v>
      </c>
      <c r="C6755">
        <v>31772232</v>
      </c>
      <c r="D6755" t="s">
        <v>290</v>
      </c>
      <c r="E6755">
        <v>90.545000000000002</v>
      </c>
      <c r="F6755" t="s">
        <v>21</v>
      </c>
      <c r="G6755" t="s">
        <v>26</v>
      </c>
      <c r="H6755" t="s">
        <v>21</v>
      </c>
      <c r="I6755" t="s">
        <v>20</v>
      </c>
      <c r="J6755" t="s">
        <v>20</v>
      </c>
      <c r="K6755" t="s">
        <v>41</v>
      </c>
      <c r="L6755" t="s">
        <v>291</v>
      </c>
      <c r="M6755" t="s">
        <v>238</v>
      </c>
      <c r="N6755">
        <v>41.965462000000002</v>
      </c>
      <c r="O6755">
        <v>-112.75472000000001</v>
      </c>
      <c r="P6755">
        <v>4541.4814470000001</v>
      </c>
      <c r="Q6755">
        <v>1343</v>
      </c>
      <c r="R6755">
        <v>0</v>
      </c>
    </row>
    <row r="6756" spans="1:18" x14ac:dyDescent="0.25">
      <c r="A6756">
        <v>7755</v>
      </c>
      <c r="B6756">
        <v>94</v>
      </c>
      <c r="C6756">
        <v>31900087</v>
      </c>
      <c r="D6756" t="s">
        <v>272</v>
      </c>
      <c r="E6756">
        <v>90.570999999999998</v>
      </c>
      <c r="F6756" t="s">
        <v>21</v>
      </c>
      <c r="G6756" t="s">
        <v>20</v>
      </c>
      <c r="H6756" t="s">
        <v>21</v>
      </c>
      <c r="I6756" t="s">
        <v>20</v>
      </c>
      <c r="J6756" t="s">
        <v>20</v>
      </c>
      <c r="K6756" t="s">
        <v>27</v>
      </c>
      <c r="L6756" t="s">
        <v>279</v>
      </c>
      <c r="M6756" t="s">
        <v>214</v>
      </c>
      <c r="N6756">
        <v>37.330088000000003</v>
      </c>
      <c r="O6756">
        <v>-112.599785</v>
      </c>
      <c r="P6756">
        <v>5768.0994739999996</v>
      </c>
      <c r="Q6756">
        <v>1384</v>
      </c>
      <c r="R6756">
        <v>0</v>
      </c>
    </row>
    <row r="6757" spans="1:18" x14ac:dyDescent="0.25">
      <c r="A6757">
        <v>7756</v>
      </c>
      <c r="B6757">
        <v>94</v>
      </c>
      <c r="C6757">
        <v>31773154</v>
      </c>
      <c r="D6757" t="s">
        <v>290</v>
      </c>
      <c r="E6757">
        <v>90.631</v>
      </c>
      <c r="F6757" t="s">
        <v>21</v>
      </c>
      <c r="G6757" t="s">
        <v>26</v>
      </c>
      <c r="H6757" t="s">
        <v>21</v>
      </c>
      <c r="I6757" t="s">
        <v>20</v>
      </c>
      <c r="J6757" t="s">
        <v>20</v>
      </c>
      <c r="K6757" t="s">
        <v>41</v>
      </c>
      <c r="L6757" t="s">
        <v>223</v>
      </c>
      <c r="M6757" t="s">
        <v>152</v>
      </c>
      <c r="N6757">
        <v>41.784537999999998</v>
      </c>
      <c r="O6757">
        <v>-112.173952</v>
      </c>
      <c r="P6757">
        <v>4504.2591839999995</v>
      </c>
      <c r="Q6757">
        <v>1343</v>
      </c>
      <c r="R6757">
        <v>0</v>
      </c>
    </row>
    <row r="6758" spans="1:18" x14ac:dyDescent="0.25">
      <c r="A6758">
        <v>7757</v>
      </c>
      <c r="B6758">
        <v>94</v>
      </c>
      <c r="C6758">
        <v>31900098</v>
      </c>
      <c r="D6758" t="s">
        <v>272</v>
      </c>
      <c r="E6758">
        <v>90.665999999999997</v>
      </c>
      <c r="F6758" t="s">
        <v>21</v>
      </c>
      <c r="G6758" t="s">
        <v>20</v>
      </c>
      <c r="H6758" t="s">
        <v>21</v>
      </c>
      <c r="I6758" t="s">
        <v>20</v>
      </c>
      <c r="J6758" t="s">
        <v>20</v>
      </c>
      <c r="K6758" t="s">
        <v>27</v>
      </c>
      <c r="L6758" t="s">
        <v>279</v>
      </c>
      <c r="M6758" t="s">
        <v>214</v>
      </c>
      <c r="N6758">
        <v>37.331412999999998</v>
      </c>
      <c r="O6758">
        <v>-112.600127</v>
      </c>
      <c r="P6758">
        <v>5773.2588649999998</v>
      </c>
      <c r="Q6758">
        <v>1384</v>
      </c>
      <c r="R6758">
        <v>0</v>
      </c>
    </row>
    <row r="6759" spans="1:18" x14ac:dyDescent="0.25">
      <c r="A6759">
        <v>7758</v>
      </c>
      <c r="B6759">
        <v>94</v>
      </c>
      <c r="C6759">
        <v>31773165</v>
      </c>
      <c r="D6759" t="s">
        <v>290</v>
      </c>
      <c r="E6759">
        <v>90.769000000000005</v>
      </c>
      <c r="F6759" t="s">
        <v>21</v>
      </c>
      <c r="G6759" t="s">
        <v>26</v>
      </c>
      <c r="H6759" t="s">
        <v>21</v>
      </c>
      <c r="I6759" t="s">
        <v>20</v>
      </c>
      <c r="J6759" t="s">
        <v>20</v>
      </c>
      <c r="K6759" t="s">
        <v>41</v>
      </c>
      <c r="L6759" t="s">
        <v>223</v>
      </c>
      <c r="M6759" t="s">
        <v>152</v>
      </c>
      <c r="N6759">
        <v>41.784588999999997</v>
      </c>
      <c r="O6759">
        <v>-112.17126399999999</v>
      </c>
      <c r="P6759">
        <v>4456.2053040000001</v>
      </c>
      <c r="Q6759">
        <v>1343</v>
      </c>
      <c r="R6759">
        <v>0</v>
      </c>
    </row>
    <row r="6760" spans="1:18" x14ac:dyDescent="0.25">
      <c r="A6760">
        <v>7759</v>
      </c>
      <c r="B6760">
        <v>94</v>
      </c>
      <c r="C6760">
        <v>31373509</v>
      </c>
      <c r="D6760" t="s">
        <v>142</v>
      </c>
      <c r="E6760">
        <v>90.77</v>
      </c>
      <c r="F6760" t="s">
        <v>21</v>
      </c>
      <c r="G6760" t="s">
        <v>26</v>
      </c>
      <c r="H6760" t="s">
        <v>21</v>
      </c>
      <c r="I6760" t="s">
        <v>20</v>
      </c>
      <c r="J6760" t="s">
        <v>20</v>
      </c>
      <c r="K6760" t="s">
        <v>27</v>
      </c>
      <c r="L6760" t="s">
        <v>143</v>
      </c>
      <c r="M6760" t="s">
        <v>106</v>
      </c>
      <c r="N6760">
        <v>38.219327</v>
      </c>
      <c r="O6760">
        <v>-112.91928299999999</v>
      </c>
      <c r="P6760">
        <v>5224.8900979999999</v>
      </c>
      <c r="Q6760">
        <v>305</v>
      </c>
      <c r="R6760">
        <v>0</v>
      </c>
    </row>
    <row r="6761" spans="1:18" x14ac:dyDescent="0.25">
      <c r="A6761">
        <v>7760</v>
      </c>
      <c r="B6761">
        <v>94</v>
      </c>
      <c r="C6761">
        <v>31848474</v>
      </c>
      <c r="D6761" t="s">
        <v>272</v>
      </c>
      <c r="E6761">
        <v>69.385000000000005</v>
      </c>
      <c r="F6761" t="s">
        <v>21</v>
      </c>
      <c r="G6761" t="s">
        <v>26</v>
      </c>
      <c r="H6761" t="s">
        <v>21</v>
      </c>
      <c r="I6761" t="s">
        <v>20</v>
      </c>
      <c r="J6761" t="s">
        <v>20</v>
      </c>
      <c r="K6761" t="s">
        <v>27</v>
      </c>
      <c r="L6761" t="s">
        <v>259</v>
      </c>
      <c r="M6761" t="s">
        <v>214</v>
      </c>
      <c r="N6761">
        <v>37.113159000000003</v>
      </c>
      <c r="O6761">
        <v>-112.554834</v>
      </c>
      <c r="P6761">
        <v>5125.32132</v>
      </c>
      <c r="Q6761">
        <v>1384</v>
      </c>
      <c r="R6761">
        <v>0</v>
      </c>
    </row>
    <row r="6762" spans="1:18" x14ac:dyDescent="0.25">
      <c r="A6762">
        <v>7761</v>
      </c>
      <c r="B6762">
        <v>94</v>
      </c>
      <c r="C6762" t="e">
        <f>-JLzbXBIGmiGbDPfC-M_9F</f>
        <v>#NAME?</v>
      </c>
      <c r="D6762" t="s">
        <v>322</v>
      </c>
      <c r="E6762">
        <v>9.9710000000000001</v>
      </c>
      <c r="F6762" t="s">
        <v>19</v>
      </c>
      <c r="G6762" t="s">
        <v>20</v>
      </c>
      <c r="H6762" t="s">
        <v>21</v>
      </c>
      <c r="I6762" t="s">
        <v>20</v>
      </c>
      <c r="J6762" t="s">
        <v>20</v>
      </c>
      <c r="K6762" t="s">
        <v>31</v>
      </c>
      <c r="L6762" t="s">
        <v>84</v>
      </c>
      <c r="M6762" t="s">
        <v>24</v>
      </c>
      <c r="N6762">
        <v>40.535904000000002</v>
      </c>
      <c r="O6762">
        <v>-112.013527</v>
      </c>
      <c r="P6762">
        <v>4762.8145530000002</v>
      </c>
      <c r="Q6762">
        <v>6660</v>
      </c>
      <c r="R6762">
        <v>0</v>
      </c>
    </row>
    <row r="6763" spans="1:18" x14ac:dyDescent="0.25">
      <c r="A6763">
        <v>7762</v>
      </c>
      <c r="B6763">
        <v>94</v>
      </c>
      <c r="C6763" t="e">
        <f>-Ip-NyBFGADolfERU7Y-kF</f>
        <v>#NAME?</v>
      </c>
      <c r="D6763" t="s">
        <v>203</v>
      </c>
      <c r="E6763">
        <v>66.394000000000005</v>
      </c>
      <c r="F6763" t="s">
        <v>21</v>
      </c>
      <c r="G6763" t="s">
        <v>20</v>
      </c>
      <c r="H6763" t="s">
        <v>21</v>
      </c>
      <c r="I6763" t="s">
        <v>20</v>
      </c>
      <c r="J6763" t="s">
        <v>20</v>
      </c>
      <c r="K6763" t="s">
        <v>41</v>
      </c>
      <c r="L6763" t="s">
        <v>325</v>
      </c>
      <c r="M6763" t="s">
        <v>204</v>
      </c>
      <c r="N6763">
        <v>41.522306</v>
      </c>
      <c r="O6763">
        <v>-111.18847100000001</v>
      </c>
      <c r="P6763">
        <v>6364.4649170000002</v>
      </c>
      <c r="Q6763">
        <v>1349</v>
      </c>
      <c r="R6763">
        <v>0</v>
      </c>
    </row>
    <row r="6764" spans="1:18" x14ac:dyDescent="0.25">
      <c r="A6764">
        <v>7763</v>
      </c>
      <c r="B6764">
        <v>94</v>
      </c>
      <c r="C6764" t="e">
        <f>-JOieyziHJqc_D9hsiItck</f>
        <v>#NAME?</v>
      </c>
      <c r="D6764" t="s">
        <v>244</v>
      </c>
      <c r="E6764">
        <v>66.403999999999996</v>
      </c>
      <c r="F6764" t="s">
        <v>21</v>
      </c>
      <c r="G6764" t="s">
        <v>20</v>
      </c>
      <c r="H6764" t="s">
        <v>21</v>
      </c>
      <c r="I6764" t="s">
        <v>20</v>
      </c>
      <c r="J6764" t="s">
        <v>20</v>
      </c>
      <c r="K6764" t="s">
        <v>27</v>
      </c>
      <c r="L6764" t="s">
        <v>266</v>
      </c>
      <c r="M6764" t="s">
        <v>386</v>
      </c>
      <c r="N6764">
        <v>38.302593000000002</v>
      </c>
      <c r="O6764">
        <v>-111.459183</v>
      </c>
      <c r="P6764">
        <v>6811.2940200000003</v>
      </c>
      <c r="Q6764">
        <v>1340</v>
      </c>
      <c r="R6764">
        <v>0</v>
      </c>
    </row>
    <row r="6765" spans="1:18" x14ac:dyDescent="0.25">
      <c r="A6765">
        <v>7764</v>
      </c>
      <c r="B6765">
        <v>94</v>
      </c>
      <c r="C6765">
        <v>31748680</v>
      </c>
      <c r="D6765" t="s">
        <v>290</v>
      </c>
      <c r="E6765">
        <v>66.432000000000002</v>
      </c>
      <c r="F6765" t="s">
        <v>21</v>
      </c>
      <c r="G6765" t="s">
        <v>20</v>
      </c>
      <c r="H6765" t="s">
        <v>21</v>
      </c>
      <c r="I6765" t="s">
        <v>20</v>
      </c>
      <c r="J6765" t="s">
        <v>20</v>
      </c>
      <c r="K6765" t="s">
        <v>41</v>
      </c>
      <c r="L6765" t="s">
        <v>291</v>
      </c>
      <c r="M6765" t="s">
        <v>238</v>
      </c>
      <c r="N6765">
        <v>41.858454999999999</v>
      </c>
      <c r="O6765">
        <v>-113.129932</v>
      </c>
      <c r="P6765">
        <v>4621.9180139999999</v>
      </c>
      <c r="Q6765">
        <v>1343</v>
      </c>
      <c r="R6765">
        <v>0</v>
      </c>
    </row>
    <row r="6766" spans="1:18" x14ac:dyDescent="0.25">
      <c r="A6766">
        <v>7765</v>
      </c>
      <c r="B6766">
        <v>94</v>
      </c>
      <c r="C6766" t="s">
        <v>840</v>
      </c>
      <c r="D6766" t="s">
        <v>312</v>
      </c>
      <c r="E6766">
        <v>66.444999999999993</v>
      </c>
      <c r="F6766" t="s">
        <v>21</v>
      </c>
      <c r="G6766" t="s">
        <v>20</v>
      </c>
      <c r="H6766" t="s">
        <v>21</v>
      </c>
      <c r="I6766" t="s">
        <v>20</v>
      </c>
      <c r="J6766" t="s">
        <v>20</v>
      </c>
      <c r="K6766" t="s">
        <v>27</v>
      </c>
      <c r="L6766" t="s">
        <v>173</v>
      </c>
      <c r="M6766" t="s">
        <v>313</v>
      </c>
      <c r="N6766">
        <v>39.29007</v>
      </c>
      <c r="O6766">
        <v>-112.652683</v>
      </c>
      <c r="P6766">
        <v>4523.7323990000004</v>
      </c>
      <c r="Q6766">
        <v>255</v>
      </c>
      <c r="R6766">
        <v>0</v>
      </c>
    </row>
    <row r="6767" spans="1:18" x14ac:dyDescent="0.25">
      <c r="A6767">
        <v>7766</v>
      </c>
      <c r="B6767">
        <v>94</v>
      </c>
      <c r="C6767">
        <v>28225856</v>
      </c>
      <c r="D6767" t="s">
        <v>220</v>
      </c>
      <c r="E6767">
        <v>66.492000000000004</v>
      </c>
      <c r="F6767" t="s">
        <v>21</v>
      </c>
      <c r="G6767" t="s">
        <v>26</v>
      </c>
      <c r="H6767" t="s">
        <v>21</v>
      </c>
      <c r="I6767" t="s">
        <v>20</v>
      </c>
      <c r="J6767" t="s">
        <v>20</v>
      </c>
      <c r="K6767" t="s">
        <v>27</v>
      </c>
      <c r="L6767" t="s">
        <v>28</v>
      </c>
      <c r="M6767" t="s">
        <v>366</v>
      </c>
      <c r="N6767">
        <v>37.743071999999998</v>
      </c>
      <c r="O6767">
        <v>-111.501169</v>
      </c>
      <c r="P6767">
        <v>5895.5127560000001</v>
      </c>
      <c r="Q6767">
        <v>1328</v>
      </c>
      <c r="R6767">
        <v>0</v>
      </c>
    </row>
    <row r="6768" spans="1:18" x14ac:dyDescent="0.25">
      <c r="A6768">
        <v>7767</v>
      </c>
      <c r="B6768">
        <v>94</v>
      </c>
      <c r="C6768">
        <v>31541656</v>
      </c>
      <c r="D6768" t="s">
        <v>348</v>
      </c>
      <c r="E6768">
        <v>66.524000000000001</v>
      </c>
      <c r="F6768" t="s">
        <v>21</v>
      </c>
      <c r="G6768" t="s">
        <v>26</v>
      </c>
      <c r="H6768" t="s">
        <v>21</v>
      </c>
      <c r="I6768" t="s">
        <v>20</v>
      </c>
      <c r="J6768" t="s">
        <v>20</v>
      </c>
      <c r="K6768" t="s">
        <v>27</v>
      </c>
      <c r="L6768" t="s">
        <v>327</v>
      </c>
      <c r="M6768" t="s">
        <v>123</v>
      </c>
      <c r="N6768">
        <v>37.683295000000001</v>
      </c>
      <c r="O6768">
        <v>-110.22052499999999</v>
      </c>
      <c r="P6768">
        <v>4881.510663</v>
      </c>
      <c r="Q6768">
        <v>1388</v>
      </c>
      <c r="R6768">
        <v>0</v>
      </c>
    </row>
    <row r="6769" spans="1:18" x14ac:dyDescent="0.25">
      <c r="A6769">
        <v>7768</v>
      </c>
      <c r="B6769">
        <v>94</v>
      </c>
      <c r="C6769">
        <v>31513801</v>
      </c>
      <c r="D6769" t="s">
        <v>124</v>
      </c>
      <c r="E6769">
        <v>66.635000000000005</v>
      </c>
      <c r="F6769" t="s">
        <v>19</v>
      </c>
      <c r="G6769" t="s">
        <v>20</v>
      </c>
      <c r="H6769" t="s">
        <v>21</v>
      </c>
      <c r="I6769" t="s">
        <v>20</v>
      </c>
      <c r="J6769" t="s">
        <v>20</v>
      </c>
      <c r="K6769" t="s">
        <v>41</v>
      </c>
      <c r="L6769" t="s">
        <v>45</v>
      </c>
      <c r="M6769" t="s">
        <v>365</v>
      </c>
      <c r="N6769">
        <v>40.874702999999997</v>
      </c>
      <c r="O6769">
        <v>-111.930025</v>
      </c>
      <c r="P6769">
        <v>4175.527881</v>
      </c>
      <c r="Q6769">
        <v>1368</v>
      </c>
      <c r="R6769">
        <v>0</v>
      </c>
    </row>
    <row r="6770" spans="1:18" x14ac:dyDescent="0.25">
      <c r="A6770">
        <v>7769</v>
      </c>
      <c r="B6770">
        <v>94</v>
      </c>
      <c r="C6770">
        <v>31513532</v>
      </c>
      <c r="D6770" t="s">
        <v>124</v>
      </c>
      <c r="E6770">
        <v>65.733000000000004</v>
      </c>
      <c r="F6770" t="s">
        <v>19</v>
      </c>
      <c r="G6770" t="s">
        <v>20</v>
      </c>
      <c r="H6770" t="s">
        <v>21</v>
      </c>
      <c r="I6770" t="s">
        <v>20</v>
      </c>
      <c r="J6770" t="s">
        <v>20</v>
      </c>
      <c r="K6770" t="s">
        <v>41</v>
      </c>
      <c r="L6770" t="s">
        <v>45</v>
      </c>
      <c r="M6770" t="s">
        <v>365</v>
      </c>
      <c r="N6770">
        <v>40.861609000000001</v>
      </c>
      <c r="O6770">
        <v>-111.92988099999999</v>
      </c>
      <c r="P6770">
        <v>4179.3474770000003</v>
      </c>
      <c r="Q6770">
        <v>1368</v>
      </c>
      <c r="R6770">
        <v>0</v>
      </c>
    </row>
    <row r="6771" spans="1:18" x14ac:dyDescent="0.25">
      <c r="A6771">
        <v>7770</v>
      </c>
      <c r="B6771">
        <v>94</v>
      </c>
      <c r="C6771">
        <v>31328938</v>
      </c>
      <c r="D6771" t="s">
        <v>241</v>
      </c>
      <c r="E6771">
        <v>65.739999999999995</v>
      </c>
      <c r="F6771" t="s">
        <v>21</v>
      </c>
      <c r="G6771" t="s">
        <v>26</v>
      </c>
      <c r="H6771" t="s">
        <v>21</v>
      </c>
      <c r="I6771" t="s">
        <v>20</v>
      </c>
      <c r="J6771" t="s">
        <v>20</v>
      </c>
      <c r="K6771" t="s">
        <v>27</v>
      </c>
      <c r="L6771" t="s">
        <v>158</v>
      </c>
      <c r="M6771" t="s">
        <v>243</v>
      </c>
      <c r="N6771">
        <v>39.556964999999998</v>
      </c>
      <c r="O6771">
        <v>-110.81584599999999</v>
      </c>
      <c r="P6771">
        <v>5590.6888179999996</v>
      </c>
      <c r="Q6771">
        <v>1327</v>
      </c>
      <c r="R6771">
        <v>0</v>
      </c>
    </row>
    <row r="6772" spans="1:18" x14ac:dyDescent="0.25">
      <c r="A6772">
        <v>7771</v>
      </c>
      <c r="B6772">
        <v>94</v>
      </c>
      <c r="C6772">
        <v>28058660</v>
      </c>
      <c r="D6772" t="s">
        <v>281</v>
      </c>
      <c r="E6772">
        <v>65.772000000000006</v>
      </c>
      <c r="F6772" t="s">
        <v>21</v>
      </c>
      <c r="G6772" t="s">
        <v>26</v>
      </c>
      <c r="H6772" t="s">
        <v>21</v>
      </c>
      <c r="I6772" t="s">
        <v>20</v>
      </c>
      <c r="J6772" t="s">
        <v>20</v>
      </c>
      <c r="K6772" t="s">
        <v>31</v>
      </c>
      <c r="L6772" t="s">
        <v>285</v>
      </c>
      <c r="M6772" t="s">
        <v>283</v>
      </c>
      <c r="N6772">
        <v>40.689422999999998</v>
      </c>
      <c r="O6772">
        <v>-112.265136</v>
      </c>
      <c r="P6772">
        <v>4174.5194380000003</v>
      </c>
      <c r="Q6772">
        <v>1347</v>
      </c>
      <c r="R6772">
        <v>0</v>
      </c>
    </row>
    <row r="6773" spans="1:18" x14ac:dyDescent="0.25">
      <c r="A6773">
        <v>7772</v>
      </c>
      <c r="B6773">
        <v>94</v>
      </c>
      <c r="C6773">
        <v>31328949</v>
      </c>
      <c r="D6773" t="s">
        <v>241</v>
      </c>
      <c r="E6773">
        <v>65.834000000000003</v>
      </c>
      <c r="F6773" t="s">
        <v>21</v>
      </c>
      <c r="G6773" t="s">
        <v>26</v>
      </c>
      <c r="H6773" t="s">
        <v>21</v>
      </c>
      <c r="I6773" t="s">
        <v>20</v>
      </c>
      <c r="J6773" t="s">
        <v>20</v>
      </c>
      <c r="K6773" t="s">
        <v>27</v>
      </c>
      <c r="L6773" t="s">
        <v>158</v>
      </c>
      <c r="M6773" t="s">
        <v>243</v>
      </c>
      <c r="N6773">
        <v>39.558323000000001</v>
      </c>
      <c r="O6773">
        <v>-110.81584700000001</v>
      </c>
      <c r="P6773">
        <v>5575.7952770000002</v>
      </c>
      <c r="Q6773">
        <v>1327</v>
      </c>
      <c r="R6773">
        <v>0</v>
      </c>
    </row>
    <row r="6774" spans="1:18" x14ac:dyDescent="0.25">
      <c r="A6774">
        <v>7773</v>
      </c>
      <c r="B6774">
        <v>94</v>
      </c>
      <c r="C6774">
        <v>31514220</v>
      </c>
      <c r="D6774" t="s">
        <v>124</v>
      </c>
      <c r="E6774">
        <v>67.86</v>
      </c>
      <c r="F6774" t="s">
        <v>21</v>
      </c>
      <c r="G6774" t="s">
        <v>26</v>
      </c>
      <c r="H6774" t="s">
        <v>21</v>
      </c>
      <c r="I6774" t="s">
        <v>20</v>
      </c>
      <c r="J6774" t="s">
        <v>20</v>
      </c>
      <c r="K6774" t="s">
        <v>41</v>
      </c>
      <c r="L6774" t="s">
        <v>45</v>
      </c>
      <c r="M6774" t="s">
        <v>365</v>
      </c>
      <c r="N6774">
        <v>40.884093</v>
      </c>
      <c r="O6774">
        <v>-111.918094</v>
      </c>
      <c r="P6774">
        <v>4183.6684080000005</v>
      </c>
      <c r="Q6774">
        <v>1368</v>
      </c>
      <c r="R6774">
        <v>0</v>
      </c>
    </row>
    <row r="6775" spans="1:18" x14ac:dyDescent="0.25">
      <c r="A6775">
        <v>7774</v>
      </c>
      <c r="B6775">
        <v>94</v>
      </c>
      <c r="C6775">
        <v>31330776</v>
      </c>
      <c r="D6775" t="s">
        <v>241</v>
      </c>
      <c r="E6775">
        <v>67.87</v>
      </c>
      <c r="F6775" t="s">
        <v>21</v>
      </c>
      <c r="G6775" t="s">
        <v>26</v>
      </c>
      <c r="H6775" t="s">
        <v>21</v>
      </c>
      <c r="I6775" t="s">
        <v>20</v>
      </c>
      <c r="J6775" t="s">
        <v>20</v>
      </c>
      <c r="K6775" t="s">
        <v>27</v>
      </c>
      <c r="L6775" t="s">
        <v>158</v>
      </c>
      <c r="M6775" t="s">
        <v>243</v>
      </c>
      <c r="N6775">
        <v>39.587322</v>
      </c>
      <c r="O6775">
        <v>-110.81236</v>
      </c>
      <c r="P6775">
        <v>5451.6623810000001</v>
      </c>
      <c r="Q6775">
        <v>1327</v>
      </c>
      <c r="R6775">
        <v>0</v>
      </c>
    </row>
    <row r="6776" spans="1:18" x14ac:dyDescent="0.25">
      <c r="A6776">
        <v>7775</v>
      </c>
      <c r="B6776">
        <v>94</v>
      </c>
      <c r="C6776">
        <v>31714543</v>
      </c>
      <c r="D6776" t="s">
        <v>244</v>
      </c>
      <c r="E6776">
        <v>67.887</v>
      </c>
      <c r="F6776" t="s">
        <v>21</v>
      </c>
      <c r="G6776" t="s">
        <v>26</v>
      </c>
      <c r="H6776" t="s">
        <v>21</v>
      </c>
      <c r="I6776" t="s">
        <v>20</v>
      </c>
      <c r="J6776" t="s">
        <v>20</v>
      </c>
      <c r="K6776" t="s">
        <v>27</v>
      </c>
      <c r="L6776" t="s">
        <v>266</v>
      </c>
      <c r="M6776" t="s">
        <v>386</v>
      </c>
      <c r="N6776">
        <v>38.299062999999997</v>
      </c>
      <c r="O6776">
        <v>-111.432355</v>
      </c>
      <c r="P6776">
        <v>6793.9828809999999</v>
      </c>
      <c r="Q6776">
        <v>1340</v>
      </c>
      <c r="R6776">
        <v>0</v>
      </c>
    </row>
    <row r="6777" spans="1:18" x14ac:dyDescent="0.25">
      <c r="A6777">
        <v>7776</v>
      </c>
      <c r="B6777">
        <v>94</v>
      </c>
      <c r="C6777">
        <v>31768006</v>
      </c>
      <c r="D6777" t="s">
        <v>118</v>
      </c>
      <c r="E6777">
        <v>67.94</v>
      </c>
      <c r="F6777" t="s">
        <v>21</v>
      </c>
      <c r="G6777" t="s">
        <v>20</v>
      </c>
      <c r="H6777" t="s">
        <v>21</v>
      </c>
      <c r="I6777" t="s">
        <v>20</v>
      </c>
      <c r="J6777" t="s">
        <v>20</v>
      </c>
      <c r="K6777" t="s">
        <v>22</v>
      </c>
      <c r="L6777" t="s">
        <v>168</v>
      </c>
      <c r="M6777" t="s">
        <v>120</v>
      </c>
      <c r="N6777">
        <v>40.207301999999999</v>
      </c>
      <c r="O6777">
        <v>-110.736834</v>
      </c>
      <c r="P6777">
        <v>6598.8415459999997</v>
      </c>
      <c r="Q6777">
        <v>310</v>
      </c>
      <c r="R6777">
        <v>0</v>
      </c>
    </row>
    <row r="6778" spans="1:18" x14ac:dyDescent="0.25">
      <c r="A6778">
        <v>7777</v>
      </c>
      <c r="B6778">
        <v>94</v>
      </c>
      <c r="C6778">
        <v>31330787</v>
      </c>
      <c r="D6778" t="s">
        <v>241</v>
      </c>
      <c r="E6778">
        <v>67.947000000000003</v>
      </c>
      <c r="F6778" t="s">
        <v>19</v>
      </c>
      <c r="G6778" t="s">
        <v>20</v>
      </c>
      <c r="H6778" t="s">
        <v>21</v>
      </c>
      <c r="I6778" t="s">
        <v>20</v>
      </c>
      <c r="J6778" t="s">
        <v>20</v>
      </c>
      <c r="K6778" t="s">
        <v>27</v>
      </c>
      <c r="L6778" t="s">
        <v>158</v>
      </c>
      <c r="M6778" t="s">
        <v>243</v>
      </c>
      <c r="N6778">
        <v>39.588358999999997</v>
      </c>
      <c r="O6778">
        <v>-110.81183799999999</v>
      </c>
      <c r="P6778">
        <v>5448.9671410000001</v>
      </c>
      <c r="Q6778">
        <v>1327</v>
      </c>
      <c r="R6778">
        <v>0</v>
      </c>
    </row>
    <row r="6779" spans="1:18" x14ac:dyDescent="0.25">
      <c r="A6779">
        <v>7778</v>
      </c>
      <c r="B6779">
        <v>94</v>
      </c>
      <c r="C6779">
        <v>31514231</v>
      </c>
      <c r="D6779" t="s">
        <v>124</v>
      </c>
      <c r="E6779">
        <v>67.997</v>
      </c>
      <c r="F6779" t="s">
        <v>21</v>
      </c>
      <c r="G6779" t="s">
        <v>26</v>
      </c>
      <c r="H6779" t="s">
        <v>21</v>
      </c>
      <c r="I6779" t="s">
        <v>20</v>
      </c>
      <c r="J6779" t="s">
        <v>20</v>
      </c>
      <c r="K6779" t="s">
        <v>41</v>
      </c>
      <c r="L6779" t="s">
        <v>45</v>
      </c>
      <c r="M6779" t="s">
        <v>365</v>
      </c>
      <c r="N6779">
        <v>40.884160000000001</v>
      </c>
      <c r="O6779">
        <v>-111.915465</v>
      </c>
      <c r="P6779">
        <v>4187.0559670000002</v>
      </c>
      <c r="Q6779">
        <v>1368</v>
      </c>
      <c r="R6779">
        <v>0</v>
      </c>
    </row>
    <row r="6780" spans="1:18" x14ac:dyDescent="0.25">
      <c r="A6780">
        <v>7779</v>
      </c>
      <c r="B6780">
        <v>94</v>
      </c>
      <c r="C6780">
        <v>31332484</v>
      </c>
      <c r="D6780" t="s">
        <v>241</v>
      </c>
      <c r="E6780">
        <v>68.049000000000007</v>
      </c>
      <c r="F6780" t="s">
        <v>21</v>
      </c>
      <c r="G6780" t="s">
        <v>26</v>
      </c>
      <c r="H6780" t="s">
        <v>21</v>
      </c>
      <c r="I6780" t="s">
        <v>20</v>
      </c>
      <c r="J6780" t="s">
        <v>20</v>
      </c>
      <c r="K6780" t="s">
        <v>27</v>
      </c>
      <c r="L6780" t="s">
        <v>158</v>
      </c>
      <c r="M6780" t="s">
        <v>243</v>
      </c>
      <c r="N6780">
        <v>39.589798999999999</v>
      </c>
      <c r="O6780">
        <v>-110.81139400000001</v>
      </c>
      <c r="P6780">
        <v>5446.8210440000003</v>
      </c>
      <c r="Q6780">
        <v>1327</v>
      </c>
      <c r="R6780">
        <v>0</v>
      </c>
    </row>
    <row r="6781" spans="1:18" x14ac:dyDescent="0.25">
      <c r="A6781">
        <v>7780</v>
      </c>
      <c r="B6781">
        <v>94</v>
      </c>
      <c r="C6781">
        <v>31332495</v>
      </c>
      <c r="D6781" t="s">
        <v>241</v>
      </c>
      <c r="E6781">
        <v>68.058000000000007</v>
      </c>
      <c r="F6781" t="s">
        <v>21</v>
      </c>
      <c r="G6781" t="s">
        <v>26</v>
      </c>
      <c r="H6781" t="s">
        <v>21</v>
      </c>
      <c r="I6781" t="s">
        <v>20</v>
      </c>
      <c r="J6781" t="s">
        <v>20</v>
      </c>
      <c r="K6781" t="s">
        <v>27</v>
      </c>
      <c r="L6781" t="s">
        <v>158</v>
      </c>
      <c r="M6781" t="s">
        <v>243</v>
      </c>
      <c r="N6781">
        <v>39.589939999999999</v>
      </c>
      <c r="O6781">
        <v>-110.811364</v>
      </c>
      <c r="P6781">
        <v>5446.7043649999996</v>
      </c>
      <c r="Q6781">
        <v>1327</v>
      </c>
      <c r="R6781">
        <v>0</v>
      </c>
    </row>
    <row r="6782" spans="1:18" x14ac:dyDescent="0.25">
      <c r="A6782">
        <v>7781</v>
      </c>
      <c r="B6782">
        <v>94</v>
      </c>
      <c r="C6782">
        <v>31523100</v>
      </c>
      <c r="D6782" t="s">
        <v>390</v>
      </c>
      <c r="E6782">
        <v>5.4450000000000003</v>
      </c>
      <c r="F6782" t="s">
        <v>21</v>
      </c>
      <c r="G6782" t="s">
        <v>26</v>
      </c>
      <c r="H6782" t="s">
        <v>21</v>
      </c>
      <c r="I6782" t="s">
        <v>20</v>
      </c>
      <c r="J6782" t="s">
        <v>20</v>
      </c>
      <c r="K6782" t="s">
        <v>22</v>
      </c>
      <c r="L6782" t="s">
        <v>84</v>
      </c>
      <c r="M6782" t="s">
        <v>335</v>
      </c>
      <c r="N6782">
        <v>40.431918000000003</v>
      </c>
      <c r="O6782">
        <v>-111.792496</v>
      </c>
      <c r="P6782">
        <v>4834.0090030000001</v>
      </c>
      <c r="Q6782">
        <v>1386</v>
      </c>
      <c r="R6782">
        <v>0</v>
      </c>
    </row>
    <row r="6783" spans="1:18" x14ac:dyDescent="0.25">
      <c r="A6783">
        <v>7782</v>
      </c>
      <c r="B6783">
        <v>94</v>
      </c>
      <c r="C6783">
        <v>2363516</v>
      </c>
      <c r="D6783" t="s">
        <v>113</v>
      </c>
      <c r="E6783">
        <v>5.4470000000000001</v>
      </c>
      <c r="F6783" t="s">
        <v>21</v>
      </c>
      <c r="G6783" t="s">
        <v>26</v>
      </c>
      <c r="H6783" t="s">
        <v>21</v>
      </c>
      <c r="I6783" t="s">
        <v>20</v>
      </c>
      <c r="J6783" t="s">
        <v>20</v>
      </c>
      <c r="K6783" t="s">
        <v>41</v>
      </c>
      <c r="L6783" t="s">
        <v>87</v>
      </c>
      <c r="M6783" t="s">
        <v>58</v>
      </c>
      <c r="N6783">
        <v>41.133361000000001</v>
      </c>
      <c r="O6783">
        <v>-111.93975500000001</v>
      </c>
      <c r="P6783">
        <v>4455.0940799999998</v>
      </c>
      <c r="Q6783">
        <v>1363</v>
      </c>
      <c r="R6783">
        <v>0</v>
      </c>
    </row>
    <row r="6784" spans="1:18" x14ac:dyDescent="0.25">
      <c r="A6784">
        <v>7783</v>
      </c>
      <c r="B6784">
        <v>94</v>
      </c>
      <c r="C6784">
        <v>31521389</v>
      </c>
      <c r="D6784" t="s">
        <v>231</v>
      </c>
      <c r="E6784">
        <v>5.4470000000000001</v>
      </c>
      <c r="F6784" t="s">
        <v>19</v>
      </c>
      <c r="G6784" t="s">
        <v>20</v>
      </c>
      <c r="H6784" t="s">
        <v>21</v>
      </c>
      <c r="I6784" t="s">
        <v>20</v>
      </c>
      <c r="J6784" t="s">
        <v>20</v>
      </c>
      <c r="K6784" t="s">
        <v>41</v>
      </c>
      <c r="L6784" t="s">
        <v>57</v>
      </c>
      <c r="M6784" t="s">
        <v>93</v>
      </c>
      <c r="N6784">
        <v>41.113779999999998</v>
      </c>
      <c r="O6784">
        <v>-112.025722</v>
      </c>
      <c r="P6784">
        <v>4434.8449529999998</v>
      </c>
      <c r="Q6784">
        <v>1409</v>
      </c>
      <c r="R6784">
        <v>0</v>
      </c>
    </row>
    <row r="6785" spans="1:18" x14ac:dyDescent="0.25">
      <c r="A6785">
        <v>7784</v>
      </c>
      <c r="B6785">
        <v>94</v>
      </c>
      <c r="C6785">
        <v>31378847</v>
      </c>
      <c r="D6785" t="s">
        <v>221</v>
      </c>
      <c r="E6785">
        <v>5.4509999999999996</v>
      </c>
      <c r="F6785" t="s">
        <v>21</v>
      </c>
      <c r="G6785" t="s">
        <v>26</v>
      </c>
      <c r="H6785" t="s">
        <v>21</v>
      </c>
      <c r="I6785" t="s">
        <v>20</v>
      </c>
      <c r="J6785" t="s">
        <v>20</v>
      </c>
      <c r="K6785" t="s">
        <v>27</v>
      </c>
      <c r="L6785" t="s">
        <v>350</v>
      </c>
      <c r="M6785" t="s">
        <v>174</v>
      </c>
      <c r="N6785">
        <v>39.229886999999998</v>
      </c>
      <c r="O6785">
        <v>-111.847825</v>
      </c>
      <c r="P6785">
        <v>5066.9633469999999</v>
      </c>
      <c r="Q6785">
        <v>1342</v>
      </c>
      <c r="R6785">
        <v>0</v>
      </c>
    </row>
    <row r="6786" spans="1:18" x14ac:dyDescent="0.25">
      <c r="A6786">
        <v>7785</v>
      </c>
      <c r="B6786">
        <v>94</v>
      </c>
      <c r="C6786">
        <v>1477847</v>
      </c>
      <c r="D6786" t="s">
        <v>88</v>
      </c>
      <c r="E6786">
        <v>5.4569999999999999</v>
      </c>
      <c r="F6786" t="s">
        <v>19</v>
      </c>
      <c r="G6786" t="s">
        <v>20</v>
      </c>
      <c r="H6786" t="s">
        <v>21</v>
      </c>
      <c r="I6786" t="s">
        <v>20</v>
      </c>
      <c r="J6786" t="s">
        <v>20</v>
      </c>
      <c r="K6786" t="s">
        <v>31</v>
      </c>
      <c r="L6786" t="s">
        <v>89</v>
      </c>
      <c r="M6786" t="s">
        <v>90</v>
      </c>
      <c r="N6786">
        <v>40.526735000000002</v>
      </c>
      <c r="O6786">
        <v>-111.88176799999999</v>
      </c>
      <c r="P6786">
        <v>4381.8239229999999</v>
      </c>
      <c r="Q6786">
        <v>318</v>
      </c>
      <c r="R6786">
        <v>0</v>
      </c>
    </row>
    <row r="6787" spans="1:18" x14ac:dyDescent="0.25">
      <c r="A6787">
        <v>7786</v>
      </c>
      <c r="B6787">
        <v>94</v>
      </c>
      <c r="C6787">
        <v>31364566</v>
      </c>
      <c r="D6787" t="s">
        <v>343</v>
      </c>
      <c r="E6787">
        <v>5.4669999999999996</v>
      </c>
      <c r="F6787" t="s">
        <v>21</v>
      </c>
      <c r="G6787" t="s">
        <v>26</v>
      </c>
      <c r="H6787" t="s">
        <v>21</v>
      </c>
      <c r="I6787" t="s">
        <v>20</v>
      </c>
      <c r="J6787" t="s">
        <v>20</v>
      </c>
      <c r="K6787" t="s">
        <v>27</v>
      </c>
      <c r="L6787" t="s">
        <v>230</v>
      </c>
      <c r="M6787" t="s">
        <v>82</v>
      </c>
      <c r="N6787">
        <v>39.546754</v>
      </c>
      <c r="O6787">
        <v>-111.485185</v>
      </c>
      <c r="P6787">
        <v>5682.0715749999999</v>
      </c>
      <c r="Q6787">
        <v>1402</v>
      </c>
      <c r="R6787">
        <v>0</v>
      </c>
    </row>
    <row r="6788" spans="1:18" x14ac:dyDescent="0.25">
      <c r="A6788">
        <v>7787</v>
      </c>
      <c r="B6788">
        <v>94</v>
      </c>
      <c r="C6788">
        <v>31402551</v>
      </c>
      <c r="D6788" t="s">
        <v>224</v>
      </c>
      <c r="E6788">
        <v>5.4729999999999999</v>
      </c>
      <c r="F6788" t="s">
        <v>21</v>
      </c>
      <c r="G6788" t="s">
        <v>26</v>
      </c>
      <c r="H6788" t="s">
        <v>21</v>
      </c>
      <c r="I6788" t="s">
        <v>20</v>
      </c>
      <c r="J6788" t="s">
        <v>20</v>
      </c>
      <c r="K6788" t="s">
        <v>22</v>
      </c>
      <c r="L6788" t="s">
        <v>198</v>
      </c>
      <c r="M6788" t="s">
        <v>194</v>
      </c>
      <c r="N6788">
        <v>40.044545999999997</v>
      </c>
      <c r="O6788">
        <v>-111.730732</v>
      </c>
      <c r="P6788">
        <v>4596.4615370000001</v>
      </c>
      <c r="Q6788">
        <v>408</v>
      </c>
      <c r="R6788">
        <v>0</v>
      </c>
    </row>
    <row r="6789" spans="1:18" x14ac:dyDescent="0.25">
      <c r="A6789">
        <v>7788</v>
      </c>
      <c r="B6789">
        <v>94</v>
      </c>
      <c r="C6789">
        <v>31311432</v>
      </c>
      <c r="D6789" t="s">
        <v>40</v>
      </c>
      <c r="E6789">
        <v>5.4729999999999999</v>
      </c>
      <c r="F6789" t="s">
        <v>21</v>
      </c>
      <c r="G6789" t="s">
        <v>26</v>
      </c>
      <c r="H6789" t="s">
        <v>21</v>
      </c>
      <c r="I6789" t="s">
        <v>20</v>
      </c>
      <c r="J6789" t="s">
        <v>20</v>
      </c>
      <c r="K6789" t="s">
        <v>41</v>
      </c>
      <c r="L6789" t="s">
        <v>42</v>
      </c>
      <c r="M6789" t="s">
        <v>43</v>
      </c>
      <c r="N6789">
        <v>41.633769999999998</v>
      </c>
      <c r="O6789">
        <v>-111.84131600000001</v>
      </c>
      <c r="P6789">
        <v>4726.7088910000002</v>
      </c>
      <c r="Q6789">
        <v>1391</v>
      </c>
      <c r="R6789">
        <v>0</v>
      </c>
    </row>
    <row r="6790" spans="1:18" x14ac:dyDescent="0.25">
      <c r="A6790">
        <v>7789</v>
      </c>
      <c r="B6790">
        <v>94</v>
      </c>
      <c r="C6790">
        <v>534708</v>
      </c>
      <c r="D6790" t="s">
        <v>44</v>
      </c>
      <c r="E6790">
        <v>5.4729999999999999</v>
      </c>
      <c r="F6790" t="s">
        <v>21</v>
      </c>
      <c r="G6790" t="s">
        <v>26</v>
      </c>
      <c r="H6790" t="s">
        <v>21</v>
      </c>
      <c r="I6790" t="s">
        <v>20</v>
      </c>
      <c r="J6790" t="s">
        <v>20</v>
      </c>
      <c r="K6790" t="s">
        <v>41</v>
      </c>
      <c r="L6790" t="s">
        <v>45</v>
      </c>
      <c r="M6790" t="s">
        <v>46</v>
      </c>
      <c r="N6790">
        <v>40.956305</v>
      </c>
      <c r="O6790">
        <v>-111.88333900000001</v>
      </c>
      <c r="P6790">
        <v>4228.2766540000002</v>
      </c>
      <c r="Q6790">
        <v>1395</v>
      </c>
      <c r="R6790">
        <v>0</v>
      </c>
    </row>
    <row r="6791" spans="1:18" x14ac:dyDescent="0.25">
      <c r="A6791">
        <v>7790</v>
      </c>
      <c r="B6791">
        <v>94</v>
      </c>
      <c r="C6791">
        <v>31724124</v>
      </c>
      <c r="D6791" t="s">
        <v>244</v>
      </c>
      <c r="E6791">
        <v>90.971999999999994</v>
      </c>
      <c r="F6791" t="s">
        <v>21</v>
      </c>
      <c r="G6791" t="s">
        <v>26</v>
      </c>
      <c r="H6791" t="s">
        <v>21</v>
      </c>
      <c r="I6791" t="s">
        <v>20</v>
      </c>
      <c r="J6791" t="s">
        <v>20</v>
      </c>
      <c r="K6791" t="s">
        <v>27</v>
      </c>
      <c r="L6791" t="s">
        <v>266</v>
      </c>
      <c r="M6791" t="s">
        <v>270</v>
      </c>
      <c r="N6791">
        <v>38.274619999999999</v>
      </c>
      <c r="O6791">
        <v>-111.089786</v>
      </c>
      <c r="P6791">
        <v>4777.639314</v>
      </c>
      <c r="Q6791">
        <v>1340</v>
      </c>
      <c r="R6791">
        <v>0</v>
      </c>
    </row>
    <row r="6792" spans="1:18" x14ac:dyDescent="0.25">
      <c r="A6792">
        <v>7791</v>
      </c>
      <c r="B6792">
        <v>94</v>
      </c>
      <c r="C6792" t="e">
        <f>-JNZTOMiHZ5npE69dAc3pk</f>
        <v>#NAME?</v>
      </c>
      <c r="D6792" t="s">
        <v>290</v>
      </c>
      <c r="E6792">
        <v>91.111000000000004</v>
      </c>
      <c r="F6792" t="s">
        <v>21</v>
      </c>
      <c r="G6792" t="s">
        <v>26</v>
      </c>
      <c r="H6792" t="s">
        <v>21</v>
      </c>
      <c r="I6792" t="s">
        <v>20</v>
      </c>
      <c r="J6792" t="s">
        <v>20</v>
      </c>
      <c r="K6792" t="s">
        <v>41</v>
      </c>
      <c r="L6792" t="s">
        <v>223</v>
      </c>
      <c r="M6792" t="s">
        <v>152</v>
      </c>
      <c r="N6792">
        <v>41.784711999999999</v>
      </c>
      <c r="O6792">
        <v>-112.164652</v>
      </c>
      <c r="P6792">
        <v>4340.6537230000004</v>
      </c>
      <c r="Q6792">
        <v>1343</v>
      </c>
      <c r="R6792">
        <v>0</v>
      </c>
    </row>
    <row r="6793" spans="1:18" x14ac:dyDescent="0.25">
      <c r="A6793">
        <v>7792</v>
      </c>
      <c r="B6793">
        <v>94</v>
      </c>
      <c r="C6793">
        <v>31541689</v>
      </c>
      <c r="D6793" t="s">
        <v>348</v>
      </c>
      <c r="E6793">
        <v>91.135999999999996</v>
      </c>
      <c r="F6793" t="s">
        <v>21</v>
      </c>
      <c r="G6793" t="s">
        <v>26</v>
      </c>
      <c r="H6793" t="s">
        <v>19</v>
      </c>
      <c r="I6793">
        <v>275</v>
      </c>
      <c r="J6793" t="s">
        <v>20</v>
      </c>
      <c r="K6793" t="s">
        <v>27</v>
      </c>
      <c r="L6793" t="s">
        <v>327</v>
      </c>
      <c r="M6793" t="s">
        <v>123</v>
      </c>
      <c r="N6793">
        <v>37.581519</v>
      </c>
      <c r="O6793">
        <v>-109.914267</v>
      </c>
      <c r="P6793">
        <v>6790.0663080000004</v>
      </c>
      <c r="Q6793">
        <v>1388</v>
      </c>
      <c r="R6793">
        <v>0</v>
      </c>
    </row>
    <row r="6794" spans="1:18" x14ac:dyDescent="0.25">
      <c r="A6794">
        <v>7793</v>
      </c>
      <c r="B6794">
        <v>94</v>
      </c>
      <c r="C6794">
        <v>31773194</v>
      </c>
      <c r="D6794" t="s">
        <v>290</v>
      </c>
      <c r="E6794">
        <v>91.152000000000001</v>
      </c>
      <c r="F6794" t="s">
        <v>21</v>
      </c>
      <c r="G6794" t="s">
        <v>26</v>
      </c>
      <c r="H6794" t="s">
        <v>21</v>
      </c>
      <c r="I6794" t="s">
        <v>20</v>
      </c>
      <c r="J6794" t="s">
        <v>20</v>
      </c>
      <c r="K6794" t="s">
        <v>41</v>
      </c>
      <c r="L6794" t="s">
        <v>223</v>
      </c>
      <c r="M6794" t="s">
        <v>152</v>
      </c>
      <c r="N6794">
        <v>41.784728999999999</v>
      </c>
      <c r="O6794">
        <v>-112.163872</v>
      </c>
      <c r="P6794">
        <v>4339.9626019999996</v>
      </c>
      <c r="Q6794">
        <v>1343</v>
      </c>
      <c r="R6794">
        <v>0</v>
      </c>
    </row>
    <row r="6795" spans="1:18" x14ac:dyDescent="0.25">
      <c r="A6795">
        <v>7794</v>
      </c>
      <c r="B6795">
        <v>94</v>
      </c>
      <c r="C6795">
        <v>31476524</v>
      </c>
      <c r="D6795" t="s">
        <v>320</v>
      </c>
      <c r="E6795">
        <v>91.227000000000004</v>
      </c>
      <c r="F6795" t="s">
        <v>21</v>
      </c>
      <c r="G6795" t="s">
        <v>26</v>
      </c>
      <c r="H6795" t="s">
        <v>21</v>
      </c>
      <c r="I6795" t="s">
        <v>20</v>
      </c>
      <c r="J6795" t="s">
        <v>20</v>
      </c>
      <c r="K6795" t="s">
        <v>27</v>
      </c>
      <c r="L6795" t="s">
        <v>173</v>
      </c>
      <c r="M6795" t="s">
        <v>166</v>
      </c>
      <c r="N6795">
        <v>39.352953999999997</v>
      </c>
      <c r="O6795">
        <v>-112.529381</v>
      </c>
      <c r="P6795">
        <v>4571.9827210000003</v>
      </c>
      <c r="Q6795">
        <v>1356</v>
      </c>
      <c r="R6795">
        <v>0</v>
      </c>
    </row>
    <row r="6796" spans="1:18" x14ac:dyDescent="0.25">
      <c r="A6796">
        <v>7795</v>
      </c>
      <c r="B6796">
        <v>94</v>
      </c>
      <c r="C6796">
        <v>31430916</v>
      </c>
      <c r="D6796" t="s">
        <v>288</v>
      </c>
      <c r="E6796">
        <v>91.27</v>
      </c>
      <c r="F6796" t="s">
        <v>21</v>
      </c>
      <c r="G6796" t="s">
        <v>26</v>
      </c>
      <c r="H6796" t="s">
        <v>21</v>
      </c>
      <c r="I6796" t="s">
        <v>20</v>
      </c>
      <c r="J6796" t="s">
        <v>20</v>
      </c>
      <c r="K6796" t="s">
        <v>27</v>
      </c>
      <c r="L6796" t="s">
        <v>146</v>
      </c>
      <c r="M6796" t="s">
        <v>147</v>
      </c>
      <c r="N6796">
        <v>38.146349000000001</v>
      </c>
      <c r="O6796">
        <v>-109.37295899999999</v>
      </c>
      <c r="P6796">
        <v>5954.6058089999997</v>
      </c>
      <c r="Q6796">
        <v>350</v>
      </c>
      <c r="R6796">
        <v>0</v>
      </c>
    </row>
    <row r="6797" spans="1:18" x14ac:dyDescent="0.25">
      <c r="A6797">
        <v>7796</v>
      </c>
      <c r="B6797">
        <v>94</v>
      </c>
      <c r="C6797">
        <v>31774055</v>
      </c>
      <c r="D6797" t="s">
        <v>290</v>
      </c>
      <c r="E6797">
        <v>91.320999999999998</v>
      </c>
      <c r="F6797" t="s">
        <v>21</v>
      </c>
      <c r="G6797" t="s">
        <v>20</v>
      </c>
      <c r="H6797" t="s">
        <v>21</v>
      </c>
      <c r="I6797" t="s">
        <v>20</v>
      </c>
      <c r="J6797" t="s">
        <v>20</v>
      </c>
      <c r="K6797" t="s">
        <v>41</v>
      </c>
      <c r="L6797" t="s">
        <v>223</v>
      </c>
      <c r="M6797" t="s">
        <v>152</v>
      </c>
      <c r="N6797">
        <v>41.784771999999997</v>
      </c>
      <c r="O6797">
        <v>-112.16059199999999</v>
      </c>
      <c r="P6797">
        <v>4324.4576079999997</v>
      </c>
      <c r="Q6797">
        <v>1343</v>
      </c>
      <c r="R6797">
        <v>0</v>
      </c>
    </row>
    <row r="6798" spans="1:18" x14ac:dyDescent="0.25">
      <c r="A6798">
        <v>7797</v>
      </c>
      <c r="B6798">
        <v>94</v>
      </c>
      <c r="C6798">
        <v>31770403</v>
      </c>
      <c r="D6798" t="s">
        <v>118</v>
      </c>
      <c r="E6798">
        <v>76.927000000000007</v>
      </c>
      <c r="F6798" t="s">
        <v>21</v>
      </c>
      <c r="G6798" t="s">
        <v>20</v>
      </c>
      <c r="H6798" t="s">
        <v>21</v>
      </c>
      <c r="I6798" t="s">
        <v>20</v>
      </c>
      <c r="J6798" t="s">
        <v>20</v>
      </c>
      <c r="K6798" t="s">
        <v>22</v>
      </c>
      <c r="L6798" t="s">
        <v>253</v>
      </c>
      <c r="M6798" t="s">
        <v>120</v>
      </c>
      <c r="N6798">
        <v>40.171674000000003</v>
      </c>
      <c r="O6798">
        <v>-110.576359</v>
      </c>
      <c r="P6798">
        <v>6299.7751859999998</v>
      </c>
      <c r="Q6798">
        <v>310</v>
      </c>
      <c r="R6798">
        <v>0</v>
      </c>
    </row>
    <row r="6799" spans="1:18" x14ac:dyDescent="0.25">
      <c r="A6799">
        <v>7798</v>
      </c>
      <c r="B6799">
        <v>94</v>
      </c>
      <c r="C6799">
        <v>31421095</v>
      </c>
      <c r="D6799" t="s">
        <v>288</v>
      </c>
      <c r="E6799">
        <v>76.950999999999993</v>
      </c>
      <c r="F6799" t="s">
        <v>21</v>
      </c>
      <c r="G6799" t="s">
        <v>20</v>
      </c>
      <c r="H6799" t="s">
        <v>21</v>
      </c>
      <c r="I6799" t="s">
        <v>20</v>
      </c>
      <c r="J6799" t="s">
        <v>20</v>
      </c>
      <c r="K6799" t="s">
        <v>27</v>
      </c>
      <c r="L6799" t="s">
        <v>146</v>
      </c>
      <c r="M6799" t="s">
        <v>147</v>
      </c>
      <c r="N6799">
        <v>37.945967000000003</v>
      </c>
      <c r="O6799">
        <v>-109.34614999999999</v>
      </c>
      <c r="P6799">
        <v>6888.4454459999997</v>
      </c>
      <c r="Q6799">
        <v>350</v>
      </c>
      <c r="R6799">
        <v>0</v>
      </c>
    </row>
    <row r="6800" spans="1:18" x14ac:dyDescent="0.25">
      <c r="A6800">
        <v>7799</v>
      </c>
      <c r="B6800">
        <v>94</v>
      </c>
      <c r="C6800">
        <v>28729968</v>
      </c>
      <c r="D6800" t="s">
        <v>142</v>
      </c>
      <c r="E6800">
        <v>76.974999999999994</v>
      </c>
      <c r="F6800" t="s">
        <v>21</v>
      </c>
      <c r="G6800" t="s">
        <v>26</v>
      </c>
      <c r="H6800" t="s">
        <v>21</v>
      </c>
      <c r="I6800" t="s">
        <v>20</v>
      </c>
      <c r="J6800" t="s">
        <v>20</v>
      </c>
      <c r="K6800" t="s">
        <v>27</v>
      </c>
      <c r="L6800" t="s">
        <v>143</v>
      </c>
      <c r="M6800" t="s">
        <v>106</v>
      </c>
      <c r="N6800">
        <v>38.396284999999999</v>
      </c>
      <c r="O6800">
        <v>-113.01096200000001</v>
      </c>
      <c r="P6800">
        <v>4890.4926930000001</v>
      </c>
      <c r="Q6800">
        <v>305</v>
      </c>
      <c r="R6800">
        <v>0</v>
      </c>
    </row>
    <row r="6801" spans="1:18" x14ac:dyDescent="0.25">
      <c r="A6801">
        <v>7800</v>
      </c>
      <c r="B6801">
        <v>94</v>
      </c>
      <c r="C6801">
        <v>31500293</v>
      </c>
      <c r="D6801" t="s">
        <v>124</v>
      </c>
      <c r="E6801">
        <v>55.405000000000001</v>
      </c>
      <c r="F6801" t="s">
        <v>21</v>
      </c>
      <c r="G6801" t="s">
        <v>26</v>
      </c>
      <c r="H6801" t="s">
        <v>21</v>
      </c>
      <c r="I6801" t="s">
        <v>20</v>
      </c>
      <c r="J6801" t="s">
        <v>20</v>
      </c>
      <c r="K6801" t="s">
        <v>31</v>
      </c>
      <c r="L6801" t="s">
        <v>362</v>
      </c>
      <c r="M6801" t="s">
        <v>125</v>
      </c>
      <c r="N6801">
        <v>40.712563000000003</v>
      </c>
      <c r="O6801">
        <v>-111.93888</v>
      </c>
      <c r="P6801">
        <v>4185.0955260000001</v>
      </c>
      <c r="Q6801">
        <v>1368</v>
      </c>
      <c r="R6801">
        <v>0</v>
      </c>
    </row>
    <row r="6802" spans="1:18" x14ac:dyDescent="0.25">
      <c r="A6802">
        <v>7801</v>
      </c>
      <c r="B6802">
        <v>94</v>
      </c>
      <c r="C6802">
        <v>31583123</v>
      </c>
      <c r="D6802" t="s">
        <v>172</v>
      </c>
      <c r="E6802">
        <v>55.438000000000002</v>
      </c>
      <c r="F6802" t="s">
        <v>21</v>
      </c>
      <c r="G6802" t="s">
        <v>26</v>
      </c>
      <c r="H6802" t="s">
        <v>21</v>
      </c>
      <c r="I6802" t="s">
        <v>20</v>
      </c>
      <c r="J6802" t="s">
        <v>20</v>
      </c>
      <c r="K6802" t="s">
        <v>27</v>
      </c>
      <c r="L6802" t="s">
        <v>230</v>
      </c>
      <c r="M6802" t="s">
        <v>174</v>
      </c>
      <c r="N6802">
        <v>39.524912999999998</v>
      </c>
      <c r="O6802">
        <v>-111.58382899999999</v>
      </c>
      <c r="P6802">
        <v>5494.4195909999999</v>
      </c>
      <c r="Q6802">
        <v>1411</v>
      </c>
      <c r="R6802">
        <v>0</v>
      </c>
    </row>
    <row r="6803" spans="1:18" x14ac:dyDescent="0.25">
      <c r="A6803">
        <v>7802</v>
      </c>
      <c r="B6803">
        <v>94</v>
      </c>
      <c r="C6803">
        <v>31312719</v>
      </c>
      <c r="D6803" t="s">
        <v>215</v>
      </c>
      <c r="E6803">
        <v>6.4420000000000002</v>
      </c>
      <c r="F6803" t="s">
        <v>21</v>
      </c>
      <c r="G6803" t="s">
        <v>26</v>
      </c>
      <c r="H6803" t="s">
        <v>21</v>
      </c>
      <c r="I6803" t="s">
        <v>20</v>
      </c>
      <c r="J6803" t="s">
        <v>20</v>
      </c>
      <c r="K6803" t="s">
        <v>22</v>
      </c>
      <c r="L6803" t="s">
        <v>23</v>
      </c>
      <c r="M6803" t="s">
        <v>85</v>
      </c>
      <c r="N6803">
        <v>40.295386999999998</v>
      </c>
      <c r="O6803">
        <v>-111.73412399999999</v>
      </c>
      <c r="P6803">
        <v>4494.3646790000003</v>
      </c>
      <c r="Q6803">
        <v>330</v>
      </c>
      <c r="R6803">
        <v>0</v>
      </c>
    </row>
    <row r="6804" spans="1:18" x14ac:dyDescent="0.25">
      <c r="A6804">
        <v>7803</v>
      </c>
      <c r="B6804">
        <v>94</v>
      </c>
      <c r="C6804">
        <v>31525042</v>
      </c>
      <c r="D6804" t="s">
        <v>390</v>
      </c>
      <c r="E6804">
        <v>6.4459999999999997</v>
      </c>
      <c r="F6804" t="s">
        <v>19</v>
      </c>
      <c r="G6804" t="s">
        <v>20</v>
      </c>
      <c r="H6804" t="s">
        <v>21</v>
      </c>
      <c r="I6804" t="s">
        <v>20</v>
      </c>
      <c r="J6804" t="s">
        <v>20</v>
      </c>
      <c r="K6804" t="s">
        <v>22</v>
      </c>
      <c r="L6804" t="s">
        <v>84</v>
      </c>
      <c r="M6804" t="s">
        <v>335</v>
      </c>
      <c r="N6804">
        <v>40.431992000000001</v>
      </c>
      <c r="O6804">
        <v>-111.773437</v>
      </c>
      <c r="P6804">
        <v>4894.8785280000002</v>
      </c>
      <c r="Q6804">
        <v>1386</v>
      </c>
      <c r="R6804">
        <v>0</v>
      </c>
    </row>
    <row r="6805" spans="1:18" x14ac:dyDescent="0.25">
      <c r="A6805">
        <v>7804</v>
      </c>
      <c r="B6805">
        <v>94</v>
      </c>
      <c r="C6805">
        <v>537010</v>
      </c>
      <c r="D6805" t="s">
        <v>44</v>
      </c>
      <c r="E6805">
        <v>6.4470000000000001</v>
      </c>
      <c r="F6805" t="s">
        <v>21</v>
      </c>
      <c r="G6805" t="s">
        <v>26</v>
      </c>
      <c r="H6805" t="s">
        <v>21</v>
      </c>
      <c r="I6805" t="s">
        <v>20</v>
      </c>
      <c r="J6805" t="s">
        <v>20</v>
      </c>
      <c r="K6805" t="s">
        <v>41</v>
      </c>
      <c r="L6805" t="s">
        <v>87</v>
      </c>
      <c r="M6805" t="s">
        <v>46</v>
      </c>
      <c r="N6805">
        <v>40.970405999999997</v>
      </c>
      <c r="O6805">
        <v>-111.883353</v>
      </c>
      <c r="P6805">
        <v>4286.0158689999998</v>
      </c>
      <c r="Q6805">
        <v>1395</v>
      </c>
      <c r="R6805">
        <v>0</v>
      </c>
    </row>
    <row r="6806" spans="1:18" x14ac:dyDescent="0.25">
      <c r="A6806">
        <v>7805</v>
      </c>
      <c r="B6806">
        <v>94</v>
      </c>
      <c r="C6806">
        <v>31529349</v>
      </c>
      <c r="D6806" t="s">
        <v>326</v>
      </c>
      <c r="E6806">
        <v>6.4489999999999998</v>
      </c>
      <c r="F6806" t="s">
        <v>21</v>
      </c>
      <c r="G6806" t="s">
        <v>26</v>
      </c>
      <c r="H6806" t="s">
        <v>21</v>
      </c>
      <c r="I6806" t="s">
        <v>20</v>
      </c>
      <c r="J6806" t="s">
        <v>20</v>
      </c>
      <c r="K6806" t="s">
        <v>27</v>
      </c>
      <c r="L6806" t="s">
        <v>211</v>
      </c>
      <c r="M6806" t="s">
        <v>212</v>
      </c>
      <c r="N6806">
        <v>37.264268000000001</v>
      </c>
      <c r="O6806">
        <v>-109.93263</v>
      </c>
      <c r="P6806">
        <v>5235.205543</v>
      </c>
      <c r="Q6806">
        <v>256</v>
      </c>
      <c r="R6806">
        <v>0</v>
      </c>
    </row>
    <row r="6807" spans="1:18" x14ac:dyDescent="0.25">
      <c r="A6807">
        <v>7806</v>
      </c>
      <c r="B6807">
        <v>94</v>
      </c>
      <c r="C6807">
        <v>31639568</v>
      </c>
      <c r="D6807" t="s">
        <v>233</v>
      </c>
      <c r="E6807">
        <v>9.5180000000000007</v>
      </c>
      <c r="F6807" t="s">
        <v>21</v>
      </c>
      <c r="G6807" t="s">
        <v>20</v>
      </c>
      <c r="H6807" t="s">
        <v>21</v>
      </c>
      <c r="I6807" t="s">
        <v>20</v>
      </c>
      <c r="J6807" t="s">
        <v>20</v>
      </c>
      <c r="K6807" t="s">
        <v>22</v>
      </c>
      <c r="L6807" t="s">
        <v>234</v>
      </c>
      <c r="M6807" t="s">
        <v>235</v>
      </c>
      <c r="N6807">
        <v>40.079247000000002</v>
      </c>
      <c r="O6807">
        <v>-109.21141799999999</v>
      </c>
      <c r="P6807">
        <v>5287.7477760000002</v>
      </c>
      <c r="Q6807">
        <v>1354</v>
      </c>
      <c r="R6807">
        <v>0</v>
      </c>
    </row>
    <row r="6808" spans="1:18" x14ac:dyDescent="0.25">
      <c r="A6808">
        <v>7807</v>
      </c>
      <c r="B6808">
        <v>94</v>
      </c>
      <c r="C6808">
        <v>27868983</v>
      </c>
      <c r="D6808" t="s">
        <v>91</v>
      </c>
      <c r="E6808">
        <v>9.52</v>
      </c>
      <c r="F6808" t="s">
        <v>21</v>
      </c>
      <c r="G6808" t="s">
        <v>26</v>
      </c>
      <c r="H6808" t="s">
        <v>21</v>
      </c>
      <c r="I6808" t="s">
        <v>20</v>
      </c>
      <c r="J6808" t="s">
        <v>20</v>
      </c>
      <c r="K6808" t="s">
        <v>41</v>
      </c>
      <c r="L6808" t="s">
        <v>42</v>
      </c>
      <c r="M6808" t="s">
        <v>73</v>
      </c>
      <c r="N6808">
        <v>41.742846</v>
      </c>
      <c r="O6808">
        <v>-111.979283</v>
      </c>
      <c r="P6808">
        <v>4456.2648280000003</v>
      </c>
      <c r="Q6808">
        <v>1339</v>
      </c>
      <c r="R6808">
        <v>0</v>
      </c>
    </row>
    <row r="6809" spans="1:18" x14ac:dyDescent="0.25">
      <c r="A6809">
        <v>7808</v>
      </c>
      <c r="B6809">
        <v>94</v>
      </c>
      <c r="C6809">
        <v>31527318</v>
      </c>
      <c r="D6809" t="s">
        <v>231</v>
      </c>
      <c r="E6809">
        <v>9.5210000000000008</v>
      </c>
      <c r="F6809" t="s">
        <v>21</v>
      </c>
      <c r="G6809" t="s">
        <v>26</v>
      </c>
      <c r="H6809" t="s">
        <v>21</v>
      </c>
      <c r="I6809" t="s">
        <v>20</v>
      </c>
      <c r="J6809" t="s">
        <v>20</v>
      </c>
      <c r="K6809" t="s">
        <v>41</v>
      </c>
      <c r="L6809" t="s">
        <v>57</v>
      </c>
      <c r="M6809" t="s">
        <v>93</v>
      </c>
      <c r="N6809">
        <v>41.173118000000002</v>
      </c>
      <c r="O6809">
        <v>-112.026016</v>
      </c>
      <c r="P6809">
        <v>4472.4978899999996</v>
      </c>
      <c r="Q6809">
        <v>1409</v>
      </c>
      <c r="R6809">
        <v>0</v>
      </c>
    </row>
    <row r="6810" spans="1:18" x14ac:dyDescent="0.25">
      <c r="A6810">
        <v>7809</v>
      </c>
      <c r="B6810">
        <v>94</v>
      </c>
      <c r="C6810">
        <v>1045960</v>
      </c>
      <c r="D6810" t="s">
        <v>171</v>
      </c>
      <c r="E6810">
        <v>9.5229999999999997</v>
      </c>
      <c r="F6810" t="s">
        <v>19</v>
      </c>
      <c r="G6810" t="s">
        <v>20</v>
      </c>
      <c r="H6810" t="s">
        <v>21</v>
      </c>
      <c r="I6810" t="s">
        <v>20</v>
      </c>
      <c r="J6810" t="s">
        <v>20</v>
      </c>
      <c r="K6810" t="s">
        <v>31</v>
      </c>
      <c r="L6810" t="s">
        <v>362</v>
      </c>
      <c r="M6810" t="s">
        <v>79</v>
      </c>
      <c r="N6810">
        <v>40.699655999999997</v>
      </c>
      <c r="O6810">
        <v>-111.911242</v>
      </c>
      <c r="P6810">
        <v>4182.3461070000003</v>
      </c>
      <c r="Q6810">
        <v>346</v>
      </c>
      <c r="R6810">
        <v>0</v>
      </c>
    </row>
    <row r="6811" spans="1:18" x14ac:dyDescent="0.25">
      <c r="A6811">
        <v>7810</v>
      </c>
      <c r="B6811">
        <v>94</v>
      </c>
      <c r="C6811">
        <v>27696267</v>
      </c>
      <c r="D6811" t="s">
        <v>217</v>
      </c>
      <c r="E6811">
        <v>9.5289999999999999</v>
      </c>
      <c r="F6811" t="s">
        <v>21</v>
      </c>
      <c r="G6811" t="s">
        <v>26</v>
      </c>
      <c r="H6811" t="s">
        <v>21</v>
      </c>
      <c r="I6811" t="s">
        <v>20</v>
      </c>
      <c r="J6811" t="s">
        <v>20</v>
      </c>
      <c r="K6811" t="s">
        <v>27</v>
      </c>
      <c r="L6811" t="s">
        <v>72</v>
      </c>
      <c r="M6811" t="s">
        <v>163</v>
      </c>
      <c r="N6811">
        <v>37.207614</v>
      </c>
      <c r="O6811">
        <v>-113.628567</v>
      </c>
      <c r="P6811">
        <v>3799.2267179999999</v>
      </c>
      <c r="Q6811">
        <v>304</v>
      </c>
      <c r="R6811">
        <v>0</v>
      </c>
    </row>
    <row r="6812" spans="1:18" x14ac:dyDescent="0.25">
      <c r="A6812">
        <v>7811</v>
      </c>
      <c r="B6812">
        <v>94</v>
      </c>
      <c r="C6812">
        <v>31411600</v>
      </c>
      <c r="D6812" t="s">
        <v>129</v>
      </c>
      <c r="E6812">
        <v>8.6820000000000004</v>
      </c>
      <c r="F6812" t="s">
        <v>21</v>
      </c>
      <c r="G6812" t="s">
        <v>26</v>
      </c>
      <c r="H6812" t="s">
        <v>21</v>
      </c>
      <c r="I6812" t="s">
        <v>20</v>
      </c>
      <c r="J6812" t="s">
        <v>20</v>
      </c>
      <c r="K6812" t="s">
        <v>31</v>
      </c>
      <c r="L6812" t="s">
        <v>130</v>
      </c>
      <c r="M6812" t="s">
        <v>131</v>
      </c>
      <c r="N6812">
        <v>40.622767000000003</v>
      </c>
      <c r="O6812">
        <v>-111.13981200000001</v>
      </c>
      <c r="P6812">
        <v>7337.2791289999996</v>
      </c>
      <c r="Q6812">
        <v>340</v>
      </c>
      <c r="R6812">
        <v>0</v>
      </c>
    </row>
    <row r="6813" spans="1:18" x14ac:dyDescent="0.25">
      <c r="A6813">
        <v>7812</v>
      </c>
      <c r="B6813">
        <v>94</v>
      </c>
      <c r="C6813">
        <v>1441310</v>
      </c>
      <c r="D6813" t="s">
        <v>304</v>
      </c>
      <c r="E6813">
        <v>8.6839999999999993</v>
      </c>
      <c r="F6813" t="s">
        <v>21</v>
      </c>
      <c r="G6813" t="s">
        <v>26</v>
      </c>
      <c r="H6813" t="s">
        <v>21</v>
      </c>
      <c r="I6813" t="s">
        <v>20</v>
      </c>
      <c r="J6813" t="s">
        <v>20</v>
      </c>
      <c r="K6813" t="s">
        <v>41</v>
      </c>
      <c r="L6813" t="s">
        <v>223</v>
      </c>
      <c r="M6813" t="s">
        <v>43</v>
      </c>
      <c r="N6813">
        <v>41.640421000000003</v>
      </c>
      <c r="O6813">
        <v>-112.079646</v>
      </c>
      <c r="P6813">
        <v>4262.9422260000001</v>
      </c>
      <c r="Q6813">
        <v>1348</v>
      </c>
      <c r="R6813">
        <v>0</v>
      </c>
    </row>
    <row r="6814" spans="1:18" x14ac:dyDescent="0.25">
      <c r="A6814">
        <v>7813</v>
      </c>
      <c r="B6814">
        <v>94</v>
      </c>
      <c r="C6814">
        <v>31534005</v>
      </c>
      <c r="D6814" t="s">
        <v>412</v>
      </c>
      <c r="E6814">
        <v>8.6859999999999999</v>
      </c>
      <c r="F6814" t="s">
        <v>21</v>
      </c>
      <c r="G6814" t="s">
        <v>26</v>
      </c>
      <c r="H6814" t="s">
        <v>21</v>
      </c>
      <c r="I6814" t="s">
        <v>20</v>
      </c>
      <c r="J6814" t="s">
        <v>20</v>
      </c>
      <c r="K6814" t="s">
        <v>27</v>
      </c>
      <c r="L6814" t="s">
        <v>173</v>
      </c>
      <c r="M6814" t="s">
        <v>267</v>
      </c>
      <c r="N6814">
        <v>39.367050999999996</v>
      </c>
      <c r="O6814">
        <v>-112.33887300000001</v>
      </c>
      <c r="P6814">
        <v>5097.5035429999998</v>
      </c>
      <c r="Q6814">
        <v>1408</v>
      </c>
      <c r="R6814">
        <v>0</v>
      </c>
    </row>
    <row r="6815" spans="1:18" x14ac:dyDescent="0.25">
      <c r="A6815">
        <v>7814</v>
      </c>
      <c r="B6815">
        <v>94</v>
      </c>
      <c r="C6815">
        <v>31633605</v>
      </c>
      <c r="D6815" t="s">
        <v>227</v>
      </c>
      <c r="E6815">
        <v>8.6940000000000008</v>
      </c>
      <c r="F6815" t="s">
        <v>21</v>
      </c>
      <c r="G6815" t="s">
        <v>26</v>
      </c>
      <c r="H6815" t="s">
        <v>19</v>
      </c>
      <c r="I6815">
        <v>124</v>
      </c>
      <c r="J6815" t="s">
        <v>20</v>
      </c>
      <c r="K6815" t="s">
        <v>27</v>
      </c>
      <c r="L6815" t="s">
        <v>158</v>
      </c>
      <c r="M6815" t="s">
        <v>190</v>
      </c>
      <c r="N6815">
        <v>39.543227000000002</v>
      </c>
      <c r="O6815">
        <v>-110.414535</v>
      </c>
      <c r="P6815">
        <v>6258.8208199999999</v>
      </c>
      <c r="Q6815">
        <v>1407</v>
      </c>
      <c r="R6815">
        <v>0</v>
      </c>
    </row>
    <row r="6816" spans="1:18" x14ac:dyDescent="0.25">
      <c r="A6816">
        <v>7815</v>
      </c>
      <c r="B6816">
        <v>94</v>
      </c>
      <c r="C6816">
        <v>31586959</v>
      </c>
      <c r="D6816" t="s">
        <v>271</v>
      </c>
      <c r="E6816">
        <v>8.7010000000000005</v>
      </c>
      <c r="F6816" t="s">
        <v>21</v>
      </c>
      <c r="G6816" t="s">
        <v>26</v>
      </c>
      <c r="H6816" t="s">
        <v>21</v>
      </c>
      <c r="I6816" t="s">
        <v>20</v>
      </c>
      <c r="J6816" t="s">
        <v>20</v>
      </c>
      <c r="K6816" t="s">
        <v>31</v>
      </c>
      <c r="L6816" t="s">
        <v>282</v>
      </c>
      <c r="M6816" t="s">
        <v>24</v>
      </c>
      <c r="N6816">
        <v>40.298183000000002</v>
      </c>
      <c r="O6816">
        <v>-112.27524099999999</v>
      </c>
      <c r="P6816">
        <v>5421.1108370000002</v>
      </c>
      <c r="Q6816">
        <v>1372</v>
      </c>
      <c r="R6816">
        <v>0</v>
      </c>
    </row>
    <row r="6817" spans="1:18" x14ac:dyDescent="0.25">
      <c r="A6817">
        <v>7816</v>
      </c>
      <c r="B6817">
        <v>94</v>
      </c>
      <c r="C6817">
        <v>31296640</v>
      </c>
      <c r="D6817" t="s">
        <v>338</v>
      </c>
      <c r="E6817">
        <v>8.7050000000000001</v>
      </c>
      <c r="F6817" t="s">
        <v>21</v>
      </c>
      <c r="G6817" t="s">
        <v>26</v>
      </c>
      <c r="H6817" t="s">
        <v>21</v>
      </c>
      <c r="I6817" t="s">
        <v>20</v>
      </c>
      <c r="J6817" t="s">
        <v>20</v>
      </c>
      <c r="K6817" t="s">
        <v>27</v>
      </c>
      <c r="L6817" t="s">
        <v>72</v>
      </c>
      <c r="M6817" t="s">
        <v>73</v>
      </c>
      <c r="N6817">
        <v>37.083241000000001</v>
      </c>
      <c r="O6817">
        <v>-113.110743</v>
      </c>
      <c r="P6817">
        <v>4765.9087939999999</v>
      </c>
      <c r="Q6817">
        <v>315</v>
      </c>
      <c r="R6817">
        <v>0</v>
      </c>
    </row>
    <row r="6818" spans="1:18" x14ac:dyDescent="0.25">
      <c r="A6818">
        <v>7817</v>
      </c>
      <c r="B6818">
        <v>94</v>
      </c>
      <c r="C6818">
        <v>31195730</v>
      </c>
      <c r="D6818" t="s">
        <v>126</v>
      </c>
      <c r="E6818">
        <v>8.7119999999999997</v>
      </c>
      <c r="F6818" t="s">
        <v>21</v>
      </c>
      <c r="G6818" t="s">
        <v>26</v>
      </c>
      <c r="H6818" t="s">
        <v>21</v>
      </c>
      <c r="I6818" t="s">
        <v>20</v>
      </c>
      <c r="J6818" t="s">
        <v>20</v>
      </c>
      <c r="K6818" t="s">
        <v>41</v>
      </c>
      <c r="L6818" t="s">
        <v>57</v>
      </c>
      <c r="M6818" t="s">
        <v>93</v>
      </c>
      <c r="N6818">
        <v>41.305328000000003</v>
      </c>
      <c r="O6818">
        <v>-112.075794</v>
      </c>
      <c r="P6818">
        <v>4186.6104340000002</v>
      </c>
      <c r="Q6818">
        <v>1412</v>
      </c>
      <c r="R6818">
        <v>0</v>
      </c>
    </row>
    <row r="6819" spans="1:18" x14ac:dyDescent="0.25">
      <c r="A6819">
        <v>7818</v>
      </c>
      <c r="B6819">
        <v>94</v>
      </c>
      <c r="C6819">
        <v>31306269</v>
      </c>
      <c r="D6819" t="s">
        <v>251</v>
      </c>
      <c r="E6819">
        <v>8.718</v>
      </c>
      <c r="F6819" t="s">
        <v>21</v>
      </c>
      <c r="G6819" t="s">
        <v>26</v>
      </c>
      <c r="H6819" t="s">
        <v>21</v>
      </c>
      <c r="I6819" t="s">
        <v>20</v>
      </c>
      <c r="J6819" t="s">
        <v>20</v>
      </c>
      <c r="K6819" t="s">
        <v>27</v>
      </c>
      <c r="L6819" t="s">
        <v>165</v>
      </c>
      <c r="M6819" t="s">
        <v>166</v>
      </c>
      <c r="N6819">
        <v>39.037540999999997</v>
      </c>
      <c r="O6819">
        <v>-112.409891</v>
      </c>
      <c r="P6819">
        <v>4602.6973390000003</v>
      </c>
      <c r="Q6819">
        <v>326</v>
      </c>
      <c r="R6819">
        <v>0</v>
      </c>
    </row>
    <row r="6820" spans="1:18" x14ac:dyDescent="0.25">
      <c r="A6820">
        <v>7819</v>
      </c>
      <c r="B6820">
        <v>94</v>
      </c>
      <c r="C6820">
        <v>31636485</v>
      </c>
      <c r="D6820" t="s">
        <v>233</v>
      </c>
      <c r="E6820">
        <v>8.7240000000000002</v>
      </c>
      <c r="F6820" t="s">
        <v>21</v>
      </c>
      <c r="G6820" t="s">
        <v>20</v>
      </c>
      <c r="H6820" t="s">
        <v>21</v>
      </c>
      <c r="I6820" t="s">
        <v>20</v>
      </c>
      <c r="J6820" t="s">
        <v>20</v>
      </c>
      <c r="K6820" t="s">
        <v>22</v>
      </c>
      <c r="L6820" t="s">
        <v>234</v>
      </c>
      <c r="M6820" t="s">
        <v>235</v>
      </c>
      <c r="N6820">
        <v>40.069938999999998</v>
      </c>
      <c r="O6820">
        <v>-109.202724</v>
      </c>
      <c r="P6820">
        <v>5164.8339120000001</v>
      </c>
      <c r="Q6820">
        <v>1354</v>
      </c>
      <c r="R6820">
        <v>0</v>
      </c>
    </row>
    <row r="6821" spans="1:18" x14ac:dyDescent="0.25">
      <c r="A6821">
        <v>7820</v>
      </c>
      <c r="B6821">
        <v>94</v>
      </c>
      <c r="C6821">
        <v>31643581</v>
      </c>
      <c r="D6821" t="s">
        <v>393</v>
      </c>
      <c r="E6821">
        <v>5.476</v>
      </c>
      <c r="F6821" t="s">
        <v>21</v>
      </c>
      <c r="G6821" t="s">
        <v>26</v>
      </c>
      <c r="H6821" t="s">
        <v>21</v>
      </c>
      <c r="I6821" t="s">
        <v>20</v>
      </c>
      <c r="J6821" t="s">
        <v>20</v>
      </c>
      <c r="K6821" t="s">
        <v>27</v>
      </c>
      <c r="L6821" t="s">
        <v>158</v>
      </c>
      <c r="M6821" t="s">
        <v>190</v>
      </c>
      <c r="N6821">
        <v>39.518749999999997</v>
      </c>
      <c r="O6821">
        <v>-110.392121</v>
      </c>
      <c r="P6821">
        <v>5980.574106</v>
      </c>
      <c r="Q6821">
        <v>333</v>
      </c>
      <c r="R6821">
        <v>0</v>
      </c>
    </row>
    <row r="6822" spans="1:18" x14ac:dyDescent="0.25">
      <c r="A6822">
        <v>7821</v>
      </c>
      <c r="B6822">
        <v>94</v>
      </c>
      <c r="C6822" t="e">
        <f>-IpObwbxH1y6mK-q_MpKAV</f>
        <v>#NAME?</v>
      </c>
      <c r="D6822" t="s">
        <v>272</v>
      </c>
      <c r="E6822">
        <v>389.21699999999998</v>
      </c>
      <c r="F6822" t="s">
        <v>21</v>
      </c>
      <c r="G6822" t="s">
        <v>26</v>
      </c>
      <c r="H6822" t="s">
        <v>21</v>
      </c>
      <c r="I6822" t="s">
        <v>20</v>
      </c>
      <c r="J6822" t="s">
        <v>20</v>
      </c>
      <c r="K6822" t="s">
        <v>41</v>
      </c>
      <c r="L6822" t="s">
        <v>45</v>
      </c>
      <c r="M6822" t="s">
        <v>49</v>
      </c>
      <c r="N6822">
        <v>40.895383000000002</v>
      </c>
      <c r="O6822">
        <v>-111.892224</v>
      </c>
      <c r="P6822">
        <v>4239.4328569999998</v>
      </c>
      <c r="Q6822">
        <v>1384</v>
      </c>
      <c r="R6822">
        <v>0</v>
      </c>
    </row>
    <row r="6823" spans="1:18" x14ac:dyDescent="0.25">
      <c r="A6823">
        <v>7822</v>
      </c>
      <c r="B6823">
        <v>94</v>
      </c>
      <c r="C6823">
        <v>31407542</v>
      </c>
      <c r="D6823" t="s">
        <v>124</v>
      </c>
      <c r="E6823">
        <v>48.411000000000001</v>
      </c>
      <c r="F6823" t="s">
        <v>21</v>
      </c>
      <c r="G6823" t="s">
        <v>26</v>
      </c>
      <c r="H6823" t="s">
        <v>21</v>
      </c>
      <c r="I6823" t="s">
        <v>20</v>
      </c>
      <c r="J6823" t="s">
        <v>20</v>
      </c>
      <c r="K6823" t="s">
        <v>31</v>
      </c>
      <c r="L6823" t="s">
        <v>48</v>
      </c>
      <c r="M6823" t="s">
        <v>125</v>
      </c>
      <c r="N6823">
        <v>40.610931999999998</v>
      </c>
      <c r="O6823">
        <v>-111.938773</v>
      </c>
      <c r="P6823">
        <v>4316.4060369999997</v>
      </c>
      <c r="Q6823">
        <v>1368</v>
      </c>
      <c r="R6823">
        <v>0</v>
      </c>
    </row>
    <row r="6824" spans="1:18" x14ac:dyDescent="0.25">
      <c r="A6824">
        <v>7823</v>
      </c>
      <c r="B6824">
        <v>94</v>
      </c>
      <c r="C6824" t="e">
        <f>-JYlUNrNHkaw7k20EjJx4k</f>
        <v>#NAME?</v>
      </c>
      <c r="D6824" t="s">
        <v>129</v>
      </c>
      <c r="E6824">
        <v>48.438000000000002</v>
      </c>
      <c r="F6824" t="s">
        <v>21</v>
      </c>
      <c r="G6824" t="s">
        <v>26</v>
      </c>
      <c r="H6824" t="s">
        <v>21</v>
      </c>
      <c r="I6824" t="s">
        <v>20</v>
      </c>
      <c r="J6824" t="s">
        <v>20</v>
      </c>
      <c r="K6824" t="s">
        <v>31</v>
      </c>
      <c r="L6824" t="s">
        <v>130</v>
      </c>
      <c r="M6824" t="s">
        <v>328</v>
      </c>
      <c r="N6824">
        <v>40.911876999999997</v>
      </c>
      <c r="O6824">
        <v>-110.82919800000001</v>
      </c>
      <c r="P6824">
        <v>8292.3346519999996</v>
      </c>
      <c r="Q6824">
        <v>340</v>
      </c>
      <c r="R6824">
        <v>0</v>
      </c>
    </row>
    <row r="6825" spans="1:18" x14ac:dyDescent="0.25">
      <c r="A6825">
        <v>7824</v>
      </c>
      <c r="B6825">
        <v>94</v>
      </c>
      <c r="C6825">
        <v>31407803</v>
      </c>
      <c r="D6825" t="s">
        <v>124</v>
      </c>
      <c r="E6825">
        <v>48.496000000000002</v>
      </c>
      <c r="F6825" t="s">
        <v>21</v>
      </c>
      <c r="G6825" t="s">
        <v>26</v>
      </c>
      <c r="H6825" t="s">
        <v>21</v>
      </c>
      <c r="I6825" t="s">
        <v>20</v>
      </c>
      <c r="J6825" t="s">
        <v>20</v>
      </c>
      <c r="K6825" t="s">
        <v>31</v>
      </c>
      <c r="L6825" t="s">
        <v>48</v>
      </c>
      <c r="M6825" t="s">
        <v>125</v>
      </c>
      <c r="N6825">
        <v>40.612172999999999</v>
      </c>
      <c r="O6825">
        <v>-111.938762</v>
      </c>
      <c r="P6825">
        <v>4317.673221</v>
      </c>
      <c r="Q6825">
        <v>1368</v>
      </c>
      <c r="R6825">
        <v>0</v>
      </c>
    </row>
    <row r="6826" spans="1:18" x14ac:dyDescent="0.25">
      <c r="A6826">
        <v>7825</v>
      </c>
      <c r="B6826">
        <v>94</v>
      </c>
      <c r="C6826">
        <v>28001532</v>
      </c>
      <c r="D6826" t="s">
        <v>281</v>
      </c>
      <c r="E6826">
        <v>48.545000000000002</v>
      </c>
      <c r="F6826" t="s">
        <v>21</v>
      </c>
      <c r="G6826" t="s">
        <v>26</v>
      </c>
      <c r="H6826" t="s">
        <v>21</v>
      </c>
      <c r="I6826" t="s">
        <v>20</v>
      </c>
      <c r="J6826" t="s">
        <v>20</v>
      </c>
      <c r="K6826" t="s">
        <v>31</v>
      </c>
      <c r="L6826" t="s">
        <v>282</v>
      </c>
      <c r="M6826" t="s">
        <v>283</v>
      </c>
      <c r="N6826">
        <v>40.461995999999999</v>
      </c>
      <c r="O6826">
        <v>-112.355791</v>
      </c>
      <c r="P6826">
        <v>5084.3385829999997</v>
      </c>
      <c r="Q6826">
        <v>1347</v>
      </c>
      <c r="R6826">
        <v>0</v>
      </c>
    </row>
    <row r="6827" spans="1:18" x14ac:dyDescent="0.25">
      <c r="A6827">
        <v>7826</v>
      </c>
      <c r="B6827">
        <v>94</v>
      </c>
      <c r="C6827">
        <v>31537762</v>
      </c>
      <c r="D6827" t="s">
        <v>348</v>
      </c>
      <c r="E6827">
        <v>48.56</v>
      </c>
      <c r="F6827" t="s">
        <v>21</v>
      </c>
      <c r="G6827" t="s">
        <v>26</v>
      </c>
      <c r="H6827" t="s">
        <v>21</v>
      </c>
      <c r="I6827" t="s">
        <v>20</v>
      </c>
      <c r="J6827" t="s">
        <v>20</v>
      </c>
      <c r="K6827" t="s">
        <v>27</v>
      </c>
      <c r="L6827" t="s">
        <v>327</v>
      </c>
      <c r="M6827" t="s">
        <v>123</v>
      </c>
      <c r="N6827">
        <v>37.880304000000002</v>
      </c>
      <c r="O6827">
        <v>-110.354845</v>
      </c>
      <c r="P6827">
        <v>4070.9770199999998</v>
      </c>
      <c r="Q6827">
        <v>1388</v>
      </c>
      <c r="R6827">
        <v>0</v>
      </c>
    </row>
    <row r="6828" spans="1:18" x14ac:dyDescent="0.25">
      <c r="A6828">
        <v>7827</v>
      </c>
      <c r="B6828">
        <v>94</v>
      </c>
      <c r="C6828">
        <v>31407814</v>
      </c>
      <c r="D6828" t="s">
        <v>124</v>
      </c>
      <c r="E6828">
        <v>48.570999999999998</v>
      </c>
      <c r="F6828" t="s">
        <v>21</v>
      </c>
      <c r="G6828" t="s">
        <v>26</v>
      </c>
      <c r="H6828" t="s">
        <v>21</v>
      </c>
      <c r="I6828" t="s">
        <v>20</v>
      </c>
      <c r="J6828" t="s">
        <v>20</v>
      </c>
      <c r="K6828" t="s">
        <v>31</v>
      </c>
      <c r="L6828" t="s">
        <v>48</v>
      </c>
      <c r="M6828" t="s">
        <v>125</v>
      </c>
      <c r="N6828">
        <v>40.613261999999999</v>
      </c>
      <c r="O6828">
        <v>-111.938766</v>
      </c>
      <c r="P6828">
        <v>4318.5997090000001</v>
      </c>
      <c r="Q6828">
        <v>1368</v>
      </c>
      <c r="R6828">
        <v>0</v>
      </c>
    </row>
    <row r="6829" spans="1:18" x14ac:dyDescent="0.25">
      <c r="A6829">
        <v>7828</v>
      </c>
      <c r="B6829">
        <v>94</v>
      </c>
      <c r="C6829">
        <v>31807378</v>
      </c>
      <c r="D6829" t="s">
        <v>272</v>
      </c>
      <c r="E6829">
        <v>48.606000000000002</v>
      </c>
      <c r="F6829" t="s">
        <v>21</v>
      </c>
      <c r="G6829" t="s">
        <v>26</v>
      </c>
      <c r="H6829" t="s">
        <v>21</v>
      </c>
      <c r="I6829" t="s">
        <v>20</v>
      </c>
      <c r="J6829" t="s">
        <v>20</v>
      </c>
      <c r="K6829" t="s">
        <v>27</v>
      </c>
      <c r="L6829" t="s">
        <v>259</v>
      </c>
      <c r="M6829" t="s">
        <v>214</v>
      </c>
      <c r="N6829">
        <v>37.040205</v>
      </c>
      <c r="O6829">
        <v>-112.25779199999999</v>
      </c>
      <c r="P6829">
        <v>5270.6280900000002</v>
      </c>
      <c r="Q6829">
        <v>1384</v>
      </c>
      <c r="R6829">
        <v>0</v>
      </c>
    </row>
    <row r="6830" spans="1:18" x14ac:dyDescent="0.25">
      <c r="A6830">
        <v>7829</v>
      </c>
      <c r="B6830">
        <v>94</v>
      </c>
      <c r="C6830">
        <v>31464310</v>
      </c>
      <c r="D6830" t="s">
        <v>319</v>
      </c>
      <c r="E6830">
        <v>48.636000000000003</v>
      </c>
      <c r="F6830" t="s">
        <v>21</v>
      </c>
      <c r="G6830" t="s">
        <v>26</v>
      </c>
      <c r="H6830" t="s">
        <v>21</v>
      </c>
      <c r="I6830" t="s">
        <v>20</v>
      </c>
      <c r="J6830" t="s">
        <v>20</v>
      </c>
      <c r="K6830" t="s">
        <v>27</v>
      </c>
      <c r="L6830" t="s">
        <v>54</v>
      </c>
      <c r="M6830" t="s">
        <v>55</v>
      </c>
      <c r="N6830">
        <v>37.636615999999997</v>
      </c>
      <c r="O6830">
        <v>-113.278881</v>
      </c>
      <c r="P6830">
        <v>5743.6727440000004</v>
      </c>
      <c r="Q6830">
        <v>314</v>
      </c>
      <c r="R6830">
        <v>0</v>
      </c>
    </row>
    <row r="6831" spans="1:18" x14ac:dyDescent="0.25">
      <c r="A6831">
        <v>7830</v>
      </c>
      <c r="B6831">
        <v>94</v>
      </c>
      <c r="C6831">
        <v>31407825</v>
      </c>
      <c r="D6831" t="s">
        <v>124</v>
      </c>
      <c r="E6831">
        <v>48.658999999999999</v>
      </c>
      <c r="F6831" t="s">
        <v>21</v>
      </c>
      <c r="G6831" t="s">
        <v>26</v>
      </c>
      <c r="H6831" t="s">
        <v>21</v>
      </c>
      <c r="I6831" t="s">
        <v>20</v>
      </c>
      <c r="J6831" t="s">
        <v>20</v>
      </c>
      <c r="K6831" t="s">
        <v>31</v>
      </c>
      <c r="L6831" t="s">
        <v>48</v>
      </c>
      <c r="M6831" t="s">
        <v>125</v>
      </c>
      <c r="N6831">
        <v>40.614544000000002</v>
      </c>
      <c r="O6831">
        <v>-111.938768</v>
      </c>
      <c r="P6831">
        <v>4317.1641140000002</v>
      </c>
      <c r="Q6831">
        <v>1368</v>
      </c>
      <c r="R6831">
        <v>0</v>
      </c>
    </row>
    <row r="6832" spans="1:18" x14ac:dyDescent="0.25">
      <c r="A6832">
        <v>7831</v>
      </c>
      <c r="B6832">
        <v>94</v>
      </c>
      <c r="C6832">
        <v>31504197</v>
      </c>
      <c r="D6832" t="s">
        <v>129</v>
      </c>
      <c r="E6832">
        <v>48.668999999999997</v>
      </c>
      <c r="F6832" t="s">
        <v>21</v>
      </c>
      <c r="G6832" t="s">
        <v>26</v>
      </c>
      <c r="H6832" t="s">
        <v>21</v>
      </c>
      <c r="I6832" t="s">
        <v>20</v>
      </c>
      <c r="J6832" t="s">
        <v>20</v>
      </c>
      <c r="K6832" t="s">
        <v>31</v>
      </c>
      <c r="L6832" t="s">
        <v>130</v>
      </c>
      <c r="M6832" t="s">
        <v>328</v>
      </c>
      <c r="N6832">
        <v>40.914987000000004</v>
      </c>
      <c r="O6832">
        <v>-110.827609</v>
      </c>
      <c r="P6832">
        <v>8325.7397239999991</v>
      </c>
      <c r="Q6832">
        <v>340</v>
      </c>
      <c r="R6832">
        <v>0</v>
      </c>
    </row>
    <row r="6833" spans="1:18" x14ac:dyDescent="0.25">
      <c r="A6833">
        <v>7832</v>
      </c>
      <c r="B6833">
        <v>94</v>
      </c>
      <c r="C6833" t="s">
        <v>841</v>
      </c>
      <c r="D6833" t="s">
        <v>129</v>
      </c>
      <c r="E6833">
        <v>48.777000000000001</v>
      </c>
      <c r="F6833" t="s">
        <v>21</v>
      </c>
      <c r="G6833" t="s">
        <v>20</v>
      </c>
      <c r="H6833" t="s">
        <v>21</v>
      </c>
      <c r="I6833" t="s">
        <v>20</v>
      </c>
      <c r="J6833" t="s">
        <v>20</v>
      </c>
      <c r="K6833" t="s">
        <v>31</v>
      </c>
      <c r="L6833" t="s">
        <v>130</v>
      </c>
      <c r="M6833" t="s">
        <v>328</v>
      </c>
      <c r="N6833">
        <v>40.916494999999998</v>
      </c>
      <c r="O6833">
        <v>-110.827017</v>
      </c>
      <c r="P6833">
        <v>8327.6560800000007</v>
      </c>
      <c r="Q6833">
        <v>340</v>
      </c>
      <c r="R6833">
        <v>0</v>
      </c>
    </row>
    <row r="6834" spans="1:18" x14ac:dyDescent="0.25">
      <c r="A6834">
        <v>7833</v>
      </c>
      <c r="B6834">
        <v>94</v>
      </c>
      <c r="C6834">
        <v>31311618</v>
      </c>
      <c r="D6834" t="s">
        <v>203</v>
      </c>
      <c r="E6834">
        <v>48.796999999999997</v>
      </c>
      <c r="F6834" t="s">
        <v>21</v>
      </c>
      <c r="G6834" t="s">
        <v>26</v>
      </c>
      <c r="H6834" t="s">
        <v>21</v>
      </c>
      <c r="I6834" t="s">
        <v>20</v>
      </c>
      <c r="J6834" t="s">
        <v>20</v>
      </c>
      <c r="K6834" t="s">
        <v>41</v>
      </c>
      <c r="L6834" t="s">
        <v>325</v>
      </c>
      <c r="M6834" t="s">
        <v>204</v>
      </c>
      <c r="N6834">
        <v>41.475329000000002</v>
      </c>
      <c r="O6834">
        <v>-111.48487900000001</v>
      </c>
      <c r="P6834">
        <v>8735.5818230000004</v>
      </c>
      <c r="Q6834">
        <v>1349</v>
      </c>
      <c r="R6834">
        <v>0</v>
      </c>
    </row>
    <row r="6835" spans="1:18" x14ac:dyDescent="0.25">
      <c r="A6835">
        <v>7834</v>
      </c>
      <c r="B6835">
        <v>94</v>
      </c>
      <c r="C6835">
        <v>31404971</v>
      </c>
      <c r="D6835" t="s">
        <v>124</v>
      </c>
      <c r="E6835">
        <v>47.694000000000003</v>
      </c>
      <c r="F6835" t="s">
        <v>21</v>
      </c>
      <c r="G6835" t="s">
        <v>26</v>
      </c>
      <c r="H6835" t="s">
        <v>21</v>
      </c>
      <c r="I6835" t="s">
        <v>20</v>
      </c>
      <c r="J6835" t="s">
        <v>20</v>
      </c>
      <c r="K6835" t="s">
        <v>31</v>
      </c>
      <c r="L6835" t="s">
        <v>48</v>
      </c>
      <c r="M6835" t="s">
        <v>125</v>
      </c>
      <c r="N6835">
        <v>40.600501999999999</v>
      </c>
      <c r="O6835">
        <v>-111.938743</v>
      </c>
      <c r="P6835">
        <v>4315.9674830000004</v>
      </c>
      <c r="Q6835">
        <v>1368</v>
      </c>
      <c r="R6835">
        <v>0</v>
      </c>
    </row>
    <row r="6836" spans="1:18" x14ac:dyDescent="0.25">
      <c r="A6836">
        <v>7835</v>
      </c>
      <c r="B6836">
        <v>94</v>
      </c>
      <c r="C6836">
        <v>31311607</v>
      </c>
      <c r="D6836" t="s">
        <v>203</v>
      </c>
      <c r="E6836">
        <v>47.71</v>
      </c>
      <c r="F6836" t="s">
        <v>21</v>
      </c>
      <c r="G6836" t="s">
        <v>26</v>
      </c>
      <c r="H6836" t="s">
        <v>21</v>
      </c>
      <c r="I6836" t="s">
        <v>20</v>
      </c>
      <c r="J6836" t="s">
        <v>20</v>
      </c>
      <c r="K6836" t="s">
        <v>41</v>
      </c>
      <c r="L6836" t="s">
        <v>325</v>
      </c>
      <c r="M6836" t="s">
        <v>204</v>
      </c>
      <c r="N6836">
        <v>41.463793000000003</v>
      </c>
      <c r="O6836">
        <v>-111.49763</v>
      </c>
      <c r="P6836">
        <v>8857.1011870000002</v>
      </c>
      <c r="Q6836">
        <v>1349</v>
      </c>
      <c r="R6836">
        <v>0</v>
      </c>
    </row>
    <row r="6837" spans="1:18" x14ac:dyDescent="0.25">
      <c r="A6837">
        <v>7836</v>
      </c>
      <c r="B6837">
        <v>94</v>
      </c>
      <c r="C6837">
        <v>31580191</v>
      </c>
      <c r="D6837" t="s">
        <v>172</v>
      </c>
      <c r="E6837">
        <v>47.728999999999999</v>
      </c>
      <c r="F6837" t="s">
        <v>21</v>
      </c>
      <c r="G6837" t="s">
        <v>26</v>
      </c>
      <c r="H6837" t="s">
        <v>21</v>
      </c>
      <c r="I6837" t="s">
        <v>20</v>
      </c>
      <c r="J6837" t="s">
        <v>20</v>
      </c>
      <c r="K6837" t="s">
        <v>27</v>
      </c>
      <c r="L6837" t="s">
        <v>230</v>
      </c>
      <c r="M6837" t="s">
        <v>174</v>
      </c>
      <c r="N6837">
        <v>39.625475000000002</v>
      </c>
      <c r="O6837">
        <v>-111.634457</v>
      </c>
      <c r="P6837">
        <v>5813.0866640000004</v>
      </c>
      <c r="Q6837">
        <v>1411</v>
      </c>
      <c r="R6837">
        <v>0</v>
      </c>
    </row>
    <row r="6838" spans="1:18" x14ac:dyDescent="0.25">
      <c r="A6838">
        <v>7837</v>
      </c>
      <c r="B6838">
        <v>94</v>
      </c>
      <c r="C6838">
        <v>31294206</v>
      </c>
      <c r="D6838" t="s">
        <v>308</v>
      </c>
      <c r="E6838">
        <v>47.735999999999997</v>
      </c>
      <c r="F6838" t="s">
        <v>21</v>
      </c>
      <c r="G6838" t="s">
        <v>26</v>
      </c>
      <c r="H6838" t="s">
        <v>19</v>
      </c>
      <c r="I6838">
        <v>10</v>
      </c>
      <c r="J6838" t="s">
        <v>20</v>
      </c>
      <c r="K6838" t="s">
        <v>27</v>
      </c>
      <c r="L6838" t="s">
        <v>111</v>
      </c>
      <c r="M6838" t="s">
        <v>82</v>
      </c>
      <c r="N6838">
        <v>39.334414000000002</v>
      </c>
      <c r="O6838">
        <v>-110.96468900000001</v>
      </c>
      <c r="P6838">
        <v>5757.226439</v>
      </c>
      <c r="Q6838">
        <v>1344</v>
      </c>
      <c r="R6838">
        <v>0</v>
      </c>
    </row>
    <row r="6839" spans="1:18" x14ac:dyDescent="0.25">
      <c r="A6839">
        <v>7838</v>
      </c>
      <c r="B6839">
        <v>94</v>
      </c>
      <c r="C6839">
        <v>27731269</v>
      </c>
      <c r="D6839" t="s">
        <v>217</v>
      </c>
      <c r="E6839">
        <v>47.747</v>
      </c>
      <c r="F6839" t="s">
        <v>21</v>
      </c>
      <c r="G6839" t="s">
        <v>20</v>
      </c>
      <c r="H6839" t="s">
        <v>21</v>
      </c>
      <c r="I6839" t="s">
        <v>20</v>
      </c>
      <c r="J6839" t="s">
        <v>20</v>
      </c>
      <c r="K6839" t="s">
        <v>27</v>
      </c>
      <c r="L6839" t="s">
        <v>162</v>
      </c>
      <c r="M6839" t="s">
        <v>163</v>
      </c>
      <c r="N6839">
        <v>37.663049000000001</v>
      </c>
      <c r="O6839">
        <v>-113.661197</v>
      </c>
      <c r="P6839">
        <v>5129.6112240000002</v>
      </c>
      <c r="Q6839">
        <v>304</v>
      </c>
      <c r="R6839">
        <v>0</v>
      </c>
    </row>
    <row r="6840" spans="1:18" x14ac:dyDescent="0.25">
      <c r="A6840">
        <v>7839</v>
      </c>
      <c r="B6840">
        <v>94</v>
      </c>
      <c r="C6840" t="e">
        <f>-JYlU5WwItXKXwWQ117zak</f>
        <v>#NAME?</v>
      </c>
      <c r="D6840" t="s">
        <v>129</v>
      </c>
      <c r="E6840">
        <v>47.750999999999998</v>
      </c>
      <c r="F6840" t="s">
        <v>21</v>
      </c>
      <c r="G6840" t="s">
        <v>20</v>
      </c>
      <c r="H6840" t="s">
        <v>21</v>
      </c>
      <c r="I6840" t="s">
        <v>20</v>
      </c>
      <c r="J6840" t="s">
        <v>20</v>
      </c>
      <c r="K6840" t="s">
        <v>31</v>
      </c>
      <c r="L6840" t="s">
        <v>130</v>
      </c>
      <c r="M6840" t="s">
        <v>328</v>
      </c>
      <c r="N6840">
        <v>40.902088999999997</v>
      </c>
      <c r="O6840">
        <v>-110.82867</v>
      </c>
      <c r="P6840">
        <v>8363.6561870000005</v>
      </c>
      <c r="Q6840">
        <v>340</v>
      </c>
      <c r="R6840">
        <v>0</v>
      </c>
    </row>
    <row r="6841" spans="1:18" x14ac:dyDescent="0.25">
      <c r="A6841">
        <v>7840</v>
      </c>
      <c r="B6841">
        <v>94</v>
      </c>
      <c r="C6841">
        <v>28000082</v>
      </c>
      <c r="D6841" t="s">
        <v>281</v>
      </c>
      <c r="E6841">
        <v>47.759</v>
      </c>
      <c r="F6841" t="s">
        <v>21</v>
      </c>
      <c r="G6841" t="s">
        <v>26</v>
      </c>
      <c r="H6841" t="s">
        <v>21</v>
      </c>
      <c r="I6841" t="s">
        <v>20</v>
      </c>
      <c r="J6841" t="s">
        <v>20</v>
      </c>
      <c r="K6841" t="s">
        <v>31</v>
      </c>
      <c r="L6841" t="s">
        <v>282</v>
      </c>
      <c r="M6841" t="s">
        <v>283</v>
      </c>
      <c r="N6841">
        <v>40.45185</v>
      </c>
      <c r="O6841">
        <v>-112.362493</v>
      </c>
      <c r="P6841">
        <v>5031.7806460000002</v>
      </c>
      <c r="Q6841">
        <v>1347</v>
      </c>
      <c r="R6841">
        <v>0</v>
      </c>
    </row>
    <row r="6842" spans="1:18" x14ac:dyDescent="0.25">
      <c r="A6842">
        <v>7841</v>
      </c>
      <c r="B6842">
        <v>94</v>
      </c>
      <c r="C6842" t="s">
        <v>842</v>
      </c>
      <c r="D6842" t="s">
        <v>129</v>
      </c>
      <c r="E6842">
        <v>47.784999999999997</v>
      </c>
      <c r="F6842" t="s">
        <v>21</v>
      </c>
      <c r="G6842" t="s">
        <v>26</v>
      </c>
      <c r="H6842" t="s">
        <v>21</v>
      </c>
      <c r="I6842" t="s">
        <v>20</v>
      </c>
      <c r="J6842" t="s">
        <v>20</v>
      </c>
      <c r="K6842" t="s">
        <v>31</v>
      </c>
      <c r="L6842" t="s">
        <v>130</v>
      </c>
      <c r="M6842" t="s">
        <v>328</v>
      </c>
      <c r="N6842">
        <v>40.902594000000001</v>
      </c>
      <c r="O6842">
        <v>-110.82867</v>
      </c>
      <c r="P6842">
        <v>8361.615495</v>
      </c>
      <c r="Q6842">
        <v>340</v>
      </c>
      <c r="R6842">
        <v>0</v>
      </c>
    </row>
    <row r="6843" spans="1:18" x14ac:dyDescent="0.25">
      <c r="A6843">
        <v>7842</v>
      </c>
      <c r="B6843">
        <v>94</v>
      </c>
      <c r="C6843">
        <v>31404982</v>
      </c>
      <c r="D6843" t="s">
        <v>124</v>
      </c>
      <c r="E6843">
        <v>47.808999999999997</v>
      </c>
      <c r="F6843" t="s">
        <v>21</v>
      </c>
      <c r="G6843" t="s">
        <v>26</v>
      </c>
      <c r="H6843" t="s">
        <v>21</v>
      </c>
      <c r="I6843" t="s">
        <v>20</v>
      </c>
      <c r="J6843" t="s">
        <v>20</v>
      </c>
      <c r="K6843" t="s">
        <v>31</v>
      </c>
      <c r="L6843" t="s">
        <v>48</v>
      </c>
      <c r="M6843" t="s">
        <v>125</v>
      </c>
      <c r="N6843">
        <v>40.602184000000001</v>
      </c>
      <c r="O6843">
        <v>-111.938705</v>
      </c>
      <c r="P6843">
        <v>4312.8130170000004</v>
      </c>
      <c r="Q6843">
        <v>1368</v>
      </c>
      <c r="R6843">
        <v>0</v>
      </c>
    </row>
    <row r="6844" spans="1:18" x14ac:dyDescent="0.25">
      <c r="A6844">
        <v>7843</v>
      </c>
      <c r="B6844">
        <v>94</v>
      </c>
      <c r="C6844">
        <v>31404993</v>
      </c>
      <c r="D6844" t="s">
        <v>124</v>
      </c>
      <c r="E6844">
        <v>47.820999999999998</v>
      </c>
      <c r="F6844" t="s">
        <v>21</v>
      </c>
      <c r="G6844" t="s">
        <v>26</v>
      </c>
      <c r="H6844" t="s">
        <v>21</v>
      </c>
      <c r="I6844" t="s">
        <v>20</v>
      </c>
      <c r="J6844" t="s">
        <v>20</v>
      </c>
      <c r="K6844" t="s">
        <v>31</v>
      </c>
      <c r="L6844" t="s">
        <v>48</v>
      </c>
      <c r="M6844" t="s">
        <v>125</v>
      </c>
      <c r="N6844">
        <v>40.602350999999999</v>
      </c>
      <c r="O6844">
        <v>-111.93870699999999</v>
      </c>
      <c r="P6844">
        <v>4312.6665540000004</v>
      </c>
      <c r="Q6844">
        <v>1368</v>
      </c>
      <c r="R6844">
        <v>0</v>
      </c>
    </row>
    <row r="6845" spans="1:18" x14ac:dyDescent="0.25">
      <c r="A6845">
        <v>7844</v>
      </c>
      <c r="B6845">
        <v>94</v>
      </c>
      <c r="C6845">
        <v>31580552</v>
      </c>
      <c r="D6845" t="s">
        <v>172</v>
      </c>
      <c r="E6845">
        <v>47.823</v>
      </c>
      <c r="F6845" t="s">
        <v>21</v>
      </c>
      <c r="G6845" t="s">
        <v>26</v>
      </c>
      <c r="H6845" t="s">
        <v>21</v>
      </c>
      <c r="I6845" t="s">
        <v>20</v>
      </c>
      <c r="J6845" t="s">
        <v>20</v>
      </c>
      <c r="K6845" t="s">
        <v>27</v>
      </c>
      <c r="L6845" t="s">
        <v>230</v>
      </c>
      <c r="M6845" t="s">
        <v>174</v>
      </c>
      <c r="N6845">
        <v>39.624102000000001</v>
      </c>
      <c r="O6845">
        <v>-111.634461</v>
      </c>
      <c r="P6845">
        <v>5806.0770920000004</v>
      </c>
      <c r="Q6845">
        <v>1411</v>
      </c>
      <c r="R6845">
        <v>0</v>
      </c>
    </row>
    <row r="6846" spans="1:18" x14ac:dyDescent="0.25">
      <c r="A6846">
        <v>7845</v>
      </c>
      <c r="B6846">
        <v>94</v>
      </c>
      <c r="C6846" t="e">
        <f>-JYlUH13HFydJmtVfs9iSV</f>
        <v>#NAME?</v>
      </c>
      <c r="D6846" t="s">
        <v>129</v>
      </c>
      <c r="E6846">
        <v>47.828000000000003</v>
      </c>
      <c r="F6846" t="s">
        <v>21</v>
      </c>
      <c r="G6846" t="s">
        <v>20</v>
      </c>
      <c r="H6846" t="s">
        <v>21</v>
      </c>
      <c r="I6846" t="s">
        <v>20</v>
      </c>
      <c r="J6846" t="s">
        <v>20</v>
      </c>
      <c r="K6846" t="s">
        <v>31</v>
      </c>
      <c r="L6846" t="s">
        <v>130</v>
      </c>
      <c r="M6846" t="s">
        <v>328</v>
      </c>
      <c r="N6846">
        <v>40.903202</v>
      </c>
      <c r="O6846">
        <v>-110.82872500000001</v>
      </c>
      <c r="P6846">
        <v>8359.1981059999998</v>
      </c>
      <c r="Q6846">
        <v>340</v>
      </c>
      <c r="R6846">
        <v>0</v>
      </c>
    </row>
    <row r="6847" spans="1:18" x14ac:dyDescent="0.25">
      <c r="A6847">
        <v>7846</v>
      </c>
      <c r="B6847">
        <v>94</v>
      </c>
      <c r="C6847">
        <v>31443205</v>
      </c>
      <c r="D6847" t="s">
        <v>220</v>
      </c>
      <c r="E6847">
        <v>47.835000000000001</v>
      </c>
      <c r="F6847" t="s">
        <v>21</v>
      </c>
      <c r="G6847" t="s">
        <v>26</v>
      </c>
      <c r="H6847" t="s">
        <v>21</v>
      </c>
      <c r="I6847" t="s">
        <v>20</v>
      </c>
      <c r="J6847" t="s">
        <v>20</v>
      </c>
      <c r="K6847" t="s">
        <v>27</v>
      </c>
      <c r="L6847" t="s">
        <v>28</v>
      </c>
      <c r="M6847" t="s">
        <v>366</v>
      </c>
      <c r="N6847">
        <v>37.719092000000003</v>
      </c>
      <c r="O6847">
        <v>-111.781735</v>
      </c>
      <c r="P6847">
        <v>6786.217568</v>
      </c>
      <c r="Q6847">
        <v>1328</v>
      </c>
      <c r="R6847">
        <v>0</v>
      </c>
    </row>
    <row r="6848" spans="1:18" x14ac:dyDescent="0.25">
      <c r="A6848">
        <v>7847</v>
      </c>
      <c r="B6848">
        <v>94</v>
      </c>
      <c r="C6848">
        <v>28000176</v>
      </c>
      <c r="D6848" t="s">
        <v>281</v>
      </c>
      <c r="E6848">
        <v>47.847999999999999</v>
      </c>
      <c r="F6848" t="s">
        <v>21</v>
      </c>
      <c r="G6848" t="s">
        <v>26</v>
      </c>
      <c r="H6848" t="s">
        <v>21</v>
      </c>
      <c r="I6848" t="s">
        <v>20</v>
      </c>
      <c r="J6848" t="s">
        <v>20</v>
      </c>
      <c r="K6848" t="s">
        <v>31</v>
      </c>
      <c r="L6848" t="s">
        <v>282</v>
      </c>
      <c r="M6848" t="s">
        <v>283</v>
      </c>
      <c r="N6848">
        <v>40.453006000000002</v>
      </c>
      <c r="O6848">
        <v>-112.361718</v>
      </c>
      <c r="P6848">
        <v>5027.4887989999997</v>
      </c>
      <c r="Q6848">
        <v>1347</v>
      </c>
      <c r="R6848">
        <v>0</v>
      </c>
    </row>
    <row r="6849" spans="1:18" x14ac:dyDescent="0.25">
      <c r="A6849">
        <v>7848</v>
      </c>
      <c r="B6849">
        <v>94</v>
      </c>
      <c r="C6849">
        <v>31333914</v>
      </c>
      <c r="D6849" t="s">
        <v>288</v>
      </c>
      <c r="E6849">
        <v>47.85</v>
      </c>
      <c r="F6849" t="s">
        <v>21</v>
      </c>
      <c r="G6849" t="s">
        <v>26</v>
      </c>
      <c r="H6849" t="s">
        <v>21</v>
      </c>
      <c r="I6849" t="s">
        <v>20</v>
      </c>
      <c r="J6849" t="s">
        <v>20</v>
      </c>
      <c r="K6849" t="s">
        <v>27</v>
      </c>
      <c r="L6849" t="s">
        <v>327</v>
      </c>
      <c r="M6849" t="s">
        <v>212</v>
      </c>
      <c r="N6849">
        <v>37.576619000000001</v>
      </c>
      <c r="O6849">
        <v>-109.478291</v>
      </c>
      <c r="P6849">
        <v>5700.3035140000002</v>
      </c>
      <c r="Q6849">
        <v>350</v>
      </c>
      <c r="R6849">
        <v>0</v>
      </c>
    </row>
    <row r="6850" spans="1:18" x14ac:dyDescent="0.25">
      <c r="A6850">
        <v>7849</v>
      </c>
      <c r="B6850">
        <v>94</v>
      </c>
      <c r="C6850">
        <v>31405054</v>
      </c>
      <c r="D6850" t="s">
        <v>124</v>
      </c>
      <c r="E6850">
        <v>47.856000000000002</v>
      </c>
      <c r="F6850" t="s">
        <v>21</v>
      </c>
      <c r="G6850" t="s">
        <v>26</v>
      </c>
      <c r="H6850" t="s">
        <v>21</v>
      </c>
      <c r="I6850" t="s">
        <v>20</v>
      </c>
      <c r="J6850" t="s">
        <v>20</v>
      </c>
      <c r="K6850" t="s">
        <v>31</v>
      </c>
      <c r="L6850" t="s">
        <v>48</v>
      </c>
      <c r="M6850" t="s">
        <v>125</v>
      </c>
      <c r="N6850">
        <v>40.602859000000002</v>
      </c>
      <c r="O6850">
        <v>-111.938712</v>
      </c>
      <c r="P6850">
        <v>4313.2234570000001</v>
      </c>
      <c r="Q6850">
        <v>1368</v>
      </c>
      <c r="R6850">
        <v>0</v>
      </c>
    </row>
    <row r="6851" spans="1:18" x14ac:dyDescent="0.25">
      <c r="A6851">
        <v>7850</v>
      </c>
      <c r="B6851">
        <v>94</v>
      </c>
      <c r="C6851" t="e">
        <f>-JNQ0f29H_yE2edKsvG0ak</f>
        <v>#NAME?</v>
      </c>
      <c r="D6851" t="s">
        <v>310</v>
      </c>
      <c r="E6851">
        <v>8.7260000000000009</v>
      </c>
      <c r="F6851" t="s">
        <v>21</v>
      </c>
      <c r="G6851" t="s">
        <v>20</v>
      </c>
      <c r="H6851" t="s">
        <v>21</v>
      </c>
      <c r="I6851" t="s">
        <v>20</v>
      </c>
      <c r="J6851" t="s">
        <v>20</v>
      </c>
      <c r="K6851" t="s">
        <v>31</v>
      </c>
      <c r="L6851" t="s">
        <v>285</v>
      </c>
      <c r="M6851" t="s">
        <v>206</v>
      </c>
      <c r="N6851">
        <v>40.606127000000001</v>
      </c>
      <c r="O6851">
        <v>-112.488495</v>
      </c>
      <c r="P6851">
        <v>4301.5876710000002</v>
      </c>
      <c r="Q6851">
        <v>1414</v>
      </c>
      <c r="R6851">
        <v>0</v>
      </c>
    </row>
    <row r="6852" spans="1:18" x14ac:dyDescent="0.25">
      <c r="A6852">
        <v>7851</v>
      </c>
      <c r="B6852">
        <v>94</v>
      </c>
      <c r="C6852">
        <v>31732735</v>
      </c>
      <c r="D6852" t="s">
        <v>290</v>
      </c>
      <c r="E6852">
        <v>8.7309999999999999</v>
      </c>
      <c r="F6852" t="s">
        <v>21</v>
      </c>
      <c r="G6852" t="s">
        <v>26</v>
      </c>
      <c r="H6852" t="s">
        <v>21</v>
      </c>
      <c r="I6852" t="s">
        <v>20</v>
      </c>
      <c r="J6852" t="s">
        <v>20</v>
      </c>
      <c r="K6852" t="s">
        <v>41</v>
      </c>
      <c r="L6852" t="s">
        <v>291</v>
      </c>
      <c r="M6852" t="s">
        <v>238</v>
      </c>
      <c r="N6852">
        <v>41.421461999999998</v>
      </c>
      <c r="O6852">
        <v>-113.889687</v>
      </c>
      <c r="P6852">
        <v>4613.2618080000002</v>
      </c>
      <c r="Q6852">
        <v>1343</v>
      </c>
      <c r="R6852">
        <v>0</v>
      </c>
    </row>
    <row r="6853" spans="1:18" x14ac:dyDescent="0.25">
      <c r="A6853">
        <v>7852</v>
      </c>
      <c r="B6853">
        <v>94</v>
      </c>
      <c r="C6853">
        <v>31633616</v>
      </c>
      <c r="D6853" t="s">
        <v>227</v>
      </c>
      <c r="E6853">
        <v>8.7309999999999999</v>
      </c>
      <c r="F6853" t="s">
        <v>21</v>
      </c>
      <c r="G6853" t="s">
        <v>26</v>
      </c>
      <c r="H6853" t="s">
        <v>21</v>
      </c>
      <c r="I6853" t="s">
        <v>20</v>
      </c>
      <c r="J6853" t="s">
        <v>20</v>
      </c>
      <c r="K6853" t="s">
        <v>27</v>
      </c>
      <c r="L6853" t="s">
        <v>158</v>
      </c>
      <c r="M6853" t="s">
        <v>190</v>
      </c>
      <c r="N6853">
        <v>39.543342000000003</v>
      </c>
      <c r="O6853">
        <v>-110.413866</v>
      </c>
      <c r="P6853">
        <v>6257.919304</v>
      </c>
      <c r="Q6853">
        <v>1407</v>
      </c>
      <c r="R6853">
        <v>0</v>
      </c>
    </row>
    <row r="6854" spans="1:18" x14ac:dyDescent="0.25">
      <c r="A6854">
        <v>7853</v>
      </c>
      <c r="B6854">
        <v>94</v>
      </c>
      <c r="C6854">
        <v>31409924</v>
      </c>
      <c r="D6854" t="s">
        <v>224</v>
      </c>
      <c r="E6854">
        <v>8.7309999999999999</v>
      </c>
      <c r="F6854" t="s">
        <v>19</v>
      </c>
      <c r="G6854" t="s">
        <v>20</v>
      </c>
      <c r="H6854" t="s">
        <v>21</v>
      </c>
      <c r="I6854" t="s">
        <v>20</v>
      </c>
      <c r="J6854" t="s">
        <v>20</v>
      </c>
      <c r="K6854" t="s">
        <v>22</v>
      </c>
      <c r="L6854" t="s">
        <v>198</v>
      </c>
      <c r="M6854" t="s">
        <v>194</v>
      </c>
      <c r="N6854">
        <v>40.057023000000001</v>
      </c>
      <c r="O6854">
        <v>-111.673345</v>
      </c>
      <c r="P6854">
        <v>4530.8401110000004</v>
      </c>
      <c r="Q6854">
        <v>408</v>
      </c>
      <c r="R6854">
        <v>0</v>
      </c>
    </row>
    <row r="6855" spans="1:18" x14ac:dyDescent="0.25">
      <c r="A6855">
        <v>7854</v>
      </c>
      <c r="B6855">
        <v>94</v>
      </c>
      <c r="C6855">
        <v>31662684</v>
      </c>
      <c r="D6855" t="s">
        <v>244</v>
      </c>
      <c r="E6855">
        <v>55.445999999999998</v>
      </c>
      <c r="F6855" t="s">
        <v>21</v>
      </c>
      <c r="G6855" t="s">
        <v>26</v>
      </c>
      <c r="H6855" t="s">
        <v>21</v>
      </c>
      <c r="I6855" t="s">
        <v>20</v>
      </c>
      <c r="J6855" t="s">
        <v>20</v>
      </c>
      <c r="K6855" t="s">
        <v>27</v>
      </c>
      <c r="L6855" t="s">
        <v>266</v>
      </c>
      <c r="M6855" t="s">
        <v>386</v>
      </c>
      <c r="N6855">
        <v>38.395499000000001</v>
      </c>
      <c r="O6855">
        <v>-111.589483</v>
      </c>
      <c r="P6855">
        <v>7113.9735609999998</v>
      </c>
      <c r="Q6855">
        <v>1340</v>
      </c>
      <c r="R6855">
        <v>0</v>
      </c>
    </row>
    <row r="6856" spans="1:18" x14ac:dyDescent="0.25">
      <c r="A6856">
        <v>7855</v>
      </c>
      <c r="B6856">
        <v>94</v>
      </c>
      <c r="C6856">
        <v>31500404</v>
      </c>
      <c r="D6856" t="s">
        <v>124</v>
      </c>
      <c r="E6856">
        <v>55.523000000000003</v>
      </c>
      <c r="F6856" t="s">
        <v>21</v>
      </c>
      <c r="G6856" t="s">
        <v>26</v>
      </c>
      <c r="H6856" t="s">
        <v>21</v>
      </c>
      <c r="I6856" t="s">
        <v>20</v>
      </c>
      <c r="J6856" t="s">
        <v>20</v>
      </c>
      <c r="K6856" t="s">
        <v>31</v>
      </c>
      <c r="L6856" t="s">
        <v>362</v>
      </c>
      <c r="M6856" t="s">
        <v>125</v>
      </c>
      <c r="N6856">
        <v>40.714266000000002</v>
      </c>
      <c r="O6856">
        <v>-111.938879</v>
      </c>
      <c r="P6856">
        <v>4183.874812</v>
      </c>
      <c r="Q6856">
        <v>1368</v>
      </c>
      <c r="R6856">
        <v>0</v>
      </c>
    </row>
    <row r="6857" spans="1:18" x14ac:dyDescent="0.25">
      <c r="A6857">
        <v>7856</v>
      </c>
      <c r="B6857">
        <v>94</v>
      </c>
      <c r="C6857">
        <v>31583134</v>
      </c>
      <c r="D6857" t="s">
        <v>172</v>
      </c>
      <c r="E6857">
        <v>55.54</v>
      </c>
      <c r="F6857" t="s">
        <v>21</v>
      </c>
      <c r="G6857" t="s">
        <v>26</v>
      </c>
      <c r="H6857" t="s">
        <v>21</v>
      </c>
      <c r="I6857" t="s">
        <v>20</v>
      </c>
      <c r="J6857" t="s">
        <v>20</v>
      </c>
      <c r="K6857" t="s">
        <v>27</v>
      </c>
      <c r="L6857" t="s">
        <v>230</v>
      </c>
      <c r="M6857" t="s">
        <v>174</v>
      </c>
      <c r="N6857">
        <v>39.524920000000002</v>
      </c>
      <c r="O6857">
        <v>-111.581935</v>
      </c>
      <c r="P6857">
        <v>5503.2736949999999</v>
      </c>
      <c r="Q6857">
        <v>1411</v>
      </c>
      <c r="R6857">
        <v>0</v>
      </c>
    </row>
    <row r="6858" spans="1:18" x14ac:dyDescent="0.25">
      <c r="A6858">
        <v>7857</v>
      </c>
      <c r="B6858">
        <v>94</v>
      </c>
      <c r="C6858">
        <v>31662695</v>
      </c>
      <c r="D6858" t="s">
        <v>244</v>
      </c>
      <c r="E6858">
        <v>55.552</v>
      </c>
      <c r="F6858" t="s">
        <v>21</v>
      </c>
      <c r="G6858" t="s">
        <v>26</v>
      </c>
      <c r="H6858" t="s">
        <v>21</v>
      </c>
      <c r="I6858" t="s">
        <v>20</v>
      </c>
      <c r="J6858" t="s">
        <v>20</v>
      </c>
      <c r="K6858" t="s">
        <v>27</v>
      </c>
      <c r="L6858" t="s">
        <v>266</v>
      </c>
      <c r="M6858" t="s">
        <v>386</v>
      </c>
      <c r="N6858">
        <v>38.393957</v>
      </c>
      <c r="O6858">
        <v>-111.589489</v>
      </c>
      <c r="P6858">
        <v>7105.0297659999997</v>
      </c>
      <c r="Q6858">
        <v>1340</v>
      </c>
      <c r="R6858">
        <v>0</v>
      </c>
    </row>
    <row r="6859" spans="1:18" x14ac:dyDescent="0.25">
      <c r="A6859">
        <v>7858</v>
      </c>
      <c r="B6859">
        <v>94</v>
      </c>
      <c r="C6859">
        <v>31844374</v>
      </c>
      <c r="D6859" t="s">
        <v>290</v>
      </c>
      <c r="E6859">
        <v>83.346999999999994</v>
      </c>
      <c r="F6859" t="s">
        <v>21</v>
      </c>
      <c r="G6859" t="s">
        <v>20</v>
      </c>
      <c r="H6859" t="s">
        <v>21</v>
      </c>
      <c r="I6859" t="s">
        <v>20</v>
      </c>
      <c r="J6859" t="s">
        <v>20</v>
      </c>
      <c r="K6859" t="s">
        <v>41</v>
      </c>
      <c r="L6859" t="s">
        <v>291</v>
      </c>
      <c r="M6859" t="s">
        <v>238</v>
      </c>
      <c r="N6859">
        <v>41.966704</v>
      </c>
      <c r="O6859">
        <v>-112.892511</v>
      </c>
      <c r="P6859">
        <v>4348.7579219999998</v>
      </c>
      <c r="Q6859">
        <v>1343</v>
      </c>
      <c r="R6859">
        <v>0</v>
      </c>
    </row>
    <row r="6860" spans="1:18" x14ac:dyDescent="0.25">
      <c r="A6860">
        <v>7859</v>
      </c>
      <c r="B6860">
        <v>94</v>
      </c>
      <c r="C6860">
        <v>31768528</v>
      </c>
      <c r="D6860" t="s">
        <v>290</v>
      </c>
      <c r="E6860">
        <v>83.358999999999995</v>
      </c>
      <c r="F6860" t="s">
        <v>21</v>
      </c>
      <c r="G6860" t="s">
        <v>20</v>
      </c>
      <c r="H6860" t="s">
        <v>21</v>
      </c>
      <c r="I6860" t="s">
        <v>20</v>
      </c>
      <c r="J6860" t="s">
        <v>20</v>
      </c>
      <c r="K6860" t="s">
        <v>41</v>
      </c>
      <c r="L6860" t="s">
        <v>291</v>
      </c>
      <c r="M6860" t="s">
        <v>238</v>
      </c>
      <c r="N6860">
        <v>41.966706000000002</v>
      </c>
      <c r="O6860">
        <v>-112.892284</v>
      </c>
      <c r="P6860">
        <v>4348.8846530000001</v>
      </c>
      <c r="Q6860">
        <v>1343</v>
      </c>
      <c r="R6860">
        <v>0</v>
      </c>
    </row>
    <row r="6861" spans="1:18" x14ac:dyDescent="0.25">
      <c r="A6861">
        <v>7860</v>
      </c>
      <c r="B6861">
        <v>94</v>
      </c>
      <c r="C6861">
        <v>31350138</v>
      </c>
      <c r="D6861" t="s">
        <v>34</v>
      </c>
      <c r="E6861">
        <v>4.1310000000000002</v>
      </c>
      <c r="F6861" t="s">
        <v>21</v>
      </c>
      <c r="G6861" t="s">
        <v>26</v>
      </c>
      <c r="H6861" t="s">
        <v>21</v>
      </c>
      <c r="I6861" t="s">
        <v>20</v>
      </c>
      <c r="J6861" t="s">
        <v>20</v>
      </c>
      <c r="K6861" t="s">
        <v>22</v>
      </c>
      <c r="L6861" t="s">
        <v>35</v>
      </c>
      <c r="M6861" t="s">
        <v>36</v>
      </c>
      <c r="N6861">
        <v>40.512117000000003</v>
      </c>
      <c r="O6861">
        <v>-111.46802099999999</v>
      </c>
      <c r="P6861">
        <v>5528.908512</v>
      </c>
      <c r="Q6861">
        <v>1400</v>
      </c>
      <c r="R6861">
        <v>0</v>
      </c>
    </row>
    <row r="6862" spans="1:18" x14ac:dyDescent="0.25">
      <c r="A6862">
        <v>7861</v>
      </c>
      <c r="B6862">
        <v>94</v>
      </c>
      <c r="C6862">
        <v>31366757</v>
      </c>
      <c r="D6862" t="s">
        <v>229</v>
      </c>
      <c r="E6862">
        <v>4.1360000000000001</v>
      </c>
      <c r="F6862" t="s">
        <v>21</v>
      </c>
      <c r="G6862" t="s">
        <v>20</v>
      </c>
      <c r="H6862" t="s">
        <v>21</v>
      </c>
      <c r="I6862" t="s">
        <v>20</v>
      </c>
      <c r="J6862" t="s">
        <v>20</v>
      </c>
      <c r="K6862" t="s">
        <v>27</v>
      </c>
      <c r="L6862" t="s">
        <v>230</v>
      </c>
      <c r="M6862" t="s">
        <v>82</v>
      </c>
      <c r="N6862">
        <v>39.475898999999998</v>
      </c>
      <c r="O6862">
        <v>-111.57726</v>
      </c>
      <c r="P6862">
        <v>5435.9701219999997</v>
      </c>
      <c r="Q6862">
        <v>331</v>
      </c>
      <c r="R6862">
        <v>0</v>
      </c>
    </row>
    <row r="6863" spans="1:18" x14ac:dyDescent="0.25">
      <c r="A6863">
        <v>7862</v>
      </c>
      <c r="B6863">
        <v>94</v>
      </c>
      <c r="C6863" t="e">
        <f>-JS0-JanH35DzgigmoBtEk</f>
        <v>#NAME?</v>
      </c>
      <c r="D6863" t="s">
        <v>132</v>
      </c>
      <c r="E6863">
        <v>4.1440000000000001</v>
      </c>
      <c r="F6863" t="s">
        <v>21</v>
      </c>
      <c r="G6863" t="s">
        <v>20</v>
      </c>
      <c r="H6863" t="s">
        <v>21</v>
      </c>
      <c r="I6863" t="s">
        <v>20</v>
      </c>
      <c r="J6863" t="s">
        <v>20</v>
      </c>
      <c r="K6863" t="s">
        <v>22</v>
      </c>
      <c r="L6863" t="s">
        <v>133</v>
      </c>
      <c r="M6863" t="s">
        <v>134</v>
      </c>
      <c r="N6863">
        <v>40.348343</v>
      </c>
      <c r="O6863">
        <v>-110.02874</v>
      </c>
      <c r="P6863">
        <v>5367.2905780000001</v>
      </c>
      <c r="Q6863">
        <v>1405</v>
      </c>
      <c r="R6863">
        <v>0</v>
      </c>
    </row>
    <row r="6864" spans="1:18" x14ac:dyDescent="0.25">
      <c r="A6864">
        <v>7863</v>
      </c>
      <c r="B6864">
        <v>94</v>
      </c>
      <c r="C6864">
        <v>1425324</v>
      </c>
      <c r="D6864" t="s">
        <v>88</v>
      </c>
      <c r="E6864">
        <v>4.1449999999999996</v>
      </c>
      <c r="F6864" t="s">
        <v>19</v>
      </c>
      <c r="G6864" t="s">
        <v>20</v>
      </c>
      <c r="H6864" t="s">
        <v>21</v>
      </c>
      <c r="I6864" t="s">
        <v>20</v>
      </c>
      <c r="J6864" t="s">
        <v>20</v>
      </c>
      <c r="K6864" t="s">
        <v>31</v>
      </c>
      <c r="L6864" t="s">
        <v>89</v>
      </c>
      <c r="M6864" t="s">
        <v>90</v>
      </c>
      <c r="N6864">
        <v>40.526775000000001</v>
      </c>
      <c r="O6864">
        <v>-111.906654</v>
      </c>
      <c r="P6864">
        <v>4355.340886</v>
      </c>
      <c r="Q6864">
        <v>318</v>
      </c>
      <c r="R6864">
        <v>0</v>
      </c>
    </row>
    <row r="6865" spans="1:18" x14ac:dyDescent="0.25">
      <c r="A6865">
        <v>7864</v>
      </c>
      <c r="B6865">
        <v>94</v>
      </c>
      <c r="C6865" t="e">
        <f>-Ip5M0ZxIyajz1Z_IN5a-k</f>
        <v>#NAME?</v>
      </c>
      <c r="D6865" t="s">
        <v>272</v>
      </c>
      <c r="E6865">
        <v>379.36399999999998</v>
      </c>
      <c r="F6865" t="s">
        <v>19</v>
      </c>
      <c r="G6865" t="s">
        <v>20</v>
      </c>
      <c r="H6865" t="s">
        <v>21</v>
      </c>
      <c r="I6865" t="s">
        <v>20</v>
      </c>
      <c r="J6865" t="s">
        <v>20</v>
      </c>
      <c r="K6865" t="s">
        <v>31</v>
      </c>
      <c r="L6865" t="s">
        <v>66</v>
      </c>
      <c r="M6865" t="s">
        <v>49</v>
      </c>
      <c r="N6865">
        <v>40.762838000000002</v>
      </c>
      <c r="O6865">
        <v>-111.899665</v>
      </c>
      <c r="P6865">
        <v>4192.9310910000004</v>
      </c>
      <c r="Q6865">
        <v>1384</v>
      </c>
      <c r="R6865">
        <v>0</v>
      </c>
    </row>
    <row r="6866" spans="1:18" x14ac:dyDescent="0.25">
      <c r="A6866">
        <v>7865</v>
      </c>
      <c r="B6866">
        <v>94</v>
      </c>
      <c r="C6866" t="s">
        <v>843</v>
      </c>
      <c r="D6866" t="s">
        <v>272</v>
      </c>
      <c r="E6866">
        <v>379.51299999999998</v>
      </c>
      <c r="F6866" t="s">
        <v>19</v>
      </c>
      <c r="G6866" t="s">
        <v>20</v>
      </c>
      <c r="H6866" t="s">
        <v>21</v>
      </c>
      <c r="I6866" t="s">
        <v>20</v>
      </c>
      <c r="J6866" t="s">
        <v>20</v>
      </c>
      <c r="K6866" t="s">
        <v>31</v>
      </c>
      <c r="L6866" t="s">
        <v>66</v>
      </c>
      <c r="M6866" t="s">
        <v>49</v>
      </c>
      <c r="N6866">
        <v>40.765017</v>
      </c>
      <c r="O6866">
        <v>-111.899698</v>
      </c>
      <c r="P6866">
        <v>4204.4710990000003</v>
      </c>
      <c r="Q6866">
        <v>1384</v>
      </c>
      <c r="R6866">
        <v>0</v>
      </c>
    </row>
    <row r="6867" spans="1:18" x14ac:dyDescent="0.25">
      <c r="A6867">
        <v>7866</v>
      </c>
      <c r="B6867">
        <v>94</v>
      </c>
      <c r="C6867" t="e">
        <f>-Ip5TSFqGEmKj1S0t9Ojek</f>
        <v>#NAME?</v>
      </c>
      <c r="D6867" t="s">
        <v>272</v>
      </c>
      <c r="E6867">
        <v>379.66399999999999</v>
      </c>
      <c r="F6867" t="s">
        <v>19</v>
      </c>
      <c r="G6867" t="s">
        <v>20</v>
      </c>
      <c r="H6867" t="s">
        <v>21</v>
      </c>
      <c r="I6867" t="s">
        <v>20</v>
      </c>
      <c r="J6867" t="s">
        <v>20</v>
      </c>
      <c r="K6867" t="s">
        <v>31</v>
      </c>
      <c r="L6867" t="s">
        <v>66</v>
      </c>
      <c r="M6867" t="s">
        <v>49</v>
      </c>
      <c r="N6867">
        <v>40.767195000000001</v>
      </c>
      <c r="O6867">
        <v>-111.899686</v>
      </c>
      <c r="P6867">
        <v>4216.1451880000004</v>
      </c>
      <c r="Q6867">
        <v>1384</v>
      </c>
      <c r="R6867">
        <v>0</v>
      </c>
    </row>
    <row r="6868" spans="1:18" x14ac:dyDescent="0.25">
      <c r="A6868">
        <v>7867</v>
      </c>
      <c r="B6868">
        <v>94</v>
      </c>
      <c r="C6868" t="e">
        <f>-Ip5XdHHHEHr5TkSz2GL2k</f>
        <v>#NAME?</v>
      </c>
      <c r="D6868" t="s">
        <v>272</v>
      </c>
      <c r="E6868">
        <v>379.81299999999999</v>
      </c>
      <c r="F6868" t="s">
        <v>19</v>
      </c>
      <c r="G6868" t="s">
        <v>20</v>
      </c>
      <c r="H6868" t="s">
        <v>21</v>
      </c>
      <c r="I6868" t="s">
        <v>20</v>
      </c>
      <c r="J6868" t="s">
        <v>20</v>
      </c>
      <c r="K6868" t="s">
        <v>31</v>
      </c>
      <c r="L6868" t="s">
        <v>66</v>
      </c>
      <c r="M6868" t="s">
        <v>49</v>
      </c>
      <c r="N6868">
        <v>40.769354999999997</v>
      </c>
      <c r="O6868">
        <v>-111.899676</v>
      </c>
      <c r="P6868">
        <v>4221.5250569999998</v>
      </c>
      <c r="Q6868">
        <v>1384</v>
      </c>
      <c r="R6868">
        <v>0</v>
      </c>
    </row>
    <row r="6869" spans="1:18" x14ac:dyDescent="0.25">
      <c r="A6869">
        <v>7868</v>
      </c>
      <c r="B6869">
        <v>94</v>
      </c>
      <c r="C6869">
        <v>31589072</v>
      </c>
      <c r="D6869" t="s">
        <v>288</v>
      </c>
      <c r="E6869">
        <v>379.86</v>
      </c>
      <c r="F6869" t="s">
        <v>21</v>
      </c>
      <c r="G6869" t="s">
        <v>26</v>
      </c>
      <c r="H6869" t="s">
        <v>21</v>
      </c>
      <c r="I6869" t="s">
        <v>20</v>
      </c>
      <c r="J6869" t="s">
        <v>20</v>
      </c>
      <c r="K6869" t="s">
        <v>22</v>
      </c>
      <c r="L6869" t="s">
        <v>234</v>
      </c>
      <c r="M6869" t="s">
        <v>98</v>
      </c>
      <c r="N6869">
        <v>40.768948999999999</v>
      </c>
      <c r="O6869">
        <v>-109.470889</v>
      </c>
      <c r="P6869">
        <v>8187.2019929999997</v>
      </c>
      <c r="Q6869">
        <v>350</v>
      </c>
      <c r="R6869">
        <v>0</v>
      </c>
    </row>
    <row r="6870" spans="1:18" x14ac:dyDescent="0.25">
      <c r="A6870">
        <v>7869</v>
      </c>
      <c r="B6870">
        <v>94</v>
      </c>
      <c r="C6870">
        <v>31569553</v>
      </c>
      <c r="D6870" t="s">
        <v>288</v>
      </c>
      <c r="E6870">
        <v>356.26799999999997</v>
      </c>
      <c r="F6870" t="s">
        <v>21</v>
      </c>
      <c r="G6870" t="s">
        <v>26</v>
      </c>
      <c r="H6870" t="s">
        <v>21</v>
      </c>
      <c r="I6870" t="s">
        <v>20</v>
      </c>
      <c r="J6870" t="s">
        <v>20</v>
      </c>
      <c r="K6870" t="s">
        <v>22</v>
      </c>
      <c r="L6870" t="s">
        <v>234</v>
      </c>
      <c r="M6870" t="s">
        <v>98</v>
      </c>
      <c r="N6870">
        <v>40.508200000000002</v>
      </c>
      <c r="O6870">
        <v>-109.52577700000001</v>
      </c>
      <c r="P6870">
        <v>5362.9112750000004</v>
      </c>
      <c r="Q6870">
        <v>350</v>
      </c>
      <c r="R6870">
        <v>0</v>
      </c>
    </row>
    <row r="6871" spans="1:18" x14ac:dyDescent="0.25">
      <c r="A6871">
        <v>7870</v>
      </c>
      <c r="B6871">
        <v>94</v>
      </c>
      <c r="C6871">
        <v>31569575</v>
      </c>
      <c r="D6871" t="s">
        <v>288</v>
      </c>
      <c r="E6871">
        <v>358.17</v>
      </c>
      <c r="F6871" t="s">
        <v>21</v>
      </c>
      <c r="G6871" t="s">
        <v>26</v>
      </c>
      <c r="H6871" t="s">
        <v>19</v>
      </c>
      <c r="I6871">
        <v>301</v>
      </c>
      <c r="J6871" t="s">
        <v>20</v>
      </c>
      <c r="K6871" t="s">
        <v>22</v>
      </c>
      <c r="L6871" t="s">
        <v>234</v>
      </c>
      <c r="M6871" t="s">
        <v>98</v>
      </c>
      <c r="N6871">
        <v>40.533710999999997</v>
      </c>
      <c r="O6871">
        <v>-109.522186</v>
      </c>
      <c r="P6871">
        <v>5480.8537269999997</v>
      </c>
      <c r="Q6871">
        <v>350</v>
      </c>
      <c r="R6871">
        <v>0</v>
      </c>
    </row>
    <row r="6872" spans="1:18" x14ac:dyDescent="0.25">
      <c r="A6872">
        <v>7871</v>
      </c>
      <c r="B6872">
        <v>94</v>
      </c>
      <c r="C6872">
        <v>31430676</v>
      </c>
      <c r="D6872" t="s">
        <v>221</v>
      </c>
      <c r="E6872">
        <v>36.020000000000003</v>
      </c>
      <c r="F6872" t="s">
        <v>21</v>
      </c>
      <c r="G6872" t="s">
        <v>26</v>
      </c>
      <c r="H6872" t="s">
        <v>21</v>
      </c>
      <c r="I6872" t="s">
        <v>20</v>
      </c>
      <c r="J6872" t="s">
        <v>20</v>
      </c>
      <c r="K6872" t="s">
        <v>22</v>
      </c>
      <c r="L6872" t="s">
        <v>155</v>
      </c>
      <c r="M6872" t="s">
        <v>174</v>
      </c>
      <c r="N6872">
        <v>39.645831000000001</v>
      </c>
      <c r="O6872">
        <v>-111.860964</v>
      </c>
      <c r="P6872">
        <v>5250.4705560000002</v>
      </c>
      <c r="Q6872">
        <v>1342</v>
      </c>
      <c r="R6872">
        <v>0</v>
      </c>
    </row>
    <row r="6873" spans="1:18" x14ac:dyDescent="0.25">
      <c r="A6873">
        <v>7872</v>
      </c>
      <c r="B6873">
        <v>94</v>
      </c>
      <c r="C6873">
        <v>31520953</v>
      </c>
      <c r="D6873" t="s">
        <v>132</v>
      </c>
      <c r="E6873">
        <v>36.030999999999999</v>
      </c>
      <c r="F6873" t="s">
        <v>21</v>
      </c>
      <c r="G6873" t="s">
        <v>26</v>
      </c>
      <c r="H6873" t="s">
        <v>21</v>
      </c>
      <c r="I6873" t="s">
        <v>20</v>
      </c>
      <c r="J6873" t="s">
        <v>20</v>
      </c>
      <c r="K6873" t="s">
        <v>22</v>
      </c>
      <c r="L6873" t="s">
        <v>234</v>
      </c>
      <c r="M6873" t="s">
        <v>277</v>
      </c>
      <c r="N6873">
        <v>40.462434000000002</v>
      </c>
      <c r="O6873">
        <v>-109.609939</v>
      </c>
      <c r="P6873">
        <v>5676.8886590000002</v>
      </c>
      <c r="Q6873">
        <v>1405</v>
      </c>
      <c r="R6873">
        <v>0</v>
      </c>
    </row>
    <row r="6874" spans="1:18" x14ac:dyDescent="0.25">
      <c r="A6874">
        <v>7873</v>
      </c>
      <c r="B6874">
        <v>94</v>
      </c>
      <c r="C6874">
        <v>31396958</v>
      </c>
      <c r="D6874" t="s">
        <v>124</v>
      </c>
      <c r="E6874">
        <v>36.030999999999999</v>
      </c>
      <c r="F6874" t="s">
        <v>19</v>
      </c>
      <c r="G6874" t="s">
        <v>20</v>
      </c>
      <c r="H6874" t="s">
        <v>21</v>
      </c>
      <c r="I6874" t="s">
        <v>20</v>
      </c>
      <c r="J6874" t="s">
        <v>20</v>
      </c>
      <c r="K6874" t="s">
        <v>22</v>
      </c>
      <c r="L6874" t="s">
        <v>89</v>
      </c>
      <c r="M6874" t="s">
        <v>125</v>
      </c>
      <c r="N6874">
        <v>40.434299000000003</v>
      </c>
      <c r="O6874">
        <v>-111.92950500000001</v>
      </c>
      <c r="P6874">
        <v>4777.9582209999999</v>
      </c>
      <c r="Q6874">
        <v>1368</v>
      </c>
      <c r="R6874">
        <v>0</v>
      </c>
    </row>
    <row r="6875" spans="1:18" x14ac:dyDescent="0.25">
      <c r="A6875">
        <v>7874</v>
      </c>
      <c r="B6875">
        <v>94</v>
      </c>
      <c r="C6875">
        <v>31646071</v>
      </c>
      <c r="D6875" t="s">
        <v>233</v>
      </c>
      <c r="E6875">
        <v>36.039000000000001</v>
      </c>
      <c r="F6875" t="s">
        <v>21</v>
      </c>
      <c r="G6875" t="s">
        <v>20</v>
      </c>
      <c r="H6875" t="s">
        <v>21</v>
      </c>
      <c r="I6875" t="s">
        <v>20</v>
      </c>
      <c r="J6875" t="s">
        <v>20</v>
      </c>
      <c r="K6875" t="s">
        <v>22</v>
      </c>
      <c r="L6875" t="s">
        <v>234</v>
      </c>
      <c r="M6875" t="s">
        <v>235</v>
      </c>
      <c r="N6875">
        <v>40.356845</v>
      </c>
      <c r="O6875">
        <v>-109.497967</v>
      </c>
      <c r="P6875">
        <v>5280.2767199999998</v>
      </c>
      <c r="Q6875">
        <v>1354</v>
      </c>
      <c r="R6875">
        <v>0</v>
      </c>
    </row>
    <row r="6876" spans="1:18" x14ac:dyDescent="0.25">
      <c r="A6876">
        <v>7875</v>
      </c>
      <c r="B6876">
        <v>94</v>
      </c>
      <c r="C6876">
        <v>31520964</v>
      </c>
      <c r="D6876" t="s">
        <v>132</v>
      </c>
      <c r="E6876">
        <v>36.073</v>
      </c>
      <c r="F6876" t="s">
        <v>21</v>
      </c>
      <c r="G6876" t="s">
        <v>26</v>
      </c>
      <c r="H6876" t="s">
        <v>21</v>
      </c>
      <c r="I6876" t="s">
        <v>20</v>
      </c>
      <c r="J6876" t="s">
        <v>20</v>
      </c>
      <c r="K6876" t="s">
        <v>22</v>
      </c>
      <c r="L6876" t="s">
        <v>234</v>
      </c>
      <c r="M6876" t="s">
        <v>277</v>
      </c>
      <c r="N6876">
        <v>40.462553999999997</v>
      </c>
      <c r="O6876">
        <v>-109.60915799999999</v>
      </c>
      <c r="P6876">
        <v>5671.157972</v>
      </c>
      <c r="Q6876">
        <v>1405</v>
      </c>
      <c r="R6876">
        <v>0</v>
      </c>
    </row>
    <row r="6877" spans="1:18" x14ac:dyDescent="0.25">
      <c r="A6877">
        <v>7876</v>
      </c>
      <c r="B6877">
        <v>94</v>
      </c>
      <c r="C6877">
        <v>27722374</v>
      </c>
      <c r="D6877" t="s">
        <v>217</v>
      </c>
      <c r="E6877">
        <v>36.11</v>
      </c>
      <c r="F6877" t="s">
        <v>21</v>
      </c>
      <c r="G6877" t="s">
        <v>20</v>
      </c>
      <c r="H6877" t="s">
        <v>21</v>
      </c>
      <c r="I6877" t="s">
        <v>20</v>
      </c>
      <c r="J6877" t="s">
        <v>20</v>
      </c>
      <c r="K6877" t="s">
        <v>27</v>
      </c>
      <c r="L6877" t="s">
        <v>162</v>
      </c>
      <c r="M6877" t="s">
        <v>163</v>
      </c>
      <c r="N6877">
        <v>37.537936000000002</v>
      </c>
      <c r="O6877">
        <v>-113.65520100000001</v>
      </c>
      <c r="P6877">
        <v>5878.5279350000001</v>
      </c>
      <c r="Q6877">
        <v>304</v>
      </c>
      <c r="R6877">
        <v>0</v>
      </c>
    </row>
    <row r="6878" spans="1:18" x14ac:dyDescent="0.25">
      <c r="A6878">
        <v>7877</v>
      </c>
      <c r="B6878">
        <v>94</v>
      </c>
      <c r="C6878">
        <v>31609775</v>
      </c>
      <c r="D6878" t="s">
        <v>271</v>
      </c>
      <c r="E6878">
        <v>36.113999999999997</v>
      </c>
      <c r="F6878" t="s">
        <v>19</v>
      </c>
      <c r="G6878" t="s">
        <v>20</v>
      </c>
      <c r="H6878" t="s">
        <v>21</v>
      </c>
      <c r="I6878" t="s">
        <v>20</v>
      </c>
      <c r="J6878" t="s">
        <v>20</v>
      </c>
      <c r="K6878" t="s">
        <v>22</v>
      </c>
      <c r="L6878" t="s">
        <v>263</v>
      </c>
      <c r="M6878" t="s">
        <v>24</v>
      </c>
      <c r="N6878">
        <v>40.387507999999997</v>
      </c>
      <c r="O6878">
        <v>-111.922392</v>
      </c>
      <c r="P6878">
        <v>4521.6903650000004</v>
      </c>
      <c r="Q6878">
        <v>1372</v>
      </c>
      <c r="R6878">
        <v>0</v>
      </c>
    </row>
    <row r="6879" spans="1:18" x14ac:dyDescent="0.25">
      <c r="A6879">
        <v>7878</v>
      </c>
      <c r="B6879">
        <v>94</v>
      </c>
      <c r="C6879">
        <v>31309602</v>
      </c>
      <c r="D6879" t="s">
        <v>203</v>
      </c>
      <c r="E6879">
        <v>36.142000000000003</v>
      </c>
      <c r="F6879" t="s">
        <v>21</v>
      </c>
      <c r="G6879" t="s">
        <v>26</v>
      </c>
      <c r="H6879" t="s">
        <v>21</v>
      </c>
      <c r="I6879" t="s">
        <v>20</v>
      </c>
      <c r="J6879" t="s">
        <v>20</v>
      </c>
      <c r="K6879" t="s">
        <v>41</v>
      </c>
      <c r="L6879" t="s">
        <v>255</v>
      </c>
      <c r="M6879" t="s">
        <v>204</v>
      </c>
      <c r="N6879">
        <v>41.408031999999999</v>
      </c>
      <c r="O6879">
        <v>-111.594414</v>
      </c>
      <c r="P6879">
        <v>6996.5674220000001</v>
      </c>
      <c r="Q6879">
        <v>1349</v>
      </c>
      <c r="R6879">
        <v>0</v>
      </c>
    </row>
    <row r="6880" spans="1:18" x14ac:dyDescent="0.25">
      <c r="A6880">
        <v>7879</v>
      </c>
      <c r="B6880">
        <v>94</v>
      </c>
      <c r="C6880">
        <v>31520975</v>
      </c>
      <c r="D6880" t="s">
        <v>132</v>
      </c>
      <c r="E6880">
        <v>36.154000000000003</v>
      </c>
      <c r="F6880" t="s">
        <v>21</v>
      </c>
      <c r="G6880" t="s">
        <v>26</v>
      </c>
      <c r="H6880" t="s">
        <v>21</v>
      </c>
      <c r="I6880" t="s">
        <v>20</v>
      </c>
      <c r="J6880" t="s">
        <v>20</v>
      </c>
      <c r="K6880" t="s">
        <v>22</v>
      </c>
      <c r="L6880" t="s">
        <v>234</v>
      </c>
      <c r="M6880" t="s">
        <v>277</v>
      </c>
      <c r="N6880">
        <v>40.462632999999997</v>
      </c>
      <c r="O6880">
        <v>-109.607624</v>
      </c>
      <c r="P6880">
        <v>5663.5734750000001</v>
      </c>
      <c r="Q6880">
        <v>1405</v>
      </c>
      <c r="R6880">
        <v>0</v>
      </c>
    </row>
    <row r="6881" spans="1:18" x14ac:dyDescent="0.25">
      <c r="A6881">
        <v>7880</v>
      </c>
      <c r="B6881">
        <v>94</v>
      </c>
      <c r="C6881" t="e">
        <f>-IpAHcR8HyPrIGFtny9nGF</f>
        <v>#NAME?</v>
      </c>
      <c r="D6881" t="s">
        <v>126</v>
      </c>
      <c r="E6881">
        <v>9.9740000000000002</v>
      </c>
      <c r="F6881" t="s">
        <v>21</v>
      </c>
      <c r="G6881" t="s">
        <v>20</v>
      </c>
      <c r="H6881" t="s">
        <v>21</v>
      </c>
      <c r="I6881" t="s">
        <v>20</v>
      </c>
      <c r="J6881" t="s">
        <v>20</v>
      </c>
      <c r="K6881" t="s">
        <v>41</v>
      </c>
      <c r="L6881" t="s">
        <v>57</v>
      </c>
      <c r="M6881" t="s">
        <v>93</v>
      </c>
      <c r="N6881">
        <v>41.304977000000001</v>
      </c>
      <c r="O6881">
        <v>-112.05141399999999</v>
      </c>
      <c r="P6881">
        <v>4186.9521619999996</v>
      </c>
      <c r="Q6881">
        <v>1412</v>
      </c>
      <c r="R6881">
        <v>0</v>
      </c>
    </row>
    <row r="6882" spans="1:18" x14ac:dyDescent="0.25">
      <c r="A6882">
        <v>7881</v>
      </c>
      <c r="B6882">
        <v>94</v>
      </c>
      <c r="C6882">
        <v>31386912</v>
      </c>
      <c r="D6882" t="s">
        <v>305</v>
      </c>
      <c r="E6882">
        <v>9.9819999999999993</v>
      </c>
      <c r="F6882" t="s">
        <v>21</v>
      </c>
      <c r="G6882" t="s">
        <v>26</v>
      </c>
      <c r="H6882" t="s">
        <v>21</v>
      </c>
      <c r="I6882" t="s">
        <v>20</v>
      </c>
      <c r="J6882" t="s">
        <v>20</v>
      </c>
      <c r="K6882" t="s">
        <v>22</v>
      </c>
      <c r="L6882" t="s">
        <v>133</v>
      </c>
      <c r="M6882" t="s">
        <v>235</v>
      </c>
      <c r="N6882">
        <v>40.219794</v>
      </c>
      <c r="O6882">
        <v>-109.682874</v>
      </c>
      <c r="P6882">
        <v>4884.484504</v>
      </c>
      <c r="Q6882">
        <v>1383</v>
      </c>
      <c r="R6882">
        <v>0</v>
      </c>
    </row>
    <row r="6883" spans="1:18" x14ac:dyDescent="0.25">
      <c r="A6883">
        <v>7882</v>
      </c>
      <c r="B6883">
        <v>94</v>
      </c>
      <c r="C6883" t="e">
        <f>-Iov281VIi9Th55tPXBuHV</f>
        <v>#NAME?</v>
      </c>
      <c r="D6883" t="s">
        <v>176</v>
      </c>
      <c r="E6883">
        <v>9.9830000000000005</v>
      </c>
      <c r="F6883" t="s">
        <v>21</v>
      </c>
      <c r="G6883" t="s">
        <v>26</v>
      </c>
      <c r="H6883" t="s">
        <v>21</v>
      </c>
      <c r="I6883" t="s">
        <v>20</v>
      </c>
      <c r="J6883" t="s">
        <v>20</v>
      </c>
      <c r="K6883" t="s">
        <v>41</v>
      </c>
      <c r="L6883" t="s">
        <v>181</v>
      </c>
      <c r="M6883" t="s">
        <v>178</v>
      </c>
      <c r="N6883">
        <v>41.567146000000001</v>
      </c>
      <c r="O6883">
        <v>-112.129623</v>
      </c>
      <c r="P6883">
        <v>4184.7414870000002</v>
      </c>
      <c r="Q6883">
        <v>1329</v>
      </c>
      <c r="R6883">
        <v>0</v>
      </c>
    </row>
    <row r="6884" spans="1:18" x14ac:dyDescent="0.25">
      <c r="A6884">
        <v>7883</v>
      </c>
      <c r="B6884">
        <v>94</v>
      </c>
      <c r="C6884">
        <v>31412144</v>
      </c>
      <c r="D6884" t="s">
        <v>129</v>
      </c>
      <c r="E6884">
        <v>9.984</v>
      </c>
      <c r="F6884" t="s">
        <v>21</v>
      </c>
      <c r="G6884" t="s">
        <v>20</v>
      </c>
      <c r="H6884" t="s">
        <v>21</v>
      </c>
      <c r="I6884" t="s">
        <v>20</v>
      </c>
      <c r="J6884" t="s">
        <v>20</v>
      </c>
      <c r="K6884" t="s">
        <v>31</v>
      </c>
      <c r="L6884" t="s">
        <v>130</v>
      </c>
      <c r="M6884" t="s">
        <v>131</v>
      </c>
      <c r="N6884">
        <v>40.609448</v>
      </c>
      <c r="O6884">
        <v>-111.122682</v>
      </c>
      <c r="P6884">
        <v>7576.4815879999996</v>
      </c>
      <c r="Q6884">
        <v>340</v>
      </c>
      <c r="R6884">
        <v>0</v>
      </c>
    </row>
    <row r="6885" spans="1:18" x14ac:dyDescent="0.25">
      <c r="A6885">
        <v>7884</v>
      </c>
      <c r="B6885">
        <v>94</v>
      </c>
      <c r="C6885" t="e">
        <f>-JO0KmFcFgPZvLFyKPvvgF</f>
        <v>#NAME?</v>
      </c>
      <c r="D6885" t="s">
        <v>110</v>
      </c>
      <c r="E6885">
        <v>9.9860000000000007</v>
      </c>
      <c r="F6885" t="s">
        <v>21</v>
      </c>
      <c r="G6885" t="s">
        <v>20</v>
      </c>
      <c r="H6885" t="s">
        <v>21</v>
      </c>
      <c r="I6885" t="s">
        <v>20</v>
      </c>
      <c r="J6885" t="s">
        <v>20</v>
      </c>
      <c r="K6885" t="s">
        <v>27</v>
      </c>
      <c r="L6885" t="s">
        <v>111</v>
      </c>
      <c r="M6885" t="s">
        <v>112</v>
      </c>
      <c r="N6885">
        <v>39.298129000000003</v>
      </c>
      <c r="O6885">
        <v>-111.11609199999999</v>
      </c>
      <c r="P6885">
        <v>6750.0132890000004</v>
      </c>
      <c r="Q6885">
        <v>1361</v>
      </c>
      <c r="R6885">
        <v>0</v>
      </c>
    </row>
    <row r="6886" spans="1:18" x14ac:dyDescent="0.25">
      <c r="A6886">
        <v>7885</v>
      </c>
      <c r="B6886">
        <v>94</v>
      </c>
      <c r="C6886">
        <v>1050353</v>
      </c>
      <c r="D6886" t="s">
        <v>171</v>
      </c>
      <c r="E6886">
        <v>9.9890000000000008</v>
      </c>
      <c r="F6886" t="s">
        <v>19</v>
      </c>
      <c r="G6886" t="s">
        <v>20</v>
      </c>
      <c r="H6886" t="s">
        <v>21</v>
      </c>
      <c r="I6886" t="s">
        <v>20</v>
      </c>
      <c r="J6886" t="s">
        <v>20</v>
      </c>
      <c r="K6886" t="s">
        <v>31</v>
      </c>
      <c r="L6886" t="s">
        <v>69</v>
      </c>
      <c r="M6886" t="s">
        <v>79</v>
      </c>
      <c r="N6886">
        <v>40.699786000000003</v>
      </c>
      <c r="O6886">
        <v>-111.90237399999999</v>
      </c>
      <c r="P6886">
        <v>4184.1437480000004</v>
      </c>
      <c r="Q6886">
        <v>346</v>
      </c>
      <c r="R6886">
        <v>0</v>
      </c>
    </row>
    <row r="6887" spans="1:18" x14ac:dyDescent="0.25">
      <c r="A6887">
        <v>7886</v>
      </c>
      <c r="B6887">
        <v>94</v>
      </c>
      <c r="C6887" t="e">
        <f>-JWvWHWjHaLJTxqLkuF4ek</f>
        <v>#NAME?</v>
      </c>
      <c r="D6887" t="s">
        <v>303</v>
      </c>
      <c r="E6887">
        <v>9.9920000000000009</v>
      </c>
      <c r="F6887" t="s">
        <v>21</v>
      </c>
      <c r="G6887" t="s">
        <v>26</v>
      </c>
      <c r="H6887" t="s">
        <v>21</v>
      </c>
      <c r="I6887" t="s">
        <v>20</v>
      </c>
      <c r="J6887" t="s">
        <v>20</v>
      </c>
      <c r="K6887" t="s">
        <v>27</v>
      </c>
      <c r="L6887" t="s">
        <v>72</v>
      </c>
      <c r="M6887" t="s">
        <v>73</v>
      </c>
      <c r="N6887">
        <v>37.177309000000001</v>
      </c>
      <c r="O6887">
        <v>-113.284522</v>
      </c>
      <c r="P6887">
        <v>3168.4827829999999</v>
      </c>
      <c r="Q6887">
        <v>1326</v>
      </c>
      <c r="R6887">
        <v>0</v>
      </c>
    </row>
    <row r="6888" spans="1:18" x14ac:dyDescent="0.25">
      <c r="A6888">
        <v>7887</v>
      </c>
      <c r="B6888">
        <v>94</v>
      </c>
      <c r="C6888">
        <v>31511351</v>
      </c>
      <c r="D6888" t="s">
        <v>132</v>
      </c>
      <c r="E6888">
        <v>9.9949999999999992</v>
      </c>
      <c r="F6888" t="s">
        <v>21</v>
      </c>
      <c r="G6888" t="s">
        <v>26</v>
      </c>
      <c r="H6888" t="s">
        <v>21</v>
      </c>
      <c r="I6888" t="s">
        <v>20</v>
      </c>
      <c r="J6888" t="s">
        <v>20</v>
      </c>
      <c r="K6888" t="s">
        <v>22</v>
      </c>
      <c r="L6888" t="s">
        <v>133</v>
      </c>
      <c r="M6888" t="s">
        <v>134</v>
      </c>
      <c r="N6888">
        <v>40.432983</v>
      </c>
      <c r="O6888">
        <v>-110.030102</v>
      </c>
      <c r="P6888">
        <v>5965.9375179999997</v>
      </c>
      <c r="Q6888">
        <v>1405</v>
      </c>
      <c r="R6888">
        <v>0</v>
      </c>
    </row>
    <row r="6889" spans="1:18" x14ac:dyDescent="0.25">
      <c r="A6889">
        <v>7888</v>
      </c>
      <c r="B6889">
        <v>94</v>
      </c>
      <c r="C6889">
        <v>31371665</v>
      </c>
      <c r="D6889" t="s">
        <v>199</v>
      </c>
      <c r="E6889">
        <v>9.9969999999999999</v>
      </c>
      <c r="F6889" t="s">
        <v>21</v>
      </c>
      <c r="G6889" t="s">
        <v>26</v>
      </c>
      <c r="H6889" t="s">
        <v>21</v>
      </c>
      <c r="I6889" t="s">
        <v>20</v>
      </c>
      <c r="J6889" t="s">
        <v>20</v>
      </c>
      <c r="K6889" t="s">
        <v>27</v>
      </c>
      <c r="L6889" t="s">
        <v>103</v>
      </c>
      <c r="M6889" t="s">
        <v>200</v>
      </c>
      <c r="N6889">
        <v>38.264982000000003</v>
      </c>
      <c r="O6889">
        <v>-112.49108</v>
      </c>
      <c r="P6889">
        <v>7074.795959</v>
      </c>
      <c r="Q6889">
        <v>341</v>
      </c>
      <c r="R6889">
        <v>0</v>
      </c>
    </row>
    <row r="6890" spans="1:18" x14ac:dyDescent="0.25">
      <c r="A6890">
        <v>7889</v>
      </c>
      <c r="B6890">
        <v>94</v>
      </c>
      <c r="C6890">
        <v>31900076</v>
      </c>
      <c r="D6890" t="s">
        <v>272</v>
      </c>
      <c r="E6890">
        <v>90.028000000000006</v>
      </c>
      <c r="F6890" t="s">
        <v>21</v>
      </c>
      <c r="G6890" t="s">
        <v>26</v>
      </c>
      <c r="H6890" t="s">
        <v>21</v>
      </c>
      <c r="I6890" t="s">
        <v>20</v>
      </c>
      <c r="J6890" t="s">
        <v>20</v>
      </c>
      <c r="K6890" t="s">
        <v>27</v>
      </c>
      <c r="L6890" t="s">
        <v>279</v>
      </c>
      <c r="M6890" t="s">
        <v>214</v>
      </c>
      <c r="N6890">
        <v>37.322583000000002</v>
      </c>
      <c r="O6890">
        <v>-112.597697</v>
      </c>
      <c r="P6890">
        <v>5762.323625</v>
      </c>
      <c r="Q6890">
        <v>1384</v>
      </c>
      <c r="R6890">
        <v>0</v>
      </c>
    </row>
    <row r="6891" spans="1:18" x14ac:dyDescent="0.25">
      <c r="A6891">
        <v>7890</v>
      </c>
      <c r="B6891">
        <v>94</v>
      </c>
      <c r="C6891">
        <v>31476502</v>
      </c>
      <c r="D6891" t="s">
        <v>320</v>
      </c>
      <c r="E6891">
        <v>90.075999999999993</v>
      </c>
      <c r="F6891" t="s">
        <v>21</v>
      </c>
      <c r="G6891" t="s">
        <v>26</v>
      </c>
      <c r="H6891" t="s">
        <v>21</v>
      </c>
      <c r="I6891" t="s">
        <v>20</v>
      </c>
      <c r="J6891" t="s">
        <v>20</v>
      </c>
      <c r="K6891" t="s">
        <v>27</v>
      </c>
      <c r="L6891" t="s">
        <v>173</v>
      </c>
      <c r="M6891" t="s">
        <v>166</v>
      </c>
      <c r="N6891">
        <v>39.352639000000003</v>
      </c>
      <c r="O6891">
        <v>-112.551019</v>
      </c>
      <c r="P6891">
        <v>4565.7661070000004</v>
      </c>
      <c r="Q6891">
        <v>1356</v>
      </c>
      <c r="R6891">
        <v>0</v>
      </c>
    </row>
    <row r="6892" spans="1:18" x14ac:dyDescent="0.25">
      <c r="A6892">
        <v>7891</v>
      </c>
      <c r="B6892">
        <v>94</v>
      </c>
      <c r="C6892">
        <v>31555496</v>
      </c>
      <c r="D6892" t="s">
        <v>213</v>
      </c>
      <c r="E6892">
        <v>90.096000000000004</v>
      </c>
      <c r="F6892" t="s">
        <v>21</v>
      </c>
      <c r="G6892" t="s">
        <v>26</v>
      </c>
      <c r="H6892" t="s">
        <v>21</v>
      </c>
      <c r="I6892" t="s">
        <v>20</v>
      </c>
      <c r="J6892" t="s">
        <v>20</v>
      </c>
      <c r="K6892" t="s">
        <v>27</v>
      </c>
      <c r="L6892" t="s">
        <v>173</v>
      </c>
      <c r="M6892" t="s">
        <v>214</v>
      </c>
      <c r="N6892">
        <v>39.359830000000002</v>
      </c>
      <c r="O6892">
        <v>-112.55546099999999</v>
      </c>
      <c r="P6892">
        <v>4573.319058</v>
      </c>
      <c r="Q6892">
        <v>1332</v>
      </c>
      <c r="R6892">
        <v>0</v>
      </c>
    </row>
    <row r="6893" spans="1:18" x14ac:dyDescent="0.25">
      <c r="A6893">
        <v>7892</v>
      </c>
      <c r="B6893">
        <v>94</v>
      </c>
      <c r="C6893">
        <v>31769637</v>
      </c>
      <c r="D6893" t="s">
        <v>118</v>
      </c>
      <c r="E6893">
        <v>74.820999999999998</v>
      </c>
      <c r="F6893" t="s">
        <v>21</v>
      </c>
      <c r="G6893" t="s">
        <v>20</v>
      </c>
      <c r="H6893" t="s">
        <v>21</v>
      </c>
      <c r="I6893" t="s">
        <v>20</v>
      </c>
      <c r="J6893" t="s">
        <v>20</v>
      </c>
      <c r="K6893" t="s">
        <v>22</v>
      </c>
      <c r="L6893" t="s">
        <v>253</v>
      </c>
      <c r="M6893" t="s">
        <v>120</v>
      </c>
      <c r="N6893">
        <v>40.180151000000002</v>
      </c>
      <c r="O6893">
        <v>-110.61388700000001</v>
      </c>
      <c r="P6893">
        <v>6553.547149</v>
      </c>
      <c r="Q6893">
        <v>310</v>
      </c>
      <c r="R6893">
        <v>0</v>
      </c>
    </row>
    <row r="6894" spans="1:18" x14ac:dyDescent="0.25">
      <c r="A6894">
        <v>7893</v>
      </c>
      <c r="B6894">
        <v>94</v>
      </c>
      <c r="C6894">
        <v>31421062</v>
      </c>
      <c r="D6894" t="s">
        <v>288</v>
      </c>
      <c r="E6894">
        <v>74.912000000000006</v>
      </c>
      <c r="F6894" t="s">
        <v>21</v>
      </c>
      <c r="G6894" t="s">
        <v>26</v>
      </c>
      <c r="H6894" t="s">
        <v>21</v>
      </c>
      <c r="I6894" t="s">
        <v>20</v>
      </c>
      <c r="J6894" t="s">
        <v>20</v>
      </c>
      <c r="K6894" t="s">
        <v>27</v>
      </c>
      <c r="L6894" t="s">
        <v>146</v>
      </c>
      <c r="M6894" t="s">
        <v>147</v>
      </c>
      <c r="N6894">
        <v>37.916403000000003</v>
      </c>
      <c r="O6894">
        <v>-109.346063</v>
      </c>
      <c r="P6894">
        <v>6944.6833889999998</v>
      </c>
      <c r="Q6894">
        <v>350</v>
      </c>
      <c r="R6894">
        <v>0</v>
      </c>
    </row>
    <row r="6895" spans="1:18" x14ac:dyDescent="0.25">
      <c r="A6895">
        <v>7894</v>
      </c>
      <c r="B6895">
        <v>94</v>
      </c>
      <c r="C6895">
        <v>31584529</v>
      </c>
      <c r="D6895" t="s">
        <v>409</v>
      </c>
      <c r="E6895">
        <v>8.6519999999999992</v>
      </c>
      <c r="F6895" t="s">
        <v>21</v>
      </c>
      <c r="G6895" t="s">
        <v>20</v>
      </c>
      <c r="H6895" t="s">
        <v>21</v>
      </c>
      <c r="I6895" t="s">
        <v>20</v>
      </c>
      <c r="J6895" t="s">
        <v>20</v>
      </c>
      <c r="K6895" t="s">
        <v>27</v>
      </c>
      <c r="L6895" t="s">
        <v>51</v>
      </c>
      <c r="M6895" t="s">
        <v>117</v>
      </c>
      <c r="N6895">
        <v>38.040807999999998</v>
      </c>
      <c r="O6895">
        <v>-112.550426</v>
      </c>
      <c r="P6895">
        <v>7455.1002500000004</v>
      </c>
      <c r="Q6895">
        <v>1337</v>
      </c>
      <c r="R6895">
        <v>0</v>
      </c>
    </row>
    <row r="6896" spans="1:18" x14ac:dyDescent="0.25">
      <c r="A6896">
        <v>7895</v>
      </c>
      <c r="B6896">
        <v>94</v>
      </c>
      <c r="C6896">
        <v>31815940</v>
      </c>
      <c r="D6896" t="s">
        <v>61</v>
      </c>
      <c r="E6896">
        <v>8.6549999999999994</v>
      </c>
      <c r="F6896" t="s">
        <v>21</v>
      </c>
      <c r="G6896" t="s">
        <v>26</v>
      </c>
      <c r="H6896" t="s">
        <v>21</v>
      </c>
      <c r="I6896" t="s">
        <v>20</v>
      </c>
      <c r="J6896" t="s">
        <v>20</v>
      </c>
      <c r="K6896" t="s">
        <v>22</v>
      </c>
      <c r="L6896" t="s">
        <v>60</v>
      </c>
      <c r="M6896" t="s">
        <v>62</v>
      </c>
      <c r="N6896">
        <v>40.326264000000002</v>
      </c>
      <c r="O6896">
        <v>-111.641903</v>
      </c>
      <c r="P6896">
        <v>4847.8406640000003</v>
      </c>
      <c r="Q6896">
        <v>403</v>
      </c>
      <c r="R6896">
        <v>0</v>
      </c>
    </row>
    <row r="6897" spans="1:18" x14ac:dyDescent="0.25">
      <c r="A6897">
        <v>7896</v>
      </c>
      <c r="B6897">
        <v>94</v>
      </c>
      <c r="C6897">
        <v>1501193</v>
      </c>
      <c r="D6897" t="s">
        <v>88</v>
      </c>
      <c r="E6897">
        <v>8.6560000000000006</v>
      </c>
      <c r="F6897" t="s">
        <v>21</v>
      </c>
      <c r="G6897" t="s">
        <v>26</v>
      </c>
      <c r="H6897" t="s">
        <v>21</v>
      </c>
      <c r="I6897" t="s">
        <v>20</v>
      </c>
      <c r="J6897" t="s">
        <v>20</v>
      </c>
      <c r="K6897" t="s">
        <v>31</v>
      </c>
      <c r="L6897" t="s">
        <v>89</v>
      </c>
      <c r="M6897" t="s">
        <v>90</v>
      </c>
      <c r="N6897">
        <v>40.565215000000002</v>
      </c>
      <c r="O6897">
        <v>-111.872128</v>
      </c>
      <c r="P6897">
        <v>4474.0988610000004</v>
      </c>
      <c r="Q6897">
        <v>318</v>
      </c>
      <c r="R6897">
        <v>0</v>
      </c>
    </row>
    <row r="6898" spans="1:18" x14ac:dyDescent="0.25">
      <c r="A6898">
        <v>7897</v>
      </c>
      <c r="B6898">
        <v>94</v>
      </c>
      <c r="C6898">
        <v>780187</v>
      </c>
      <c r="D6898" t="s">
        <v>236</v>
      </c>
      <c r="E6898">
        <v>8.6590000000000007</v>
      </c>
      <c r="F6898" t="s">
        <v>21</v>
      </c>
      <c r="G6898" t="s">
        <v>26</v>
      </c>
      <c r="H6898" t="s">
        <v>21</v>
      </c>
      <c r="I6898" t="s">
        <v>20</v>
      </c>
      <c r="J6898" t="s">
        <v>20</v>
      </c>
      <c r="K6898" t="s">
        <v>31</v>
      </c>
      <c r="L6898" t="s">
        <v>78</v>
      </c>
      <c r="M6898" t="s">
        <v>79</v>
      </c>
      <c r="N6898">
        <v>40.690033</v>
      </c>
      <c r="O6898">
        <v>-112.09182800000001</v>
      </c>
      <c r="P6898">
        <v>4422.9889540000004</v>
      </c>
      <c r="Q6898">
        <v>1398</v>
      </c>
      <c r="R6898">
        <v>0</v>
      </c>
    </row>
    <row r="6899" spans="1:18" x14ac:dyDescent="0.25">
      <c r="A6899">
        <v>7898</v>
      </c>
      <c r="B6899">
        <v>94</v>
      </c>
      <c r="C6899">
        <v>31853707</v>
      </c>
      <c r="D6899" t="s">
        <v>272</v>
      </c>
      <c r="E6899">
        <v>77.301000000000002</v>
      </c>
      <c r="F6899" t="s">
        <v>21</v>
      </c>
      <c r="G6899" t="s">
        <v>26</v>
      </c>
      <c r="H6899" t="s">
        <v>21</v>
      </c>
      <c r="I6899" t="s">
        <v>20</v>
      </c>
      <c r="J6899" t="s">
        <v>20</v>
      </c>
      <c r="K6899" t="s">
        <v>27</v>
      </c>
      <c r="L6899" t="s">
        <v>279</v>
      </c>
      <c r="M6899" t="s">
        <v>214</v>
      </c>
      <c r="N6899">
        <v>37.185675000000003</v>
      </c>
      <c r="O6899">
        <v>-112.649967</v>
      </c>
      <c r="P6899">
        <v>5918.4508269999997</v>
      </c>
      <c r="Q6899">
        <v>1384</v>
      </c>
      <c r="R6899">
        <v>0</v>
      </c>
    </row>
    <row r="6900" spans="1:18" x14ac:dyDescent="0.25">
      <c r="A6900">
        <v>7899</v>
      </c>
      <c r="B6900">
        <v>94</v>
      </c>
      <c r="C6900">
        <v>28760843</v>
      </c>
      <c r="D6900" t="s">
        <v>142</v>
      </c>
      <c r="E6900">
        <v>77.320999999999998</v>
      </c>
      <c r="F6900" t="s">
        <v>21</v>
      </c>
      <c r="G6900" t="s">
        <v>26</v>
      </c>
      <c r="H6900" t="s">
        <v>21</v>
      </c>
      <c r="I6900" t="s">
        <v>20</v>
      </c>
      <c r="J6900" t="s">
        <v>20</v>
      </c>
      <c r="K6900" t="s">
        <v>27</v>
      </c>
      <c r="L6900" t="s">
        <v>143</v>
      </c>
      <c r="M6900" t="s">
        <v>106</v>
      </c>
      <c r="N6900">
        <v>38.391374999999996</v>
      </c>
      <c r="O6900">
        <v>-113.01231799999999</v>
      </c>
      <c r="P6900">
        <v>4893.049583</v>
      </c>
      <c r="Q6900">
        <v>305</v>
      </c>
      <c r="R6900">
        <v>0</v>
      </c>
    </row>
    <row r="6901" spans="1:18" x14ac:dyDescent="0.25">
      <c r="A6901">
        <v>7900</v>
      </c>
      <c r="B6901">
        <v>94</v>
      </c>
      <c r="C6901">
        <v>31770414</v>
      </c>
      <c r="D6901" t="s">
        <v>118</v>
      </c>
      <c r="E6901">
        <v>77.448999999999998</v>
      </c>
      <c r="F6901" t="s">
        <v>21</v>
      </c>
      <c r="G6901" t="s">
        <v>20</v>
      </c>
      <c r="H6901" t="s">
        <v>21</v>
      </c>
      <c r="I6901" t="s">
        <v>20</v>
      </c>
      <c r="J6901" t="s">
        <v>20</v>
      </c>
      <c r="K6901" t="s">
        <v>22</v>
      </c>
      <c r="L6901" t="s">
        <v>253</v>
      </c>
      <c r="M6901" t="s">
        <v>120</v>
      </c>
      <c r="N6901">
        <v>40.171258000000002</v>
      </c>
      <c r="O6901">
        <v>-110.56648</v>
      </c>
      <c r="P6901">
        <v>6243.8406489999998</v>
      </c>
      <c r="Q6901">
        <v>310</v>
      </c>
      <c r="R6901">
        <v>0</v>
      </c>
    </row>
    <row r="6902" spans="1:18" x14ac:dyDescent="0.25">
      <c r="A6902">
        <v>7901</v>
      </c>
      <c r="B6902">
        <v>94</v>
      </c>
      <c r="C6902">
        <v>28760904</v>
      </c>
      <c r="D6902" t="s">
        <v>142</v>
      </c>
      <c r="E6902">
        <v>77.453999999999994</v>
      </c>
      <c r="F6902" t="s">
        <v>21</v>
      </c>
      <c r="G6902" t="s">
        <v>26</v>
      </c>
      <c r="H6902" t="s">
        <v>21</v>
      </c>
      <c r="I6902" t="s">
        <v>20</v>
      </c>
      <c r="J6902" t="s">
        <v>20</v>
      </c>
      <c r="K6902" t="s">
        <v>27</v>
      </c>
      <c r="L6902" t="s">
        <v>143</v>
      </c>
      <c r="M6902" t="s">
        <v>106</v>
      </c>
      <c r="N6902">
        <v>38.389662000000001</v>
      </c>
      <c r="O6902">
        <v>-113.01345999999999</v>
      </c>
      <c r="P6902">
        <v>4895.8125790000004</v>
      </c>
      <c r="Q6902">
        <v>305</v>
      </c>
      <c r="R6902">
        <v>0</v>
      </c>
    </row>
    <row r="6903" spans="1:18" x14ac:dyDescent="0.25">
      <c r="A6903">
        <v>7902</v>
      </c>
      <c r="B6903">
        <v>94</v>
      </c>
      <c r="C6903">
        <v>31421967</v>
      </c>
      <c r="D6903" t="s">
        <v>288</v>
      </c>
      <c r="E6903">
        <v>77.463999999999999</v>
      </c>
      <c r="F6903" t="s">
        <v>21</v>
      </c>
      <c r="G6903" t="s">
        <v>20</v>
      </c>
      <c r="H6903" t="s">
        <v>21</v>
      </c>
      <c r="I6903" t="s">
        <v>20</v>
      </c>
      <c r="J6903" t="s">
        <v>20</v>
      </c>
      <c r="K6903" t="s">
        <v>27</v>
      </c>
      <c r="L6903" t="s">
        <v>146</v>
      </c>
      <c r="M6903" t="s">
        <v>147</v>
      </c>
      <c r="N6903">
        <v>37.953094999999998</v>
      </c>
      <c r="O6903">
        <v>-109.34815999999999</v>
      </c>
      <c r="P6903">
        <v>6906.9667179999997</v>
      </c>
      <c r="Q6903">
        <v>350</v>
      </c>
      <c r="R6903">
        <v>0</v>
      </c>
    </row>
    <row r="6904" spans="1:18" x14ac:dyDescent="0.25">
      <c r="A6904">
        <v>7903</v>
      </c>
      <c r="B6904">
        <v>94</v>
      </c>
      <c r="C6904">
        <v>31770425</v>
      </c>
      <c r="D6904" t="s">
        <v>118</v>
      </c>
      <c r="E6904">
        <v>77.531000000000006</v>
      </c>
      <c r="F6904" t="s">
        <v>21</v>
      </c>
      <c r="G6904" t="s">
        <v>20</v>
      </c>
      <c r="H6904" t="s">
        <v>21</v>
      </c>
      <c r="I6904" t="s">
        <v>20</v>
      </c>
      <c r="J6904" t="s">
        <v>20</v>
      </c>
      <c r="K6904" t="s">
        <v>22</v>
      </c>
      <c r="L6904" t="s">
        <v>253</v>
      </c>
      <c r="M6904" t="s">
        <v>120</v>
      </c>
      <c r="N6904">
        <v>40.171349999999997</v>
      </c>
      <c r="O6904">
        <v>-110.564942</v>
      </c>
      <c r="P6904">
        <v>6229.0111440000001</v>
      </c>
      <c r="Q6904">
        <v>310</v>
      </c>
      <c r="R6904">
        <v>0</v>
      </c>
    </row>
    <row r="6905" spans="1:18" x14ac:dyDescent="0.25">
      <c r="A6905">
        <v>7904</v>
      </c>
      <c r="B6905">
        <v>94</v>
      </c>
      <c r="C6905">
        <v>31540034</v>
      </c>
      <c r="D6905" t="s">
        <v>213</v>
      </c>
      <c r="E6905">
        <v>77.542000000000002</v>
      </c>
      <c r="F6905" t="s">
        <v>21</v>
      </c>
      <c r="G6905" t="s">
        <v>26</v>
      </c>
      <c r="H6905" t="s">
        <v>21</v>
      </c>
      <c r="I6905" t="s">
        <v>20</v>
      </c>
      <c r="J6905" t="s">
        <v>20</v>
      </c>
      <c r="K6905" t="s">
        <v>27</v>
      </c>
      <c r="L6905" t="s">
        <v>173</v>
      </c>
      <c r="M6905" t="s">
        <v>214</v>
      </c>
      <c r="N6905">
        <v>39.312510000000003</v>
      </c>
      <c r="O6905">
        <v>-112.76482300000001</v>
      </c>
      <c r="P6905">
        <v>4504.6254630000003</v>
      </c>
      <c r="Q6905">
        <v>1332</v>
      </c>
      <c r="R6905">
        <v>0</v>
      </c>
    </row>
    <row r="6906" spans="1:18" x14ac:dyDescent="0.25">
      <c r="A6906">
        <v>7905</v>
      </c>
      <c r="B6906">
        <v>94</v>
      </c>
      <c r="C6906">
        <v>31853718</v>
      </c>
      <c r="D6906" t="s">
        <v>272</v>
      </c>
      <c r="E6906">
        <v>77.736000000000004</v>
      </c>
      <c r="F6906" t="s">
        <v>21</v>
      </c>
      <c r="G6906" t="s">
        <v>26</v>
      </c>
      <c r="H6906" t="s">
        <v>21</v>
      </c>
      <c r="I6906" t="s">
        <v>20</v>
      </c>
      <c r="J6906" t="s">
        <v>20</v>
      </c>
      <c r="K6906" t="s">
        <v>27</v>
      </c>
      <c r="L6906" t="s">
        <v>279</v>
      </c>
      <c r="M6906" t="s">
        <v>214</v>
      </c>
      <c r="N6906">
        <v>37.188519999999997</v>
      </c>
      <c r="O6906">
        <v>-112.65703000000001</v>
      </c>
      <c r="P6906">
        <v>5829.0416809999997</v>
      </c>
      <c r="Q6906">
        <v>1384</v>
      </c>
      <c r="R6906">
        <v>0</v>
      </c>
    </row>
    <row r="6907" spans="1:18" x14ac:dyDescent="0.25">
      <c r="A6907">
        <v>7906</v>
      </c>
      <c r="B6907">
        <v>94</v>
      </c>
      <c r="C6907">
        <v>31371756</v>
      </c>
      <c r="D6907" t="s">
        <v>142</v>
      </c>
      <c r="E6907">
        <v>77.87</v>
      </c>
      <c r="F6907" t="s">
        <v>21</v>
      </c>
      <c r="G6907" t="s">
        <v>26</v>
      </c>
      <c r="H6907" t="s">
        <v>21</v>
      </c>
      <c r="I6907" t="s">
        <v>20</v>
      </c>
      <c r="J6907" t="s">
        <v>20</v>
      </c>
      <c r="K6907" t="s">
        <v>27</v>
      </c>
      <c r="L6907" t="s">
        <v>143</v>
      </c>
      <c r="M6907" t="s">
        <v>106</v>
      </c>
      <c r="N6907">
        <v>38.386819000000003</v>
      </c>
      <c r="O6907">
        <v>-113.00980800000001</v>
      </c>
      <c r="P6907">
        <v>4893.0057459999998</v>
      </c>
      <c r="Q6907">
        <v>305</v>
      </c>
      <c r="R6907">
        <v>0</v>
      </c>
    </row>
    <row r="6908" spans="1:18" x14ac:dyDescent="0.25">
      <c r="A6908">
        <v>7907</v>
      </c>
      <c r="B6908">
        <v>94</v>
      </c>
      <c r="C6908">
        <v>31371767</v>
      </c>
      <c r="D6908" t="s">
        <v>142</v>
      </c>
      <c r="E6908">
        <v>78.304000000000002</v>
      </c>
      <c r="F6908" t="s">
        <v>21</v>
      </c>
      <c r="G6908" t="s">
        <v>26</v>
      </c>
      <c r="H6908" t="s">
        <v>21</v>
      </c>
      <c r="I6908" t="s">
        <v>20</v>
      </c>
      <c r="J6908" t="s">
        <v>20</v>
      </c>
      <c r="K6908" t="s">
        <v>27</v>
      </c>
      <c r="L6908" t="s">
        <v>143</v>
      </c>
      <c r="M6908" t="s">
        <v>106</v>
      </c>
      <c r="N6908">
        <v>38.382559000000001</v>
      </c>
      <c r="O6908">
        <v>-113.004689</v>
      </c>
      <c r="P6908">
        <v>4891.9958999999999</v>
      </c>
      <c r="Q6908">
        <v>305</v>
      </c>
      <c r="R6908">
        <v>0</v>
      </c>
    </row>
    <row r="6909" spans="1:18" x14ac:dyDescent="0.25">
      <c r="A6909">
        <v>7908</v>
      </c>
      <c r="B6909">
        <v>94</v>
      </c>
      <c r="C6909">
        <v>31770447</v>
      </c>
      <c r="D6909" t="s">
        <v>118</v>
      </c>
      <c r="E6909">
        <v>78.379000000000005</v>
      </c>
      <c r="F6909" t="s">
        <v>21</v>
      </c>
      <c r="G6909" t="s">
        <v>26</v>
      </c>
      <c r="H6909" t="s">
        <v>21</v>
      </c>
      <c r="I6909" t="s">
        <v>20</v>
      </c>
      <c r="J6909" t="s">
        <v>20</v>
      </c>
      <c r="K6909" t="s">
        <v>22</v>
      </c>
      <c r="L6909" t="s">
        <v>253</v>
      </c>
      <c r="M6909" t="s">
        <v>120</v>
      </c>
      <c r="N6909">
        <v>40.172818999999997</v>
      </c>
      <c r="O6909">
        <v>-110.548973</v>
      </c>
      <c r="P6909">
        <v>6060.6443069999996</v>
      </c>
      <c r="Q6909">
        <v>310</v>
      </c>
      <c r="R6909">
        <v>0</v>
      </c>
    </row>
    <row r="6910" spans="1:18" x14ac:dyDescent="0.25">
      <c r="A6910">
        <v>7909</v>
      </c>
      <c r="B6910">
        <v>94</v>
      </c>
      <c r="C6910">
        <v>31748691</v>
      </c>
      <c r="D6910" t="s">
        <v>290</v>
      </c>
      <c r="E6910">
        <v>66.715000000000003</v>
      </c>
      <c r="F6910" t="s">
        <v>21</v>
      </c>
      <c r="G6910" t="s">
        <v>20</v>
      </c>
      <c r="H6910" t="s">
        <v>21</v>
      </c>
      <c r="I6910" t="s">
        <v>20</v>
      </c>
      <c r="J6910" t="s">
        <v>20</v>
      </c>
      <c r="K6910" t="s">
        <v>41</v>
      </c>
      <c r="L6910" t="s">
        <v>291</v>
      </c>
      <c r="M6910" t="s">
        <v>238</v>
      </c>
      <c r="N6910">
        <v>41.862253000000003</v>
      </c>
      <c r="O6910">
        <v>-113.127808</v>
      </c>
      <c r="P6910">
        <v>4626.7503589999997</v>
      </c>
      <c r="Q6910">
        <v>1343</v>
      </c>
      <c r="R6910">
        <v>0</v>
      </c>
    </row>
    <row r="6911" spans="1:18" x14ac:dyDescent="0.25">
      <c r="A6911">
        <v>7910</v>
      </c>
      <c r="B6911">
        <v>94</v>
      </c>
      <c r="C6911" t="s">
        <v>844</v>
      </c>
      <c r="D6911" t="s">
        <v>124</v>
      </c>
      <c r="E6911">
        <v>36.182000000000002</v>
      </c>
      <c r="F6911" t="s">
        <v>21</v>
      </c>
      <c r="G6911" t="s">
        <v>20</v>
      </c>
      <c r="H6911" t="s">
        <v>21</v>
      </c>
      <c r="I6911" t="s">
        <v>20</v>
      </c>
      <c r="J6911" t="s">
        <v>20</v>
      </c>
      <c r="K6911" t="s">
        <v>31</v>
      </c>
      <c r="L6911" t="s">
        <v>89</v>
      </c>
      <c r="M6911" t="s">
        <v>125</v>
      </c>
      <c r="N6911">
        <v>40.436346999999998</v>
      </c>
      <c r="O6911">
        <v>-111.930513</v>
      </c>
      <c r="P6911">
        <v>4743.430488</v>
      </c>
      <c r="Q6911">
        <v>1368</v>
      </c>
      <c r="R6911">
        <v>0</v>
      </c>
    </row>
    <row r="6912" spans="1:18" x14ac:dyDescent="0.25">
      <c r="A6912">
        <v>7911</v>
      </c>
      <c r="B6912">
        <v>94</v>
      </c>
      <c r="C6912">
        <v>31520986</v>
      </c>
      <c r="D6912" t="s">
        <v>132</v>
      </c>
      <c r="E6912">
        <v>36.203000000000003</v>
      </c>
      <c r="F6912" t="s">
        <v>21</v>
      </c>
      <c r="G6912" t="s">
        <v>20</v>
      </c>
      <c r="H6912" t="s">
        <v>21</v>
      </c>
      <c r="I6912" t="s">
        <v>20</v>
      </c>
      <c r="J6912" t="s">
        <v>20</v>
      </c>
      <c r="K6912" t="s">
        <v>22</v>
      </c>
      <c r="L6912" t="s">
        <v>234</v>
      </c>
      <c r="M6912" t="s">
        <v>277</v>
      </c>
      <c r="N6912">
        <v>40.462640999999998</v>
      </c>
      <c r="O6912">
        <v>-109.60668699999999</v>
      </c>
      <c r="P6912">
        <v>5660.3761080000004</v>
      </c>
      <c r="Q6912">
        <v>1405</v>
      </c>
      <c r="R6912">
        <v>0</v>
      </c>
    </row>
    <row r="6913" spans="1:18" x14ac:dyDescent="0.25">
      <c r="A6913">
        <v>7912</v>
      </c>
      <c r="B6913">
        <v>94</v>
      </c>
      <c r="C6913" t="e">
        <f>-Ip-IBwgHsatLFwuft5fLV</f>
        <v>#NAME?</v>
      </c>
      <c r="D6913" t="s">
        <v>63</v>
      </c>
      <c r="E6913">
        <v>36.24</v>
      </c>
      <c r="F6913" t="s">
        <v>21</v>
      </c>
      <c r="G6913" t="s">
        <v>26</v>
      </c>
      <c r="H6913" t="s">
        <v>21</v>
      </c>
      <c r="I6913" t="s">
        <v>20</v>
      </c>
      <c r="J6913" t="s">
        <v>20</v>
      </c>
      <c r="K6913" t="s">
        <v>27</v>
      </c>
      <c r="L6913" t="s">
        <v>266</v>
      </c>
      <c r="M6913" t="s">
        <v>29</v>
      </c>
      <c r="N6913">
        <v>38.487915999999998</v>
      </c>
      <c r="O6913">
        <v>-111.885853</v>
      </c>
      <c r="P6913">
        <v>6752.1205849999997</v>
      </c>
      <c r="Q6913">
        <v>1365</v>
      </c>
      <c r="R6913">
        <v>0</v>
      </c>
    </row>
    <row r="6914" spans="1:18" x14ac:dyDescent="0.25">
      <c r="A6914">
        <v>7913</v>
      </c>
      <c r="B6914">
        <v>94</v>
      </c>
      <c r="C6914">
        <v>31518633</v>
      </c>
      <c r="D6914" t="s">
        <v>292</v>
      </c>
      <c r="E6914">
        <v>36.279000000000003</v>
      </c>
      <c r="F6914" t="s">
        <v>21</v>
      </c>
      <c r="G6914" t="s">
        <v>20</v>
      </c>
      <c r="H6914" t="s">
        <v>21</v>
      </c>
      <c r="I6914" t="s">
        <v>20</v>
      </c>
      <c r="J6914" t="s">
        <v>20</v>
      </c>
      <c r="K6914" t="s">
        <v>22</v>
      </c>
      <c r="L6914" t="s">
        <v>133</v>
      </c>
      <c r="M6914" t="s">
        <v>134</v>
      </c>
      <c r="N6914">
        <v>40.258477999999997</v>
      </c>
      <c r="O6914">
        <v>-110.095736</v>
      </c>
      <c r="P6914">
        <v>5232.5013330000002</v>
      </c>
      <c r="Q6914">
        <v>323</v>
      </c>
      <c r="R6914">
        <v>0</v>
      </c>
    </row>
    <row r="6915" spans="1:18" x14ac:dyDescent="0.25">
      <c r="A6915">
        <v>7914</v>
      </c>
      <c r="B6915">
        <v>94</v>
      </c>
      <c r="C6915" t="e">
        <f>-JOZF2SRFiPi66w_bD7wQF</f>
        <v>#NAME?</v>
      </c>
      <c r="D6915" t="s">
        <v>241</v>
      </c>
      <c r="E6915">
        <v>36.301000000000002</v>
      </c>
      <c r="F6915" t="s">
        <v>21</v>
      </c>
      <c r="G6915" t="s">
        <v>20</v>
      </c>
      <c r="H6915" t="s">
        <v>21</v>
      </c>
      <c r="I6915" t="s">
        <v>20</v>
      </c>
      <c r="J6915" t="s">
        <v>20</v>
      </c>
      <c r="K6915" t="s">
        <v>27</v>
      </c>
      <c r="L6915" t="s">
        <v>111</v>
      </c>
      <c r="M6915" t="s">
        <v>243</v>
      </c>
      <c r="N6915">
        <v>39.191428999999999</v>
      </c>
      <c r="O6915">
        <v>-111.024542</v>
      </c>
      <c r="P6915">
        <v>5591.3485280000004</v>
      </c>
      <c r="Q6915">
        <v>1327</v>
      </c>
      <c r="R6915">
        <v>0</v>
      </c>
    </row>
    <row r="6916" spans="1:18" x14ac:dyDescent="0.25">
      <c r="A6916">
        <v>7915</v>
      </c>
      <c r="B6916">
        <v>94</v>
      </c>
      <c r="C6916" t="e">
        <f>-IoMvJTWIO12Rj1LRbDBXF</f>
        <v>#NAME?</v>
      </c>
      <c r="D6916" t="s">
        <v>272</v>
      </c>
      <c r="E6916">
        <v>280.10000000000002</v>
      </c>
      <c r="F6916" t="s">
        <v>21</v>
      </c>
      <c r="G6916" t="s">
        <v>20</v>
      </c>
      <c r="H6916" t="s">
        <v>21</v>
      </c>
      <c r="I6916" t="s">
        <v>20</v>
      </c>
      <c r="J6916" t="s">
        <v>20</v>
      </c>
      <c r="K6916" t="s">
        <v>27</v>
      </c>
      <c r="L6916" t="s">
        <v>230</v>
      </c>
      <c r="M6916" t="s">
        <v>174</v>
      </c>
      <c r="N6916">
        <v>39.579191000000002</v>
      </c>
      <c r="O6916">
        <v>-111.455355</v>
      </c>
      <c r="P6916">
        <v>5758.0598170000003</v>
      </c>
      <c r="Q6916">
        <v>1384</v>
      </c>
      <c r="R6916">
        <v>0</v>
      </c>
    </row>
    <row r="6917" spans="1:18" x14ac:dyDescent="0.25">
      <c r="A6917">
        <v>7916</v>
      </c>
      <c r="B6917">
        <v>94</v>
      </c>
      <c r="C6917" t="e">
        <f>-IpPJqQJI7LbCwpciuZEmV</f>
        <v>#NAME?</v>
      </c>
      <c r="D6917" t="s">
        <v>272</v>
      </c>
      <c r="E6917">
        <v>403.52199999999999</v>
      </c>
      <c r="F6917" t="s">
        <v>19</v>
      </c>
      <c r="G6917" t="s">
        <v>20</v>
      </c>
      <c r="H6917" t="s">
        <v>21</v>
      </c>
      <c r="I6917" t="s">
        <v>20</v>
      </c>
      <c r="J6917" t="s">
        <v>20</v>
      </c>
      <c r="K6917" t="s">
        <v>41</v>
      </c>
      <c r="L6917" t="s">
        <v>87</v>
      </c>
      <c r="M6917" t="s">
        <v>46</v>
      </c>
      <c r="N6917">
        <v>41.096448000000002</v>
      </c>
      <c r="O6917">
        <v>-111.910363</v>
      </c>
      <c r="P6917">
        <v>4866.490135</v>
      </c>
      <c r="Q6917">
        <v>1384</v>
      </c>
      <c r="R6917">
        <v>0</v>
      </c>
    </row>
    <row r="6918" spans="1:18" x14ac:dyDescent="0.25">
      <c r="A6918">
        <v>7917</v>
      </c>
      <c r="B6918">
        <v>94</v>
      </c>
      <c r="C6918">
        <v>31596582</v>
      </c>
      <c r="D6918" t="s">
        <v>288</v>
      </c>
      <c r="E6918">
        <v>403.52699999999999</v>
      </c>
      <c r="F6918" t="s">
        <v>21</v>
      </c>
      <c r="G6918" t="s">
        <v>361</v>
      </c>
      <c r="H6918" t="s">
        <v>21</v>
      </c>
      <c r="I6918" t="s">
        <v>20</v>
      </c>
      <c r="J6918" t="s">
        <v>20</v>
      </c>
      <c r="K6918" t="s">
        <v>22</v>
      </c>
      <c r="L6918" t="s">
        <v>97</v>
      </c>
      <c r="M6918" t="s">
        <v>98</v>
      </c>
      <c r="N6918">
        <v>40.991466000000003</v>
      </c>
      <c r="O6918">
        <v>-109.43611900000001</v>
      </c>
      <c r="P6918">
        <v>6295.5054490000002</v>
      </c>
      <c r="Q6918">
        <v>350</v>
      </c>
      <c r="R6918">
        <v>0</v>
      </c>
    </row>
    <row r="6919" spans="1:18" x14ac:dyDescent="0.25">
      <c r="A6919">
        <v>7918</v>
      </c>
      <c r="B6919">
        <v>94</v>
      </c>
      <c r="C6919">
        <v>31596593</v>
      </c>
      <c r="D6919" t="s">
        <v>288</v>
      </c>
      <c r="E6919">
        <v>403.72399999999999</v>
      </c>
      <c r="F6919" t="s">
        <v>21</v>
      </c>
      <c r="G6919" t="s">
        <v>26</v>
      </c>
      <c r="H6919" t="s">
        <v>21</v>
      </c>
      <c r="I6919" t="s">
        <v>20</v>
      </c>
      <c r="J6919" t="s">
        <v>20</v>
      </c>
      <c r="K6919" t="s">
        <v>22</v>
      </c>
      <c r="L6919" t="s">
        <v>97</v>
      </c>
      <c r="M6919" t="s">
        <v>98</v>
      </c>
      <c r="N6919">
        <v>40.99389</v>
      </c>
      <c r="O6919">
        <v>-109.434121</v>
      </c>
      <c r="P6919">
        <v>6301.2033620000002</v>
      </c>
      <c r="Q6919">
        <v>350</v>
      </c>
      <c r="R6919">
        <v>0</v>
      </c>
    </row>
    <row r="6920" spans="1:18" x14ac:dyDescent="0.25">
      <c r="A6920">
        <v>7919</v>
      </c>
      <c r="B6920">
        <v>94</v>
      </c>
      <c r="C6920">
        <v>28760565</v>
      </c>
      <c r="D6920" t="s">
        <v>142</v>
      </c>
      <c r="E6920">
        <v>77.022999999999996</v>
      </c>
      <c r="F6920" t="s">
        <v>21</v>
      </c>
      <c r="G6920" t="s">
        <v>26</v>
      </c>
      <c r="H6920" t="s">
        <v>21</v>
      </c>
      <c r="I6920" t="s">
        <v>20</v>
      </c>
      <c r="J6920" t="s">
        <v>20</v>
      </c>
      <c r="K6920" t="s">
        <v>27</v>
      </c>
      <c r="L6920" t="s">
        <v>143</v>
      </c>
      <c r="M6920" t="s">
        <v>106</v>
      </c>
      <c r="N6920">
        <v>38.395580000000002</v>
      </c>
      <c r="O6920">
        <v>-113.01111899999999</v>
      </c>
      <c r="P6920">
        <v>4889.253487</v>
      </c>
      <c r="Q6920">
        <v>305</v>
      </c>
      <c r="R6920">
        <v>0</v>
      </c>
    </row>
    <row r="6921" spans="1:18" x14ac:dyDescent="0.25">
      <c r="A6921">
        <v>7920</v>
      </c>
      <c r="B6921">
        <v>94</v>
      </c>
      <c r="C6921">
        <v>28760576</v>
      </c>
      <c r="D6921" t="s">
        <v>142</v>
      </c>
      <c r="E6921">
        <v>77.072999999999993</v>
      </c>
      <c r="F6921" t="s">
        <v>21</v>
      </c>
      <c r="G6921" t="s">
        <v>26</v>
      </c>
      <c r="H6921" t="s">
        <v>21</v>
      </c>
      <c r="I6921" t="s">
        <v>20</v>
      </c>
      <c r="J6921" t="s">
        <v>20</v>
      </c>
      <c r="K6921" t="s">
        <v>27</v>
      </c>
      <c r="L6921" t="s">
        <v>143</v>
      </c>
      <c r="M6921" t="s">
        <v>106</v>
      </c>
      <c r="N6921">
        <v>38.394879000000003</v>
      </c>
      <c r="O6921">
        <v>-113.011273</v>
      </c>
      <c r="P6921">
        <v>4889.2728299999999</v>
      </c>
      <c r="Q6921">
        <v>305</v>
      </c>
      <c r="R6921">
        <v>0</v>
      </c>
    </row>
    <row r="6922" spans="1:18" x14ac:dyDescent="0.25">
      <c r="A6922">
        <v>7921</v>
      </c>
      <c r="B6922">
        <v>94</v>
      </c>
      <c r="C6922">
        <v>31774329</v>
      </c>
      <c r="D6922" t="s">
        <v>118</v>
      </c>
      <c r="E6922">
        <v>86.432000000000002</v>
      </c>
      <c r="F6922" t="s">
        <v>21</v>
      </c>
      <c r="G6922" t="s">
        <v>26</v>
      </c>
      <c r="H6922" t="s">
        <v>19</v>
      </c>
      <c r="I6922">
        <v>191</v>
      </c>
      <c r="J6922" t="s">
        <v>20</v>
      </c>
      <c r="K6922" t="s">
        <v>22</v>
      </c>
      <c r="L6922" t="s">
        <v>253</v>
      </c>
      <c r="M6922" t="s">
        <v>169</v>
      </c>
      <c r="N6922">
        <v>40.163386000000003</v>
      </c>
      <c r="O6922">
        <v>-110.403091</v>
      </c>
      <c r="P6922">
        <v>5459.7306559999997</v>
      </c>
      <c r="Q6922">
        <v>310</v>
      </c>
      <c r="R6922">
        <v>0</v>
      </c>
    </row>
    <row r="6923" spans="1:18" x14ac:dyDescent="0.25">
      <c r="A6923">
        <v>7922</v>
      </c>
      <c r="B6923">
        <v>94</v>
      </c>
      <c r="C6923">
        <v>31774340</v>
      </c>
      <c r="D6923" t="s">
        <v>118</v>
      </c>
      <c r="E6923">
        <v>86.522999999999996</v>
      </c>
      <c r="F6923" t="s">
        <v>19</v>
      </c>
      <c r="G6923" t="s">
        <v>20</v>
      </c>
      <c r="H6923" t="s">
        <v>19</v>
      </c>
      <c r="I6923">
        <v>87</v>
      </c>
      <c r="J6923" t="s">
        <v>20</v>
      </c>
      <c r="K6923" t="s">
        <v>22</v>
      </c>
      <c r="L6923" t="s">
        <v>253</v>
      </c>
      <c r="M6923" t="s">
        <v>169</v>
      </c>
      <c r="N6923">
        <v>40.163395999999999</v>
      </c>
      <c r="O6923">
        <v>-110.401392</v>
      </c>
      <c r="P6923">
        <v>5458.1270850000001</v>
      </c>
      <c r="Q6923">
        <v>310</v>
      </c>
      <c r="R6923">
        <v>0</v>
      </c>
    </row>
    <row r="6924" spans="1:18" x14ac:dyDescent="0.25">
      <c r="A6924">
        <v>7923</v>
      </c>
      <c r="B6924">
        <v>94</v>
      </c>
      <c r="C6924">
        <v>31549554</v>
      </c>
      <c r="D6924" t="s">
        <v>213</v>
      </c>
      <c r="E6924">
        <v>86.605000000000004</v>
      </c>
      <c r="F6924" t="s">
        <v>21</v>
      </c>
      <c r="G6924" t="s">
        <v>26</v>
      </c>
      <c r="H6924" t="s">
        <v>21</v>
      </c>
      <c r="I6924" t="s">
        <v>20</v>
      </c>
      <c r="J6924" t="s">
        <v>20</v>
      </c>
      <c r="K6924" t="s">
        <v>27</v>
      </c>
      <c r="L6924" t="s">
        <v>173</v>
      </c>
      <c r="M6924" t="s">
        <v>214</v>
      </c>
      <c r="N6924">
        <v>39.337944999999998</v>
      </c>
      <c r="O6924">
        <v>-112.60641800000001</v>
      </c>
      <c r="P6924">
        <v>4553.8546729999998</v>
      </c>
      <c r="Q6924">
        <v>1332</v>
      </c>
      <c r="R6924">
        <v>0</v>
      </c>
    </row>
    <row r="6925" spans="1:18" x14ac:dyDescent="0.25">
      <c r="A6925">
        <v>7924</v>
      </c>
      <c r="B6925">
        <v>94</v>
      </c>
      <c r="C6925">
        <v>31776573</v>
      </c>
      <c r="D6925" t="s">
        <v>118</v>
      </c>
      <c r="E6925">
        <v>86.616</v>
      </c>
      <c r="F6925" t="s">
        <v>21</v>
      </c>
      <c r="G6925" t="s">
        <v>26</v>
      </c>
      <c r="H6925" t="s">
        <v>21</v>
      </c>
      <c r="I6925" t="s">
        <v>20</v>
      </c>
      <c r="J6925" t="s">
        <v>20</v>
      </c>
      <c r="K6925" t="s">
        <v>22</v>
      </c>
      <c r="L6925" t="s">
        <v>253</v>
      </c>
      <c r="M6925" t="s">
        <v>169</v>
      </c>
      <c r="N6925">
        <v>40.163393999999997</v>
      </c>
      <c r="O6925">
        <v>-110.39964999999999</v>
      </c>
      <c r="P6925">
        <v>5456.1952170000004</v>
      </c>
      <c r="Q6925">
        <v>310</v>
      </c>
      <c r="R6925">
        <v>0</v>
      </c>
    </row>
    <row r="6926" spans="1:18" x14ac:dyDescent="0.25">
      <c r="A6926">
        <v>7925</v>
      </c>
      <c r="B6926">
        <v>94</v>
      </c>
      <c r="C6926">
        <v>1505265</v>
      </c>
      <c r="D6926" t="s">
        <v>88</v>
      </c>
      <c r="E6926">
        <v>9.9469999999999992</v>
      </c>
      <c r="F6926" t="s">
        <v>21</v>
      </c>
      <c r="G6926" t="s">
        <v>26</v>
      </c>
      <c r="H6926" t="s">
        <v>21</v>
      </c>
      <c r="I6926" t="s">
        <v>20</v>
      </c>
      <c r="J6926" t="s">
        <v>20</v>
      </c>
      <c r="K6926" t="s">
        <v>31</v>
      </c>
      <c r="L6926" t="s">
        <v>89</v>
      </c>
      <c r="M6926" t="s">
        <v>90</v>
      </c>
      <c r="N6926">
        <v>40.583958000000003</v>
      </c>
      <c r="O6926">
        <v>-111.872227</v>
      </c>
      <c r="P6926">
        <v>4464.1061339999997</v>
      </c>
      <c r="Q6926">
        <v>318</v>
      </c>
      <c r="R6926">
        <v>0</v>
      </c>
    </row>
    <row r="6927" spans="1:18" x14ac:dyDescent="0.25">
      <c r="A6927">
        <v>7926</v>
      </c>
      <c r="B6927">
        <v>94</v>
      </c>
      <c r="C6927">
        <v>31528077</v>
      </c>
      <c r="D6927" t="s">
        <v>231</v>
      </c>
      <c r="E6927">
        <v>9.9480000000000004</v>
      </c>
      <c r="F6927" t="s">
        <v>21</v>
      </c>
      <c r="G6927" t="s">
        <v>26</v>
      </c>
      <c r="H6927" t="s">
        <v>21</v>
      </c>
      <c r="I6927" t="s">
        <v>20</v>
      </c>
      <c r="J6927" t="s">
        <v>20</v>
      </c>
      <c r="K6927" t="s">
        <v>41</v>
      </c>
      <c r="L6927" t="s">
        <v>57</v>
      </c>
      <c r="M6927" t="s">
        <v>93</v>
      </c>
      <c r="N6927">
        <v>41.179352000000002</v>
      </c>
      <c r="O6927">
        <v>-112.025963</v>
      </c>
      <c r="P6927">
        <v>4446.5874279999998</v>
      </c>
      <c r="Q6927">
        <v>1409</v>
      </c>
      <c r="R6927">
        <v>0</v>
      </c>
    </row>
    <row r="6928" spans="1:18" x14ac:dyDescent="0.25">
      <c r="A6928">
        <v>7927</v>
      </c>
      <c r="B6928">
        <v>94</v>
      </c>
      <c r="C6928">
        <v>819040</v>
      </c>
      <c r="D6928" t="s">
        <v>236</v>
      </c>
      <c r="E6928">
        <v>9.9489999999999998</v>
      </c>
      <c r="F6928" t="s">
        <v>21</v>
      </c>
      <c r="G6928" t="s">
        <v>26</v>
      </c>
      <c r="H6928" t="s">
        <v>21</v>
      </c>
      <c r="I6928" t="s">
        <v>20</v>
      </c>
      <c r="J6928" t="s">
        <v>20</v>
      </c>
      <c r="K6928" t="s">
        <v>31</v>
      </c>
      <c r="L6928" t="s">
        <v>78</v>
      </c>
      <c r="M6928" t="s">
        <v>79</v>
      </c>
      <c r="N6928">
        <v>40.708759999999998</v>
      </c>
      <c r="O6928">
        <v>-112.09181700000001</v>
      </c>
      <c r="P6928">
        <v>4225.0515340000002</v>
      </c>
      <c r="Q6928">
        <v>1398</v>
      </c>
      <c r="R6928">
        <v>0</v>
      </c>
    </row>
    <row r="6929" spans="1:18" x14ac:dyDescent="0.25">
      <c r="A6929">
        <v>7928</v>
      </c>
      <c r="B6929">
        <v>94</v>
      </c>
      <c r="C6929">
        <v>1471194</v>
      </c>
      <c r="D6929" t="s">
        <v>109</v>
      </c>
      <c r="E6929">
        <v>9.9550000000000001</v>
      </c>
      <c r="F6929" t="s">
        <v>21</v>
      </c>
      <c r="G6929" t="s">
        <v>26</v>
      </c>
      <c r="H6929" t="s">
        <v>21</v>
      </c>
      <c r="I6929" t="s">
        <v>20</v>
      </c>
      <c r="J6929" t="s">
        <v>20</v>
      </c>
      <c r="K6929" t="s">
        <v>41</v>
      </c>
      <c r="L6929" t="s">
        <v>42</v>
      </c>
      <c r="M6929" t="s">
        <v>73</v>
      </c>
      <c r="N6929">
        <v>41.706422000000003</v>
      </c>
      <c r="O6929">
        <v>-111.834751</v>
      </c>
      <c r="P6929">
        <v>4446.7812489999997</v>
      </c>
      <c r="Q6929">
        <v>345</v>
      </c>
      <c r="R6929">
        <v>0</v>
      </c>
    </row>
    <row r="6930" spans="1:18" x14ac:dyDescent="0.25">
      <c r="A6930">
        <v>7929</v>
      </c>
      <c r="B6930">
        <v>94</v>
      </c>
      <c r="C6930">
        <v>1693938</v>
      </c>
      <c r="D6930" t="s">
        <v>100</v>
      </c>
      <c r="E6930">
        <v>9.9580000000000002</v>
      </c>
      <c r="F6930" t="s">
        <v>21</v>
      </c>
      <c r="G6930" t="s">
        <v>26</v>
      </c>
      <c r="H6930" t="s">
        <v>21</v>
      </c>
      <c r="I6930" t="s">
        <v>20</v>
      </c>
      <c r="J6930" t="s">
        <v>20</v>
      </c>
      <c r="K6930" t="s">
        <v>41</v>
      </c>
      <c r="L6930" t="s">
        <v>57</v>
      </c>
      <c r="M6930" t="s">
        <v>46</v>
      </c>
      <c r="N6930">
        <v>41.175305000000002</v>
      </c>
      <c r="O6930">
        <v>-112.06446099999999</v>
      </c>
      <c r="P6930">
        <v>4229.7482769999997</v>
      </c>
      <c r="Q6930">
        <v>1396</v>
      </c>
      <c r="R6930">
        <v>0</v>
      </c>
    </row>
    <row r="6931" spans="1:18" x14ac:dyDescent="0.25">
      <c r="A6931">
        <v>7930</v>
      </c>
      <c r="B6931">
        <v>94</v>
      </c>
      <c r="C6931" t="e">
        <f>-JRVWgdEHZmyGVESIVS-pV</f>
        <v>#NAME?</v>
      </c>
      <c r="D6931" t="s">
        <v>171</v>
      </c>
      <c r="E6931">
        <v>9.9589999999999996</v>
      </c>
      <c r="F6931" t="s">
        <v>19</v>
      </c>
      <c r="G6931" t="s">
        <v>20</v>
      </c>
      <c r="H6931" t="s">
        <v>21</v>
      </c>
      <c r="I6931" t="s">
        <v>20</v>
      </c>
      <c r="J6931" t="s">
        <v>20</v>
      </c>
      <c r="K6931" t="s">
        <v>31</v>
      </c>
      <c r="L6931" t="s">
        <v>69</v>
      </c>
      <c r="M6931" t="s">
        <v>683</v>
      </c>
      <c r="N6931">
        <v>40.700001999999998</v>
      </c>
      <c r="O6931">
        <v>-111.902952</v>
      </c>
      <c r="P6931">
        <v>4178.2065929999999</v>
      </c>
      <c r="Q6931">
        <v>346</v>
      </c>
      <c r="R6931">
        <v>0</v>
      </c>
    </row>
    <row r="6932" spans="1:18" x14ac:dyDescent="0.25">
      <c r="A6932">
        <v>7931</v>
      </c>
      <c r="B6932">
        <v>94</v>
      </c>
      <c r="C6932">
        <v>31492762</v>
      </c>
      <c r="D6932" t="s">
        <v>224</v>
      </c>
      <c r="E6932">
        <v>9.9619999999999997</v>
      </c>
      <c r="F6932" t="s">
        <v>21</v>
      </c>
      <c r="G6932" t="s">
        <v>26</v>
      </c>
      <c r="H6932" t="s">
        <v>21</v>
      </c>
      <c r="I6932" t="s">
        <v>20</v>
      </c>
      <c r="J6932" t="s">
        <v>20</v>
      </c>
      <c r="K6932" t="s">
        <v>22</v>
      </c>
      <c r="L6932" t="s">
        <v>198</v>
      </c>
      <c r="M6932" t="s">
        <v>194</v>
      </c>
      <c r="N6932">
        <v>40.072130999999999</v>
      </c>
      <c r="O6932">
        <v>-111.662465</v>
      </c>
      <c r="P6932">
        <v>4573.6003369999999</v>
      </c>
      <c r="Q6932">
        <v>408</v>
      </c>
      <c r="R6932">
        <v>0</v>
      </c>
    </row>
    <row r="6933" spans="1:18" x14ac:dyDescent="0.25">
      <c r="A6933">
        <v>7932</v>
      </c>
      <c r="B6933">
        <v>94</v>
      </c>
      <c r="C6933">
        <v>31306280</v>
      </c>
      <c r="D6933" t="s">
        <v>251</v>
      </c>
      <c r="E6933">
        <v>9.218</v>
      </c>
      <c r="F6933" t="s">
        <v>21</v>
      </c>
      <c r="G6933" t="s">
        <v>26</v>
      </c>
      <c r="H6933" t="s">
        <v>21</v>
      </c>
      <c r="I6933" t="s">
        <v>20</v>
      </c>
      <c r="J6933" t="s">
        <v>20</v>
      </c>
      <c r="K6933" t="s">
        <v>27</v>
      </c>
      <c r="L6933" t="s">
        <v>165</v>
      </c>
      <c r="M6933" t="s">
        <v>166</v>
      </c>
      <c r="N6933">
        <v>39.044800000000002</v>
      </c>
      <c r="O6933">
        <v>-112.409829</v>
      </c>
      <c r="P6933">
        <v>4606.8380740000002</v>
      </c>
      <c r="Q6933">
        <v>326</v>
      </c>
      <c r="R6933">
        <v>0</v>
      </c>
    </row>
    <row r="6934" spans="1:18" x14ac:dyDescent="0.25">
      <c r="A6934">
        <v>7933</v>
      </c>
      <c r="B6934">
        <v>94</v>
      </c>
      <c r="C6934">
        <v>540755</v>
      </c>
      <c r="D6934" t="s">
        <v>44</v>
      </c>
      <c r="E6934">
        <v>9.2219999999999995</v>
      </c>
      <c r="F6934" t="s">
        <v>21</v>
      </c>
      <c r="G6934" t="s">
        <v>26</v>
      </c>
      <c r="H6934" t="s">
        <v>21</v>
      </c>
      <c r="I6934" t="s">
        <v>20</v>
      </c>
      <c r="J6934" t="s">
        <v>20</v>
      </c>
      <c r="K6934" t="s">
        <v>41</v>
      </c>
      <c r="L6934" t="s">
        <v>87</v>
      </c>
      <c r="M6934" t="s">
        <v>46</v>
      </c>
      <c r="N6934">
        <v>41.000771999999998</v>
      </c>
      <c r="O6934">
        <v>-111.904189</v>
      </c>
      <c r="P6934">
        <v>4231.0152239999998</v>
      </c>
      <c r="Q6934">
        <v>1395</v>
      </c>
      <c r="R6934">
        <v>0</v>
      </c>
    </row>
    <row r="6935" spans="1:18" x14ac:dyDescent="0.25">
      <c r="A6935">
        <v>7934</v>
      </c>
      <c r="B6935">
        <v>94</v>
      </c>
      <c r="C6935">
        <v>1044896</v>
      </c>
      <c r="D6935" t="s">
        <v>171</v>
      </c>
      <c r="E6935">
        <v>9.2219999999999995</v>
      </c>
      <c r="F6935" t="s">
        <v>19</v>
      </c>
      <c r="G6935" t="s">
        <v>20</v>
      </c>
      <c r="H6935" t="s">
        <v>21</v>
      </c>
      <c r="I6935" t="s">
        <v>20</v>
      </c>
      <c r="J6935" t="s">
        <v>20</v>
      </c>
      <c r="K6935" t="s">
        <v>31</v>
      </c>
      <c r="L6935" t="s">
        <v>362</v>
      </c>
      <c r="M6935" t="s">
        <v>79</v>
      </c>
      <c r="N6935">
        <v>40.699387000000002</v>
      </c>
      <c r="O6935">
        <v>-111.916945</v>
      </c>
      <c r="P6935">
        <v>4182.2965119999999</v>
      </c>
      <c r="Q6935">
        <v>346</v>
      </c>
      <c r="R6935">
        <v>0</v>
      </c>
    </row>
    <row r="6936" spans="1:18" x14ac:dyDescent="0.25">
      <c r="A6936">
        <v>7935</v>
      </c>
      <c r="B6936">
        <v>94</v>
      </c>
      <c r="C6936">
        <v>31267214</v>
      </c>
      <c r="D6936" t="s">
        <v>303</v>
      </c>
      <c r="E6936">
        <v>9.2289999999999992</v>
      </c>
      <c r="F6936" t="s">
        <v>21</v>
      </c>
      <c r="G6936" t="s">
        <v>26</v>
      </c>
      <c r="H6936" t="s">
        <v>21</v>
      </c>
      <c r="I6936" t="s">
        <v>20</v>
      </c>
      <c r="J6936" t="s">
        <v>20</v>
      </c>
      <c r="K6936" t="s">
        <v>27</v>
      </c>
      <c r="L6936" t="s">
        <v>72</v>
      </c>
      <c r="M6936" t="s">
        <v>73</v>
      </c>
      <c r="N6936">
        <v>37.176530999999997</v>
      </c>
      <c r="O6936">
        <v>-113.298046</v>
      </c>
      <c r="P6936">
        <v>3151.7839509999999</v>
      </c>
      <c r="Q6936">
        <v>1326</v>
      </c>
      <c r="R6936">
        <v>0</v>
      </c>
    </row>
    <row r="6937" spans="1:18" x14ac:dyDescent="0.25">
      <c r="A6937">
        <v>7936</v>
      </c>
      <c r="B6937">
        <v>94</v>
      </c>
      <c r="C6937">
        <v>31343928</v>
      </c>
      <c r="D6937" t="s">
        <v>220</v>
      </c>
      <c r="E6937">
        <v>9.2309999999999999</v>
      </c>
      <c r="F6937" t="s">
        <v>21</v>
      </c>
      <c r="G6937" t="s">
        <v>20</v>
      </c>
      <c r="H6937" t="s">
        <v>21</v>
      </c>
      <c r="I6937" t="s">
        <v>20</v>
      </c>
      <c r="J6937" t="s">
        <v>20</v>
      </c>
      <c r="K6937" t="s">
        <v>27</v>
      </c>
      <c r="L6937" t="s">
        <v>28</v>
      </c>
      <c r="M6937" t="s">
        <v>29</v>
      </c>
      <c r="N6937">
        <v>37.714289000000001</v>
      </c>
      <c r="O6937">
        <v>-112.22579899999999</v>
      </c>
      <c r="P6937">
        <v>7716.8167119999998</v>
      </c>
      <c r="Q6937">
        <v>1328</v>
      </c>
      <c r="R6937">
        <v>0</v>
      </c>
    </row>
    <row r="6938" spans="1:18" x14ac:dyDescent="0.25">
      <c r="A6938">
        <v>7937</v>
      </c>
      <c r="B6938">
        <v>94</v>
      </c>
      <c r="C6938">
        <v>31191737</v>
      </c>
      <c r="D6938" t="s">
        <v>310</v>
      </c>
      <c r="E6938">
        <v>9.2479999999999993</v>
      </c>
      <c r="F6938" t="s">
        <v>21</v>
      </c>
      <c r="G6938" t="s">
        <v>26</v>
      </c>
      <c r="H6938" t="s">
        <v>21</v>
      </c>
      <c r="I6938" t="s">
        <v>20</v>
      </c>
      <c r="J6938" t="s">
        <v>20</v>
      </c>
      <c r="K6938" t="s">
        <v>31</v>
      </c>
      <c r="L6938" t="s">
        <v>285</v>
      </c>
      <c r="M6938" t="s">
        <v>206</v>
      </c>
      <c r="N6938">
        <v>40.600416000000003</v>
      </c>
      <c r="O6938">
        <v>-112.48209900000001</v>
      </c>
      <c r="P6938">
        <v>4300.9077079999997</v>
      </c>
      <c r="Q6938">
        <v>1414</v>
      </c>
      <c r="R6938">
        <v>0</v>
      </c>
    </row>
    <row r="6939" spans="1:18" x14ac:dyDescent="0.25">
      <c r="A6939">
        <v>7938</v>
      </c>
      <c r="B6939">
        <v>94</v>
      </c>
      <c r="C6939">
        <v>31527017</v>
      </c>
      <c r="D6939" t="s">
        <v>231</v>
      </c>
      <c r="E6939">
        <v>9.2490000000000006</v>
      </c>
      <c r="F6939" t="s">
        <v>21</v>
      </c>
      <c r="G6939" t="s">
        <v>26</v>
      </c>
      <c r="H6939" t="s">
        <v>21</v>
      </c>
      <c r="I6939" t="s">
        <v>20</v>
      </c>
      <c r="J6939" t="s">
        <v>20</v>
      </c>
      <c r="K6939" t="s">
        <v>41</v>
      </c>
      <c r="L6939" t="s">
        <v>57</v>
      </c>
      <c r="M6939" t="s">
        <v>93</v>
      </c>
      <c r="N6939">
        <v>41.169071000000002</v>
      </c>
      <c r="O6939">
        <v>-112.025975</v>
      </c>
      <c r="P6939">
        <v>4483.8440220000002</v>
      </c>
      <c r="Q6939">
        <v>1409</v>
      </c>
      <c r="R6939">
        <v>0</v>
      </c>
    </row>
    <row r="6940" spans="1:18" x14ac:dyDescent="0.25">
      <c r="A6940">
        <v>7939</v>
      </c>
      <c r="B6940">
        <v>94</v>
      </c>
      <c r="C6940">
        <v>31355541</v>
      </c>
      <c r="D6940" t="s">
        <v>288</v>
      </c>
      <c r="E6940">
        <v>66.73</v>
      </c>
      <c r="F6940" t="s">
        <v>21</v>
      </c>
      <c r="G6940" t="s">
        <v>26</v>
      </c>
      <c r="H6940" t="s">
        <v>21</v>
      </c>
      <c r="I6940" t="s">
        <v>20</v>
      </c>
      <c r="J6940" t="s">
        <v>20</v>
      </c>
      <c r="K6940" t="s">
        <v>27</v>
      </c>
      <c r="L6940" t="s">
        <v>146</v>
      </c>
      <c r="M6940" t="s">
        <v>147</v>
      </c>
      <c r="N6940">
        <v>37.799847</v>
      </c>
      <c r="O6940">
        <v>-109.338458</v>
      </c>
      <c r="P6940">
        <v>6821.6618150000004</v>
      </c>
      <c r="Q6940">
        <v>350</v>
      </c>
      <c r="R6940">
        <v>0</v>
      </c>
    </row>
    <row r="6941" spans="1:18" x14ac:dyDescent="0.25">
      <c r="A6941">
        <v>7940</v>
      </c>
      <c r="B6941">
        <v>94</v>
      </c>
      <c r="C6941">
        <v>31859061</v>
      </c>
      <c r="D6941" t="s">
        <v>312</v>
      </c>
      <c r="E6941">
        <v>66.736999999999995</v>
      </c>
      <c r="F6941" t="s">
        <v>21</v>
      </c>
      <c r="G6941" t="s">
        <v>26</v>
      </c>
      <c r="H6941" t="s">
        <v>21</v>
      </c>
      <c r="I6941" t="s">
        <v>20</v>
      </c>
      <c r="J6941" t="s">
        <v>20</v>
      </c>
      <c r="K6941" t="s">
        <v>27</v>
      </c>
      <c r="L6941" t="s">
        <v>173</v>
      </c>
      <c r="M6941" t="s">
        <v>313</v>
      </c>
      <c r="N6941">
        <v>39.294305999999999</v>
      </c>
      <c r="O6941">
        <v>-112.652608</v>
      </c>
      <c r="P6941">
        <v>4524.9184089999999</v>
      </c>
      <c r="Q6941">
        <v>255</v>
      </c>
      <c r="R6941">
        <v>0</v>
      </c>
    </row>
    <row r="6942" spans="1:18" x14ac:dyDescent="0.25">
      <c r="A6942">
        <v>7941</v>
      </c>
      <c r="B6942">
        <v>94</v>
      </c>
      <c r="C6942">
        <v>31329532</v>
      </c>
      <c r="D6942" t="s">
        <v>241</v>
      </c>
      <c r="E6942">
        <v>66.748000000000005</v>
      </c>
      <c r="F6942" t="s">
        <v>21</v>
      </c>
      <c r="G6942" t="s">
        <v>26</v>
      </c>
      <c r="H6942" t="s">
        <v>21</v>
      </c>
      <c r="I6942" t="s">
        <v>20</v>
      </c>
      <c r="J6942" t="s">
        <v>20</v>
      </c>
      <c r="K6942" t="s">
        <v>27</v>
      </c>
      <c r="L6942" t="s">
        <v>158</v>
      </c>
      <c r="M6942" t="s">
        <v>243</v>
      </c>
      <c r="N6942">
        <v>39.571558000000003</v>
      </c>
      <c r="O6942">
        <v>-110.815996</v>
      </c>
      <c r="P6942">
        <v>5498.4444320000002</v>
      </c>
      <c r="Q6942">
        <v>1327</v>
      </c>
      <c r="R6942">
        <v>0</v>
      </c>
    </row>
    <row r="6943" spans="1:18" x14ac:dyDescent="0.25">
      <c r="A6943">
        <v>7942</v>
      </c>
      <c r="B6943">
        <v>94</v>
      </c>
      <c r="C6943">
        <v>31525997</v>
      </c>
      <c r="D6943" t="s">
        <v>231</v>
      </c>
      <c r="E6943">
        <v>8.7390000000000008</v>
      </c>
      <c r="F6943" t="s">
        <v>19</v>
      </c>
      <c r="G6943" t="s">
        <v>20</v>
      </c>
      <c r="H6943" t="s">
        <v>19</v>
      </c>
      <c r="I6943">
        <v>97</v>
      </c>
      <c r="J6943" t="s">
        <v>20</v>
      </c>
      <c r="K6943" t="s">
        <v>41</v>
      </c>
      <c r="L6943" t="s">
        <v>57</v>
      </c>
      <c r="M6943" t="s">
        <v>93</v>
      </c>
      <c r="N6943">
        <v>41.161723000000002</v>
      </c>
      <c r="O6943">
        <v>-112.026025</v>
      </c>
      <c r="P6943">
        <v>4484.7581440000004</v>
      </c>
      <c r="Q6943">
        <v>1409</v>
      </c>
      <c r="R6943">
        <v>0</v>
      </c>
    </row>
    <row r="6944" spans="1:18" x14ac:dyDescent="0.25">
      <c r="A6944">
        <v>7943</v>
      </c>
      <c r="B6944">
        <v>94</v>
      </c>
      <c r="C6944">
        <v>31430587</v>
      </c>
      <c r="D6944" t="s">
        <v>303</v>
      </c>
      <c r="E6944">
        <v>8.74</v>
      </c>
      <c r="F6944" t="s">
        <v>21</v>
      </c>
      <c r="G6944" t="s">
        <v>26</v>
      </c>
      <c r="H6944" t="s">
        <v>21</v>
      </c>
      <c r="I6944" t="s">
        <v>20</v>
      </c>
      <c r="J6944" t="s">
        <v>20</v>
      </c>
      <c r="K6944" t="s">
        <v>27</v>
      </c>
      <c r="L6944" t="s">
        <v>72</v>
      </c>
      <c r="M6944" t="s">
        <v>73</v>
      </c>
      <c r="N6944">
        <v>37.176485</v>
      </c>
      <c r="O6944">
        <v>-113.306904</v>
      </c>
      <c r="P6944">
        <v>3134.685532</v>
      </c>
      <c r="Q6944">
        <v>1326</v>
      </c>
      <c r="R6944">
        <v>0</v>
      </c>
    </row>
    <row r="6945" spans="1:18" x14ac:dyDescent="0.25">
      <c r="A6945">
        <v>7944</v>
      </c>
      <c r="B6945">
        <v>94</v>
      </c>
      <c r="C6945">
        <v>31812581</v>
      </c>
      <c r="D6945" t="s">
        <v>290</v>
      </c>
      <c r="E6945">
        <v>8.7449999999999992</v>
      </c>
      <c r="F6945" t="s">
        <v>21</v>
      </c>
      <c r="G6945" t="s">
        <v>26</v>
      </c>
      <c r="H6945" t="s">
        <v>21</v>
      </c>
      <c r="I6945" t="s">
        <v>20</v>
      </c>
      <c r="J6945" t="s">
        <v>20</v>
      </c>
      <c r="K6945" t="s">
        <v>41</v>
      </c>
      <c r="L6945" t="s">
        <v>291</v>
      </c>
      <c r="M6945" t="s">
        <v>238</v>
      </c>
      <c r="N6945">
        <v>41.421492000000001</v>
      </c>
      <c r="O6945">
        <v>-113.889408</v>
      </c>
      <c r="P6945">
        <v>4612.479268</v>
      </c>
      <c r="Q6945">
        <v>1343</v>
      </c>
      <c r="R6945">
        <v>0</v>
      </c>
    </row>
    <row r="6946" spans="1:18" x14ac:dyDescent="0.25">
      <c r="A6946">
        <v>7945</v>
      </c>
      <c r="B6946">
        <v>94</v>
      </c>
      <c r="C6946">
        <v>31534016</v>
      </c>
      <c r="D6946" t="s">
        <v>412</v>
      </c>
      <c r="E6946">
        <v>8.7490000000000006</v>
      </c>
      <c r="F6946" t="s">
        <v>21</v>
      </c>
      <c r="G6946" t="s">
        <v>26</v>
      </c>
      <c r="H6946" t="s">
        <v>21</v>
      </c>
      <c r="I6946" t="s">
        <v>20</v>
      </c>
      <c r="J6946" t="s">
        <v>20</v>
      </c>
      <c r="K6946" t="s">
        <v>27</v>
      </c>
      <c r="L6946" t="s">
        <v>173</v>
      </c>
      <c r="M6946" t="s">
        <v>267</v>
      </c>
      <c r="N6946">
        <v>39.367655999999997</v>
      </c>
      <c r="O6946">
        <v>-112.338003</v>
      </c>
      <c r="P6946">
        <v>5097.8761210000002</v>
      </c>
      <c r="Q6946">
        <v>1408</v>
      </c>
      <c r="R6946">
        <v>0</v>
      </c>
    </row>
    <row r="6947" spans="1:18" x14ac:dyDescent="0.25">
      <c r="A6947">
        <v>7946</v>
      </c>
      <c r="B6947">
        <v>94</v>
      </c>
      <c r="C6947">
        <v>31291711</v>
      </c>
      <c r="D6947" t="s">
        <v>126</v>
      </c>
      <c r="E6947">
        <v>9.532</v>
      </c>
      <c r="F6947" t="s">
        <v>21</v>
      </c>
      <c r="G6947" t="s">
        <v>26</v>
      </c>
      <c r="H6947" t="s">
        <v>21</v>
      </c>
      <c r="I6947" t="s">
        <v>20</v>
      </c>
      <c r="J6947" t="s">
        <v>20</v>
      </c>
      <c r="K6947" t="s">
        <v>41</v>
      </c>
      <c r="L6947" t="s">
        <v>57</v>
      </c>
      <c r="M6947" t="s">
        <v>93</v>
      </c>
      <c r="N6947">
        <v>41.305030000000002</v>
      </c>
      <c r="O6947">
        <v>-112.059957</v>
      </c>
      <c r="P6947">
        <v>4186.160852</v>
      </c>
      <c r="Q6947">
        <v>1412</v>
      </c>
      <c r="R6947">
        <v>0</v>
      </c>
    </row>
    <row r="6948" spans="1:18" x14ac:dyDescent="0.25">
      <c r="A6948">
        <v>7947</v>
      </c>
      <c r="B6948">
        <v>94</v>
      </c>
      <c r="C6948">
        <v>31634132</v>
      </c>
      <c r="D6948" t="s">
        <v>227</v>
      </c>
      <c r="E6948">
        <v>9.5399999999999991</v>
      </c>
      <c r="F6948" t="s">
        <v>21</v>
      </c>
      <c r="G6948" t="s">
        <v>26</v>
      </c>
      <c r="H6948" t="s">
        <v>21</v>
      </c>
      <c r="I6948" t="s">
        <v>20</v>
      </c>
      <c r="J6948" t="s">
        <v>20</v>
      </c>
      <c r="K6948" t="s">
        <v>27</v>
      </c>
      <c r="L6948" t="s">
        <v>158</v>
      </c>
      <c r="M6948" t="s">
        <v>190</v>
      </c>
      <c r="N6948">
        <v>39.548730999999997</v>
      </c>
      <c r="O6948">
        <v>-110.401252</v>
      </c>
      <c r="P6948">
        <v>6346.400791</v>
      </c>
      <c r="Q6948">
        <v>1407</v>
      </c>
      <c r="R6948">
        <v>0</v>
      </c>
    </row>
    <row r="6949" spans="1:18" x14ac:dyDescent="0.25">
      <c r="A6949">
        <v>7948</v>
      </c>
      <c r="B6949">
        <v>94</v>
      </c>
      <c r="C6949">
        <v>1504643</v>
      </c>
      <c r="D6949" t="s">
        <v>88</v>
      </c>
      <c r="E6949">
        <v>9.548</v>
      </c>
      <c r="F6949" t="s">
        <v>21</v>
      </c>
      <c r="G6949" t="s">
        <v>26</v>
      </c>
      <c r="H6949" t="s">
        <v>21</v>
      </c>
      <c r="I6949" t="s">
        <v>20</v>
      </c>
      <c r="J6949" t="s">
        <v>20</v>
      </c>
      <c r="K6949" t="s">
        <v>31</v>
      </c>
      <c r="L6949" t="s">
        <v>89</v>
      </c>
      <c r="M6949" t="s">
        <v>90</v>
      </c>
      <c r="N6949">
        <v>40.578150999999998</v>
      </c>
      <c r="O6949">
        <v>-111.87221599999999</v>
      </c>
      <c r="P6949">
        <v>4467.0604949999997</v>
      </c>
      <c r="Q6949">
        <v>318</v>
      </c>
      <c r="R6949">
        <v>0</v>
      </c>
    </row>
    <row r="6950" spans="1:18" x14ac:dyDescent="0.25">
      <c r="A6950">
        <v>7949</v>
      </c>
      <c r="B6950">
        <v>94</v>
      </c>
      <c r="C6950">
        <v>31811238</v>
      </c>
      <c r="D6950" t="s">
        <v>100</v>
      </c>
      <c r="E6950">
        <v>9.5510000000000002</v>
      </c>
      <c r="F6950" t="s">
        <v>21</v>
      </c>
      <c r="G6950" t="s">
        <v>26</v>
      </c>
      <c r="H6950" t="s">
        <v>21</v>
      </c>
      <c r="I6950" t="s">
        <v>20</v>
      </c>
      <c r="J6950" t="s">
        <v>20</v>
      </c>
      <c r="K6950" t="s">
        <v>41</v>
      </c>
      <c r="L6950" t="s">
        <v>57</v>
      </c>
      <c r="M6950" t="s">
        <v>46</v>
      </c>
      <c r="N6950">
        <v>41.169414000000003</v>
      </c>
      <c r="O6950">
        <v>-112.064459</v>
      </c>
      <c r="P6950">
        <v>4244.2927200000004</v>
      </c>
      <c r="Q6950">
        <v>1396</v>
      </c>
      <c r="R6950">
        <v>0</v>
      </c>
    </row>
    <row r="6951" spans="1:18" x14ac:dyDescent="0.25">
      <c r="A6951">
        <v>7950</v>
      </c>
      <c r="B6951">
        <v>94</v>
      </c>
      <c r="C6951" t="e">
        <f>-JNL69M8I5eyhIT7aqFY8F</f>
        <v>#NAME?</v>
      </c>
      <c r="D6951" t="s">
        <v>124</v>
      </c>
      <c r="E6951">
        <v>9.5609999999999999</v>
      </c>
      <c r="F6951" t="s">
        <v>21</v>
      </c>
      <c r="G6951" t="s">
        <v>20</v>
      </c>
      <c r="H6951" t="s">
        <v>21</v>
      </c>
      <c r="I6951" t="s">
        <v>20</v>
      </c>
      <c r="J6951" t="s">
        <v>20</v>
      </c>
      <c r="K6951" t="s">
        <v>22</v>
      </c>
      <c r="L6951" t="s">
        <v>193</v>
      </c>
      <c r="M6951" t="s">
        <v>194</v>
      </c>
      <c r="N6951">
        <v>40.090767</v>
      </c>
      <c r="O6951">
        <v>-111.95891</v>
      </c>
      <c r="P6951">
        <v>4528.1313019999998</v>
      </c>
      <c r="Q6951">
        <v>1368</v>
      </c>
      <c r="R6951">
        <v>0</v>
      </c>
    </row>
    <row r="6952" spans="1:18" x14ac:dyDescent="0.25">
      <c r="A6952">
        <v>7951</v>
      </c>
      <c r="B6952">
        <v>94</v>
      </c>
      <c r="C6952" t="s">
        <v>845</v>
      </c>
      <c r="D6952" t="s">
        <v>316</v>
      </c>
      <c r="E6952">
        <v>9.5640000000000001</v>
      </c>
      <c r="F6952" t="s">
        <v>21</v>
      </c>
      <c r="G6952" t="s">
        <v>20</v>
      </c>
      <c r="H6952" t="s">
        <v>21</v>
      </c>
      <c r="I6952" t="s">
        <v>20</v>
      </c>
      <c r="J6952" t="s">
        <v>20</v>
      </c>
      <c r="K6952" t="s">
        <v>31</v>
      </c>
      <c r="L6952" t="s">
        <v>130</v>
      </c>
      <c r="M6952" t="s">
        <v>302</v>
      </c>
      <c r="N6952">
        <v>40.558222999999998</v>
      </c>
      <c r="O6952">
        <v>-111.13813500000001</v>
      </c>
      <c r="P6952">
        <v>7085.9047389999996</v>
      </c>
      <c r="Q6952">
        <v>1346</v>
      </c>
      <c r="R6952">
        <v>0</v>
      </c>
    </row>
    <row r="6953" spans="1:18" x14ac:dyDescent="0.25">
      <c r="A6953">
        <v>7952</v>
      </c>
      <c r="B6953">
        <v>94</v>
      </c>
      <c r="C6953">
        <v>31271640</v>
      </c>
      <c r="D6953" t="s">
        <v>303</v>
      </c>
      <c r="E6953">
        <v>9.5679999999999996</v>
      </c>
      <c r="F6953" t="s">
        <v>21</v>
      </c>
      <c r="G6953" t="s">
        <v>26</v>
      </c>
      <c r="H6953" t="s">
        <v>21</v>
      </c>
      <c r="I6953" t="s">
        <v>20</v>
      </c>
      <c r="J6953" t="s">
        <v>20</v>
      </c>
      <c r="K6953" t="s">
        <v>27</v>
      </c>
      <c r="L6953" t="s">
        <v>72</v>
      </c>
      <c r="M6953" t="s">
        <v>73</v>
      </c>
      <c r="N6953">
        <v>37.176551000000003</v>
      </c>
      <c r="O6953">
        <v>-113.29189700000001</v>
      </c>
      <c r="P6953">
        <v>3156.745844</v>
      </c>
      <c r="Q6953">
        <v>1326</v>
      </c>
      <c r="R6953">
        <v>0</v>
      </c>
    </row>
    <row r="6954" spans="1:18" x14ac:dyDescent="0.25">
      <c r="A6954">
        <v>7953</v>
      </c>
      <c r="B6954">
        <v>94</v>
      </c>
      <c r="C6954">
        <v>31314810</v>
      </c>
      <c r="D6954" t="s">
        <v>215</v>
      </c>
      <c r="E6954">
        <v>9.5749999999999993</v>
      </c>
      <c r="F6954" t="s">
        <v>21</v>
      </c>
      <c r="G6954" t="s">
        <v>26</v>
      </c>
      <c r="H6954" t="s">
        <v>21</v>
      </c>
      <c r="I6954" t="s">
        <v>20</v>
      </c>
      <c r="J6954" t="s">
        <v>20</v>
      </c>
      <c r="K6954" t="s">
        <v>22</v>
      </c>
      <c r="L6954" t="s">
        <v>23</v>
      </c>
      <c r="M6954" t="s">
        <v>85</v>
      </c>
      <c r="N6954">
        <v>40.340401</v>
      </c>
      <c r="O6954">
        <v>-111.739903</v>
      </c>
      <c r="P6954">
        <v>4476.8111319999998</v>
      </c>
      <c r="Q6954">
        <v>330</v>
      </c>
      <c r="R6954">
        <v>0</v>
      </c>
    </row>
    <row r="6955" spans="1:18" x14ac:dyDescent="0.25">
      <c r="A6955">
        <v>7954</v>
      </c>
      <c r="B6955">
        <v>94</v>
      </c>
      <c r="C6955">
        <v>1441742</v>
      </c>
      <c r="D6955" t="s">
        <v>304</v>
      </c>
      <c r="E6955">
        <v>9.5790000000000006</v>
      </c>
      <c r="F6955" t="s">
        <v>21</v>
      </c>
      <c r="G6955" t="s">
        <v>26</v>
      </c>
      <c r="H6955" t="s">
        <v>21</v>
      </c>
      <c r="I6955" t="s">
        <v>20</v>
      </c>
      <c r="J6955" t="s">
        <v>20</v>
      </c>
      <c r="K6955" t="s">
        <v>41</v>
      </c>
      <c r="L6955" t="s">
        <v>223</v>
      </c>
      <c r="M6955" t="s">
        <v>43</v>
      </c>
      <c r="N6955">
        <v>41.652104999999999</v>
      </c>
      <c r="O6955">
        <v>-112.084892</v>
      </c>
      <c r="P6955">
        <v>4249.3637719999997</v>
      </c>
      <c r="Q6955">
        <v>1348</v>
      </c>
      <c r="R6955">
        <v>0</v>
      </c>
    </row>
    <row r="6956" spans="1:18" x14ac:dyDescent="0.25">
      <c r="A6956">
        <v>7955</v>
      </c>
      <c r="B6956">
        <v>94</v>
      </c>
      <c r="C6956">
        <v>31527329</v>
      </c>
      <c r="D6956" t="s">
        <v>231</v>
      </c>
      <c r="E6956">
        <v>9.5809999999999995</v>
      </c>
      <c r="F6956" t="s">
        <v>21</v>
      </c>
      <c r="G6956" t="s">
        <v>26</v>
      </c>
      <c r="H6956" t="s">
        <v>21</v>
      </c>
      <c r="I6956" t="s">
        <v>20</v>
      </c>
      <c r="J6956" t="s">
        <v>20</v>
      </c>
      <c r="K6956" t="s">
        <v>41</v>
      </c>
      <c r="L6956" t="s">
        <v>57</v>
      </c>
      <c r="M6956" t="s">
        <v>93</v>
      </c>
      <c r="N6956">
        <v>41.173985000000002</v>
      </c>
      <c r="O6956">
        <v>-112.02601</v>
      </c>
      <c r="P6956">
        <v>4471.9934960000001</v>
      </c>
      <c r="Q6956">
        <v>1409</v>
      </c>
      <c r="R6956">
        <v>0</v>
      </c>
    </row>
    <row r="6957" spans="1:18" x14ac:dyDescent="0.25">
      <c r="A6957">
        <v>7956</v>
      </c>
      <c r="B6957">
        <v>94</v>
      </c>
      <c r="C6957">
        <v>31534476</v>
      </c>
      <c r="D6957" t="s">
        <v>412</v>
      </c>
      <c r="E6957">
        <v>9.5860000000000003</v>
      </c>
      <c r="F6957" t="s">
        <v>21</v>
      </c>
      <c r="G6957" t="s">
        <v>26</v>
      </c>
      <c r="H6957" t="s">
        <v>21</v>
      </c>
      <c r="I6957" t="s">
        <v>20</v>
      </c>
      <c r="J6957" t="s">
        <v>20</v>
      </c>
      <c r="K6957" t="s">
        <v>27</v>
      </c>
      <c r="L6957" t="s">
        <v>173</v>
      </c>
      <c r="M6957" t="s">
        <v>267</v>
      </c>
      <c r="N6957">
        <v>39.379280000000001</v>
      </c>
      <c r="O6957">
        <v>-112.336062</v>
      </c>
      <c r="P6957">
        <v>5015.5528880000002</v>
      </c>
      <c r="Q6957">
        <v>1408</v>
      </c>
      <c r="R6957">
        <v>0</v>
      </c>
    </row>
    <row r="6958" spans="1:18" x14ac:dyDescent="0.25">
      <c r="A6958">
        <v>7957</v>
      </c>
      <c r="B6958">
        <v>94</v>
      </c>
      <c r="C6958">
        <v>31511318</v>
      </c>
      <c r="D6958" t="s">
        <v>132</v>
      </c>
      <c r="E6958">
        <v>9.5879999999999992</v>
      </c>
      <c r="F6958" t="s">
        <v>21</v>
      </c>
      <c r="G6958" t="s">
        <v>26</v>
      </c>
      <c r="H6958" t="s">
        <v>21</v>
      </c>
      <c r="I6958" t="s">
        <v>20</v>
      </c>
      <c r="J6958" t="s">
        <v>20</v>
      </c>
      <c r="K6958" t="s">
        <v>22</v>
      </c>
      <c r="L6958" t="s">
        <v>133</v>
      </c>
      <c r="M6958" t="s">
        <v>134</v>
      </c>
      <c r="N6958">
        <v>40.427048999999997</v>
      </c>
      <c r="O6958">
        <v>-110.030045</v>
      </c>
      <c r="P6958">
        <v>5917.4430279999997</v>
      </c>
      <c r="Q6958">
        <v>1405</v>
      </c>
      <c r="R6958">
        <v>0</v>
      </c>
    </row>
    <row r="6959" spans="1:18" x14ac:dyDescent="0.25">
      <c r="A6959">
        <v>7958</v>
      </c>
      <c r="B6959">
        <v>94</v>
      </c>
      <c r="C6959" t="s">
        <v>846</v>
      </c>
      <c r="D6959" t="s">
        <v>184</v>
      </c>
      <c r="E6959">
        <v>9.5909999999999993</v>
      </c>
      <c r="F6959" t="s">
        <v>21</v>
      </c>
      <c r="G6959" t="s">
        <v>26</v>
      </c>
      <c r="H6959" t="s">
        <v>21</v>
      </c>
      <c r="I6959" t="s">
        <v>20</v>
      </c>
      <c r="J6959" t="s">
        <v>20</v>
      </c>
      <c r="K6959" t="s">
        <v>27</v>
      </c>
      <c r="L6959" t="s">
        <v>54</v>
      </c>
      <c r="M6959" t="s">
        <v>55</v>
      </c>
      <c r="N6959">
        <v>37.776696000000001</v>
      </c>
      <c r="O6959">
        <v>-113.05525299999999</v>
      </c>
      <c r="P6959">
        <v>5404.1660169999996</v>
      </c>
      <c r="Q6959">
        <v>1410</v>
      </c>
      <c r="R6959">
        <v>0</v>
      </c>
    </row>
    <row r="6960" spans="1:18" x14ac:dyDescent="0.25">
      <c r="A6960">
        <v>7959</v>
      </c>
      <c r="B6960">
        <v>94</v>
      </c>
      <c r="C6960">
        <v>31195677</v>
      </c>
      <c r="D6960" t="s">
        <v>309</v>
      </c>
      <c r="E6960">
        <v>9.5920000000000005</v>
      </c>
      <c r="F6960" t="s">
        <v>21</v>
      </c>
      <c r="G6960" t="s">
        <v>26</v>
      </c>
      <c r="H6960" t="s">
        <v>21</v>
      </c>
      <c r="I6960" t="s">
        <v>20</v>
      </c>
      <c r="J6960" t="s">
        <v>20</v>
      </c>
      <c r="K6960" t="s">
        <v>22</v>
      </c>
      <c r="L6960" t="s">
        <v>140</v>
      </c>
      <c r="M6960" t="s">
        <v>125</v>
      </c>
      <c r="N6960">
        <v>40.114801</v>
      </c>
      <c r="O6960">
        <v>-111.70210400000001</v>
      </c>
      <c r="P6960">
        <v>4486.377074</v>
      </c>
      <c r="Q6960">
        <v>339</v>
      </c>
      <c r="R6960">
        <v>0</v>
      </c>
    </row>
    <row r="6961" spans="1:18" x14ac:dyDescent="0.25">
      <c r="A6961">
        <v>7960</v>
      </c>
      <c r="B6961">
        <v>94</v>
      </c>
      <c r="C6961">
        <v>31337547</v>
      </c>
      <c r="D6961" t="s">
        <v>303</v>
      </c>
      <c r="E6961">
        <v>47.866999999999997</v>
      </c>
      <c r="F6961" t="s">
        <v>21</v>
      </c>
      <c r="G6961" t="s">
        <v>20</v>
      </c>
      <c r="H6961" t="s">
        <v>21</v>
      </c>
      <c r="I6961" t="s">
        <v>20</v>
      </c>
      <c r="J6961" t="s">
        <v>20</v>
      </c>
      <c r="K6961" t="s">
        <v>27</v>
      </c>
      <c r="L6961" t="s">
        <v>279</v>
      </c>
      <c r="M6961" t="s">
        <v>29</v>
      </c>
      <c r="N6961">
        <v>37.244418000000003</v>
      </c>
      <c r="O6961">
        <v>-112.808694</v>
      </c>
      <c r="P6961">
        <v>5971.7752879999998</v>
      </c>
      <c r="Q6961">
        <v>1326</v>
      </c>
      <c r="R6961">
        <v>0</v>
      </c>
    </row>
    <row r="6962" spans="1:18" x14ac:dyDescent="0.25">
      <c r="A6962">
        <v>7961</v>
      </c>
      <c r="B6962">
        <v>94</v>
      </c>
      <c r="C6962">
        <v>31459795</v>
      </c>
      <c r="D6962" t="s">
        <v>319</v>
      </c>
      <c r="E6962">
        <v>39.247</v>
      </c>
      <c r="F6962" t="s">
        <v>21</v>
      </c>
      <c r="G6962" t="s">
        <v>26</v>
      </c>
      <c r="H6962" t="s">
        <v>21</v>
      </c>
      <c r="I6962" t="s">
        <v>20</v>
      </c>
      <c r="J6962" t="s">
        <v>20</v>
      </c>
      <c r="K6962" t="s">
        <v>27</v>
      </c>
      <c r="L6962" t="s">
        <v>162</v>
      </c>
      <c r="M6962" t="s">
        <v>55</v>
      </c>
      <c r="N6962">
        <v>37.632876000000003</v>
      </c>
      <c r="O6962">
        <v>-113.428994</v>
      </c>
      <c r="P6962">
        <v>5909.3670330000004</v>
      </c>
      <c r="Q6962">
        <v>314</v>
      </c>
      <c r="R6962">
        <v>0</v>
      </c>
    </row>
    <row r="6963" spans="1:18" x14ac:dyDescent="0.25">
      <c r="A6963">
        <v>7962</v>
      </c>
      <c r="B6963">
        <v>94</v>
      </c>
      <c r="C6963">
        <v>31523018</v>
      </c>
      <c r="D6963" t="s">
        <v>132</v>
      </c>
      <c r="E6963">
        <v>39.255000000000003</v>
      </c>
      <c r="F6963" t="s">
        <v>21</v>
      </c>
      <c r="G6963" t="s">
        <v>26</v>
      </c>
      <c r="H6963" t="s">
        <v>21</v>
      </c>
      <c r="I6963" t="s">
        <v>20</v>
      </c>
      <c r="J6963" t="s">
        <v>20</v>
      </c>
      <c r="K6963" t="s">
        <v>22</v>
      </c>
      <c r="L6963" t="s">
        <v>234</v>
      </c>
      <c r="M6963" t="s">
        <v>277</v>
      </c>
      <c r="N6963">
        <v>40.462780000000002</v>
      </c>
      <c r="O6963">
        <v>-109.548877</v>
      </c>
      <c r="P6963">
        <v>5354.7765950000003</v>
      </c>
      <c r="Q6963">
        <v>1405</v>
      </c>
      <c r="R6963">
        <v>0</v>
      </c>
    </row>
    <row r="6964" spans="1:18" x14ac:dyDescent="0.25">
      <c r="A6964">
        <v>7963</v>
      </c>
      <c r="B6964">
        <v>94</v>
      </c>
      <c r="C6964">
        <v>31325922</v>
      </c>
      <c r="D6964" t="s">
        <v>288</v>
      </c>
      <c r="E6964">
        <v>39.274999999999999</v>
      </c>
      <c r="F6964" t="s">
        <v>21</v>
      </c>
      <c r="G6964" t="s">
        <v>26</v>
      </c>
      <c r="H6964" t="s">
        <v>21</v>
      </c>
      <c r="I6964" t="s">
        <v>20</v>
      </c>
      <c r="J6964" t="s">
        <v>20</v>
      </c>
      <c r="K6964" t="s">
        <v>27</v>
      </c>
      <c r="L6964" t="s">
        <v>327</v>
      </c>
      <c r="M6964" t="s">
        <v>212</v>
      </c>
      <c r="N6964">
        <v>37.463481999999999</v>
      </c>
      <c r="O6964">
        <v>-109.467006</v>
      </c>
      <c r="P6964">
        <v>5237.1605760000002</v>
      </c>
      <c r="Q6964">
        <v>350</v>
      </c>
      <c r="R6964">
        <v>0</v>
      </c>
    </row>
    <row r="6965" spans="1:18" x14ac:dyDescent="0.25">
      <c r="A6965">
        <v>7964</v>
      </c>
      <c r="B6965">
        <v>94</v>
      </c>
      <c r="C6965">
        <v>31397691</v>
      </c>
      <c r="D6965" t="s">
        <v>124</v>
      </c>
      <c r="E6965">
        <v>39.284999999999997</v>
      </c>
      <c r="F6965" t="s">
        <v>21</v>
      </c>
      <c r="G6965" t="s">
        <v>26</v>
      </c>
      <c r="H6965" t="s">
        <v>21</v>
      </c>
      <c r="I6965" t="s">
        <v>20</v>
      </c>
      <c r="J6965" t="s">
        <v>20</v>
      </c>
      <c r="K6965" t="s">
        <v>31</v>
      </c>
      <c r="L6965" t="s">
        <v>89</v>
      </c>
      <c r="M6965" t="s">
        <v>125</v>
      </c>
      <c r="N6965">
        <v>40.479007000000003</v>
      </c>
      <c r="O6965">
        <v>-111.944817</v>
      </c>
      <c r="P6965">
        <v>4498.9303110000001</v>
      </c>
      <c r="Q6965">
        <v>1368</v>
      </c>
      <c r="R6965">
        <v>0</v>
      </c>
    </row>
    <row r="6966" spans="1:18" x14ac:dyDescent="0.25">
      <c r="A6966">
        <v>7965</v>
      </c>
      <c r="B6966">
        <v>94</v>
      </c>
      <c r="C6966" t="e">
        <f>-Ip4kiq7I7H26jbWLLvvZk</f>
        <v>#NAME?</v>
      </c>
      <c r="D6966" t="s">
        <v>312</v>
      </c>
      <c r="E6966">
        <v>39.305</v>
      </c>
      <c r="F6966" t="s">
        <v>21</v>
      </c>
      <c r="G6966" t="s">
        <v>20</v>
      </c>
      <c r="H6966" t="s">
        <v>21</v>
      </c>
      <c r="I6966" t="s">
        <v>20</v>
      </c>
      <c r="J6966" t="s">
        <v>20</v>
      </c>
      <c r="K6966" t="s">
        <v>27</v>
      </c>
      <c r="L6966" t="s">
        <v>173</v>
      </c>
      <c r="M6966" t="s">
        <v>313</v>
      </c>
      <c r="N6966">
        <v>38.919666999999997</v>
      </c>
      <c r="O6966">
        <v>-112.81209800000001</v>
      </c>
      <c r="P6966">
        <v>4746.1682380000002</v>
      </c>
      <c r="Q6966">
        <v>255</v>
      </c>
      <c r="R6966">
        <v>0</v>
      </c>
    </row>
    <row r="6967" spans="1:18" x14ac:dyDescent="0.25">
      <c r="A6967">
        <v>7966</v>
      </c>
      <c r="B6967">
        <v>94</v>
      </c>
      <c r="C6967" t="e">
        <f>-Ip68aI5GVHcmuGRvRgJ4k</f>
        <v>#NAME?</v>
      </c>
      <c r="D6967" t="s">
        <v>124</v>
      </c>
      <c r="E6967">
        <v>46.469000000000001</v>
      </c>
      <c r="F6967" t="s">
        <v>21</v>
      </c>
      <c r="G6967" t="s">
        <v>26</v>
      </c>
      <c r="H6967" t="s">
        <v>21</v>
      </c>
      <c r="I6967" t="s">
        <v>20</v>
      </c>
      <c r="J6967" t="s">
        <v>20</v>
      </c>
      <c r="K6967" t="s">
        <v>31</v>
      </c>
      <c r="L6967" t="s">
        <v>48</v>
      </c>
      <c r="M6967" t="s">
        <v>125</v>
      </c>
      <c r="N6967">
        <v>40.582709999999999</v>
      </c>
      <c r="O6967">
        <v>-111.9387</v>
      </c>
      <c r="P6967">
        <v>4359.5281990000003</v>
      </c>
      <c r="Q6967">
        <v>1368</v>
      </c>
      <c r="R6967">
        <v>0</v>
      </c>
    </row>
    <row r="6968" spans="1:18" x14ac:dyDescent="0.25">
      <c r="A6968">
        <v>7967</v>
      </c>
      <c r="B6968">
        <v>94</v>
      </c>
      <c r="C6968">
        <v>1272438</v>
      </c>
      <c r="D6968" t="s">
        <v>189</v>
      </c>
      <c r="E6968">
        <v>5.3579999999999997</v>
      </c>
      <c r="F6968" t="s">
        <v>19</v>
      </c>
      <c r="G6968" t="s">
        <v>20</v>
      </c>
      <c r="H6968" t="s">
        <v>21</v>
      </c>
      <c r="I6968" t="s">
        <v>20</v>
      </c>
      <c r="J6968" t="s">
        <v>20</v>
      </c>
      <c r="K6968" t="s">
        <v>41</v>
      </c>
      <c r="L6968" t="s">
        <v>81</v>
      </c>
      <c r="M6968" t="s">
        <v>190</v>
      </c>
      <c r="N6968">
        <v>41.230818999999997</v>
      </c>
      <c r="O6968">
        <v>-111.94794</v>
      </c>
      <c r="P6968">
        <v>4418.6051790000001</v>
      </c>
      <c r="Q6968">
        <v>412</v>
      </c>
      <c r="R6968">
        <v>0</v>
      </c>
    </row>
    <row r="6969" spans="1:18" x14ac:dyDescent="0.25">
      <c r="A6969">
        <v>7968</v>
      </c>
      <c r="B6969">
        <v>94</v>
      </c>
      <c r="C6969">
        <v>27953044</v>
      </c>
      <c r="D6969" t="s">
        <v>265</v>
      </c>
      <c r="E6969">
        <v>5.3579999999999997</v>
      </c>
      <c r="F6969" t="s">
        <v>21</v>
      </c>
      <c r="G6969" t="s">
        <v>20</v>
      </c>
      <c r="H6969" t="s">
        <v>21</v>
      </c>
      <c r="I6969" t="s">
        <v>20</v>
      </c>
      <c r="J6969" t="s">
        <v>20</v>
      </c>
      <c r="K6969" t="s">
        <v>27</v>
      </c>
      <c r="L6969" t="s">
        <v>266</v>
      </c>
      <c r="M6969" t="s">
        <v>267</v>
      </c>
      <c r="N6969">
        <v>38.462248000000002</v>
      </c>
      <c r="O6969">
        <v>-111.60205500000001</v>
      </c>
      <c r="P6969">
        <v>7194.5633509999998</v>
      </c>
      <c r="Q6969">
        <v>1371</v>
      </c>
      <c r="R6969">
        <v>0</v>
      </c>
    </row>
    <row r="6970" spans="1:18" x14ac:dyDescent="0.25">
      <c r="A6970">
        <v>7969</v>
      </c>
      <c r="B6970">
        <v>94</v>
      </c>
      <c r="C6970" t="e">
        <f>-JNWoGqAHTPirDrG1KoyoV</f>
        <v>#NAME?</v>
      </c>
      <c r="D6970" t="s">
        <v>115</v>
      </c>
      <c r="E6970">
        <v>9.2539999999999996</v>
      </c>
      <c r="F6970" t="s">
        <v>19</v>
      </c>
      <c r="G6970" t="s">
        <v>20</v>
      </c>
      <c r="H6970" t="s">
        <v>21</v>
      </c>
      <c r="I6970" t="s">
        <v>20</v>
      </c>
      <c r="J6970" t="s">
        <v>20</v>
      </c>
      <c r="K6970" t="s">
        <v>31</v>
      </c>
      <c r="L6970" t="s">
        <v>69</v>
      </c>
      <c r="M6970" t="s">
        <v>70</v>
      </c>
      <c r="N6970">
        <v>40.654778999999998</v>
      </c>
      <c r="O6970">
        <v>-111.901354</v>
      </c>
      <c r="P6970">
        <v>4254.043737</v>
      </c>
      <c r="Q6970">
        <v>1437</v>
      </c>
      <c r="R6970">
        <v>0</v>
      </c>
    </row>
    <row r="6971" spans="1:18" x14ac:dyDescent="0.25">
      <c r="A6971">
        <v>7970</v>
      </c>
      <c r="B6971">
        <v>94</v>
      </c>
      <c r="C6971">
        <v>31811216</v>
      </c>
      <c r="D6971" t="s">
        <v>100</v>
      </c>
      <c r="E6971">
        <v>9.2550000000000008</v>
      </c>
      <c r="F6971" t="s">
        <v>21</v>
      </c>
      <c r="G6971" t="s">
        <v>26</v>
      </c>
      <c r="H6971" t="s">
        <v>21</v>
      </c>
      <c r="I6971" t="s">
        <v>20</v>
      </c>
      <c r="J6971" t="s">
        <v>20</v>
      </c>
      <c r="K6971" t="s">
        <v>41</v>
      </c>
      <c r="L6971" t="s">
        <v>57</v>
      </c>
      <c r="M6971" t="s">
        <v>46</v>
      </c>
      <c r="N6971">
        <v>41.165156000000003</v>
      </c>
      <c r="O6971">
        <v>-112.064421</v>
      </c>
      <c r="P6971">
        <v>4249.810023</v>
      </c>
      <c r="Q6971">
        <v>1396</v>
      </c>
      <c r="R6971">
        <v>0</v>
      </c>
    </row>
    <row r="6972" spans="1:18" x14ac:dyDescent="0.25">
      <c r="A6972">
        <v>7971</v>
      </c>
      <c r="B6972">
        <v>94</v>
      </c>
      <c r="C6972">
        <v>31415912</v>
      </c>
      <c r="D6972" t="s">
        <v>221</v>
      </c>
      <c r="E6972">
        <v>9.2590000000000003</v>
      </c>
      <c r="F6972" t="s">
        <v>21</v>
      </c>
      <c r="G6972" t="s">
        <v>20</v>
      </c>
      <c r="H6972" t="s">
        <v>21</v>
      </c>
      <c r="I6972" t="s">
        <v>20</v>
      </c>
      <c r="J6972" t="s">
        <v>20</v>
      </c>
      <c r="K6972" t="s">
        <v>27</v>
      </c>
      <c r="L6972" t="s">
        <v>350</v>
      </c>
      <c r="M6972" t="s">
        <v>174</v>
      </c>
      <c r="N6972">
        <v>39.279114999999997</v>
      </c>
      <c r="O6972">
        <v>-111.878277</v>
      </c>
      <c r="P6972">
        <v>5092.8437540000004</v>
      </c>
      <c r="Q6972">
        <v>1342</v>
      </c>
      <c r="R6972">
        <v>0</v>
      </c>
    </row>
    <row r="6973" spans="1:18" x14ac:dyDescent="0.25">
      <c r="A6973">
        <v>7972</v>
      </c>
      <c r="B6973">
        <v>94</v>
      </c>
      <c r="C6973">
        <v>31370501</v>
      </c>
      <c r="D6973" t="s">
        <v>345</v>
      </c>
      <c r="E6973">
        <v>9.26</v>
      </c>
      <c r="F6973" t="s">
        <v>21</v>
      </c>
      <c r="G6973" t="s">
        <v>26</v>
      </c>
      <c r="H6973" t="s">
        <v>21</v>
      </c>
      <c r="I6973" t="s">
        <v>20</v>
      </c>
      <c r="J6973" t="s">
        <v>20</v>
      </c>
      <c r="K6973" t="s">
        <v>27</v>
      </c>
      <c r="L6973" t="s">
        <v>75</v>
      </c>
      <c r="M6973" t="s">
        <v>76</v>
      </c>
      <c r="N6973">
        <v>38.677126999999999</v>
      </c>
      <c r="O6973">
        <v>-112.12125399999999</v>
      </c>
      <c r="P6973">
        <v>5243.8350970000001</v>
      </c>
      <c r="Q6973">
        <v>1403</v>
      </c>
      <c r="R6973">
        <v>0</v>
      </c>
    </row>
    <row r="6974" spans="1:18" x14ac:dyDescent="0.25">
      <c r="A6974">
        <v>7973</v>
      </c>
      <c r="B6974">
        <v>94</v>
      </c>
      <c r="C6974">
        <v>807622</v>
      </c>
      <c r="D6974" t="s">
        <v>236</v>
      </c>
      <c r="E6974">
        <v>9.2639999999999993</v>
      </c>
      <c r="F6974" t="s">
        <v>21</v>
      </c>
      <c r="G6974" t="s">
        <v>26</v>
      </c>
      <c r="H6974" t="s">
        <v>21</v>
      </c>
      <c r="I6974" t="s">
        <v>20</v>
      </c>
      <c r="J6974" t="s">
        <v>20</v>
      </c>
      <c r="K6974" t="s">
        <v>31</v>
      </c>
      <c r="L6974" t="s">
        <v>78</v>
      </c>
      <c r="M6974" t="s">
        <v>79</v>
      </c>
      <c r="N6974">
        <v>40.698810000000002</v>
      </c>
      <c r="O6974">
        <v>-112.091836</v>
      </c>
      <c r="P6974">
        <v>4328.5109270000003</v>
      </c>
      <c r="Q6974">
        <v>1398</v>
      </c>
      <c r="R6974">
        <v>0</v>
      </c>
    </row>
    <row r="6975" spans="1:18" x14ac:dyDescent="0.25">
      <c r="A6975">
        <v>7974</v>
      </c>
      <c r="B6975">
        <v>94</v>
      </c>
      <c r="C6975" t="s">
        <v>847</v>
      </c>
      <c r="D6975" t="s">
        <v>221</v>
      </c>
      <c r="E6975">
        <v>9.2650000000000006</v>
      </c>
      <c r="F6975" t="s">
        <v>21</v>
      </c>
      <c r="G6975" t="s">
        <v>20</v>
      </c>
      <c r="H6975" t="s">
        <v>21</v>
      </c>
      <c r="I6975" t="s">
        <v>20</v>
      </c>
      <c r="J6975" t="s">
        <v>20</v>
      </c>
      <c r="K6975" t="s">
        <v>27</v>
      </c>
      <c r="L6975" t="s">
        <v>350</v>
      </c>
      <c r="M6975" t="s">
        <v>174</v>
      </c>
      <c r="N6975">
        <v>39.279190999999997</v>
      </c>
      <c r="O6975">
        <v>-111.878332</v>
      </c>
      <c r="P6975">
        <v>5092.8414590000002</v>
      </c>
      <c r="Q6975">
        <v>1342</v>
      </c>
      <c r="R6975">
        <v>0</v>
      </c>
    </row>
    <row r="6976" spans="1:18" x14ac:dyDescent="0.25">
      <c r="A6976">
        <v>7975</v>
      </c>
      <c r="B6976">
        <v>94</v>
      </c>
      <c r="C6976">
        <v>31195852</v>
      </c>
      <c r="D6976" t="s">
        <v>126</v>
      </c>
      <c r="E6976">
        <v>9.2720000000000002</v>
      </c>
      <c r="F6976" t="s">
        <v>21</v>
      </c>
      <c r="G6976" t="s">
        <v>26</v>
      </c>
      <c r="H6976" t="s">
        <v>21</v>
      </c>
      <c r="I6976" t="s">
        <v>20</v>
      </c>
      <c r="J6976" t="s">
        <v>20</v>
      </c>
      <c r="K6976" t="s">
        <v>41</v>
      </c>
      <c r="L6976" t="s">
        <v>57</v>
      </c>
      <c r="M6976" t="s">
        <v>93</v>
      </c>
      <c r="N6976">
        <v>41.305129000000001</v>
      </c>
      <c r="O6976">
        <v>-112.064965</v>
      </c>
      <c r="P6976">
        <v>4185.8314540000001</v>
      </c>
      <c r="Q6976">
        <v>1412</v>
      </c>
      <c r="R6976">
        <v>0</v>
      </c>
    </row>
    <row r="6977" spans="1:18" x14ac:dyDescent="0.25">
      <c r="A6977">
        <v>7976</v>
      </c>
      <c r="B6977">
        <v>94</v>
      </c>
      <c r="C6977">
        <v>31757504</v>
      </c>
      <c r="D6977" t="s">
        <v>65</v>
      </c>
      <c r="E6977">
        <v>7.5970000000000004</v>
      </c>
      <c r="F6977" t="s">
        <v>21</v>
      </c>
      <c r="G6977" t="s">
        <v>26</v>
      </c>
      <c r="H6977" t="s">
        <v>21</v>
      </c>
      <c r="I6977" t="s">
        <v>20</v>
      </c>
      <c r="J6977" t="s">
        <v>20</v>
      </c>
      <c r="K6977" t="s">
        <v>31</v>
      </c>
      <c r="L6977" t="s">
        <v>188</v>
      </c>
      <c r="M6977" t="s">
        <v>67</v>
      </c>
      <c r="N6977">
        <v>40.730854999999998</v>
      </c>
      <c r="O6977">
        <v>-111.818223</v>
      </c>
      <c r="P6977">
        <v>4691.8447969999997</v>
      </c>
      <c r="Q6977">
        <v>402</v>
      </c>
      <c r="R6977">
        <v>0</v>
      </c>
    </row>
    <row r="6978" spans="1:18" x14ac:dyDescent="0.25">
      <c r="A6978">
        <v>7977</v>
      </c>
      <c r="B6978">
        <v>94</v>
      </c>
      <c r="C6978">
        <v>28760587</v>
      </c>
      <c r="D6978" t="s">
        <v>142</v>
      </c>
      <c r="E6978">
        <v>77.122</v>
      </c>
      <c r="F6978" t="s">
        <v>21</v>
      </c>
      <c r="G6978" t="s">
        <v>26</v>
      </c>
      <c r="H6978" t="s">
        <v>21</v>
      </c>
      <c r="I6978" t="s">
        <v>20</v>
      </c>
      <c r="J6978" t="s">
        <v>20</v>
      </c>
      <c r="K6978" t="s">
        <v>27</v>
      </c>
      <c r="L6978" t="s">
        <v>143</v>
      </c>
      <c r="M6978" t="s">
        <v>106</v>
      </c>
      <c r="N6978">
        <v>38.394171999999998</v>
      </c>
      <c r="O6978">
        <v>-113.01142900000001</v>
      </c>
      <c r="P6978">
        <v>4889.7871729999997</v>
      </c>
      <c r="Q6978">
        <v>305</v>
      </c>
      <c r="R6978">
        <v>0</v>
      </c>
    </row>
    <row r="6979" spans="1:18" x14ac:dyDescent="0.25">
      <c r="A6979">
        <v>7978</v>
      </c>
      <c r="B6979">
        <v>94</v>
      </c>
      <c r="C6979">
        <v>31547234</v>
      </c>
      <c r="D6979" t="s">
        <v>213</v>
      </c>
      <c r="E6979">
        <v>83.387</v>
      </c>
      <c r="F6979" t="s">
        <v>21</v>
      </c>
      <c r="G6979" t="s">
        <v>26</v>
      </c>
      <c r="H6979" t="s">
        <v>21</v>
      </c>
      <c r="I6979" t="s">
        <v>20</v>
      </c>
      <c r="J6979" t="s">
        <v>20</v>
      </c>
      <c r="K6979" t="s">
        <v>27</v>
      </c>
      <c r="L6979" t="s">
        <v>173</v>
      </c>
      <c r="M6979" t="s">
        <v>214</v>
      </c>
      <c r="N6979">
        <v>39.330748</v>
      </c>
      <c r="O6979">
        <v>-112.66176900000001</v>
      </c>
      <c r="P6979">
        <v>4539.3915969999998</v>
      </c>
      <c r="Q6979">
        <v>1332</v>
      </c>
      <c r="R6979">
        <v>0</v>
      </c>
    </row>
    <row r="6980" spans="1:18" x14ac:dyDescent="0.25">
      <c r="A6980">
        <v>7979</v>
      </c>
      <c r="B6980">
        <v>94</v>
      </c>
      <c r="C6980">
        <v>31541678</v>
      </c>
      <c r="D6980" t="s">
        <v>348</v>
      </c>
      <c r="E6980">
        <v>83.518000000000001</v>
      </c>
      <c r="F6980" t="s">
        <v>21</v>
      </c>
      <c r="G6980" t="s">
        <v>26</v>
      </c>
      <c r="H6980" t="s">
        <v>19</v>
      </c>
      <c r="I6980">
        <v>276</v>
      </c>
      <c r="J6980" t="s">
        <v>20</v>
      </c>
      <c r="K6980" t="s">
        <v>27</v>
      </c>
      <c r="L6980" t="s">
        <v>327</v>
      </c>
      <c r="M6980" t="s">
        <v>123</v>
      </c>
      <c r="N6980">
        <v>37.562601999999998</v>
      </c>
      <c r="O6980">
        <v>-110.018823</v>
      </c>
      <c r="P6980">
        <v>6128.9246409999996</v>
      </c>
      <c r="Q6980">
        <v>1388</v>
      </c>
      <c r="R6980">
        <v>0</v>
      </c>
    </row>
    <row r="6981" spans="1:18" x14ac:dyDescent="0.25">
      <c r="A6981">
        <v>7980</v>
      </c>
      <c r="B6981">
        <v>94</v>
      </c>
      <c r="C6981">
        <v>31372388</v>
      </c>
      <c r="D6981" t="s">
        <v>142</v>
      </c>
      <c r="E6981">
        <v>83.75</v>
      </c>
      <c r="F6981" t="s">
        <v>21</v>
      </c>
      <c r="G6981" t="s">
        <v>26</v>
      </c>
      <c r="H6981" t="s">
        <v>21</v>
      </c>
      <c r="I6981" t="s">
        <v>20</v>
      </c>
      <c r="J6981" t="s">
        <v>20</v>
      </c>
      <c r="K6981" t="s">
        <v>27</v>
      </c>
      <c r="L6981" t="s">
        <v>143</v>
      </c>
      <c r="M6981" t="s">
        <v>106</v>
      </c>
      <c r="N6981">
        <v>38.309548999999997</v>
      </c>
      <c r="O6981">
        <v>-112.969757</v>
      </c>
      <c r="P6981">
        <v>5121.9880320000002</v>
      </c>
      <c r="Q6981">
        <v>305</v>
      </c>
      <c r="R6981">
        <v>0</v>
      </c>
    </row>
    <row r="6982" spans="1:18" x14ac:dyDescent="0.25">
      <c r="A6982">
        <v>7981</v>
      </c>
      <c r="B6982">
        <v>94</v>
      </c>
      <c r="C6982">
        <v>31768539</v>
      </c>
      <c r="D6982" t="s">
        <v>290</v>
      </c>
      <c r="E6982">
        <v>83.858999999999995</v>
      </c>
      <c r="F6982" t="s">
        <v>21</v>
      </c>
      <c r="G6982" t="s">
        <v>20</v>
      </c>
      <c r="H6982" t="s">
        <v>21</v>
      </c>
      <c r="I6982" t="s">
        <v>20</v>
      </c>
      <c r="J6982" t="s">
        <v>20</v>
      </c>
      <c r="K6982" t="s">
        <v>41</v>
      </c>
      <c r="L6982" t="s">
        <v>291</v>
      </c>
      <c r="M6982" t="s">
        <v>238</v>
      </c>
      <c r="N6982">
        <v>41.966799999999999</v>
      </c>
      <c r="O6982">
        <v>-112.882603</v>
      </c>
      <c r="P6982">
        <v>4348.5629609999996</v>
      </c>
      <c r="Q6982">
        <v>1343</v>
      </c>
      <c r="R6982">
        <v>0</v>
      </c>
    </row>
    <row r="6983" spans="1:18" x14ac:dyDescent="0.25">
      <c r="A6983">
        <v>7982</v>
      </c>
      <c r="B6983">
        <v>94</v>
      </c>
      <c r="C6983">
        <v>31547245</v>
      </c>
      <c r="D6983" t="s">
        <v>213</v>
      </c>
      <c r="E6983">
        <v>83.894000000000005</v>
      </c>
      <c r="F6983" t="s">
        <v>21</v>
      </c>
      <c r="G6983" t="s">
        <v>26</v>
      </c>
      <c r="H6983" t="s">
        <v>19</v>
      </c>
      <c r="I6983">
        <v>257</v>
      </c>
      <c r="J6983" t="s">
        <v>20</v>
      </c>
      <c r="K6983" t="s">
        <v>27</v>
      </c>
      <c r="L6983" t="s">
        <v>173</v>
      </c>
      <c r="M6983" t="s">
        <v>214</v>
      </c>
      <c r="N6983">
        <v>39.330758000000003</v>
      </c>
      <c r="O6983">
        <v>-112.652276</v>
      </c>
      <c r="P6983">
        <v>4537.4830419999998</v>
      </c>
      <c r="Q6983">
        <v>1332</v>
      </c>
      <c r="R6983">
        <v>0</v>
      </c>
    </row>
    <row r="6984" spans="1:18" x14ac:dyDescent="0.25">
      <c r="A6984">
        <v>7983</v>
      </c>
      <c r="B6984">
        <v>94</v>
      </c>
      <c r="C6984">
        <v>31892745</v>
      </c>
      <c r="D6984" t="s">
        <v>272</v>
      </c>
      <c r="E6984">
        <v>84.072000000000003</v>
      </c>
      <c r="F6984" t="s">
        <v>21</v>
      </c>
      <c r="G6984" t="s">
        <v>26</v>
      </c>
      <c r="H6984" t="s">
        <v>21</v>
      </c>
      <c r="I6984" t="s">
        <v>20</v>
      </c>
      <c r="J6984" t="s">
        <v>20</v>
      </c>
      <c r="K6984" t="s">
        <v>27</v>
      </c>
      <c r="L6984" t="s">
        <v>279</v>
      </c>
      <c r="M6984" t="s">
        <v>214</v>
      </c>
      <c r="N6984">
        <v>37.259340999999999</v>
      </c>
      <c r="O6984">
        <v>-112.65732800000001</v>
      </c>
      <c r="P6984">
        <v>5298.0689609999999</v>
      </c>
      <c r="Q6984">
        <v>1384</v>
      </c>
      <c r="R6984">
        <v>0</v>
      </c>
    </row>
    <row r="6985" spans="1:18" x14ac:dyDescent="0.25">
      <c r="A6985">
        <v>7984</v>
      </c>
      <c r="B6985">
        <v>94</v>
      </c>
      <c r="C6985">
        <v>31894556</v>
      </c>
      <c r="D6985" t="s">
        <v>272</v>
      </c>
      <c r="E6985">
        <v>84.216999999999999</v>
      </c>
      <c r="F6985" t="s">
        <v>21</v>
      </c>
      <c r="G6985" t="s">
        <v>20</v>
      </c>
      <c r="H6985" t="s">
        <v>21</v>
      </c>
      <c r="I6985" t="s">
        <v>20</v>
      </c>
      <c r="J6985" t="s">
        <v>20</v>
      </c>
      <c r="K6985" t="s">
        <v>27</v>
      </c>
      <c r="L6985" t="s">
        <v>279</v>
      </c>
      <c r="M6985" t="s">
        <v>214</v>
      </c>
      <c r="N6985">
        <v>37.261232</v>
      </c>
      <c r="O6985">
        <v>-112.65615699999999</v>
      </c>
      <c r="P6985">
        <v>5311.313795</v>
      </c>
      <c r="Q6985">
        <v>1384</v>
      </c>
      <c r="R6985">
        <v>0</v>
      </c>
    </row>
    <row r="6986" spans="1:18" x14ac:dyDescent="0.25">
      <c r="A6986">
        <v>7985</v>
      </c>
      <c r="B6986">
        <v>94</v>
      </c>
      <c r="C6986">
        <v>31772513</v>
      </c>
      <c r="D6986" t="s">
        <v>118</v>
      </c>
      <c r="E6986">
        <v>84.486999999999995</v>
      </c>
      <c r="F6986" t="s">
        <v>21</v>
      </c>
      <c r="G6986" t="s">
        <v>26</v>
      </c>
      <c r="H6986" t="s">
        <v>21</v>
      </c>
      <c r="I6986" t="s">
        <v>20</v>
      </c>
      <c r="J6986" t="s">
        <v>20</v>
      </c>
      <c r="K6986" t="s">
        <v>22</v>
      </c>
      <c r="L6986" t="s">
        <v>253</v>
      </c>
      <c r="M6986" t="s">
        <v>120</v>
      </c>
      <c r="N6986">
        <v>40.164164</v>
      </c>
      <c r="O6986">
        <v>-110.439526</v>
      </c>
      <c r="P6986">
        <v>5656.4904720000004</v>
      </c>
      <c r="Q6986">
        <v>310</v>
      </c>
      <c r="R6986">
        <v>0</v>
      </c>
    </row>
    <row r="6987" spans="1:18" x14ac:dyDescent="0.25">
      <c r="A6987">
        <v>7986</v>
      </c>
      <c r="B6987">
        <v>94</v>
      </c>
      <c r="C6987">
        <v>31372399</v>
      </c>
      <c r="D6987" t="s">
        <v>142</v>
      </c>
      <c r="E6987">
        <v>84.614999999999995</v>
      </c>
      <c r="F6987" t="s">
        <v>21</v>
      </c>
      <c r="G6987" t="s">
        <v>26</v>
      </c>
      <c r="H6987" t="s">
        <v>21</v>
      </c>
      <c r="I6987" t="s">
        <v>20</v>
      </c>
      <c r="J6987" t="s">
        <v>20</v>
      </c>
      <c r="K6987" t="s">
        <v>27</v>
      </c>
      <c r="L6987" t="s">
        <v>143</v>
      </c>
      <c r="M6987" t="s">
        <v>106</v>
      </c>
      <c r="N6987">
        <v>38.297035000000001</v>
      </c>
      <c r="O6987">
        <v>-112.968486</v>
      </c>
      <c r="P6987">
        <v>5137.9159300000001</v>
      </c>
      <c r="Q6987">
        <v>305</v>
      </c>
      <c r="R6987">
        <v>0</v>
      </c>
    </row>
    <row r="6988" spans="1:18" x14ac:dyDescent="0.25">
      <c r="A6988">
        <v>7987</v>
      </c>
      <c r="B6988">
        <v>94</v>
      </c>
      <c r="C6988">
        <v>31547974</v>
      </c>
      <c r="D6988" t="s">
        <v>213</v>
      </c>
      <c r="E6988">
        <v>84.652000000000001</v>
      </c>
      <c r="F6988" t="s">
        <v>21</v>
      </c>
      <c r="G6988" t="s">
        <v>26</v>
      </c>
      <c r="H6988" t="s">
        <v>21</v>
      </c>
      <c r="I6988" t="s">
        <v>20</v>
      </c>
      <c r="J6988" t="s">
        <v>20</v>
      </c>
      <c r="K6988" t="s">
        <v>27</v>
      </c>
      <c r="L6988" t="s">
        <v>173</v>
      </c>
      <c r="M6988" t="s">
        <v>214</v>
      </c>
      <c r="N6988">
        <v>39.330620000000003</v>
      </c>
      <c r="O6988">
        <v>-112.63815</v>
      </c>
      <c r="P6988">
        <v>4545.6489099999999</v>
      </c>
      <c r="Q6988">
        <v>1332</v>
      </c>
      <c r="R6988">
        <v>0</v>
      </c>
    </row>
    <row r="6989" spans="1:18" x14ac:dyDescent="0.25">
      <c r="A6989">
        <v>7988</v>
      </c>
      <c r="B6989">
        <v>94</v>
      </c>
      <c r="C6989">
        <v>31423772</v>
      </c>
      <c r="D6989" t="s">
        <v>288</v>
      </c>
      <c r="E6989">
        <v>84.695999999999998</v>
      </c>
      <c r="F6989" t="s">
        <v>21</v>
      </c>
      <c r="G6989" t="s">
        <v>26</v>
      </c>
      <c r="H6989" t="s">
        <v>21</v>
      </c>
      <c r="I6989" t="s">
        <v>20</v>
      </c>
      <c r="J6989" t="s">
        <v>20</v>
      </c>
      <c r="K6989" t="s">
        <v>27</v>
      </c>
      <c r="L6989" t="s">
        <v>146</v>
      </c>
      <c r="M6989" t="s">
        <v>147</v>
      </c>
      <c r="N6989">
        <v>38.054226999999997</v>
      </c>
      <c r="O6989">
        <v>-109.34276699999999</v>
      </c>
      <c r="P6989">
        <v>5965.7084759999998</v>
      </c>
      <c r="Q6989">
        <v>350</v>
      </c>
      <c r="R6989">
        <v>0</v>
      </c>
    </row>
    <row r="6990" spans="1:18" x14ac:dyDescent="0.25">
      <c r="A6990">
        <v>7989</v>
      </c>
      <c r="B6990">
        <v>94</v>
      </c>
      <c r="C6990">
        <v>31779333</v>
      </c>
      <c r="D6990" t="s">
        <v>118</v>
      </c>
      <c r="E6990">
        <v>90.111999999999995</v>
      </c>
      <c r="F6990" t="s">
        <v>21</v>
      </c>
      <c r="G6990" t="s">
        <v>26</v>
      </c>
      <c r="H6990" t="s">
        <v>21</v>
      </c>
      <c r="I6990" t="s">
        <v>20</v>
      </c>
      <c r="J6990" t="s">
        <v>20</v>
      </c>
      <c r="K6990" t="s">
        <v>22</v>
      </c>
      <c r="L6990" t="s">
        <v>253</v>
      </c>
      <c r="M6990" t="s">
        <v>169</v>
      </c>
      <c r="N6990">
        <v>40.171911999999999</v>
      </c>
      <c r="O6990">
        <v>-110.33724599999999</v>
      </c>
      <c r="P6990">
        <v>5452.638312</v>
      </c>
      <c r="Q6990">
        <v>310</v>
      </c>
      <c r="R6990">
        <v>0</v>
      </c>
    </row>
    <row r="6991" spans="1:18" x14ac:dyDescent="0.25">
      <c r="A6991">
        <v>7990</v>
      </c>
      <c r="B6991">
        <v>94</v>
      </c>
      <c r="C6991">
        <v>31771427</v>
      </c>
      <c r="D6991" t="s">
        <v>290</v>
      </c>
      <c r="E6991">
        <v>90.176000000000002</v>
      </c>
      <c r="F6991" t="s">
        <v>21</v>
      </c>
      <c r="G6991" t="s">
        <v>26</v>
      </c>
      <c r="H6991" t="s">
        <v>21</v>
      </c>
      <c r="I6991" t="s">
        <v>20</v>
      </c>
      <c r="J6991" t="s">
        <v>20</v>
      </c>
      <c r="K6991" t="s">
        <v>41</v>
      </c>
      <c r="L6991" t="s">
        <v>291</v>
      </c>
      <c r="M6991" t="s">
        <v>238</v>
      </c>
      <c r="N6991">
        <v>41.963462999999997</v>
      </c>
      <c r="O6991">
        <v>-112.761275</v>
      </c>
      <c r="P6991">
        <v>4473.8798489999999</v>
      </c>
      <c r="Q6991">
        <v>1343</v>
      </c>
      <c r="R6991">
        <v>0</v>
      </c>
    </row>
    <row r="6992" spans="1:18" x14ac:dyDescent="0.25">
      <c r="A6992">
        <v>7991</v>
      </c>
      <c r="B6992">
        <v>94</v>
      </c>
      <c r="C6992">
        <v>31373337</v>
      </c>
      <c r="D6992" t="s">
        <v>142</v>
      </c>
      <c r="E6992">
        <v>90.188000000000002</v>
      </c>
      <c r="F6992" t="s">
        <v>21</v>
      </c>
      <c r="G6992" t="s">
        <v>26</v>
      </c>
      <c r="H6992" t="s">
        <v>21</v>
      </c>
      <c r="I6992" t="s">
        <v>20</v>
      </c>
      <c r="J6992" t="s">
        <v>20</v>
      </c>
      <c r="K6992" t="s">
        <v>27</v>
      </c>
      <c r="L6992" t="s">
        <v>143</v>
      </c>
      <c r="M6992" t="s">
        <v>106</v>
      </c>
      <c r="N6992">
        <v>38.223655999999998</v>
      </c>
      <c r="O6992">
        <v>-112.927688</v>
      </c>
      <c r="P6992">
        <v>5213.3517339999999</v>
      </c>
      <c r="Q6992">
        <v>305</v>
      </c>
      <c r="R6992">
        <v>0</v>
      </c>
    </row>
    <row r="6993" spans="1:18" x14ac:dyDescent="0.25">
      <c r="A6993">
        <v>7992</v>
      </c>
      <c r="B6993">
        <v>94</v>
      </c>
      <c r="C6993">
        <v>31476513</v>
      </c>
      <c r="D6993" t="s">
        <v>320</v>
      </c>
      <c r="E6993">
        <v>90.238</v>
      </c>
      <c r="F6993" t="s">
        <v>21</v>
      </c>
      <c r="G6993" t="s">
        <v>26</v>
      </c>
      <c r="H6993" t="s">
        <v>21</v>
      </c>
      <c r="I6993" t="s">
        <v>20</v>
      </c>
      <c r="J6993" t="s">
        <v>20</v>
      </c>
      <c r="K6993" t="s">
        <v>27</v>
      </c>
      <c r="L6993" t="s">
        <v>173</v>
      </c>
      <c r="M6993" t="s">
        <v>166</v>
      </c>
      <c r="N6993">
        <v>39.352713000000001</v>
      </c>
      <c r="O6993">
        <v>-112.54798</v>
      </c>
      <c r="P6993">
        <v>4566.2229289999996</v>
      </c>
      <c r="Q6993">
        <v>1356</v>
      </c>
      <c r="R6993">
        <v>0</v>
      </c>
    </row>
    <row r="6994" spans="1:18" x14ac:dyDescent="0.25">
      <c r="A6994">
        <v>7993</v>
      </c>
      <c r="B6994">
        <v>94</v>
      </c>
      <c r="C6994">
        <v>31556107</v>
      </c>
      <c r="D6994" t="s">
        <v>213</v>
      </c>
      <c r="E6994">
        <v>90.257000000000005</v>
      </c>
      <c r="F6994" t="s">
        <v>21</v>
      </c>
      <c r="G6994" t="s">
        <v>26</v>
      </c>
      <c r="H6994" t="s">
        <v>21</v>
      </c>
      <c r="I6994" t="s">
        <v>20</v>
      </c>
      <c r="J6994" t="s">
        <v>20</v>
      </c>
      <c r="K6994" t="s">
        <v>27</v>
      </c>
      <c r="L6994" t="s">
        <v>173</v>
      </c>
      <c r="M6994" t="s">
        <v>214</v>
      </c>
      <c r="N6994">
        <v>39.361392000000002</v>
      </c>
      <c r="O6994">
        <v>-112.553239</v>
      </c>
      <c r="P6994">
        <v>4581.6961579999997</v>
      </c>
      <c r="Q6994">
        <v>1332</v>
      </c>
      <c r="R6994">
        <v>0</v>
      </c>
    </row>
    <row r="6995" spans="1:18" x14ac:dyDescent="0.25">
      <c r="A6995">
        <v>7994</v>
      </c>
      <c r="B6995">
        <v>94</v>
      </c>
      <c r="C6995">
        <v>27873964</v>
      </c>
      <c r="D6995" t="s">
        <v>136</v>
      </c>
      <c r="E6995">
        <v>8.7330000000000005</v>
      </c>
      <c r="F6995" t="s">
        <v>21</v>
      </c>
      <c r="G6995" t="s">
        <v>26</v>
      </c>
      <c r="H6995" t="s">
        <v>21</v>
      </c>
      <c r="I6995" t="s">
        <v>20</v>
      </c>
      <c r="J6995" t="s">
        <v>20</v>
      </c>
      <c r="K6995" t="s">
        <v>41</v>
      </c>
      <c r="L6995" t="s">
        <v>137</v>
      </c>
      <c r="M6995" t="s">
        <v>138</v>
      </c>
      <c r="N6995">
        <v>40.981110999999999</v>
      </c>
      <c r="O6995">
        <v>-111.678186</v>
      </c>
      <c r="P6995">
        <v>5104.680574</v>
      </c>
      <c r="Q6995">
        <v>317</v>
      </c>
      <c r="R6995">
        <v>0</v>
      </c>
    </row>
    <row r="6996" spans="1:18" x14ac:dyDescent="0.25">
      <c r="A6996">
        <v>7995</v>
      </c>
      <c r="B6996">
        <v>94</v>
      </c>
      <c r="C6996">
        <v>31367372</v>
      </c>
      <c r="D6996" t="s">
        <v>229</v>
      </c>
      <c r="E6996">
        <v>8.7360000000000007</v>
      </c>
      <c r="F6996" t="s">
        <v>21</v>
      </c>
      <c r="G6996" t="s">
        <v>26</v>
      </c>
      <c r="H6996" t="s">
        <v>21</v>
      </c>
      <c r="I6996" t="s">
        <v>20</v>
      </c>
      <c r="J6996" t="s">
        <v>20</v>
      </c>
      <c r="K6996" t="s">
        <v>27</v>
      </c>
      <c r="L6996" t="s">
        <v>230</v>
      </c>
      <c r="M6996" t="s">
        <v>82</v>
      </c>
      <c r="N6996">
        <v>39.485162000000003</v>
      </c>
      <c r="O6996">
        <v>-111.49607399999999</v>
      </c>
      <c r="P6996">
        <v>5750.9902199999997</v>
      </c>
      <c r="Q6996">
        <v>331</v>
      </c>
      <c r="R6996">
        <v>0</v>
      </c>
    </row>
    <row r="6997" spans="1:18" x14ac:dyDescent="0.25">
      <c r="A6997">
        <v>7996</v>
      </c>
      <c r="B6997">
        <v>94</v>
      </c>
      <c r="C6997">
        <v>31370468</v>
      </c>
      <c r="D6997" t="s">
        <v>345</v>
      </c>
      <c r="E6997">
        <v>8.7360000000000007</v>
      </c>
      <c r="F6997" t="s">
        <v>21</v>
      </c>
      <c r="G6997" t="s">
        <v>26</v>
      </c>
      <c r="H6997" t="s">
        <v>21</v>
      </c>
      <c r="I6997" t="s">
        <v>20</v>
      </c>
      <c r="J6997" t="s">
        <v>20</v>
      </c>
      <c r="K6997" t="s">
        <v>27</v>
      </c>
      <c r="L6997" t="s">
        <v>75</v>
      </c>
      <c r="M6997" t="s">
        <v>76</v>
      </c>
      <c r="N6997">
        <v>38.669535000000003</v>
      </c>
      <c r="O6997">
        <v>-112.12091700000001</v>
      </c>
      <c r="P6997">
        <v>5245.0668919999998</v>
      </c>
      <c r="Q6997">
        <v>1403</v>
      </c>
      <c r="R6997">
        <v>0</v>
      </c>
    </row>
    <row r="6998" spans="1:18" x14ac:dyDescent="0.25">
      <c r="A6998">
        <v>7997</v>
      </c>
      <c r="B6998">
        <v>94</v>
      </c>
      <c r="C6998">
        <v>31719065</v>
      </c>
      <c r="D6998" t="s">
        <v>541</v>
      </c>
      <c r="E6998">
        <v>8.7379999999999995</v>
      </c>
      <c r="F6998" t="s">
        <v>21</v>
      </c>
      <c r="G6998" t="s">
        <v>26</v>
      </c>
      <c r="H6998" t="s">
        <v>19</v>
      </c>
      <c r="I6998">
        <v>10</v>
      </c>
      <c r="J6998" t="s">
        <v>20</v>
      </c>
      <c r="K6998" t="s">
        <v>27</v>
      </c>
      <c r="L6998" t="s">
        <v>158</v>
      </c>
      <c r="M6998" t="s">
        <v>112</v>
      </c>
      <c r="N6998">
        <v>39.493305999999997</v>
      </c>
      <c r="O6998">
        <v>-110.845613</v>
      </c>
      <c r="P6998">
        <v>5773.6509349999997</v>
      </c>
      <c r="Q6998">
        <v>1406</v>
      </c>
      <c r="R6998">
        <v>0</v>
      </c>
    </row>
    <row r="6999" spans="1:18" x14ac:dyDescent="0.25">
      <c r="A6999">
        <v>7998</v>
      </c>
      <c r="B6999">
        <v>94</v>
      </c>
      <c r="C6999" t="e">
        <f>-Ip-KWVBHwi4cVDyMwUuPF</f>
        <v>#NAME?</v>
      </c>
      <c r="D6999" t="s">
        <v>118</v>
      </c>
      <c r="E6999">
        <v>92.063000000000002</v>
      </c>
      <c r="F6999" t="s">
        <v>21</v>
      </c>
      <c r="G6999" t="s">
        <v>20</v>
      </c>
      <c r="H6999" t="s">
        <v>21</v>
      </c>
      <c r="I6999" t="s">
        <v>20</v>
      </c>
      <c r="J6999" t="s">
        <v>20</v>
      </c>
      <c r="K6999" t="s">
        <v>22</v>
      </c>
      <c r="L6999" t="s">
        <v>253</v>
      </c>
      <c r="M6999" t="s">
        <v>169</v>
      </c>
      <c r="N6999">
        <v>40.169054000000003</v>
      </c>
      <c r="O6999">
        <v>-110.300757</v>
      </c>
      <c r="P6999">
        <v>5370.6073560000004</v>
      </c>
      <c r="Q6999">
        <v>310</v>
      </c>
      <c r="R6999">
        <v>0</v>
      </c>
    </row>
    <row r="7000" spans="1:18" x14ac:dyDescent="0.25">
      <c r="A7000">
        <v>7999</v>
      </c>
      <c r="B7000">
        <v>94</v>
      </c>
      <c r="C7000" t="s">
        <v>848</v>
      </c>
      <c r="D7000" t="s">
        <v>176</v>
      </c>
      <c r="E7000">
        <v>5.37</v>
      </c>
      <c r="F7000" t="s">
        <v>21</v>
      </c>
      <c r="G7000" t="s">
        <v>26</v>
      </c>
      <c r="H7000" t="s">
        <v>21</v>
      </c>
      <c r="I7000" t="s">
        <v>20</v>
      </c>
      <c r="J7000" t="s">
        <v>20</v>
      </c>
      <c r="K7000" t="s">
        <v>41</v>
      </c>
      <c r="L7000" t="s">
        <v>177</v>
      </c>
      <c r="M7000" t="s">
        <v>178</v>
      </c>
      <c r="N7000">
        <v>41.534756000000002</v>
      </c>
      <c r="O7000">
        <v>-112.06223199999999</v>
      </c>
      <c r="P7000">
        <v>4172.8599640000002</v>
      </c>
      <c r="Q7000">
        <v>1329</v>
      </c>
      <c r="R7000">
        <v>0</v>
      </c>
    </row>
    <row r="7001" spans="1:18" x14ac:dyDescent="0.25">
      <c r="A7001">
        <v>8000</v>
      </c>
      <c r="B7001">
        <v>94</v>
      </c>
      <c r="C7001">
        <v>31403675</v>
      </c>
      <c r="D7001" t="s">
        <v>124</v>
      </c>
      <c r="E7001">
        <v>46.567999999999998</v>
      </c>
      <c r="F7001" t="s">
        <v>21</v>
      </c>
      <c r="G7001" t="s">
        <v>26</v>
      </c>
      <c r="H7001" t="s">
        <v>21</v>
      </c>
      <c r="I7001" t="s">
        <v>20</v>
      </c>
      <c r="J7001" t="s">
        <v>20</v>
      </c>
      <c r="K7001" t="s">
        <v>31</v>
      </c>
      <c r="L7001" t="s">
        <v>48</v>
      </c>
      <c r="M7001" t="s">
        <v>125</v>
      </c>
      <c r="N7001">
        <v>40.584139</v>
      </c>
      <c r="O7001">
        <v>-111.938711</v>
      </c>
      <c r="P7001">
        <v>4353.9123749999999</v>
      </c>
      <c r="Q7001">
        <v>1368</v>
      </c>
      <c r="R7001">
        <v>0</v>
      </c>
    </row>
    <row r="7002" spans="1:18" x14ac:dyDescent="0.25">
      <c r="A7002">
        <v>6001</v>
      </c>
      <c r="B7002">
        <v>94</v>
      </c>
      <c r="C7002" t="e">
        <f>-IoqcS4WIYyzqAX5V25qLF</f>
        <v>#NAME?</v>
      </c>
      <c r="D7002" t="s">
        <v>272</v>
      </c>
      <c r="E7002">
        <v>351.80099999999999</v>
      </c>
      <c r="F7002" t="s">
        <v>19</v>
      </c>
      <c r="G7002" t="s">
        <v>20</v>
      </c>
      <c r="H7002" t="s">
        <v>21</v>
      </c>
      <c r="I7002" t="s">
        <v>20</v>
      </c>
      <c r="J7002" t="s">
        <v>20</v>
      </c>
      <c r="K7002" t="s">
        <v>22</v>
      </c>
      <c r="L7002" t="s">
        <v>84</v>
      </c>
      <c r="M7002" t="s">
        <v>125</v>
      </c>
      <c r="N7002">
        <v>40.40175</v>
      </c>
      <c r="O7002">
        <v>-111.854485</v>
      </c>
      <c r="P7002">
        <v>4531.2174709999999</v>
      </c>
      <c r="Q7002">
        <v>1384</v>
      </c>
      <c r="R7002">
        <v>0</v>
      </c>
    </row>
    <row r="7003" spans="1:18" x14ac:dyDescent="0.25">
      <c r="A7003">
        <v>6002</v>
      </c>
      <c r="B7003">
        <v>94</v>
      </c>
      <c r="C7003" t="s">
        <v>849</v>
      </c>
      <c r="D7003" t="s">
        <v>272</v>
      </c>
      <c r="E7003">
        <v>351.97899999999998</v>
      </c>
      <c r="F7003" t="s">
        <v>19</v>
      </c>
      <c r="G7003" t="s">
        <v>20</v>
      </c>
      <c r="H7003" t="s">
        <v>21</v>
      </c>
      <c r="I7003" t="s">
        <v>20</v>
      </c>
      <c r="J7003" t="s">
        <v>20</v>
      </c>
      <c r="K7003" t="s">
        <v>22</v>
      </c>
      <c r="L7003" t="s">
        <v>84</v>
      </c>
      <c r="M7003" t="s">
        <v>125</v>
      </c>
      <c r="N7003">
        <v>40.403542000000002</v>
      </c>
      <c r="O7003">
        <v>-111.856837</v>
      </c>
      <c r="P7003">
        <v>4527.8284610000001</v>
      </c>
      <c r="Q7003">
        <v>1384</v>
      </c>
      <c r="R7003">
        <v>0</v>
      </c>
    </row>
    <row r="7004" spans="1:18" x14ac:dyDescent="0.25">
      <c r="A7004">
        <v>6003</v>
      </c>
      <c r="B7004">
        <v>94</v>
      </c>
      <c r="C7004" t="e">
        <f>-IoqjBZxIfu9msF2RjpJaF</f>
        <v>#NAME?</v>
      </c>
      <c r="D7004" t="s">
        <v>272</v>
      </c>
      <c r="E7004">
        <v>352.149</v>
      </c>
      <c r="F7004" t="s">
        <v>21</v>
      </c>
      <c r="G7004" t="s">
        <v>26</v>
      </c>
      <c r="H7004" t="s">
        <v>21</v>
      </c>
      <c r="I7004" t="s">
        <v>20</v>
      </c>
      <c r="J7004" t="s">
        <v>20</v>
      </c>
      <c r="K7004" t="s">
        <v>22</v>
      </c>
      <c r="L7004" t="s">
        <v>84</v>
      </c>
      <c r="M7004" t="s">
        <v>125</v>
      </c>
      <c r="N7004">
        <v>40.405242999999999</v>
      </c>
      <c r="O7004">
        <v>-111.859061</v>
      </c>
      <c r="P7004">
        <v>4526.8399939999999</v>
      </c>
      <c r="Q7004">
        <v>1384</v>
      </c>
      <c r="R7004">
        <v>0</v>
      </c>
    </row>
    <row r="7005" spans="1:18" x14ac:dyDescent="0.25">
      <c r="A7005">
        <v>6004</v>
      </c>
      <c r="B7005">
        <v>94</v>
      </c>
      <c r="C7005" t="e">
        <f>-IoqmQiMFuXD5A_V26CKXF</f>
        <v>#NAME?</v>
      </c>
      <c r="D7005" t="s">
        <v>272</v>
      </c>
      <c r="E7005">
        <v>352.255</v>
      </c>
      <c r="F7005" t="s">
        <v>19</v>
      </c>
      <c r="G7005" t="s">
        <v>20</v>
      </c>
      <c r="H7005" t="s">
        <v>21</v>
      </c>
      <c r="I7005" t="s">
        <v>20</v>
      </c>
      <c r="J7005" t="s">
        <v>20</v>
      </c>
      <c r="K7005" t="s">
        <v>22</v>
      </c>
      <c r="L7005" t="s">
        <v>84</v>
      </c>
      <c r="M7005" t="s">
        <v>125</v>
      </c>
      <c r="N7005">
        <v>40.406306999999998</v>
      </c>
      <c r="O7005">
        <v>-111.86045900000001</v>
      </c>
      <c r="P7005">
        <v>4521.9857309999998</v>
      </c>
      <c r="Q7005">
        <v>1384</v>
      </c>
      <c r="R7005">
        <v>0</v>
      </c>
    </row>
    <row r="7006" spans="1:18" x14ac:dyDescent="0.25">
      <c r="A7006">
        <v>6005</v>
      </c>
      <c r="B7006">
        <v>94</v>
      </c>
      <c r="C7006">
        <v>31608212</v>
      </c>
      <c r="D7006" t="s">
        <v>271</v>
      </c>
      <c r="E7006">
        <v>33.872999999999998</v>
      </c>
      <c r="F7006" t="s">
        <v>21</v>
      </c>
      <c r="G7006" t="s">
        <v>26</v>
      </c>
      <c r="H7006" t="s">
        <v>21</v>
      </c>
      <c r="I7006" t="s">
        <v>20</v>
      </c>
      <c r="J7006" t="s">
        <v>20</v>
      </c>
      <c r="K7006" t="s">
        <v>22</v>
      </c>
      <c r="L7006" t="s">
        <v>263</v>
      </c>
      <c r="M7006" t="s">
        <v>24</v>
      </c>
      <c r="N7006">
        <v>40.38232</v>
      </c>
      <c r="O7006">
        <v>-111.964173</v>
      </c>
      <c r="P7006">
        <v>4880.8168390000001</v>
      </c>
      <c r="Q7006">
        <v>1372</v>
      </c>
      <c r="R7006">
        <v>0</v>
      </c>
    </row>
    <row r="7007" spans="1:18" x14ac:dyDescent="0.25">
      <c r="A7007">
        <v>6006</v>
      </c>
      <c r="B7007">
        <v>94</v>
      </c>
      <c r="C7007">
        <v>31382772</v>
      </c>
      <c r="D7007" t="s">
        <v>116</v>
      </c>
      <c r="E7007">
        <v>33.877000000000002</v>
      </c>
      <c r="F7007" t="s">
        <v>21</v>
      </c>
      <c r="G7007" t="s">
        <v>26</v>
      </c>
      <c r="H7007" t="s">
        <v>21</v>
      </c>
      <c r="I7007" t="s">
        <v>20</v>
      </c>
      <c r="J7007" t="s">
        <v>20</v>
      </c>
      <c r="K7007" t="s">
        <v>41</v>
      </c>
      <c r="L7007" t="s">
        <v>95</v>
      </c>
      <c r="M7007" t="s">
        <v>117</v>
      </c>
      <c r="N7007">
        <v>41.836511999999999</v>
      </c>
      <c r="O7007">
        <v>-111.832707</v>
      </c>
      <c r="P7007">
        <v>4556.0764669999999</v>
      </c>
      <c r="Q7007">
        <v>324</v>
      </c>
      <c r="R7007">
        <v>0</v>
      </c>
    </row>
    <row r="7008" spans="1:18" x14ac:dyDescent="0.25">
      <c r="A7008">
        <v>6007</v>
      </c>
      <c r="B7008">
        <v>94</v>
      </c>
      <c r="C7008">
        <v>31575910</v>
      </c>
      <c r="D7008" t="s">
        <v>172</v>
      </c>
      <c r="E7008">
        <v>33.926000000000002</v>
      </c>
      <c r="F7008" t="s">
        <v>21</v>
      </c>
      <c r="G7008" t="s">
        <v>26</v>
      </c>
      <c r="H7008" t="s">
        <v>21</v>
      </c>
      <c r="I7008" t="s">
        <v>20</v>
      </c>
      <c r="J7008" t="s">
        <v>20</v>
      </c>
      <c r="K7008" t="s">
        <v>22</v>
      </c>
      <c r="L7008" t="s">
        <v>155</v>
      </c>
      <c r="M7008" t="s">
        <v>174</v>
      </c>
      <c r="N7008">
        <v>39.710009999999997</v>
      </c>
      <c r="O7008">
        <v>-111.822936</v>
      </c>
      <c r="P7008">
        <v>5121.8901409999999</v>
      </c>
      <c r="Q7008">
        <v>1411</v>
      </c>
      <c r="R7008">
        <v>0</v>
      </c>
    </row>
    <row r="7009" spans="1:18" x14ac:dyDescent="0.25">
      <c r="A7009">
        <v>6008</v>
      </c>
      <c r="B7009">
        <v>94</v>
      </c>
      <c r="C7009">
        <v>31743383</v>
      </c>
      <c r="D7009" t="s">
        <v>290</v>
      </c>
      <c r="E7009">
        <v>33.927999999999997</v>
      </c>
      <c r="F7009" t="s">
        <v>21</v>
      </c>
      <c r="G7009" t="s">
        <v>20</v>
      </c>
      <c r="H7009" t="s">
        <v>21</v>
      </c>
      <c r="I7009" t="s">
        <v>20</v>
      </c>
      <c r="J7009" t="s">
        <v>20</v>
      </c>
      <c r="K7009" t="s">
        <v>41</v>
      </c>
      <c r="L7009" t="s">
        <v>291</v>
      </c>
      <c r="M7009" t="s">
        <v>238</v>
      </c>
      <c r="N7009">
        <v>41.622917000000001</v>
      </c>
      <c r="O7009">
        <v>-113.56119099999999</v>
      </c>
      <c r="P7009">
        <v>4937.7530870000001</v>
      </c>
      <c r="Q7009">
        <v>1343</v>
      </c>
      <c r="R7009">
        <v>0</v>
      </c>
    </row>
    <row r="7010" spans="1:18" x14ac:dyDescent="0.25">
      <c r="A7010">
        <v>6009</v>
      </c>
      <c r="B7010">
        <v>94</v>
      </c>
      <c r="C7010" t="s">
        <v>850</v>
      </c>
      <c r="D7010" t="s">
        <v>50</v>
      </c>
      <c r="E7010">
        <v>33.970999999999997</v>
      </c>
      <c r="F7010" t="s">
        <v>21</v>
      </c>
      <c r="G7010" t="s">
        <v>20</v>
      </c>
      <c r="H7010" t="s">
        <v>21</v>
      </c>
      <c r="I7010" t="s">
        <v>20</v>
      </c>
      <c r="J7010" t="s">
        <v>20</v>
      </c>
      <c r="K7010" t="s">
        <v>27</v>
      </c>
      <c r="L7010" t="s">
        <v>247</v>
      </c>
      <c r="M7010" t="s">
        <v>52</v>
      </c>
      <c r="N7010">
        <v>37.707107000000001</v>
      </c>
      <c r="O7010">
        <v>-112.630686</v>
      </c>
      <c r="P7010">
        <v>8187.9539329999998</v>
      </c>
      <c r="Q7010">
        <v>1418</v>
      </c>
      <c r="R7010">
        <v>0</v>
      </c>
    </row>
    <row r="7011" spans="1:18" x14ac:dyDescent="0.25">
      <c r="A7011">
        <v>6010</v>
      </c>
      <c r="B7011">
        <v>94</v>
      </c>
      <c r="C7011">
        <v>31501954</v>
      </c>
      <c r="D7011" t="s">
        <v>129</v>
      </c>
      <c r="E7011">
        <v>33.999000000000002</v>
      </c>
      <c r="F7011" t="s">
        <v>21</v>
      </c>
      <c r="G7011" t="s">
        <v>26</v>
      </c>
      <c r="H7011" t="s">
        <v>21</v>
      </c>
      <c r="I7011" t="s">
        <v>20</v>
      </c>
      <c r="J7011" t="s">
        <v>20</v>
      </c>
      <c r="K7011" t="s">
        <v>31</v>
      </c>
      <c r="L7011" t="s">
        <v>130</v>
      </c>
      <c r="M7011" t="s">
        <v>302</v>
      </c>
      <c r="N7011">
        <v>40.720565000000001</v>
      </c>
      <c r="O7011">
        <v>-110.86690299999999</v>
      </c>
      <c r="P7011">
        <v>10266.163613999999</v>
      </c>
      <c r="Q7011">
        <v>340</v>
      </c>
      <c r="R7011">
        <v>0</v>
      </c>
    </row>
    <row r="7012" spans="1:18" x14ac:dyDescent="0.25">
      <c r="A7012">
        <v>6011</v>
      </c>
      <c r="B7012">
        <v>94</v>
      </c>
      <c r="C7012" t="s">
        <v>851</v>
      </c>
      <c r="D7012" t="s">
        <v>272</v>
      </c>
      <c r="E7012">
        <v>330.02300000000002</v>
      </c>
      <c r="F7012" t="s">
        <v>21</v>
      </c>
      <c r="G7012" t="s">
        <v>26</v>
      </c>
      <c r="H7012" t="s">
        <v>21</v>
      </c>
      <c r="I7012" t="s">
        <v>20</v>
      </c>
      <c r="J7012" t="s">
        <v>20</v>
      </c>
      <c r="K7012" t="s">
        <v>22</v>
      </c>
      <c r="L7012" t="s">
        <v>23</v>
      </c>
      <c r="M7012" t="s">
        <v>125</v>
      </c>
      <c r="N7012">
        <v>40.189123000000002</v>
      </c>
      <c r="O7012">
        <v>-111.61127500000001</v>
      </c>
      <c r="P7012">
        <v>4497.9206400000003</v>
      </c>
      <c r="Q7012">
        <v>1384</v>
      </c>
      <c r="R7012">
        <v>0</v>
      </c>
    </row>
    <row r="7013" spans="1:18" x14ac:dyDescent="0.25">
      <c r="A7013">
        <v>6012</v>
      </c>
      <c r="B7013">
        <v>94</v>
      </c>
      <c r="C7013">
        <v>31436367</v>
      </c>
      <c r="D7013" t="s">
        <v>288</v>
      </c>
      <c r="E7013">
        <v>103.458</v>
      </c>
      <c r="F7013" t="s">
        <v>21</v>
      </c>
      <c r="G7013" t="s">
        <v>26</v>
      </c>
      <c r="H7013" t="s">
        <v>19</v>
      </c>
      <c r="I7013">
        <v>46</v>
      </c>
      <c r="J7013" t="s">
        <v>20</v>
      </c>
      <c r="K7013" t="s">
        <v>27</v>
      </c>
      <c r="L7013" t="s">
        <v>38</v>
      </c>
      <c r="M7013" t="s">
        <v>152</v>
      </c>
      <c r="N7013">
        <v>38.309156999999999</v>
      </c>
      <c r="O7013">
        <v>-109.403516</v>
      </c>
      <c r="P7013">
        <v>5844.7667289999999</v>
      </c>
      <c r="Q7013">
        <v>350</v>
      </c>
      <c r="R7013">
        <v>0</v>
      </c>
    </row>
    <row r="7014" spans="1:18" x14ac:dyDescent="0.25">
      <c r="A7014">
        <v>6013</v>
      </c>
      <c r="B7014">
        <v>94</v>
      </c>
      <c r="C7014" t="e">
        <f>-JN_HwpOIZ9uWZ6R9xo9Ak</f>
        <v>#NAME?</v>
      </c>
      <c r="D7014" t="s">
        <v>290</v>
      </c>
      <c r="E7014">
        <v>103.503</v>
      </c>
      <c r="F7014" t="s">
        <v>21</v>
      </c>
      <c r="G7014" t="s">
        <v>26</v>
      </c>
      <c r="H7014" t="s">
        <v>21</v>
      </c>
      <c r="I7014" t="s">
        <v>20</v>
      </c>
      <c r="J7014" t="s">
        <v>20</v>
      </c>
      <c r="K7014" t="s">
        <v>41</v>
      </c>
      <c r="L7014" t="s">
        <v>95</v>
      </c>
      <c r="M7014" t="s">
        <v>152</v>
      </c>
      <c r="N7014">
        <v>41.746357000000003</v>
      </c>
      <c r="O7014">
        <v>-111.958021</v>
      </c>
      <c r="P7014">
        <v>4362.8541830000004</v>
      </c>
      <c r="Q7014">
        <v>1343</v>
      </c>
      <c r="R7014">
        <v>0</v>
      </c>
    </row>
    <row r="7015" spans="1:18" x14ac:dyDescent="0.25">
      <c r="A7015">
        <v>6014</v>
      </c>
      <c r="B7015">
        <v>94</v>
      </c>
      <c r="C7015">
        <v>31790526</v>
      </c>
      <c r="D7015" t="s">
        <v>118</v>
      </c>
      <c r="E7015">
        <v>103.524</v>
      </c>
      <c r="F7015" t="s">
        <v>21</v>
      </c>
      <c r="G7015" t="s">
        <v>26</v>
      </c>
      <c r="H7015" t="s">
        <v>21</v>
      </c>
      <c r="I7015" t="s">
        <v>20</v>
      </c>
      <c r="J7015" t="s">
        <v>20</v>
      </c>
      <c r="K7015" t="s">
        <v>22</v>
      </c>
      <c r="L7015" t="s">
        <v>133</v>
      </c>
      <c r="M7015" t="s">
        <v>169</v>
      </c>
      <c r="N7015">
        <v>40.185882999999997</v>
      </c>
      <c r="O7015">
        <v>-110.095381</v>
      </c>
      <c r="P7015">
        <v>5075.2487899999996</v>
      </c>
      <c r="Q7015">
        <v>310</v>
      </c>
      <c r="R7015">
        <v>0</v>
      </c>
    </row>
    <row r="7016" spans="1:18" x14ac:dyDescent="0.25">
      <c r="A7016">
        <v>6015</v>
      </c>
      <c r="B7016">
        <v>94</v>
      </c>
      <c r="C7016">
        <v>31480180</v>
      </c>
      <c r="D7016" t="s">
        <v>320</v>
      </c>
      <c r="E7016">
        <v>103.54600000000001</v>
      </c>
      <c r="F7016" t="s">
        <v>21</v>
      </c>
      <c r="G7016" t="s">
        <v>26</v>
      </c>
      <c r="H7016" t="s">
        <v>21</v>
      </c>
      <c r="I7016" t="s">
        <v>20</v>
      </c>
      <c r="J7016" t="s">
        <v>20</v>
      </c>
      <c r="K7016" t="s">
        <v>27</v>
      </c>
      <c r="L7016" t="s">
        <v>173</v>
      </c>
      <c r="M7016" t="s">
        <v>166</v>
      </c>
      <c r="N7016">
        <v>39.213866000000003</v>
      </c>
      <c r="O7016">
        <v>-112.416369</v>
      </c>
      <c r="P7016">
        <v>4660.2688639999997</v>
      </c>
      <c r="Q7016">
        <v>1356</v>
      </c>
      <c r="R7016">
        <v>0</v>
      </c>
    </row>
    <row r="7017" spans="1:18" x14ac:dyDescent="0.25">
      <c r="A7017">
        <v>6016</v>
      </c>
      <c r="B7017">
        <v>94</v>
      </c>
      <c r="C7017">
        <v>31376129</v>
      </c>
      <c r="D7017" t="s">
        <v>142</v>
      </c>
      <c r="E7017">
        <v>103.55800000000001</v>
      </c>
      <c r="F7017" t="s">
        <v>21</v>
      </c>
      <c r="G7017" t="s">
        <v>20</v>
      </c>
      <c r="H7017" t="s">
        <v>21</v>
      </c>
      <c r="I7017" t="s">
        <v>20</v>
      </c>
      <c r="J7017" t="s">
        <v>20</v>
      </c>
      <c r="K7017" t="s">
        <v>27</v>
      </c>
      <c r="L7017" t="s">
        <v>103</v>
      </c>
      <c r="M7017" t="s">
        <v>106</v>
      </c>
      <c r="N7017">
        <v>38.273904999999999</v>
      </c>
      <c r="O7017">
        <v>-112.715305</v>
      </c>
      <c r="P7017">
        <v>5702.6852410000001</v>
      </c>
      <c r="Q7017">
        <v>305</v>
      </c>
      <c r="R7017">
        <v>0</v>
      </c>
    </row>
    <row r="7018" spans="1:18" x14ac:dyDescent="0.25">
      <c r="A7018">
        <v>6017</v>
      </c>
      <c r="B7018">
        <v>94</v>
      </c>
      <c r="C7018">
        <v>31376140</v>
      </c>
      <c r="D7018" t="s">
        <v>142</v>
      </c>
      <c r="E7018">
        <v>103.64100000000001</v>
      </c>
      <c r="F7018" t="s">
        <v>21</v>
      </c>
      <c r="G7018" t="s">
        <v>20</v>
      </c>
      <c r="H7018" t="s">
        <v>21</v>
      </c>
      <c r="I7018" t="s">
        <v>20</v>
      </c>
      <c r="J7018" t="s">
        <v>20</v>
      </c>
      <c r="K7018" t="s">
        <v>27</v>
      </c>
      <c r="L7018" t="s">
        <v>103</v>
      </c>
      <c r="M7018" t="s">
        <v>106</v>
      </c>
      <c r="N7018">
        <v>38.273907999999999</v>
      </c>
      <c r="O7018">
        <v>-112.713773</v>
      </c>
      <c r="P7018">
        <v>5703.4949399999996</v>
      </c>
      <c r="Q7018">
        <v>305</v>
      </c>
      <c r="R7018">
        <v>0</v>
      </c>
    </row>
    <row r="7019" spans="1:18" x14ac:dyDescent="0.25">
      <c r="A7019">
        <v>6018</v>
      </c>
      <c r="B7019">
        <v>94</v>
      </c>
      <c r="C7019">
        <v>31902447</v>
      </c>
      <c r="D7019" t="s">
        <v>272</v>
      </c>
      <c r="E7019">
        <v>103.685</v>
      </c>
      <c r="F7019" t="s">
        <v>21</v>
      </c>
      <c r="G7019" t="s">
        <v>26</v>
      </c>
      <c r="H7019" t="s">
        <v>19</v>
      </c>
      <c r="I7019">
        <v>14</v>
      </c>
      <c r="J7019" t="s">
        <v>20</v>
      </c>
      <c r="K7019" t="s">
        <v>27</v>
      </c>
      <c r="L7019" t="s">
        <v>279</v>
      </c>
      <c r="M7019" t="s">
        <v>214</v>
      </c>
      <c r="N7019">
        <v>37.488624000000002</v>
      </c>
      <c r="O7019">
        <v>-112.51264500000001</v>
      </c>
      <c r="P7019">
        <v>7385.1876009999996</v>
      </c>
      <c r="Q7019">
        <v>1384</v>
      </c>
      <c r="R7019">
        <v>0</v>
      </c>
    </row>
    <row r="7020" spans="1:18" x14ac:dyDescent="0.25">
      <c r="A7020">
        <v>6019</v>
      </c>
      <c r="B7020">
        <v>94</v>
      </c>
      <c r="C7020">
        <v>31376151</v>
      </c>
      <c r="D7020" t="s">
        <v>142</v>
      </c>
      <c r="E7020">
        <v>103.89700000000001</v>
      </c>
      <c r="F7020" t="s">
        <v>21</v>
      </c>
      <c r="G7020" t="s">
        <v>26</v>
      </c>
      <c r="H7020" t="s">
        <v>21</v>
      </c>
      <c r="I7020" t="s">
        <v>20</v>
      </c>
      <c r="J7020" t="s">
        <v>20</v>
      </c>
      <c r="K7020" t="s">
        <v>27</v>
      </c>
      <c r="L7020" t="s">
        <v>103</v>
      </c>
      <c r="M7020" t="s">
        <v>106</v>
      </c>
      <c r="N7020">
        <v>38.273910000000001</v>
      </c>
      <c r="O7020">
        <v>-112.70905399999999</v>
      </c>
      <c r="P7020">
        <v>5703.0354749999997</v>
      </c>
      <c r="Q7020">
        <v>305</v>
      </c>
      <c r="R7020">
        <v>0</v>
      </c>
    </row>
    <row r="7021" spans="1:18" x14ac:dyDescent="0.25">
      <c r="A7021">
        <v>6020</v>
      </c>
      <c r="B7021">
        <v>94</v>
      </c>
      <c r="C7021">
        <v>31436378</v>
      </c>
      <c r="D7021" t="s">
        <v>288</v>
      </c>
      <c r="E7021">
        <v>103.938</v>
      </c>
      <c r="F7021" t="s">
        <v>21</v>
      </c>
      <c r="G7021" t="s">
        <v>20</v>
      </c>
      <c r="H7021" t="s">
        <v>21</v>
      </c>
      <c r="I7021" t="s">
        <v>20</v>
      </c>
      <c r="J7021" t="s">
        <v>20</v>
      </c>
      <c r="K7021" t="s">
        <v>27</v>
      </c>
      <c r="L7021" t="s">
        <v>38</v>
      </c>
      <c r="M7021" t="s">
        <v>152</v>
      </c>
      <c r="N7021">
        <v>38.313873999999998</v>
      </c>
      <c r="O7021">
        <v>-109.409977</v>
      </c>
      <c r="P7021">
        <v>5851.5553959999997</v>
      </c>
      <c r="Q7021">
        <v>350</v>
      </c>
      <c r="R7021">
        <v>0</v>
      </c>
    </row>
    <row r="7022" spans="1:18" x14ac:dyDescent="0.25">
      <c r="A7022">
        <v>6021</v>
      </c>
      <c r="B7022">
        <v>94</v>
      </c>
      <c r="C7022">
        <v>31790537</v>
      </c>
      <c r="D7022" t="s">
        <v>118</v>
      </c>
      <c r="E7022">
        <v>104.077</v>
      </c>
      <c r="F7022" t="s">
        <v>21</v>
      </c>
      <c r="G7022" t="s">
        <v>20</v>
      </c>
      <c r="H7022" t="s">
        <v>21</v>
      </c>
      <c r="I7022" t="s">
        <v>20</v>
      </c>
      <c r="J7022" t="s">
        <v>20</v>
      </c>
      <c r="K7022" t="s">
        <v>22</v>
      </c>
      <c r="L7022" t="s">
        <v>133</v>
      </c>
      <c r="M7022" t="s">
        <v>169</v>
      </c>
      <c r="N7022">
        <v>40.189349</v>
      </c>
      <c r="O7022">
        <v>-110.085943</v>
      </c>
      <c r="P7022">
        <v>5061.975289</v>
      </c>
      <c r="Q7022">
        <v>310</v>
      </c>
      <c r="R7022">
        <v>0</v>
      </c>
    </row>
    <row r="7023" spans="1:18" x14ac:dyDescent="0.25">
      <c r="A7023">
        <v>6022</v>
      </c>
      <c r="B7023">
        <v>94</v>
      </c>
      <c r="C7023">
        <v>31562822</v>
      </c>
      <c r="D7023" t="s">
        <v>213</v>
      </c>
      <c r="E7023">
        <v>104.08799999999999</v>
      </c>
      <c r="F7023" t="s">
        <v>21</v>
      </c>
      <c r="G7023" t="s">
        <v>26</v>
      </c>
      <c r="H7023" t="s">
        <v>21</v>
      </c>
      <c r="I7023" t="s">
        <v>20</v>
      </c>
      <c r="J7023" t="s">
        <v>20</v>
      </c>
      <c r="K7023" t="s">
        <v>27</v>
      </c>
      <c r="L7023" t="s">
        <v>173</v>
      </c>
      <c r="M7023" t="s">
        <v>214</v>
      </c>
      <c r="N7023">
        <v>39.509914000000002</v>
      </c>
      <c r="O7023">
        <v>-112.38014</v>
      </c>
      <c r="P7023">
        <v>4721.5793400000002</v>
      </c>
      <c r="Q7023">
        <v>1332</v>
      </c>
      <c r="R7023">
        <v>0</v>
      </c>
    </row>
    <row r="7024" spans="1:18" x14ac:dyDescent="0.25">
      <c r="A7024">
        <v>6023</v>
      </c>
      <c r="B7024">
        <v>94</v>
      </c>
      <c r="C7024">
        <v>31904008</v>
      </c>
      <c r="D7024" t="s">
        <v>272</v>
      </c>
      <c r="E7024">
        <v>104.254</v>
      </c>
      <c r="F7024" t="s">
        <v>21</v>
      </c>
      <c r="G7024" t="s">
        <v>20</v>
      </c>
      <c r="H7024" t="s">
        <v>21</v>
      </c>
      <c r="I7024" t="s">
        <v>20</v>
      </c>
      <c r="J7024" t="s">
        <v>20</v>
      </c>
      <c r="K7024" t="s">
        <v>27</v>
      </c>
      <c r="L7024" t="s">
        <v>279</v>
      </c>
      <c r="M7024" t="s">
        <v>214</v>
      </c>
      <c r="N7024">
        <v>37.495980000000003</v>
      </c>
      <c r="O7024">
        <v>-112.507863</v>
      </c>
      <c r="P7024">
        <v>7280.2837099999997</v>
      </c>
      <c r="Q7024">
        <v>1384</v>
      </c>
      <c r="R7024">
        <v>0</v>
      </c>
    </row>
    <row r="7025" spans="1:18" x14ac:dyDescent="0.25">
      <c r="A7025">
        <v>6024</v>
      </c>
      <c r="B7025">
        <v>94</v>
      </c>
      <c r="C7025">
        <v>31480191</v>
      </c>
      <c r="D7025" t="s">
        <v>320</v>
      </c>
      <c r="E7025">
        <v>104.271</v>
      </c>
      <c r="F7025" t="s">
        <v>21</v>
      </c>
      <c r="G7025" t="s">
        <v>26</v>
      </c>
      <c r="H7025" t="s">
        <v>21</v>
      </c>
      <c r="I7025" t="s">
        <v>20</v>
      </c>
      <c r="J7025" t="s">
        <v>20</v>
      </c>
      <c r="K7025" t="s">
        <v>27</v>
      </c>
      <c r="L7025" t="s">
        <v>173</v>
      </c>
      <c r="M7025" t="s">
        <v>166</v>
      </c>
      <c r="N7025">
        <v>39.204416999999999</v>
      </c>
      <c r="O7025">
        <v>-112.410434</v>
      </c>
      <c r="P7025">
        <v>4667.0560340000002</v>
      </c>
      <c r="Q7025">
        <v>1356</v>
      </c>
      <c r="R7025">
        <v>0</v>
      </c>
    </row>
    <row r="7026" spans="1:18" x14ac:dyDescent="0.25">
      <c r="A7026">
        <v>6025</v>
      </c>
      <c r="B7026">
        <v>94</v>
      </c>
      <c r="C7026">
        <v>31482602</v>
      </c>
      <c r="D7026" t="s">
        <v>320</v>
      </c>
      <c r="E7026">
        <v>104.34399999999999</v>
      </c>
      <c r="F7026" t="s">
        <v>21</v>
      </c>
      <c r="G7026" t="s">
        <v>20</v>
      </c>
      <c r="H7026" t="s">
        <v>21</v>
      </c>
      <c r="I7026" t="s">
        <v>20</v>
      </c>
      <c r="J7026" t="s">
        <v>20</v>
      </c>
      <c r="K7026" t="s">
        <v>27</v>
      </c>
      <c r="L7026" t="s">
        <v>173</v>
      </c>
      <c r="M7026" t="s">
        <v>166</v>
      </c>
      <c r="N7026">
        <v>39.203406999999999</v>
      </c>
      <c r="O7026">
        <v>-112.409965</v>
      </c>
      <c r="P7026">
        <v>4667.0183930000003</v>
      </c>
      <c r="Q7026">
        <v>1356</v>
      </c>
      <c r="R7026">
        <v>0</v>
      </c>
    </row>
    <row r="7027" spans="1:18" x14ac:dyDescent="0.25">
      <c r="A7027">
        <v>6026</v>
      </c>
      <c r="B7027">
        <v>94</v>
      </c>
      <c r="C7027" t="e">
        <f>-JOnvE4rI_qxnAwa04c4Wk</f>
        <v>#NAME?</v>
      </c>
      <c r="D7027" t="s">
        <v>348</v>
      </c>
      <c r="E7027">
        <v>100.74299999999999</v>
      </c>
      <c r="F7027" t="s">
        <v>21</v>
      </c>
      <c r="G7027" t="s">
        <v>20</v>
      </c>
      <c r="H7027" t="s">
        <v>21</v>
      </c>
      <c r="I7027" t="s">
        <v>20</v>
      </c>
      <c r="J7027" t="s">
        <v>20</v>
      </c>
      <c r="K7027" t="s">
        <v>27</v>
      </c>
      <c r="L7027" t="s">
        <v>327</v>
      </c>
      <c r="M7027" t="s">
        <v>123</v>
      </c>
      <c r="N7027">
        <v>37.543539000000003</v>
      </c>
      <c r="O7027">
        <v>-109.757226</v>
      </c>
      <c r="P7027">
        <v>6236.3153979999997</v>
      </c>
      <c r="Q7027">
        <v>1388</v>
      </c>
      <c r="R7027">
        <v>0</v>
      </c>
    </row>
    <row r="7028" spans="1:18" x14ac:dyDescent="0.25">
      <c r="A7028">
        <v>6027</v>
      </c>
      <c r="B7028">
        <v>94</v>
      </c>
      <c r="C7028">
        <v>31806847</v>
      </c>
      <c r="D7028" t="s">
        <v>290</v>
      </c>
      <c r="E7028">
        <v>109.27</v>
      </c>
      <c r="F7028" t="s">
        <v>21</v>
      </c>
      <c r="G7028" t="s">
        <v>26</v>
      </c>
      <c r="H7028" t="s">
        <v>21</v>
      </c>
      <c r="I7028" t="s">
        <v>20</v>
      </c>
      <c r="J7028" t="s">
        <v>20</v>
      </c>
      <c r="K7028" t="s">
        <v>41</v>
      </c>
      <c r="L7028" t="s">
        <v>95</v>
      </c>
      <c r="M7028" t="s">
        <v>152</v>
      </c>
      <c r="N7028">
        <v>41.735427000000001</v>
      </c>
      <c r="O7028">
        <v>-111.84773</v>
      </c>
      <c r="P7028">
        <v>4447.3881060000003</v>
      </c>
      <c r="Q7028">
        <v>1343</v>
      </c>
      <c r="R7028">
        <v>0</v>
      </c>
    </row>
    <row r="7029" spans="1:18" x14ac:dyDescent="0.25">
      <c r="A7029">
        <v>6028</v>
      </c>
      <c r="B7029">
        <v>94</v>
      </c>
      <c r="C7029">
        <v>31807276</v>
      </c>
      <c r="D7029" t="s">
        <v>290</v>
      </c>
      <c r="E7029">
        <v>109.401</v>
      </c>
      <c r="F7029" t="s">
        <v>21</v>
      </c>
      <c r="G7029" t="s">
        <v>26</v>
      </c>
      <c r="H7029" t="s">
        <v>21</v>
      </c>
      <c r="I7029" t="s">
        <v>20</v>
      </c>
      <c r="J7029" t="s">
        <v>20</v>
      </c>
      <c r="K7029" t="s">
        <v>41</v>
      </c>
      <c r="L7029" t="s">
        <v>95</v>
      </c>
      <c r="M7029" t="s">
        <v>152</v>
      </c>
      <c r="N7029">
        <v>41.735382999999999</v>
      </c>
      <c r="O7029">
        <v>-111.845174</v>
      </c>
      <c r="P7029">
        <v>4460.650216</v>
      </c>
      <c r="Q7029">
        <v>1343</v>
      </c>
      <c r="R7029">
        <v>0</v>
      </c>
    </row>
    <row r="7030" spans="1:18" x14ac:dyDescent="0.25">
      <c r="A7030">
        <v>6029</v>
      </c>
      <c r="B7030">
        <v>94</v>
      </c>
      <c r="C7030">
        <v>31794852</v>
      </c>
      <c r="D7030" t="s">
        <v>118</v>
      </c>
      <c r="E7030">
        <v>109.452</v>
      </c>
      <c r="F7030" t="s">
        <v>21</v>
      </c>
      <c r="G7030" t="s">
        <v>26</v>
      </c>
      <c r="H7030" t="s">
        <v>21</v>
      </c>
      <c r="I7030" t="s">
        <v>20</v>
      </c>
      <c r="J7030" t="s">
        <v>20</v>
      </c>
      <c r="K7030" t="s">
        <v>22</v>
      </c>
      <c r="L7030" t="s">
        <v>133</v>
      </c>
      <c r="M7030" t="s">
        <v>169</v>
      </c>
      <c r="N7030">
        <v>40.257961000000002</v>
      </c>
      <c r="O7030">
        <v>-110.061252</v>
      </c>
      <c r="P7030">
        <v>5125.4902050000001</v>
      </c>
      <c r="Q7030">
        <v>310</v>
      </c>
      <c r="R7030">
        <v>0</v>
      </c>
    </row>
    <row r="7031" spans="1:18" x14ac:dyDescent="0.25">
      <c r="A7031">
        <v>6030</v>
      </c>
      <c r="B7031">
        <v>94</v>
      </c>
      <c r="C7031">
        <v>31807287</v>
      </c>
      <c r="D7031" t="s">
        <v>290</v>
      </c>
      <c r="E7031">
        <v>109.53100000000001</v>
      </c>
      <c r="F7031" t="s">
        <v>21</v>
      </c>
      <c r="G7031" t="s">
        <v>26</v>
      </c>
      <c r="H7031" t="s">
        <v>21</v>
      </c>
      <c r="I7031" t="s">
        <v>20</v>
      </c>
      <c r="J7031" t="s">
        <v>20</v>
      </c>
      <c r="K7031" t="s">
        <v>41</v>
      </c>
      <c r="L7031" t="s">
        <v>95</v>
      </c>
      <c r="M7031" t="s">
        <v>152</v>
      </c>
      <c r="N7031">
        <v>41.735337999999999</v>
      </c>
      <c r="O7031">
        <v>-111.842645</v>
      </c>
      <c r="P7031">
        <v>4465.2872129999996</v>
      </c>
      <c r="Q7031">
        <v>1343</v>
      </c>
      <c r="R7031">
        <v>0</v>
      </c>
    </row>
    <row r="7032" spans="1:18" x14ac:dyDescent="0.25">
      <c r="A7032">
        <v>6031</v>
      </c>
      <c r="B7032">
        <v>94</v>
      </c>
      <c r="C7032">
        <v>31807298</v>
      </c>
      <c r="D7032" t="s">
        <v>290</v>
      </c>
      <c r="E7032">
        <v>109.66200000000001</v>
      </c>
      <c r="F7032" t="s">
        <v>21</v>
      </c>
      <c r="G7032" t="s">
        <v>26</v>
      </c>
      <c r="H7032" t="s">
        <v>21</v>
      </c>
      <c r="I7032" t="s">
        <v>20</v>
      </c>
      <c r="J7032" t="s">
        <v>20</v>
      </c>
      <c r="K7032" t="s">
        <v>41</v>
      </c>
      <c r="L7032" t="s">
        <v>95</v>
      </c>
      <c r="M7032" t="s">
        <v>152</v>
      </c>
      <c r="N7032">
        <v>41.735287</v>
      </c>
      <c r="O7032">
        <v>-111.840076</v>
      </c>
      <c r="P7032">
        <v>4471.2428319999999</v>
      </c>
      <c r="Q7032">
        <v>1343</v>
      </c>
      <c r="R7032">
        <v>0</v>
      </c>
    </row>
    <row r="7033" spans="1:18" x14ac:dyDescent="0.25">
      <c r="A7033">
        <v>6032</v>
      </c>
      <c r="B7033">
        <v>94</v>
      </c>
      <c r="C7033">
        <v>31807609</v>
      </c>
      <c r="D7033" t="s">
        <v>290</v>
      </c>
      <c r="E7033">
        <v>109.79300000000001</v>
      </c>
      <c r="F7033" t="s">
        <v>19</v>
      </c>
      <c r="G7033" t="s">
        <v>20</v>
      </c>
      <c r="H7033" t="s">
        <v>21</v>
      </c>
      <c r="I7033" t="s">
        <v>20</v>
      </c>
      <c r="J7033" t="s">
        <v>20</v>
      </c>
      <c r="K7033" t="s">
        <v>41</v>
      </c>
      <c r="L7033" t="s">
        <v>95</v>
      </c>
      <c r="M7033" t="s">
        <v>152</v>
      </c>
      <c r="N7033">
        <v>41.735244000000002</v>
      </c>
      <c r="O7033">
        <v>-111.837537</v>
      </c>
      <c r="P7033">
        <v>4474.9801630000002</v>
      </c>
      <c r="Q7033">
        <v>1343</v>
      </c>
      <c r="R7033">
        <v>0</v>
      </c>
    </row>
    <row r="7034" spans="1:18" x14ac:dyDescent="0.25">
      <c r="A7034">
        <v>6033</v>
      </c>
      <c r="B7034">
        <v>94</v>
      </c>
      <c r="C7034">
        <v>31858608</v>
      </c>
      <c r="D7034" t="s">
        <v>290</v>
      </c>
      <c r="E7034">
        <v>109.916</v>
      </c>
      <c r="F7034" t="s">
        <v>19</v>
      </c>
      <c r="G7034" t="s">
        <v>20</v>
      </c>
      <c r="H7034" t="s">
        <v>19</v>
      </c>
      <c r="I7034">
        <v>89</v>
      </c>
      <c r="J7034" t="s">
        <v>20</v>
      </c>
      <c r="K7034" t="s">
        <v>41</v>
      </c>
      <c r="L7034" t="s">
        <v>95</v>
      </c>
      <c r="M7034" t="s">
        <v>280</v>
      </c>
      <c r="N7034">
        <v>41.946635000000001</v>
      </c>
      <c r="O7034">
        <v>-111.393421</v>
      </c>
      <c r="P7034">
        <v>5915.6729859999996</v>
      </c>
      <c r="Q7034">
        <v>1343</v>
      </c>
      <c r="R7034">
        <v>0</v>
      </c>
    </row>
    <row r="7035" spans="1:18" x14ac:dyDescent="0.25">
      <c r="A7035">
        <v>6034</v>
      </c>
      <c r="B7035">
        <v>94</v>
      </c>
      <c r="C7035" t="e">
        <f>-IpPAuxOGtTO6XAqy1ZE6V</f>
        <v>#NAME?</v>
      </c>
      <c r="D7035" t="s">
        <v>272</v>
      </c>
      <c r="E7035">
        <v>401.8</v>
      </c>
      <c r="F7035" t="s">
        <v>21</v>
      </c>
      <c r="G7035" t="s">
        <v>26</v>
      </c>
      <c r="H7035" t="s">
        <v>21</v>
      </c>
      <c r="I7035" t="s">
        <v>20</v>
      </c>
      <c r="J7035" t="s">
        <v>20</v>
      </c>
      <c r="K7035" t="s">
        <v>41</v>
      </c>
      <c r="L7035" t="s">
        <v>87</v>
      </c>
      <c r="M7035" t="s">
        <v>46</v>
      </c>
      <c r="N7035">
        <v>41.071733999999999</v>
      </c>
      <c r="O7035">
        <v>-111.910876</v>
      </c>
      <c r="P7035">
        <v>4732.1761500000002</v>
      </c>
      <c r="Q7035">
        <v>1384</v>
      </c>
      <c r="R7035">
        <v>0</v>
      </c>
    </row>
    <row r="7036" spans="1:18" x14ac:dyDescent="0.25">
      <c r="A7036">
        <v>6035</v>
      </c>
      <c r="B7036">
        <v>94</v>
      </c>
      <c r="C7036" t="e">
        <f>-IpPBPL1H6Tf9Hlr2giCsk</f>
        <v>#NAME?</v>
      </c>
      <c r="D7036" t="s">
        <v>272</v>
      </c>
      <c r="E7036">
        <v>402.00099999999998</v>
      </c>
      <c r="F7036" t="s">
        <v>21</v>
      </c>
      <c r="G7036" t="s">
        <v>26</v>
      </c>
      <c r="H7036" t="s">
        <v>21</v>
      </c>
      <c r="I7036" t="s">
        <v>20</v>
      </c>
      <c r="J7036" t="s">
        <v>20</v>
      </c>
      <c r="K7036" t="s">
        <v>41</v>
      </c>
      <c r="L7036" t="s">
        <v>87</v>
      </c>
      <c r="M7036" t="s">
        <v>46</v>
      </c>
      <c r="N7036">
        <v>41.074618999999998</v>
      </c>
      <c r="O7036">
        <v>-111.91099800000001</v>
      </c>
      <c r="P7036">
        <v>4734.9582870000004</v>
      </c>
      <c r="Q7036">
        <v>1384</v>
      </c>
      <c r="R7036">
        <v>0</v>
      </c>
    </row>
    <row r="7037" spans="1:18" x14ac:dyDescent="0.25">
      <c r="A7037">
        <v>6036</v>
      </c>
      <c r="B7037">
        <v>94</v>
      </c>
      <c r="C7037" t="e">
        <f>-IpPBm-UFmPTlC4FH_IDTk</f>
        <v>#NAME?</v>
      </c>
      <c r="D7037" t="s">
        <v>272</v>
      </c>
      <c r="E7037">
        <v>402.19200000000001</v>
      </c>
      <c r="F7037" t="s">
        <v>21</v>
      </c>
      <c r="G7037" t="s">
        <v>26</v>
      </c>
      <c r="H7037" t="s">
        <v>21</v>
      </c>
      <c r="I7037" t="s">
        <v>20</v>
      </c>
      <c r="J7037" t="s">
        <v>20</v>
      </c>
      <c r="K7037" t="s">
        <v>41</v>
      </c>
      <c r="L7037" t="s">
        <v>87</v>
      </c>
      <c r="M7037" t="s">
        <v>46</v>
      </c>
      <c r="N7037">
        <v>41.077368</v>
      </c>
      <c r="O7037">
        <v>-111.911095</v>
      </c>
      <c r="P7037">
        <v>4743.8684400000002</v>
      </c>
      <c r="Q7037">
        <v>1384</v>
      </c>
      <c r="R7037">
        <v>0</v>
      </c>
    </row>
    <row r="7038" spans="1:18" x14ac:dyDescent="0.25">
      <c r="A7038">
        <v>6037</v>
      </c>
      <c r="B7038">
        <v>94</v>
      </c>
      <c r="C7038" t="e">
        <f>-IpPC8l4GCqB6Aa6YMOV1V</f>
        <v>#NAME?</v>
      </c>
      <c r="D7038" t="s">
        <v>272</v>
      </c>
      <c r="E7038">
        <v>402.35500000000002</v>
      </c>
      <c r="F7038" t="s">
        <v>21</v>
      </c>
      <c r="G7038" t="s">
        <v>26</v>
      </c>
      <c r="H7038" t="s">
        <v>21</v>
      </c>
      <c r="I7038" t="s">
        <v>20</v>
      </c>
      <c r="J7038" t="s">
        <v>20</v>
      </c>
      <c r="K7038" t="s">
        <v>41</v>
      </c>
      <c r="L7038" t="s">
        <v>87</v>
      </c>
      <c r="M7038" t="s">
        <v>46</v>
      </c>
      <c r="N7038">
        <v>41.079704999999997</v>
      </c>
      <c r="O7038">
        <v>-111.911023</v>
      </c>
      <c r="P7038">
        <v>4756.8101500000002</v>
      </c>
      <c r="Q7038">
        <v>1384</v>
      </c>
      <c r="R7038">
        <v>0</v>
      </c>
    </row>
    <row r="7039" spans="1:18" x14ac:dyDescent="0.25">
      <c r="A7039">
        <v>6038</v>
      </c>
      <c r="B7039">
        <v>94</v>
      </c>
      <c r="C7039" t="s">
        <v>852</v>
      </c>
      <c r="D7039" t="s">
        <v>272</v>
      </c>
      <c r="E7039">
        <v>402.47399999999999</v>
      </c>
      <c r="F7039" t="s">
        <v>19</v>
      </c>
      <c r="G7039" t="s">
        <v>20</v>
      </c>
      <c r="H7039" t="s">
        <v>21</v>
      </c>
      <c r="I7039" t="s">
        <v>20</v>
      </c>
      <c r="J7039" t="s">
        <v>20</v>
      </c>
      <c r="K7039" t="s">
        <v>41</v>
      </c>
      <c r="L7039" t="s">
        <v>87</v>
      </c>
      <c r="M7039" t="s">
        <v>46</v>
      </c>
      <c r="N7039">
        <v>41.081418999999997</v>
      </c>
      <c r="O7039">
        <v>-111.910971</v>
      </c>
      <c r="P7039">
        <v>4767.2836950000001</v>
      </c>
      <c r="Q7039">
        <v>1384</v>
      </c>
      <c r="R7039">
        <v>0</v>
      </c>
    </row>
    <row r="7040" spans="1:18" x14ac:dyDescent="0.25">
      <c r="A7040">
        <v>6039</v>
      </c>
      <c r="B7040">
        <v>94</v>
      </c>
      <c r="C7040" t="e">
        <f>-IpPEtGWHc17KwJPX0oy3F</f>
        <v>#NAME?</v>
      </c>
      <c r="D7040" t="s">
        <v>272</v>
      </c>
      <c r="E7040">
        <v>402.63900000000001</v>
      </c>
      <c r="F7040" t="s">
        <v>21</v>
      </c>
      <c r="G7040" t="s">
        <v>26</v>
      </c>
      <c r="H7040" t="s">
        <v>21</v>
      </c>
      <c r="I7040" t="s">
        <v>20</v>
      </c>
      <c r="J7040" t="s">
        <v>20</v>
      </c>
      <c r="K7040" t="s">
        <v>41</v>
      </c>
      <c r="L7040" t="s">
        <v>87</v>
      </c>
      <c r="M7040" t="s">
        <v>46</v>
      </c>
      <c r="N7040">
        <v>41.083781999999999</v>
      </c>
      <c r="O7040">
        <v>-111.910883</v>
      </c>
      <c r="P7040">
        <v>4784.3883409999999</v>
      </c>
      <c r="Q7040">
        <v>1384</v>
      </c>
      <c r="R7040">
        <v>0</v>
      </c>
    </row>
    <row r="7041" spans="1:18" x14ac:dyDescent="0.25">
      <c r="A7041">
        <v>6040</v>
      </c>
      <c r="B7041">
        <v>94</v>
      </c>
      <c r="C7041" t="e">
        <f>-IpPHVPcFGePTwSlgY2NXF</f>
        <v>#NAME?</v>
      </c>
      <c r="D7041" t="s">
        <v>272</v>
      </c>
      <c r="E7041">
        <v>402.76600000000002</v>
      </c>
      <c r="F7041" t="s">
        <v>21</v>
      </c>
      <c r="G7041" t="s">
        <v>26</v>
      </c>
      <c r="H7041" t="s">
        <v>21</v>
      </c>
      <c r="I7041" t="s">
        <v>20</v>
      </c>
      <c r="J7041" t="s">
        <v>20</v>
      </c>
      <c r="K7041" t="s">
        <v>41</v>
      </c>
      <c r="L7041" t="s">
        <v>87</v>
      </c>
      <c r="M7041" t="s">
        <v>46</v>
      </c>
      <c r="N7041">
        <v>41.085597</v>
      </c>
      <c r="O7041">
        <v>-111.910815</v>
      </c>
      <c r="P7041">
        <v>4793.181885</v>
      </c>
      <c r="Q7041">
        <v>1384</v>
      </c>
      <c r="R7041">
        <v>0</v>
      </c>
    </row>
    <row r="7042" spans="1:18" x14ac:dyDescent="0.25">
      <c r="A7042">
        <v>6041</v>
      </c>
      <c r="B7042">
        <v>94</v>
      </c>
      <c r="C7042" t="s">
        <v>853</v>
      </c>
      <c r="D7042" t="s">
        <v>83</v>
      </c>
      <c r="E7042">
        <v>4.0490000000000004</v>
      </c>
      <c r="F7042" t="s">
        <v>21</v>
      </c>
      <c r="G7042" t="s">
        <v>26</v>
      </c>
      <c r="H7042" t="s">
        <v>21</v>
      </c>
      <c r="I7042" t="s">
        <v>20</v>
      </c>
      <c r="J7042" t="s">
        <v>20</v>
      </c>
      <c r="K7042" t="s">
        <v>22</v>
      </c>
      <c r="L7042" t="s">
        <v>84</v>
      </c>
      <c r="M7042" t="s">
        <v>85</v>
      </c>
      <c r="N7042">
        <v>40.434114000000001</v>
      </c>
      <c r="O7042">
        <v>-111.784995</v>
      </c>
      <c r="P7042">
        <v>4856.0517589999999</v>
      </c>
      <c r="Q7042">
        <v>319</v>
      </c>
      <c r="R7042">
        <v>0</v>
      </c>
    </row>
    <row r="7043" spans="1:18" x14ac:dyDescent="0.25">
      <c r="A7043">
        <v>6042</v>
      </c>
      <c r="B7043">
        <v>94</v>
      </c>
      <c r="C7043">
        <v>31294178</v>
      </c>
      <c r="D7043" t="s">
        <v>203</v>
      </c>
      <c r="E7043">
        <v>4.0510000000000002</v>
      </c>
      <c r="F7043" t="s">
        <v>19</v>
      </c>
      <c r="G7043" t="s">
        <v>20</v>
      </c>
      <c r="H7043" t="s">
        <v>21</v>
      </c>
      <c r="I7043" t="s">
        <v>20</v>
      </c>
      <c r="J7043" t="s">
        <v>20</v>
      </c>
      <c r="K7043" t="s">
        <v>41</v>
      </c>
      <c r="L7043" t="s">
        <v>81</v>
      </c>
      <c r="M7043" t="s">
        <v>204</v>
      </c>
      <c r="N7043">
        <v>41.244655999999999</v>
      </c>
      <c r="O7043">
        <v>-112.015145</v>
      </c>
      <c r="P7043">
        <v>4206.3706009999996</v>
      </c>
      <c r="Q7043">
        <v>1349</v>
      </c>
      <c r="R7043">
        <v>0</v>
      </c>
    </row>
    <row r="7044" spans="1:18" x14ac:dyDescent="0.25">
      <c r="A7044">
        <v>6043</v>
      </c>
      <c r="B7044">
        <v>94</v>
      </c>
      <c r="C7044" t="e">
        <f>-Iouz02NFdqW4bWtZRBjIF</f>
        <v>#NAME?</v>
      </c>
      <c r="D7044" t="s">
        <v>176</v>
      </c>
      <c r="E7044">
        <v>4.0540000000000003</v>
      </c>
      <c r="F7044" t="s">
        <v>21</v>
      </c>
      <c r="G7044" t="s">
        <v>26</v>
      </c>
      <c r="H7044" t="s">
        <v>21</v>
      </c>
      <c r="I7044" t="s">
        <v>20</v>
      </c>
      <c r="J7044" t="s">
        <v>20</v>
      </c>
      <c r="K7044" t="s">
        <v>41</v>
      </c>
      <c r="L7044" t="s">
        <v>177</v>
      </c>
      <c r="M7044" t="s">
        <v>178</v>
      </c>
      <c r="N7044">
        <v>41.529820000000001</v>
      </c>
      <c r="O7044">
        <v>-112.037645</v>
      </c>
      <c r="P7044">
        <v>4183.7978030000004</v>
      </c>
      <c r="Q7044">
        <v>1329</v>
      </c>
      <c r="R7044">
        <v>0</v>
      </c>
    </row>
    <row r="7045" spans="1:18" x14ac:dyDescent="0.25">
      <c r="A7045">
        <v>6044</v>
      </c>
      <c r="B7045">
        <v>94</v>
      </c>
      <c r="C7045">
        <v>31490483</v>
      </c>
      <c r="D7045" t="s">
        <v>164</v>
      </c>
      <c r="E7045">
        <v>4.056</v>
      </c>
      <c r="F7045" t="s">
        <v>21</v>
      </c>
      <c r="G7045" t="s">
        <v>26</v>
      </c>
      <c r="H7045" t="s">
        <v>21</v>
      </c>
      <c r="I7045" t="s">
        <v>20</v>
      </c>
      <c r="J7045" t="s">
        <v>20</v>
      </c>
      <c r="K7045" t="s">
        <v>27</v>
      </c>
      <c r="L7045" t="s">
        <v>165</v>
      </c>
      <c r="M7045" t="s">
        <v>166</v>
      </c>
      <c r="N7045">
        <v>38.991346999999998</v>
      </c>
      <c r="O7045">
        <v>-112.32304000000001</v>
      </c>
      <c r="P7045">
        <v>4991.9495230000002</v>
      </c>
      <c r="Q7045">
        <v>1390</v>
      </c>
      <c r="R7045">
        <v>0</v>
      </c>
    </row>
    <row r="7046" spans="1:18" x14ac:dyDescent="0.25">
      <c r="A7046">
        <v>6045</v>
      </c>
      <c r="B7046">
        <v>94</v>
      </c>
      <c r="C7046">
        <v>28832300</v>
      </c>
      <c r="D7046" t="s">
        <v>316</v>
      </c>
      <c r="E7046">
        <v>4.0609999999999999</v>
      </c>
      <c r="F7046" t="s">
        <v>21</v>
      </c>
      <c r="G7046" t="s">
        <v>26</v>
      </c>
      <c r="H7046" t="s">
        <v>21</v>
      </c>
      <c r="I7046" t="s">
        <v>20</v>
      </c>
      <c r="J7046" t="s">
        <v>20</v>
      </c>
      <c r="K7046" t="s">
        <v>31</v>
      </c>
      <c r="L7046" t="s">
        <v>130</v>
      </c>
      <c r="M7046" t="s">
        <v>302</v>
      </c>
      <c r="N7046">
        <v>40.581369000000002</v>
      </c>
      <c r="O7046">
        <v>-111.22723999999999</v>
      </c>
      <c r="P7046">
        <v>6665.3410889999996</v>
      </c>
      <c r="Q7046">
        <v>1346</v>
      </c>
      <c r="R7046">
        <v>0</v>
      </c>
    </row>
    <row r="7047" spans="1:18" x14ac:dyDescent="0.25">
      <c r="A7047">
        <v>6046</v>
      </c>
      <c r="B7047">
        <v>94</v>
      </c>
      <c r="C7047">
        <v>1741995</v>
      </c>
      <c r="D7047" t="s">
        <v>197</v>
      </c>
      <c r="E7047">
        <v>4.0609999999999999</v>
      </c>
      <c r="F7047" t="s">
        <v>21</v>
      </c>
      <c r="G7047" t="s">
        <v>26</v>
      </c>
      <c r="H7047" t="s">
        <v>21</v>
      </c>
      <c r="I7047" t="s">
        <v>20</v>
      </c>
      <c r="J7047" t="s">
        <v>20</v>
      </c>
      <c r="K7047" t="s">
        <v>22</v>
      </c>
      <c r="L7047" t="s">
        <v>198</v>
      </c>
      <c r="M7047" t="s">
        <v>125</v>
      </c>
      <c r="N7047">
        <v>40.011868999999997</v>
      </c>
      <c r="O7047">
        <v>-111.800935</v>
      </c>
      <c r="P7047">
        <v>4719.8269689999997</v>
      </c>
      <c r="Q7047">
        <v>1416</v>
      </c>
      <c r="R7047">
        <v>0</v>
      </c>
    </row>
    <row r="7048" spans="1:18" x14ac:dyDescent="0.25">
      <c r="A7048">
        <v>6047</v>
      </c>
      <c r="B7048">
        <v>94</v>
      </c>
      <c r="C7048">
        <v>1261595</v>
      </c>
      <c r="D7048" t="s">
        <v>189</v>
      </c>
      <c r="E7048">
        <v>4.0640000000000001</v>
      </c>
      <c r="F7048" t="s">
        <v>21</v>
      </c>
      <c r="G7048" t="s">
        <v>26</v>
      </c>
      <c r="H7048" t="s">
        <v>21</v>
      </c>
      <c r="I7048" t="s">
        <v>20</v>
      </c>
      <c r="J7048" t="s">
        <v>20</v>
      </c>
      <c r="K7048" t="s">
        <v>41</v>
      </c>
      <c r="L7048" t="s">
        <v>81</v>
      </c>
      <c r="M7048" t="s">
        <v>190</v>
      </c>
      <c r="N7048">
        <v>41.212004</v>
      </c>
      <c r="O7048">
        <v>-111.948446</v>
      </c>
      <c r="P7048">
        <v>4468.5855220000003</v>
      </c>
      <c r="Q7048">
        <v>412</v>
      </c>
      <c r="R7048">
        <v>0</v>
      </c>
    </row>
    <row r="7049" spans="1:18" x14ac:dyDescent="0.25">
      <c r="A7049">
        <v>6048</v>
      </c>
      <c r="B7049">
        <v>94</v>
      </c>
      <c r="C7049">
        <v>31764506</v>
      </c>
      <c r="D7049" t="s">
        <v>312</v>
      </c>
      <c r="E7049">
        <v>4.0720000000000001</v>
      </c>
      <c r="F7049" t="s">
        <v>21</v>
      </c>
      <c r="G7049" t="s">
        <v>26</v>
      </c>
      <c r="H7049" t="s">
        <v>21</v>
      </c>
      <c r="I7049" t="s">
        <v>20</v>
      </c>
      <c r="J7049" t="s">
        <v>20</v>
      </c>
      <c r="K7049" t="s">
        <v>27</v>
      </c>
      <c r="L7049" t="s">
        <v>143</v>
      </c>
      <c r="M7049" t="s">
        <v>313</v>
      </c>
      <c r="N7049">
        <v>38.455781999999999</v>
      </c>
      <c r="O7049">
        <v>-113.005706</v>
      </c>
      <c r="P7049">
        <v>4879.8478279999999</v>
      </c>
      <c r="Q7049">
        <v>255</v>
      </c>
      <c r="R7049">
        <v>0</v>
      </c>
    </row>
    <row r="7050" spans="1:18" x14ac:dyDescent="0.25">
      <c r="A7050">
        <v>6049</v>
      </c>
      <c r="B7050">
        <v>94</v>
      </c>
      <c r="C7050">
        <v>31562679</v>
      </c>
      <c r="D7050" t="s">
        <v>172</v>
      </c>
      <c r="E7050">
        <v>4.0720000000000001</v>
      </c>
      <c r="F7050" t="s">
        <v>21</v>
      </c>
      <c r="G7050" t="s">
        <v>26</v>
      </c>
      <c r="H7050" t="s">
        <v>21</v>
      </c>
      <c r="I7050" t="s">
        <v>20</v>
      </c>
      <c r="J7050" t="s">
        <v>20</v>
      </c>
      <c r="K7050" t="s">
        <v>27</v>
      </c>
      <c r="L7050" t="s">
        <v>173</v>
      </c>
      <c r="M7050" t="s">
        <v>174</v>
      </c>
      <c r="N7050">
        <v>39.533853999999998</v>
      </c>
      <c r="O7050">
        <v>-112.297297</v>
      </c>
      <c r="P7050">
        <v>4658.425432</v>
      </c>
      <c r="Q7050">
        <v>1411</v>
      </c>
      <c r="R7050">
        <v>0</v>
      </c>
    </row>
    <row r="7051" spans="1:18" x14ac:dyDescent="0.25">
      <c r="A7051">
        <v>6050</v>
      </c>
      <c r="B7051">
        <v>94</v>
      </c>
      <c r="C7051">
        <v>31387820</v>
      </c>
      <c r="D7051" t="s">
        <v>184</v>
      </c>
      <c r="E7051">
        <v>4.9400000000000004</v>
      </c>
      <c r="F7051" t="s">
        <v>21</v>
      </c>
      <c r="G7051" t="s">
        <v>26</v>
      </c>
      <c r="H7051" t="s">
        <v>21</v>
      </c>
      <c r="I7051" t="s">
        <v>20</v>
      </c>
      <c r="J7051" t="s">
        <v>20</v>
      </c>
      <c r="K7051" t="s">
        <v>27</v>
      </c>
      <c r="L7051" t="s">
        <v>54</v>
      </c>
      <c r="M7051" t="s">
        <v>55</v>
      </c>
      <c r="N7051">
        <v>37.715457000000001</v>
      </c>
      <c r="O7051">
        <v>-113.060056</v>
      </c>
      <c r="P7051">
        <v>5625.6169559999998</v>
      </c>
      <c r="Q7051">
        <v>1410</v>
      </c>
      <c r="R7051">
        <v>0</v>
      </c>
    </row>
    <row r="7052" spans="1:18" x14ac:dyDescent="0.25">
      <c r="A7052">
        <v>6051</v>
      </c>
      <c r="B7052">
        <v>94</v>
      </c>
      <c r="C7052">
        <v>31805788</v>
      </c>
      <c r="D7052" t="s">
        <v>61</v>
      </c>
      <c r="E7052">
        <v>4.9400000000000004</v>
      </c>
      <c r="F7052" t="s">
        <v>19</v>
      </c>
      <c r="G7052" t="s">
        <v>20</v>
      </c>
      <c r="H7052" t="s">
        <v>21</v>
      </c>
      <c r="I7052" t="s">
        <v>20</v>
      </c>
      <c r="J7052" t="s">
        <v>20</v>
      </c>
      <c r="K7052" t="s">
        <v>22</v>
      </c>
      <c r="L7052" t="s">
        <v>60</v>
      </c>
      <c r="M7052" t="s">
        <v>62</v>
      </c>
      <c r="N7052">
        <v>40.277422000000001</v>
      </c>
      <c r="O7052">
        <v>-111.65769299999999</v>
      </c>
      <c r="P7052">
        <v>4622.9933860000001</v>
      </c>
      <c r="Q7052">
        <v>403</v>
      </c>
      <c r="R7052">
        <v>0</v>
      </c>
    </row>
    <row r="7053" spans="1:18" x14ac:dyDescent="0.25">
      <c r="A7053">
        <v>6052</v>
      </c>
      <c r="B7053">
        <v>94</v>
      </c>
      <c r="C7053">
        <v>31364555</v>
      </c>
      <c r="D7053" t="s">
        <v>343</v>
      </c>
      <c r="E7053">
        <v>4.944</v>
      </c>
      <c r="F7053" t="s">
        <v>21</v>
      </c>
      <c r="G7053" t="s">
        <v>26</v>
      </c>
      <c r="H7053" t="s">
        <v>21</v>
      </c>
      <c r="I7053" t="s">
        <v>20</v>
      </c>
      <c r="J7053" t="s">
        <v>20</v>
      </c>
      <c r="K7053" t="s">
        <v>27</v>
      </c>
      <c r="L7053" t="s">
        <v>230</v>
      </c>
      <c r="M7053" t="s">
        <v>82</v>
      </c>
      <c r="N7053">
        <v>39.546747000000003</v>
      </c>
      <c r="O7053">
        <v>-111.494969</v>
      </c>
      <c r="P7053">
        <v>5642.4290360000005</v>
      </c>
      <c r="Q7053">
        <v>1402</v>
      </c>
      <c r="R7053">
        <v>0</v>
      </c>
    </row>
    <row r="7054" spans="1:18" x14ac:dyDescent="0.25">
      <c r="A7054">
        <v>6053</v>
      </c>
      <c r="B7054">
        <v>94</v>
      </c>
      <c r="C7054" t="e">
        <f>-IoLzA3lFfDAYHoqnI6GVk</f>
        <v>#NAME?</v>
      </c>
      <c r="D7054" t="s">
        <v>272</v>
      </c>
      <c r="E7054">
        <v>226.04599999999999</v>
      </c>
      <c r="F7054" t="s">
        <v>21</v>
      </c>
      <c r="G7054" t="s">
        <v>26</v>
      </c>
      <c r="H7054" t="s">
        <v>21</v>
      </c>
      <c r="I7054" t="s">
        <v>20</v>
      </c>
      <c r="J7054" t="s">
        <v>20</v>
      </c>
      <c r="K7054" t="s">
        <v>27</v>
      </c>
      <c r="L7054" t="s">
        <v>183</v>
      </c>
      <c r="M7054" t="s">
        <v>174</v>
      </c>
      <c r="N7054">
        <v>38.943064</v>
      </c>
      <c r="O7054">
        <v>-111.85475</v>
      </c>
      <c r="P7054">
        <v>5139.579334</v>
      </c>
      <c r="Q7054">
        <v>1384</v>
      </c>
      <c r="R7054">
        <v>0</v>
      </c>
    </row>
    <row r="7055" spans="1:18" x14ac:dyDescent="0.25">
      <c r="A7055">
        <v>6054</v>
      </c>
      <c r="B7055">
        <v>94</v>
      </c>
      <c r="C7055" t="e">
        <f>-IoLzDM_FtHviCtEqq0xFF</f>
        <v>#NAME?</v>
      </c>
      <c r="D7055" t="s">
        <v>272</v>
      </c>
      <c r="E7055">
        <v>226.07599999999999</v>
      </c>
      <c r="F7055" t="s">
        <v>21</v>
      </c>
      <c r="G7055" t="s">
        <v>26</v>
      </c>
      <c r="H7055" t="s">
        <v>21</v>
      </c>
      <c r="I7055" t="s">
        <v>20</v>
      </c>
      <c r="J7055" t="s">
        <v>20</v>
      </c>
      <c r="K7055" t="s">
        <v>27</v>
      </c>
      <c r="L7055" t="s">
        <v>183</v>
      </c>
      <c r="M7055" t="s">
        <v>174</v>
      </c>
      <c r="N7055">
        <v>38.943491000000002</v>
      </c>
      <c r="O7055">
        <v>-111.854878</v>
      </c>
      <c r="P7055">
        <v>5138.2427429999998</v>
      </c>
      <c r="Q7055">
        <v>1384</v>
      </c>
      <c r="R7055">
        <v>0</v>
      </c>
    </row>
    <row r="7056" spans="1:18" x14ac:dyDescent="0.25">
      <c r="A7056">
        <v>6055</v>
      </c>
      <c r="B7056">
        <v>94</v>
      </c>
      <c r="C7056" t="e">
        <f>-IoLzkJiHATq2t-aB3dzdF</f>
        <v>#NAME?</v>
      </c>
      <c r="D7056" t="s">
        <v>272</v>
      </c>
      <c r="E7056">
        <v>226.49799999999999</v>
      </c>
      <c r="F7056" t="s">
        <v>21</v>
      </c>
      <c r="G7056" t="s">
        <v>26</v>
      </c>
      <c r="H7056" t="s">
        <v>21</v>
      </c>
      <c r="I7056" t="s">
        <v>20</v>
      </c>
      <c r="J7056" t="s">
        <v>20</v>
      </c>
      <c r="K7056" t="s">
        <v>27</v>
      </c>
      <c r="L7056" t="s">
        <v>183</v>
      </c>
      <c r="M7056" t="s">
        <v>174</v>
      </c>
      <c r="N7056">
        <v>38.948771999999998</v>
      </c>
      <c r="O7056">
        <v>-111.858858</v>
      </c>
      <c r="P7056">
        <v>5120.1219959999999</v>
      </c>
      <c r="Q7056">
        <v>1384</v>
      </c>
      <c r="R7056">
        <v>0</v>
      </c>
    </row>
    <row r="7057" spans="1:18" x14ac:dyDescent="0.25">
      <c r="A7057">
        <v>6056</v>
      </c>
      <c r="B7057">
        <v>94</v>
      </c>
      <c r="C7057" t="e">
        <f>-IoM-ExeIBu_Or3G7cdy6k</f>
        <v>#NAME?</v>
      </c>
      <c r="D7057" t="s">
        <v>272</v>
      </c>
      <c r="E7057">
        <v>226.82300000000001</v>
      </c>
      <c r="F7057" t="s">
        <v>21</v>
      </c>
      <c r="G7057" t="s">
        <v>26</v>
      </c>
      <c r="H7057" t="s">
        <v>21</v>
      </c>
      <c r="I7057" t="s">
        <v>20</v>
      </c>
      <c r="J7057" t="s">
        <v>20</v>
      </c>
      <c r="K7057" t="s">
        <v>27</v>
      </c>
      <c r="L7057" t="s">
        <v>183</v>
      </c>
      <c r="M7057" t="s">
        <v>174</v>
      </c>
      <c r="N7057">
        <v>38.953316999999998</v>
      </c>
      <c r="O7057">
        <v>-111.86004</v>
      </c>
      <c r="P7057">
        <v>5110.9783729999999</v>
      </c>
      <c r="Q7057">
        <v>1384</v>
      </c>
      <c r="R7057">
        <v>0</v>
      </c>
    </row>
    <row r="7058" spans="1:18" x14ac:dyDescent="0.25">
      <c r="A7058">
        <v>6057</v>
      </c>
      <c r="B7058">
        <v>94</v>
      </c>
      <c r="C7058" t="s">
        <v>854</v>
      </c>
      <c r="D7058" t="s">
        <v>272</v>
      </c>
      <c r="E7058">
        <v>226.928</v>
      </c>
      <c r="F7058" t="s">
        <v>21</v>
      </c>
      <c r="G7058" t="s">
        <v>26</v>
      </c>
      <c r="H7058" t="s">
        <v>21</v>
      </c>
      <c r="I7058" t="s">
        <v>20</v>
      </c>
      <c r="J7058" t="s">
        <v>20</v>
      </c>
      <c r="K7058" t="s">
        <v>27</v>
      </c>
      <c r="L7058" t="s">
        <v>183</v>
      </c>
      <c r="M7058" t="s">
        <v>174</v>
      </c>
      <c r="N7058">
        <v>38.954839999999997</v>
      </c>
      <c r="O7058">
        <v>-111.86003599999999</v>
      </c>
      <c r="P7058">
        <v>5104.2980829999997</v>
      </c>
      <c r="Q7058">
        <v>1384</v>
      </c>
      <c r="R7058">
        <v>0</v>
      </c>
    </row>
    <row r="7059" spans="1:18" x14ac:dyDescent="0.25">
      <c r="A7059">
        <v>6058</v>
      </c>
      <c r="B7059">
        <v>94</v>
      </c>
      <c r="C7059" t="e">
        <f>-IoM09VaFgPg4I6ZJff_NF</f>
        <v>#NAME?</v>
      </c>
      <c r="D7059" t="s">
        <v>272</v>
      </c>
      <c r="E7059">
        <v>227.02099999999999</v>
      </c>
      <c r="F7059" t="s">
        <v>21</v>
      </c>
      <c r="G7059" t="s">
        <v>26</v>
      </c>
      <c r="H7059" t="s">
        <v>21</v>
      </c>
      <c r="I7059" t="s">
        <v>20</v>
      </c>
      <c r="J7059" t="s">
        <v>20</v>
      </c>
      <c r="K7059" t="s">
        <v>27</v>
      </c>
      <c r="L7059" t="s">
        <v>183</v>
      </c>
      <c r="M7059" t="s">
        <v>174</v>
      </c>
      <c r="N7059">
        <v>38.956206999999999</v>
      </c>
      <c r="O7059">
        <v>-111.860041</v>
      </c>
      <c r="P7059">
        <v>5101.5704139999998</v>
      </c>
      <c r="Q7059">
        <v>1384</v>
      </c>
      <c r="R7059">
        <v>0</v>
      </c>
    </row>
    <row r="7060" spans="1:18" x14ac:dyDescent="0.25">
      <c r="A7060">
        <v>6059</v>
      </c>
      <c r="B7060">
        <v>94</v>
      </c>
      <c r="C7060" t="e">
        <f>-IoM0YxeHd9N_5sV3jGT0V</f>
        <v>#NAME?</v>
      </c>
      <c r="D7060" t="s">
        <v>272</v>
      </c>
      <c r="E7060">
        <v>227.11699999999999</v>
      </c>
      <c r="F7060" t="s">
        <v>19</v>
      </c>
      <c r="G7060" t="s">
        <v>26</v>
      </c>
      <c r="H7060" t="s">
        <v>19</v>
      </c>
      <c r="I7060">
        <v>50</v>
      </c>
      <c r="J7060" t="s">
        <v>20</v>
      </c>
      <c r="K7060" t="s">
        <v>27</v>
      </c>
      <c r="L7060" t="s">
        <v>183</v>
      </c>
      <c r="M7060" t="s">
        <v>174</v>
      </c>
      <c r="N7060">
        <v>38.957594</v>
      </c>
      <c r="O7060">
        <v>-111.86007499999999</v>
      </c>
      <c r="P7060">
        <v>5098.8029710000001</v>
      </c>
      <c r="Q7060">
        <v>1384</v>
      </c>
      <c r="R7060">
        <v>0</v>
      </c>
    </row>
    <row r="7061" spans="1:18" x14ac:dyDescent="0.25">
      <c r="A7061">
        <v>6060</v>
      </c>
      <c r="B7061">
        <v>94</v>
      </c>
      <c r="C7061" t="e">
        <f>-IoM3ZIAHqq83uiCgbBcRF</f>
        <v>#NAME?</v>
      </c>
      <c r="D7061" t="s">
        <v>272</v>
      </c>
      <c r="E7061">
        <v>227.21100000000001</v>
      </c>
      <c r="F7061" t="s">
        <v>21</v>
      </c>
      <c r="G7061" t="s">
        <v>26</v>
      </c>
      <c r="H7061" t="s">
        <v>21</v>
      </c>
      <c r="I7061" t="s">
        <v>20</v>
      </c>
      <c r="J7061" t="s">
        <v>20</v>
      </c>
      <c r="K7061" t="s">
        <v>27</v>
      </c>
      <c r="L7061" t="s">
        <v>183</v>
      </c>
      <c r="M7061" t="s">
        <v>174</v>
      </c>
      <c r="N7061">
        <v>38.958964000000002</v>
      </c>
      <c r="O7061">
        <v>-111.860043</v>
      </c>
      <c r="P7061">
        <v>5095.8162270000003</v>
      </c>
      <c r="Q7061">
        <v>1384</v>
      </c>
      <c r="R7061">
        <v>0</v>
      </c>
    </row>
    <row r="7062" spans="1:18" x14ac:dyDescent="0.25">
      <c r="A7062">
        <v>6061</v>
      </c>
      <c r="B7062">
        <v>94</v>
      </c>
      <c r="C7062">
        <v>31755053</v>
      </c>
      <c r="D7062" t="s">
        <v>231</v>
      </c>
      <c r="E7062">
        <v>20.356999999999999</v>
      </c>
      <c r="F7062" t="s">
        <v>21</v>
      </c>
      <c r="G7062" t="s">
        <v>26</v>
      </c>
      <c r="H7062" t="s">
        <v>21</v>
      </c>
      <c r="I7062" t="s">
        <v>20</v>
      </c>
      <c r="J7062" t="s">
        <v>20</v>
      </c>
      <c r="K7062" t="s">
        <v>41</v>
      </c>
      <c r="L7062" t="s">
        <v>57</v>
      </c>
      <c r="M7062" t="s">
        <v>93</v>
      </c>
      <c r="N7062">
        <v>41.329678999999999</v>
      </c>
      <c r="O7062">
        <v>-112.034132</v>
      </c>
      <c r="P7062">
        <v>4193.8365610000001</v>
      </c>
      <c r="Q7062">
        <v>1409</v>
      </c>
      <c r="R7062">
        <v>0</v>
      </c>
    </row>
    <row r="7063" spans="1:18" x14ac:dyDescent="0.25">
      <c r="A7063">
        <v>6062</v>
      </c>
      <c r="B7063">
        <v>94</v>
      </c>
      <c r="C7063" t="e">
        <f>-JMID8dCH7XGEUeIlJ8Q4F</f>
        <v>#NAME?</v>
      </c>
      <c r="D7063" t="s">
        <v>88</v>
      </c>
      <c r="E7063">
        <v>20.375</v>
      </c>
      <c r="F7063" t="s">
        <v>21</v>
      </c>
      <c r="G7063" t="s">
        <v>26</v>
      </c>
      <c r="H7063" t="s">
        <v>21</v>
      </c>
      <c r="I7063" t="s">
        <v>20</v>
      </c>
      <c r="J7063" t="s">
        <v>20</v>
      </c>
      <c r="K7063" t="s">
        <v>31</v>
      </c>
      <c r="L7063" t="s">
        <v>66</v>
      </c>
      <c r="M7063" t="s">
        <v>90</v>
      </c>
      <c r="N7063">
        <v>40.730269999999997</v>
      </c>
      <c r="O7063">
        <v>-111.871211</v>
      </c>
      <c r="P7063">
        <v>4242.819305</v>
      </c>
      <c r="Q7063">
        <v>318</v>
      </c>
      <c r="R7063">
        <v>0</v>
      </c>
    </row>
    <row r="7064" spans="1:18" x14ac:dyDescent="0.25">
      <c r="A7064">
        <v>6063</v>
      </c>
      <c r="B7064">
        <v>94</v>
      </c>
      <c r="C7064">
        <v>1562477</v>
      </c>
      <c r="D7064" t="s">
        <v>88</v>
      </c>
      <c r="E7064">
        <v>20.385000000000002</v>
      </c>
      <c r="F7064" t="s">
        <v>21</v>
      </c>
      <c r="G7064" t="s">
        <v>26</v>
      </c>
      <c r="H7064" t="s">
        <v>21</v>
      </c>
      <c r="I7064" t="s">
        <v>20</v>
      </c>
      <c r="J7064" t="s">
        <v>20</v>
      </c>
      <c r="K7064" t="s">
        <v>31</v>
      </c>
      <c r="L7064" t="s">
        <v>66</v>
      </c>
      <c r="M7064" t="s">
        <v>90</v>
      </c>
      <c r="N7064">
        <v>40.730417000000003</v>
      </c>
      <c r="O7064">
        <v>-111.87118700000001</v>
      </c>
      <c r="P7064">
        <v>4242.1270780000004</v>
      </c>
      <c r="Q7064">
        <v>318</v>
      </c>
      <c r="R7064">
        <v>0</v>
      </c>
    </row>
    <row r="7065" spans="1:18" x14ac:dyDescent="0.25">
      <c r="A7065">
        <v>6064</v>
      </c>
      <c r="B7065">
        <v>94</v>
      </c>
      <c r="C7065">
        <v>31297385</v>
      </c>
      <c r="D7065" t="s">
        <v>316</v>
      </c>
      <c r="E7065">
        <v>20.39</v>
      </c>
      <c r="F7065" t="s">
        <v>21</v>
      </c>
      <c r="G7065" t="s">
        <v>26</v>
      </c>
      <c r="H7065" t="s">
        <v>21</v>
      </c>
      <c r="I7065" t="s">
        <v>20</v>
      </c>
      <c r="J7065" t="s">
        <v>20</v>
      </c>
      <c r="K7065" t="s">
        <v>22</v>
      </c>
      <c r="L7065" t="s">
        <v>168</v>
      </c>
      <c r="M7065" t="s">
        <v>302</v>
      </c>
      <c r="N7065">
        <v>40.485762000000001</v>
      </c>
      <c r="O7065">
        <v>-111.021198</v>
      </c>
      <c r="P7065">
        <v>9359.9206040000008</v>
      </c>
      <c r="Q7065">
        <v>1346</v>
      </c>
      <c r="R7065">
        <v>0</v>
      </c>
    </row>
    <row r="7066" spans="1:18" x14ac:dyDescent="0.25">
      <c r="A7066">
        <v>6065</v>
      </c>
      <c r="B7066">
        <v>94</v>
      </c>
      <c r="C7066" t="e">
        <f>-IovIfOlGf1eFggM-bT7Hk</f>
        <v>#NAME?</v>
      </c>
      <c r="D7066" t="s">
        <v>315</v>
      </c>
      <c r="E7066">
        <v>20.402999999999999</v>
      </c>
      <c r="F7066" t="s">
        <v>21</v>
      </c>
      <c r="G7066" t="s">
        <v>20</v>
      </c>
      <c r="H7066" t="s">
        <v>21</v>
      </c>
      <c r="I7066" t="s">
        <v>20</v>
      </c>
      <c r="J7066" t="s">
        <v>20</v>
      </c>
      <c r="K7066" t="s">
        <v>27</v>
      </c>
      <c r="L7066" t="s">
        <v>111</v>
      </c>
      <c r="M7066" t="s">
        <v>243</v>
      </c>
      <c r="N7066">
        <v>39.235247999999999</v>
      </c>
      <c r="O7066">
        <v>-111.009066</v>
      </c>
      <c r="P7066">
        <v>5737.6882459999997</v>
      </c>
      <c r="Q7066">
        <v>307</v>
      </c>
      <c r="R7066">
        <v>0</v>
      </c>
    </row>
    <row r="7067" spans="1:18" x14ac:dyDescent="0.25">
      <c r="A7067">
        <v>6066</v>
      </c>
      <c r="B7067">
        <v>94</v>
      </c>
      <c r="C7067">
        <v>28568643</v>
      </c>
      <c r="D7067" t="s">
        <v>323</v>
      </c>
      <c r="E7067">
        <v>23.698</v>
      </c>
      <c r="F7067" t="s">
        <v>21</v>
      </c>
      <c r="G7067" t="s">
        <v>26</v>
      </c>
      <c r="H7067" t="s">
        <v>19</v>
      </c>
      <c r="I7067">
        <v>302</v>
      </c>
      <c r="J7067" t="s">
        <v>20</v>
      </c>
      <c r="K7067" t="s">
        <v>31</v>
      </c>
      <c r="L7067" t="s">
        <v>149</v>
      </c>
      <c r="M7067" t="s">
        <v>131</v>
      </c>
      <c r="N7067">
        <v>40.752859999999998</v>
      </c>
      <c r="O7067">
        <v>-111.375995</v>
      </c>
      <c r="P7067">
        <v>6010.1240509999998</v>
      </c>
      <c r="Q7067">
        <v>1345</v>
      </c>
      <c r="R7067">
        <v>0</v>
      </c>
    </row>
    <row r="7068" spans="1:18" x14ac:dyDescent="0.25">
      <c r="A7068">
        <v>6067</v>
      </c>
      <c r="B7068">
        <v>94</v>
      </c>
      <c r="C7068">
        <v>31531742</v>
      </c>
      <c r="D7068" t="s">
        <v>390</v>
      </c>
      <c r="E7068">
        <v>23.713999999999999</v>
      </c>
      <c r="F7068" t="s">
        <v>21</v>
      </c>
      <c r="G7068" t="s">
        <v>20</v>
      </c>
      <c r="H7068" t="s">
        <v>21</v>
      </c>
      <c r="I7068" t="s">
        <v>20</v>
      </c>
      <c r="J7068" t="s">
        <v>20</v>
      </c>
      <c r="K7068" t="s">
        <v>22</v>
      </c>
      <c r="L7068" t="s">
        <v>60</v>
      </c>
      <c r="M7068" t="s">
        <v>335</v>
      </c>
      <c r="N7068">
        <v>40.397196000000001</v>
      </c>
      <c r="O7068">
        <v>-111.586291</v>
      </c>
      <c r="P7068">
        <v>6464.0360650000002</v>
      </c>
      <c r="Q7068">
        <v>1386</v>
      </c>
      <c r="R7068">
        <v>0</v>
      </c>
    </row>
    <row r="7069" spans="1:18" x14ac:dyDescent="0.25">
      <c r="A7069">
        <v>6068</v>
      </c>
      <c r="B7069">
        <v>94</v>
      </c>
      <c r="C7069">
        <v>31517638</v>
      </c>
      <c r="D7069" t="s">
        <v>132</v>
      </c>
      <c r="E7069">
        <v>23.727</v>
      </c>
      <c r="F7069" t="s">
        <v>21</v>
      </c>
      <c r="G7069" t="s">
        <v>26</v>
      </c>
      <c r="H7069" t="s">
        <v>21</v>
      </c>
      <c r="I7069" t="s">
        <v>20</v>
      </c>
      <c r="J7069" t="s">
        <v>20</v>
      </c>
      <c r="K7069" t="s">
        <v>22</v>
      </c>
      <c r="L7069" t="s">
        <v>133</v>
      </c>
      <c r="M7069" t="s">
        <v>134</v>
      </c>
      <c r="N7069">
        <v>40.403728999999998</v>
      </c>
      <c r="O7069">
        <v>-109.79814500000001</v>
      </c>
      <c r="P7069">
        <v>5490.1518509999996</v>
      </c>
      <c r="Q7069">
        <v>1405</v>
      </c>
      <c r="R7069">
        <v>0</v>
      </c>
    </row>
    <row r="7070" spans="1:18" x14ac:dyDescent="0.25">
      <c r="A7070">
        <v>6069</v>
      </c>
      <c r="B7070">
        <v>94</v>
      </c>
      <c r="C7070">
        <v>31391587</v>
      </c>
      <c r="D7070" t="s">
        <v>124</v>
      </c>
      <c r="E7070">
        <v>23.727</v>
      </c>
      <c r="F7070" t="s">
        <v>21</v>
      </c>
      <c r="G7070" t="s">
        <v>20</v>
      </c>
      <c r="H7070" t="s">
        <v>21</v>
      </c>
      <c r="I7070" t="s">
        <v>20</v>
      </c>
      <c r="J7070" t="s">
        <v>20</v>
      </c>
      <c r="K7070" t="s">
        <v>22</v>
      </c>
      <c r="L7070" t="s">
        <v>84</v>
      </c>
      <c r="M7070" t="s">
        <v>194</v>
      </c>
      <c r="N7070">
        <v>40.268227000000003</v>
      </c>
      <c r="O7070">
        <v>-111.866986</v>
      </c>
      <c r="P7070">
        <v>4555.6524499999996</v>
      </c>
      <c r="Q7070">
        <v>1368</v>
      </c>
      <c r="R7070">
        <v>0</v>
      </c>
    </row>
    <row r="7071" spans="1:18" x14ac:dyDescent="0.25">
      <c r="A7071">
        <v>6070</v>
      </c>
      <c r="B7071">
        <v>94</v>
      </c>
      <c r="C7071">
        <v>31192938</v>
      </c>
      <c r="D7071" t="s">
        <v>150</v>
      </c>
      <c r="E7071">
        <v>4.5270000000000001</v>
      </c>
      <c r="F7071" t="s">
        <v>21</v>
      </c>
      <c r="G7071" t="s">
        <v>26</v>
      </c>
      <c r="H7071" t="s">
        <v>21</v>
      </c>
      <c r="I7071" t="s">
        <v>20</v>
      </c>
      <c r="J7071" t="s">
        <v>20</v>
      </c>
      <c r="K7071" t="s">
        <v>27</v>
      </c>
      <c r="L7071" t="s">
        <v>151</v>
      </c>
      <c r="M7071" t="s">
        <v>152</v>
      </c>
      <c r="N7071">
        <v>38.975563000000001</v>
      </c>
      <c r="O7071">
        <v>-110.12137</v>
      </c>
      <c r="P7071">
        <v>4084.3476009999999</v>
      </c>
      <c r="Q7071">
        <v>1336</v>
      </c>
      <c r="R7071">
        <v>0</v>
      </c>
    </row>
    <row r="7072" spans="1:18" x14ac:dyDescent="0.25">
      <c r="A7072">
        <v>6071</v>
      </c>
      <c r="B7072">
        <v>94</v>
      </c>
      <c r="C7072">
        <v>2542362</v>
      </c>
      <c r="D7072" t="s">
        <v>176</v>
      </c>
      <c r="E7072">
        <v>2.3620000000000001</v>
      </c>
      <c r="F7072" t="s">
        <v>21</v>
      </c>
      <c r="G7072" t="s">
        <v>26</v>
      </c>
      <c r="H7072" t="s">
        <v>21</v>
      </c>
      <c r="I7072" t="s">
        <v>20</v>
      </c>
      <c r="J7072" t="s">
        <v>20</v>
      </c>
      <c r="K7072" t="s">
        <v>41</v>
      </c>
      <c r="L7072" t="s">
        <v>177</v>
      </c>
      <c r="M7072" t="s">
        <v>178</v>
      </c>
      <c r="N7072">
        <v>41.520867000000003</v>
      </c>
      <c r="O7072">
        <v>-112.01557099999999</v>
      </c>
      <c r="P7072">
        <v>4297.109633</v>
      </c>
      <c r="Q7072">
        <v>1329</v>
      </c>
      <c r="R7072">
        <v>0</v>
      </c>
    </row>
    <row r="7073" spans="1:18" x14ac:dyDescent="0.25">
      <c r="A7073">
        <v>6072</v>
      </c>
      <c r="B7073">
        <v>94</v>
      </c>
      <c r="C7073">
        <v>1374090</v>
      </c>
      <c r="D7073" t="s">
        <v>437</v>
      </c>
      <c r="E7073">
        <v>2.3639999999999999</v>
      </c>
      <c r="F7073" t="s">
        <v>21</v>
      </c>
      <c r="G7073" t="s">
        <v>26</v>
      </c>
      <c r="H7073" t="s">
        <v>21</v>
      </c>
      <c r="I7073" t="s">
        <v>20</v>
      </c>
      <c r="J7073" t="s">
        <v>20</v>
      </c>
      <c r="K7073" t="s">
        <v>41</v>
      </c>
      <c r="L7073" t="s">
        <v>223</v>
      </c>
      <c r="M7073" t="s">
        <v>43</v>
      </c>
      <c r="N7073">
        <v>41.812879000000002</v>
      </c>
      <c r="O7073">
        <v>-112.116105</v>
      </c>
      <c r="P7073">
        <v>4321.3732190000001</v>
      </c>
      <c r="Q7073">
        <v>1378</v>
      </c>
      <c r="R7073">
        <v>0</v>
      </c>
    </row>
    <row r="7074" spans="1:18" x14ac:dyDescent="0.25">
      <c r="A7074">
        <v>6073</v>
      </c>
      <c r="B7074">
        <v>94</v>
      </c>
      <c r="C7074">
        <v>31284797</v>
      </c>
      <c r="D7074" t="s">
        <v>288</v>
      </c>
      <c r="E7074">
        <v>25.956</v>
      </c>
      <c r="F7074" t="s">
        <v>21</v>
      </c>
      <c r="G7074" t="s">
        <v>26</v>
      </c>
      <c r="H7074" t="s">
        <v>21</v>
      </c>
      <c r="I7074" t="s">
        <v>20</v>
      </c>
      <c r="J7074" t="s">
        <v>20</v>
      </c>
      <c r="K7074" t="s">
        <v>27</v>
      </c>
      <c r="L7074" t="s">
        <v>211</v>
      </c>
      <c r="M7074" t="s">
        <v>318</v>
      </c>
      <c r="N7074">
        <v>37.286380000000001</v>
      </c>
      <c r="O7074">
        <v>-109.546019</v>
      </c>
      <c r="P7074">
        <v>4266.9594159999997</v>
      </c>
      <c r="Q7074">
        <v>350</v>
      </c>
      <c r="R7074">
        <v>0</v>
      </c>
    </row>
    <row r="7075" spans="1:18" x14ac:dyDescent="0.25">
      <c r="A7075">
        <v>6074</v>
      </c>
      <c r="B7075">
        <v>94</v>
      </c>
      <c r="C7075">
        <v>31374124</v>
      </c>
      <c r="D7075" t="s">
        <v>199</v>
      </c>
      <c r="E7075">
        <v>25.968</v>
      </c>
      <c r="F7075" t="s">
        <v>21</v>
      </c>
      <c r="G7075" t="s">
        <v>361</v>
      </c>
      <c r="H7075" t="s">
        <v>21</v>
      </c>
      <c r="I7075" t="s">
        <v>20</v>
      </c>
      <c r="J7075" t="s">
        <v>20</v>
      </c>
      <c r="K7075" t="s">
        <v>27</v>
      </c>
      <c r="L7075" t="s">
        <v>103</v>
      </c>
      <c r="M7075" t="s">
        <v>200</v>
      </c>
      <c r="N7075">
        <v>38.263207000000001</v>
      </c>
      <c r="O7075">
        <v>-112.37339799999999</v>
      </c>
      <c r="P7075">
        <v>10134.384258</v>
      </c>
      <c r="Q7075">
        <v>341</v>
      </c>
      <c r="R7075">
        <v>0</v>
      </c>
    </row>
    <row r="7076" spans="1:18" x14ac:dyDescent="0.25">
      <c r="A7076">
        <v>6075</v>
      </c>
      <c r="B7076">
        <v>94</v>
      </c>
      <c r="C7076">
        <v>31307882</v>
      </c>
      <c r="D7076" t="s">
        <v>116</v>
      </c>
      <c r="E7076">
        <v>25.975000000000001</v>
      </c>
      <c r="F7076" t="s">
        <v>21</v>
      </c>
      <c r="G7076" t="s">
        <v>26</v>
      </c>
      <c r="H7076" t="s">
        <v>21</v>
      </c>
      <c r="I7076" t="s">
        <v>20</v>
      </c>
      <c r="J7076" t="s">
        <v>20</v>
      </c>
      <c r="K7076" t="s">
        <v>41</v>
      </c>
      <c r="L7076" t="s">
        <v>95</v>
      </c>
      <c r="M7076" t="s">
        <v>43</v>
      </c>
      <c r="N7076">
        <v>41.722136999999996</v>
      </c>
      <c r="O7076">
        <v>-111.835252</v>
      </c>
      <c r="P7076">
        <v>4461.4450770000003</v>
      </c>
      <c r="Q7076">
        <v>324</v>
      </c>
      <c r="R7076">
        <v>0</v>
      </c>
    </row>
    <row r="7077" spans="1:18" x14ac:dyDescent="0.25">
      <c r="A7077">
        <v>6076</v>
      </c>
      <c r="B7077">
        <v>94</v>
      </c>
      <c r="C7077">
        <v>31285258</v>
      </c>
      <c r="D7077" t="s">
        <v>288</v>
      </c>
      <c r="E7077">
        <v>25.998000000000001</v>
      </c>
      <c r="F7077" t="s">
        <v>21</v>
      </c>
      <c r="G7077" t="s">
        <v>26</v>
      </c>
      <c r="H7077" t="s">
        <v>19</v>
      </c>
      <c r="I7077">
        <v>162</v>
      </c>
      <c r="J7077" t="s">
        <v>20</v>
      </c>
      <c r="K7077" t="s">
        <v>27</v>
      </c>
      <c r="L7077" t="s">
        <v>211</v>
      </c>
      <c r="M7077" t="s">
        <v>318</v>
      </c>
      <c r="N7077">
        <v>37.286712000000001</v>
      </c>
      <c r="O7077">
        <v>-109.545388</v>
      </c>
      <c r="P7077">
        <v>4272.143435</v>
      </c>
      <c r="Q7077">
        <v>350</v>
      </c>
      <c r="R7077">
        <v>0</v>
      </c>
    </row>
    <row r="7078" spans="1:18" x14ac:dyDescent="0.25">
      <c r="A7078">
        <v>6077</v>
      </c>
      <c r="B7078">
        <v>94</v>
      </c>
      <c r="C7078">
        <v>31712469</v>
      </c>
      <c r="D7078" t="s">
        <v>213</v>
      </c>
      <c r="E7078">
        <v>250.56299999999999</v>
      </c>
      <c r="F7078" t="s">
        <v>21</v>
      </c>
      <c r="G7078" t="s">
        <v>26</v>
      </c>
      <c r="H7078" t="s">
        <v>21</v>
      </c>
      <c r="I7078" t="s">
        <v>20</v>
      </c>
      <c r="J7078" t="s">
        <v>20</v>
      </c>
      <c r="K7078" t="s">
        <v>27</v>
      </c>
      <c r="L7078" t="s">
        <v>158</v>
      </c>
      <c r="M7078" t="s">
        <v>190</v>
      </c>
      <c r="N7078">
        <v>39.549156000000004</v>
      </c>
      <c r="O7078">
        <v>-110.668272</v>
      </c>
      <c r="P7078">
        <v>5418.3105800000003</v>
      </c>
      <c r="Q7078">
        <v>1332</v>
      </c>
      <c r="R7078">
        <v>0</v>
      </c>
    </row>
    <row r="7079" spans="1:18" x14ac:dyDescent="0.25">
      <c r="A7079">
        <v>6078</v>
      </c>
      <c r="B7079">
        <v>94</v>
      </c>
      <c r="C7079" t="e">
        <f>-JRJW1fcIiyeMN3SWEoVTk</f>
        <v>#NAME?</v>
      </c>
      <c r="D7079" t="s">
        <v>213</v>
      </c>
      <c r="E7079">
        <v>250.82599999999999</v>
      </c>
      <c r="F7079" t="s">
        <v>21</v>
      </c>
      <c r="G7079" t="s">
        <v>20</v>
      </c>
      <c r="H7079" t="s">
        <v>21</v>
      </c>
      <c r="I7079" t="s">
        <v>20</v>
      </c>
      <c r="J7079" t="s">
        <v>20</v>
      </c>
      <c r="K7079" t="s">
        <v>27</v>
      </c>
      <c r="L7079" t="s">
        <v>158</v>
      </c>
      <c r="M7079" t="s">
        <v>190</v>
      </c>
      <c r="N7079">
        <v>39.550096000000003</v>
      </c>
      <c r="O7079">
        <v>-110.66350300000001</v>
      </c>
      <c r="P7079">
        <v>5435.6787809999996</v>
      </c>
      <c r="Q7079">
        <v>1332</v>
      </c>
      <c r="R7079">
        <v>0</v>
      </c>
    </row>
    <row r="7080" spans="1:18" x14ac:dyDescent="0.25">
      <c r="A7080">
        <v>6079</v>
      </c>
      <c r="B7080">
        <v>94</v>
      </c>
      <c r="C7080">
        <v>27879917</v>
      </c>
      <c r="D7080" t="s">
        <v>91</v>
      </c>
      <c r="E7080">
        <v>24.291</v>
      </c>
      <c r="F7080" t="s">
        <v>21</v>
      </c>
      <c r="G7080" t="s">
        <v>26</v>
      </c>
      <c r="H7080" t="s">
        <v>19</v>
      </c>
      <c r="I7080">
        <v>142</v>
      </c>
      <c r="J7080" t="s">
        <v>20</v>
      </c>
      <c r="K7080" t="s">
        <v>41</v>
      </c>
      <c r="L7080" t="s">
        <v>95</v>
      </c>
      <c r="M7080" t="s">
        <v>73</v>
      </c>
      <c r="N7080">
        <v>41.917572</v>
      </c>
      <c r="O7080">
        <v>-111.95283999999999</v>
      </c>
      <c r="P7080">
        <v>4406.5389429999996</v>
      </c>
      <c r="Q7080">
        <v>1339</v>
      </c>
      <c r="R7080">
        <v>0</v>
      </c>
    </row>
    <row r="7081" spans="1:18" x14ac:dyDescent="0.25">
      <c r="A7081">
        <v>6080</v>
      </c>
      <c r="B7081">
        <v>94</v>
      </c>
      <c r="C7081">
        <v>27876180</v>
      </c>
      <c r="D7081" t="s">
        <v>245</v>
      </c>
      <c r="E7081">
        <v>24.324000000000002</v>
      </c>
      <c r="F7081" t="s">
        <v>21</v>
      </c>
      <c r="G7081" t="s">
        <v>26</v>
      </c>
      <c r="H7081" t="s">
        <v>21</v>
      </c>
      <c r="I7081" t="s">
        <v>20</v>
      </c>
      <c r="J7081" t="s">
        <v>20</v>
      </c>
      <c r="K7081" t="s">
        <v>22</v>
      </c>
      <c r="L7081" t="s">
        <v>97</v>
      </c>
      <c r="M7081" t="s">
        <v>98</v>
      </c>
      <c r="N7081">
        <v>40.938969999999998</v>
      </c>
      <c r="O7081">
        <v>-109.7124</v>
      </c>
      <c r="P7081">
        <v>6583.8309419999996</v>
      </c>
      <c r="Q7081">
        <v>1353</v>
      </c>
      <c r="R7081">
        <v>0</v>
      </c>
    </row>
    <row r="7082" spans="1:18" x14ac:dyDescent="0.25">
      <c r="A7082">
        <v>6081</v>
      </c>
      <c r="B7082">
        <v>94</v>
      </c>
      <c r="C7082">
        <v>31306200</v>
      </c>
      <c r="D7082" t="s">
        <v>116</v>
      </c>
      <c r="E7082">
        <v>24.353999999999999</v>
      </c>
      <c r="F7082" t="s">
        <v>19</v>
      </c>
      <c r="G7082" t="s">
        <v>20</v>
      </c>
      <c r="H7082" t="s">
        <v>21</v>
      </c>
      <c r="I7082" t="s">
        <v>20</v>
      </c>
      <c r="J7082" t="s">
        <v>20</v>
      </c>
      <c r="K7082" t="s">
        <v>41</v>
      </c>
      <c r="L7082" t="s">
        <v>42</v>
      </c>
      <c r="M7082" t="s">
        <v>43</v>
      </c>
      <c r="N7082">
        <v>41.703412999999998</v>
      </c>
      <c r="O7082">
        <v>-111.85160999999999</v>
      </c>
      <c r="P7082">
        <v>4423.6475899999996</v>
      </c>
      <c r="Q7082">
        <v>324</v>
      </c>
      <c r="R7082">
        <v>0</v>
      </c>
    </row>
    <row r="7083" spans="1:18" x14ac:dyDescent="0.25">
      <c r="A7083">
        <v>6082</v>
      </c>
      <c r="B7083">
        <v>94</v>
      </c>
      <c r="C7083">
        <v>31473043</v>
      </c>
      <c r="D7083" t="s">
        <v>213</v>
      </c>
      <c r="E7083">
        <v>24.425999999999998</v>
      </c>
      <c r="F7083" t="s">
        <v>21</v>
      </c>
      <c r="G7083" t="s">
        <v>26</v>
      </c>
      <c r="H7083" t="s">
        <v>21</v>
      </c>
      <c r="I7083" t="s">
        <v>20</v>
      </c>
      <c r="J7083" t="s">
        <v>20</v>
      </c>
      <c r="K7083" t="s">
        <v>27</v>
      </c>
      <c r="L7083" t="s">
        <v>173</v>
      </c>
      <c r="M7083" t="s">
        <v>214</v>
      </c>
      <c r="N7083">
        <v>39.079042000000001</v>
      </c>
      <c r="O7083">
        <v>-113.60915300000001</v>
      </c>
      <c r="P7083">
        <v>5945.67364</v>
      </c>
      <c r="Q7083">
        <v>1332</v>
      </c>
      <c r="R7083">
        <v>0</v>
      </c>
    </row>
    <row r="7084" spans="1:18" x14ac:dyDescent="0.25">
      <c r="A7084">
        <v>6083</v>
      </c>
      <c r="B7084">
        <v>94</v>
      </c>
      <c r="C7084">
        <v>31283785</v>
      </c>
      <c r="D7084" t="s">
        <v>288</v>
      </c>
      <c r="E7084">
        <v>24.457000000000001</v>
      </c>
      <c r="F7084" t="s">
        <v>21</v>
      </c>
      <c r="G7084" t="s">
        <v>26</v>
      </c>
      <c r="H7084" t="s">
        <v>21</v>
      </c>
      <c r="I7084" t="s">
        <v>20</v>
      </c>
      <c r="J7084" t="s">
        <v>20</v>
      </c>
      <c r="K7084" t="s">
        <v>27</v>
      </c>
      <c r="L7084" t="s">
        <v>211</v>
      </c>
      <c r="M7084" t="s">
        <v>318</v>
      </c>
      <c r="N7084">
        <v>37.281322000000003</v>
      </c>
      <c r="O7084">
        <v>-109.571245</v>
      </c>
      <c r="P7084">
        <v>4258.8389569999999</v>
      </c>
      <c r="Q7084">
        <v>350</v>
      </c>
      <c r="R7084">
        <v>0</v>
      </c>
    </row>
    <row r="7085" spans="1:18" x14ac:dyDescent="0.25">
      <c r="A7085">
        <v>6084</v>
      </c>
      <c r="B7085">
        <v>94</v>
      </c>
      <c r="C7085">
        <v>31517832</v>
      </c>
      <c r="D7085" t="s">
        <v>132</v>
      </c>
      <c r="E7085">
        <v>24.475999999999999</v>
      </c>
      <c r="F7085" t="s">
        <v>21</v>
      </c>
      <c r="G7085" t="s">
        <v>26</v>
      </c>
      <c r="H7085" t="s">
        <v>21</v>
      </c>
      <c r="I7085" t="s">
        <v>20</v>
      </c>
      <c r="J7085" t="s">
        <v>20</v>
      </c>
      <c r="K7085" t="s">
        <v>22</v>
      </c>
      <c r="L7085" t="s">
        <v>133</v>
      </c>
      <c r="M7085" t="s">
        <v>134</v>
      </c>
      <c r="N7085">
        <v>40.403804000000001</v>
      </c>
      <c r="O7085">
        <v>-109.78396100000001</v>
      </c>
      <c r="P7085">
        <v>5557.9345309999999</v>
      </c>
      <c r="Q7085">
        <v>1405</v>
      </c>
      <c r="R7085">
        <v>0</v>
      </c>
    </row>
    <row r="7086" spans="1:18" x14ac:dyDescent="0.25">
      <c r="A7086">
        <v>6085</v>
      </c>
      <c r="B7086">
        <v>94</v>
      </c>
      <c r="C7086" t="e">
        <f>-JXnARSRGKq7SQ9NCQDsck</f>
        <v>#NAME?</v>
      </c>
      <c r="D7086" t="s">
        <v>203</v>
      </c>
      <c r="E7086">
        <v>24.484000000000002</v>
      </c>
      <c r="F7086" t="s">
        <v>21</v>
      </c>
      <c r="G7086" t="s">
        <v>26</v>
      </c>
      <c r="H7086" t="s">
        <v>21</v>
      </c>
      <c r="I7086" t="s">
        <v>20</v>
      </c>
      <c r="J7086" t="s">
        <v>20</v>
      </c>
      <c r="K7086" t="s">
        <v>41</v>
      </c>
      <c r="L7086" t="s">
        <v>255</v>
      </c>
      <c r="M7086" t="s">
        <v>204</v>
      </c>
      <c r="N7086">
        <v>41.270313999999999</v>
      </c>
      <c r="O7086">
        <v>-111.66731799999999</v>
      </c>
      <c r="P7086">
        <v>5159.9902789999996</v>
      </c>
      <c r="Q7086">
        <v>1349</v>
      </c>
      <c r="R7086">
        <v>0</v>
      </c>
    </row>
    <row r="7087" spans="1:18" x14ac:dyDescent="0.25">
      <c r="A7087">
        <v>6086</v>
      </c>
      <c r="B7087">
        <v>94</v>
      </c>
      <c r="C7087">
        <v>31718812</v>
      </c>
      <c r="D7087" t="s">
        <v>213</v>
      </c>
      <c r="E7087">
        <v>265.33800000000002</v>
      </c>
      <c r="F7087" t="s">
        <v>21</v>
      </c>
      <c r="G7087" t="s">
        <v>20</v>
      </c>
      <c r="H7087" t="s">
        <v>21</v>
      </c>
      <c r="I7087" t="s">
        <v>20</v>
      </c>
      <c r="J7087" t="s">
        <v>20</v>
      </c>
      <c r="K7087" t="s">
        <v>27</v>
      </c>
      <c r="L7087" t="s">
        <v>158</v>
      </c>
      <c r="M7087" t="s">
        <v>422</v>
      </c>
      <c r="N7087">
        <v>39.431204999999999</v>
      </c>
      <c r="O7087">
        <v>-110.45275100000001</v>
      </c>
      <c r="P7087">
        <v>5331.9243569999999</v>
      </c>
      <c r="Q7087">
        <v>1332</v>
      </c>
      <c r="R7087">
        <v>0</v>
      </c>
    </row>
    <row r="7088" spans="1:18" x14ac:dyDescent="0.25">
      <c r="A7088">
        <v>6087</v>
      </c>
      <c r="B7088">
        <v>94</v>
      </c>
      <c r="C7088">
        <v>31544662</v>
      </c>
      <c r="D7088" t="s">
        <v>288</v>
      </c>
      <c r="E7088">
        <v>265.69</v>
      </c>
      <c r="F7088" t="s">
        <v>21</v>
      </c>
      <c r="G7088" t="s">
        <v>20</v>
      </c>
      <c r="H7088" t="s">
        <v>21</v>
      </c>
      <c r="I7088" t="s">
        <v>20</v>
      </c>
      <c r="J7088" t="s">
        <v>20</v>
      </c>
      <c r="K7088" t="s">
        <v>22</v>
      </c>
      <c r="L7088" t="s">
        <v>253</v>
      </c>
      <c r="M7088" t="s">
        <v>120</v>
      </c>
      <c r="N7088">
        <v>39.878517000000002</v>
      </c>
      <c r="O7088">
        <v>-110.760398</v>
      </c>
      <c r="P7088">
        <v>8692.5867699999999</v>
      </c>
      <c r="Q7088">
        <v>350</v>
      </c>
      <c r="R7088">
        <v>0</v>
      </c>
    </row>
    <row r="7089" spans="1:18" x14ac:dyDescent="0.25">
      <c r="A7089">
        <v>6088</v>
      </c>
      <c r="B7089">
        <v>94</v>
      </c>
      <c r="C7089">
        <v>31544673</v>
      </c>
      <c r="D7089" t="s">
        <v>288</v>
      </c>
      <c r="E7089">
        <v>266.625</v>
      </c>
      <c r="F7089" t="s">
        <v>21</v>
      </c>
      <c r="G7089" t="s">
        <v>20</v>
      </c>
      <c r="H7089" t="s">
        <v>21</v>
      </c>
      <c r="I7089" t="s">
        <v>20</v>
      </c>
      <c r="J7089" t="s">
        <v>20</v>
      </c>
      <c r="K7089" t="s">
        <v>22</v>
      </c>
      <c r="L7089" t="s">
        <v>253</v>
      </c>
      <c r="M7089" t="s">
        <v>120</v>
      </c>
      <c r="N7089">
        <v>39.883890000000001</v>
      </c>
      <c r="O7089">
        <v>-110.74813</v>
      </c>
      <c r="P7089">
        <v>9014.1091579999993</v>
      </c>
      <c r="Q7089">
        <v>350</v>
      </c>
      <c r="R7089">
        <v>0</v>
      </c>
    </row>
    <row r="7090" spans="1:18" x14ac:dyDescent="0.25">
      <c r="A7090">
        <v>6089</v>
      </c>
      <c r="B7090">
        <v>94</v>
      </c>
      <c r="C7090">
        <v>31718823</v>
      </c>
      <c r="D7090" t="s">
        <v>213</v>
      </c>
      <c r="E7090">
        <v>267.12700000000001</v>
      </c>
      <c r="F7090" t="s">
        <v>21</v>
      </c>
      <c r="G7090" t="s">
        <v>26</v>
      </c>
      <c r="H7090" t="s">
        <v>21</v>
      </c>
      <c r="I7090" t="s">
        <v>20</v>
      </c>
      <c r="J7090" t="s">
        <v>20</v>
      </c>
      <c r="K7090" t="s">
        <v>27</v>
      </c>
      <c r="L7090" t="s">
        <v>158</v>
      </c>
      <c r="M7090" t="s">
        <v>422</v>
      </c>
      <c r="N7090">
        <v>39.410778999999998</v>
      </c>
      <c r="O7090">
        <v>-110.432098</v>
      </c>
      <c r="P7090">
        <v>5387.6982969999999</v>
      </c>
      <c r="Q7090">
        <v>1332</v>
      </c>
      <c r="R7090">
        <v>0</v>
      </c>
    </row>
    <row r="7091" spans="1:18" x14ac:dyDescent="0.25">
      <c r="A7091">
        <v>6090</v>
      </c>
      <c r="B7091">
        <v>94</v>
      </c>
      <c r="C7091" t="e">
        <f>-IoMOyw4IFuAJ9TDEKzmgV</f>
        <v>#NAME?</v>
      </c>
      <c r="D7091" t="s">
        <v>272</v>
      </c>
      <c r="E7091">
        <v>267.346</v>
      </c>
      <c r="F7091" t="s">
        <v>21</v>
      </c>
      <c r="G7091" t="s">
        <v>26</v>
      </c>
      <c r="H7091" t="s">
        <v>19</v>
      </c>
      <c r="I7091">
        <v>132</v>
      </c>
      <c r="J7091" t="s">
        <v>20</v>
      </c>
      <c r="K7091" t="s">
        <v>27</v>
      </c>
      <c r="L7091" t="s">
        <v>350</v>
      </c>
      <c r="M7091" t="s">
        <v>174</v>
      </c>
      <c r="N7091">
        <v>39.421847</v>
      </c>
      <c r="O7091">
        <v>-111.558913</v>
      </c>
      <c r="P7091">
        <v>5508.7027209999997</v>
      </c>
      <c r="Q7091">
        <v>1384</v>
      </c>
      <c r="R7091">
        <v>0</v>
      </c>
    </row>
    <row r="7092" spans="1:18" x14ac:dyDescent="0.25">
      <c r="A7092">
        <v>6091</v>
      </c>
      <c r="B7092">
        <v>94</v>
      </c>
      <c r="C7092" t="e">
        <f>-IoMWwY8FZqbwJv-G_N3XV</f>
        <v>#NAME?</v>
      </c>
      <c r="D7092" t="s">
        <v>272</v>
      </c>
      <c r="E7092">
        <v>269.08999999999997</v>
      </c>
      <c r="F7092" t="s">
        <v>21</v>
      </c>
      <c r="G7092" t="s">
        <v>26</v>
      </c>
      <c r="H7092" t="s">
        <v>21</v>
      </c>
      <c r="I7092" t="s">
        <v>20</v>
      </c>
      <c r="J7092" t="s">
        <v>20</v>
      </c>
      <c r="K7092" t="s">
        <v>27</v>
      </c>
      <c r="L7092" t="s">
        <v>230</v>
      </c>
      <c r="M7092" t="s">
        <v>174</v>
      </c>
      <c r="N7092">
        <v>39.445238000000003</v>
      </c>
      <c r="O7092">
        <v>-111.546418</v>
      </c>
      <c r="P7092">
        <v>5535.744095</v>
      </c>
      <c r="Q7092">
        <v>1384</v>
      </c>
      <c r="R7092">
        <v>0</v>
      </c>
    </row>
    <row r="7093" spans="1:18" x14ac:dyDescent="0.25">
      <c r="A7093">
        <v>6092</v>
      </c>
      <c r="B7093">
        <v>94</v>
      </c>
      <c r="C7093" t="e">
        <f>-IoMXh4yIG54fu9THtUFVV</f>
        <v>#NAME?</v>
      </c>
      <c r="D7093" t="s">
        <v>272</v>
      </c>
      <c r="E7093">
        <v>269.49900000000002</v>
      </c>
      <c r="F7093" t="s">
        <v>21</v>
      </c>
      <c r="G7093" t="s">
        <v>20</v>
      </c>
      <c r="H7093" t="s">
        <v>21</v>
      </c>
      <c r="I7093" t="s">
        <v>20</v>
      </c>
      <c r="J7093" t="s">
        <v>20</v>
      </c>
      <c r="K7093" t="s">
        <v>27</v>
      </c>
      <c r="L7093" t="s">
        <v>230</v>
      </c>
      <c r="M7093" t="s">
        <v>174</v>
      </c>
      <c r="N7093">
        <v>39.450808000000002</v>
      </c>
      <c r="O7093">
        <v>-111.543679</v>
      </c>
      <c r="P7093">
        <v>5546.6432320000004</v>
      </c>
      <c r="Q7093">
        <v>1384</v>
      </c>
      <c r="R7093">
        <v>0</v>
      </c>
    </row>
    <row r="7094" spans="1:18" x14ac:dyDescent="0.25">
      <c r="A7094">
        <v>6093</v>
      </c>
      <c r="B7094">
        <v>94</v>
      </c>
      <c r="C7094" t="e">
        <f>-JOSCRY2I5abXFw4qZdquV</f>
        <v>#NAME?</v>
      </c>
      <c r="D7094" t="s">
        <v>244</v>
      </c>
      <c r="E7094">
        <v>27.003</v>
      </c>
      <c r="F7094" t="s">
        <v>21</v>
      </c>
      <c r="G7094" t="s">
        <v>26</v>
      </c>
      <c r="H7094" t="s">
        <v>21</v>
      </c>
      <c r="I7094" t="s">
        <v>20</v>
      </c>
      <c r="J7094" t="s">
        <v>20</v>
      </c>
      <c r="K7094" t="s">
        <v>27</v>
      </c>
      <c r="L7094" t="s">
        <v>266</v>
      </c>
      <c r="M7094" t="s">
        <v>58</v>
      </c>
      <c r="N7094">
        <v>38.641854000000002</v>
      </c>
      <c r="O7094">
        <v>-111.83271000000001</v>
      </c>
      <c r="P7094">
        <v>6994.2990410000002</v>
      </c>
      <c r="Q7094">
        <v>1340</v>
      </c>
      <c r="R7094">
        <v>0</v>
      </c>
    </row>
    <row r="7095" spans="1:18" x14ac:dyDescent="0.25">
      <c r="A7095">
        <v>6094</v>
      </c>
      <c r="B7095">
        <v>94</v>
      </c>
      <c r="C7095" t="e">
        <f>-JODsRU1HUyS5BSWSqwABk</f>
        <v>#NAME?</v>
      </c>
      <c r="D7095" t="s">
        <v>210</v>
      </c>
      <c r="E7095">
        <v>27.003</v>
      </c>
      <c r="F7095" t="s">
        <v>21</v>
      </c>
      <c r="G7095" t="s">
        <v>20</v>
      </c>
      <c r="H7095" t="s">
        <v>21</v>
      </c>
      <c r="I7095" t="s">
        <v>20</v>
      </c>
      <c r="J7095" t="s">
        <v>20</v>
      </c>
      <c r="K7095" t="s">
        <v>27</v>
      </c>
      <c r="L7095" t="s">
        <v>211</v>
      </c>
      <c r="M7095" t="s">
        <v>212</v>
      </c>
      <c r="N7095">
        <v>37.178525999999998</v>
      </c>
      <c r="O7095">
        <v>-109.123091</v>
      </c>
      <c r="P7095">
        <v>4740.870304</v>
      </c>
      <c r="Q7095">
        <v>344</v>
      </c>
      <c r="R7095">
        <v>0</v>
      </c>
    </row>
    <row r="7096" spans="1:18" x14ac:dyDescent="0.25">
      <c r="A7096">
        <v>6095</v>
      </c>
      <c r="B7096">
        <v>94</v>
      </c>
      <c r="C7096">
        <v>31439354</v>
      </c>
      <c r="D7096" t="s">
        <v>319</v>
      </c>
      <c r="E7096">
        <v>27.007000000000001</v>
      </c>
      <c r="F7096" t="s">
        <v>21</v>
      </c>
      <c r="G7096" t="s">
        <v>20</v>
      </c>
      <c r="H7096" t="s">
        <v>21</v>
      </c>
      <c r="I7096" t="s">
        <v>20</v>
      </c>
      <c r="J7096" t="s">
        <v>20</v>
      </c>
      <c r="K7096" t="s">
        <v>27</v>
      </c>
      <c r="L7096" t="s">
        <v>162</v>
      </c>
      <c r="M7096" t="s">
        <v>55</v>
      </c>
      <c r="N7096">
        <v>37.698135000000001</v>
      </c>
      <c r="O7096">
        <v>-113.624666</v>
      </c>
      <c r="P7096">
        <v>5102.4635939999998</v>
      </c>
      <c r="Q7096">
        <v>314</v>
      </c>
      <c r="R7096">
        <v>0</v>
      </c>
    </row>
    <row r="7097" spans="1:18" x14ac:dyDescent="0.25">
      <c r="A7097">
        <v>6096</v>
      </c>
      <c r="B7097">
        <v>94</v>
      </c>
      <c r="C7097">
        <v>31309491</v>
      </c>
      <c r="D7097" t="s">
        <v>116</v>
      </c>
      <c r="E7097">
        <v>27.015000000000001</v>
      </c>
      <c r="F7097" t="s">
        <v>21</v>
      </c>
      <c r="G7097" t="s">
        <v>26</v>
      </c>
      <c r="H7097" t="s">
        <v>21</v>
      </c>
      <c r="I7097" t="s">
        <v>20</v>
      </c>
      <c r="J7097" t="s">
        <v>20</v>
      </c>
      <c r="K7097" t="s">
        <v>41</v>
      </c>
      <c r="L7097" t="s">
        <v>95</v>
      </c>
      <c r="M7097" t="s">
        <v>43</v>
      </c>
      <c r="N7097">
        <v>41.737130999999998</v>
      </c>
      <c r="O7097">
        <v>-111.834828</v>
      </c>
      <c r="P7097">
        <v>4475.1182989999998</v>
      </c>
      <c r="Q7097">
        <v>324</v>
      </c>
      <c r="R7097">
        <v>0</v>
      </c>
    </row>
    <row r="7098" spans="1:18" x14ac:dyDescent="0.25">
      <c r="A7098">
        <v>6097</v>
      </c>
      <c r="B7098">
        <v>94</v>
      </c>
      <c r="C7098">
        <v>31741034</v>
      </c>
      <c r="D7098" t="s">
        <v>281</v>
      </c>
      <c r="E7098">
        <v>27.065999999999999</v>
      </c>
      <c r="F7098" t="s">
        <v>21</v>
      </c>
      <c r="G7098" t="s">
        <v>26</v>
      </c>
      <c r="H7098" t="s">
        <v>21</v>
      </c>
      <c r="I7098" t="s">
        <v>20</v>
      </c>
      <c r="J7098" t="s">
        <v>20</v>
      </c>
      <c r="K7098" t="s">
        <v>31</v>
      </c>
      <c r="L7098" t="s">
        <v>282</v>
      </c>
      <c r="M7098" t="s">
        <v>174</v>
      </c>
      <c r="N7098">
        <v>40.172586000000003</v>
      </c>
      <c r="O7098">
        <v>-112.427924</v>
      </c>
      <c r="P7098">
        <v>5197.5670950000003</v>
      </c>
      <c r="Q7098">
        <v>1347</v>
      </c>
      <c r="R7098">
        <v>0</v>
      </c>
    </row>
    <row r="7099" spans="1:18" x14ac:dyDescent="0.25">
      <c r="A7099">
        <v>6098</v>
      </c>
      <c r="B7099">
        <v>94</v>
      </c>
      <c r="C7099">
        <v>31282198</v>
      </c>
      <c r="D7099" t="s">
        <v>241</v>
      </c>
      <c r="E7099">
        <v>27.077999999999999</v>
      </c>
      <c r="F7099" t="s">
        <v>21</v>
      </c>
      <c r="G7099" t="s">
        <v>26</v>
      </c>
      <c r="H7099" t="s">
        <v>21</v>
      </c>
      <c r="I7099" t="s">
        <v>20</v>
      </c>
      <c r="J7099" t="s">
        <v>20</v>
      </c>
      <c r="K7099" t="s">
        <v>27</v>
      </c>
      <c r="L7099" t="s">
        <v>242</v>
      </c>
      <c r="M7099" t="s">
        <v>243</v>
      </c>
      <c r="N7099">
        <v>39.093367999999998</v>
      </c>
      <c r="O7099">
        <v>-111.13213</v>
      </c>
      <c r="P7099">
        <v>5910.7760109999999</v>
      </c>
      <c r="Q7099">
        <v>1327</v>
      </c>
      <c r="R7099">
        <v>0</v>
      </c>
    </row>
    <row r="7100" spans="1:18" x14ac:dyDescent="0.25">
      <c r="A7100">
        <v>6099</v>
      </c>
      <c r="B7100">
        <v>94</v>
      </c>
      <c r="C7100">
        <v>31374135</v>
      </c>
      <c r="D7100" t="s">
        <v>199</v>
      </c>
      <c r="E7100">
        <v>27.081</v>
      </c>
      <c r="F7100" t="s">
        <v>21</v>
      </c>
      <c r="G7100" t="s">
        <v>20</v>
      </c>
      <c r="H7100" t="s">
        <v>21</v>
      </c>
      <c r="I7100" t="s">
        <v>20</v>
      </c>
      <c r="J7100" t="s">
        <v>20</v>
      </c>
      <c r="K7100" t="s">
        <v>27</v>
      </c>
      <c r="L7100" t="s">
        <v>103</v>
      </c>
      <c r="M7100" t="s">
        <v>200</v>
      </c>
      <c r="N7100">
        <v>38.250016000000002</v>
      </c>
      <c r="O7100">
        <v>-112.374537</v>
      </c>
      <c r="P7100">
        <v>9866.9389960000008</v>
      </c>
      <c r="Q7100">
        <v>341</v>
      </c>
      <c r="R7100">
        <v>0</v>
      </c>
    </row>
    <row r="7101" spans="1:18" x14ac:dyDescent="0.25">
      <c r="A7101">
        <v>6100</v>
      </c>
      <c r="B7101">
        <v>94</v>
      </c>
      <c r="C7101" t="e">
        <f>-Ip084AcGvXQyYtOmnWcbV</f>
        <v>#NAME?</v>
      </c>
      <c r="D7101" t="s">
        <v>272</v>
      </c>
      <c r="E7101">
        <v>374.66300000000001</v>
      </c>
      <c r="F7101" t="s">
        <v>21</v>
      </c>
      <c r="G7101" t="s">
        <v>26</v>
      </c>
      <c r="H7101" t="s">
        <v>21</v>
      </c>
      <c r="I7101" t="s">
        <v>20</v>
      </c>
      <c r="J7101" t="s">
        <v>20</v>
      </c>
      <c r="K7101" t="s">
        <v>31</v>
      </c>
      <c r="L7101" t="s">
        <v>66</v>
      </c>
      <c r="M7101" t="s">
        <v>49</v>
      </c>
      <c r="N7101">
        <v>40.702686</v>
      </c>
      <c r="O7101">
        <v>-111.888283</v>
      </c>
      <c r="P7101">
        <v>4197.4677869999996</v>
      </c>
      <c r="Q7101">
        <v>1384</v>
      </c>
      <c r="R7101">
        <v>0</v>
      </c>
    </row>
    <row r="7102" spans="1:18" x14ac:dyDescent="0.25">
      <c r="A7102">
        <v>6101</v>
      </c>
      <c r="B7102">
        <v>94</v>
      </c>
      <c r="C7102" t="e">
        <f>-Ip08X-UGIyLqLx3OzWlek</f>
        <v>#NAME?</v>
      </c>
      <c r="D7102" t="s">
        <v>272</v>
      </c>
      <c r="E7102">
        <v>374.72500000000002</v>
      </c>
      <c r="F7102" t="s">
        <v>21</v>
      </c>
      <c r="G7102" t="s">
        <v>26</v>
      </c>
      <c r="H7102" t="s">
        <v>21</v>
      </c>
      <c r="I7102" t="s">
        <v>20</v>
      </c>
      <c r="J7102" t="s">
        <v>20</v>
      </c>
      <c r="K7102" t="s">
        <v>31</v>
      </c>
      <c r="L7102" t="s">
        <v>66</v>
      </c>
      <c r="M7102" t="s">
        <v>49</v>
      </c>
      <c r="N7102">
        <v>40.703591000000003</v>
      </c>
      <c r="O7102">
        <v>-111.888272</v>
      </c>
      <c r="P7102">
        <v>4197.9948789999999</v>
      </c>
      <c r="Q7102">
        <v>1384</v>
      </c>
      <c r="R7102">
        <v>0</v>
      </c>
    </row>
    <row r="7103" spans="1:18" x14ac:dyDescent="0.25">
      <c r="A7103">
        <v>6102</v>
      </c>
      <c r="B7103">
        <v>94</v>
      </c>
      <c r="C7103">
        <v>31399242</v>
      </c>
      <c r="D7103" t="s">
        <v>224</v>
      </c>
      <c r="E7103">
        <v>3.2189999999999999</v>
      </c>
      <c r="F7103" t="s">
        <v>21</v>
      </c>
      <c r="G7103" t="s">
        <v>20</v>
      </c>
      <c r="H7103" t="s">
        <v>21</v>
      </c>
      <c r="I7103" t="s">
        <v>20</v>
      </c>
      <c r="J7103" t="s">
        <v>20</v>
      </c>
      <c r="K7103" t="s">
        <v>22</v>
      </c>
      <c r="L7103" t="s">
        <v>198</v>
      </c>
      <c r="M7103" t="s">
        <v>194</v>
      </c>
      <c r="N7103">
        <v>40.016030999999998</v>
      </c>
      <c r="O7103">
        <v>-111.744173</v>
      </c>
      <c r="P7103">
        <v>4683.6404780000003</v>
      </c>
      <c r="Q7103">
        <v>408</v>
      </c>
      <c r="R7103">
        <v>0</v>
      </c>
    </row>
    <row r="7104" spans="1:18" x14ac:dyDescent="0.25">
      <c r="A7104">
        <v>6103</v>
      </c>
      <c r="B7104">
        <v>94</v>
      </c>
      <c r="C7104">
        <v>31601061</v>
      </c>
      <c r="D7104" t="s">
        <v>50</v>
      </c>
      <c r="E7104">
        <v>3.2269999999999999</v>
      </c>
      <c r="F7104" t="s">
        <v>21</v>
      </c>
      <c r="G7104" t="s">
        <v>26</v>
      </c>
      <c r="H7104" t="s">
        <v>21</v>
      </c>
      <c r="I7104" t="s">
        <v>20</v>
      </c>
      <c r="J7104" t="s">
        <v>20</v>
      </c>
      <c r="K7104" t="s">
        <v>27</v>
      </c>
      <c r="L7104" t="s">
        <v>51</v>
      </c>
      <c r="M7104" t="s">
        <v>52</v>
      </c>
      <c r="N7104">
        <v>37.839036</v>
      </c>
      <c r="O7104">
        <v>-112.819963</v>
      </c>
      <c r="P7104">
        <v>5999.194571</v>
      </c>
      <c r="Q7104">
        <v>1418</v>
      </c>
      <c r="R7104">
        <v>0</v>
      </c>
    </row>
    <row r="7105" spans="1:18" x14ac:dyDescent="0.25">
      <c r="A7105">
        <v>6104</v>
      </c>
      <c r="B7105">
        <v>94</v>
      </c>
      <c r="C7105">
        <v>765704</v>
      </c>
      <c r="D7105" t="s">
        <v>44</v>
      </c>
      <c r="E7105">
        <v>3.2269999999999999</v>
      </c>
      <c r="F7105" t="s">
        <v>21</v>
      </c>
      <c r="G7105" t="s">
        <v>26</v>
      </c>
      <c r="H7105" t="s">
        <v>21</v>
      </c>
      <c r="I7105" t="s">
        <v>20</v>
      </c>
      <c r="J7105" t="s">
        <v>20</v>
      </c>
      <c r="K7105" t="s">
        <v>41</v>
      </c>
      <c r="L7105" t="s">
        <v>45</v>
      </c>
      <c r="M7105" t="s">
        <v>46</v>
      </c>
      <c r="N7105">
        <v>40.924129000000001</v>
      </c>
      <c r="O7105">
        <v>-111.87894900000001</v>
      </c>
      <c r="P7105">
        <v>4231.403037</v>
      </c>
      <c r="Q7105">
        <v>1395</v>
      </c>
      <c r="R7105">
        <v>0</v>
      </c>
    </row>
    <row r="7106" spans="1:18" x14ac:dyDescent="0.25">
      <c r="A7106">
        <v>6105</v>
      </c>
      <c r="B7106">
        <v>94</v>
      </c>
      <c r="C7106">
        <v>31606336</v>
      </c>
      <c r="D7106" t="s">
        <v>271</v>
      </c>
      <c r="E7106">
        <v>32.963000000000001</v>
      </c>
      <c r="F7106" t="s">
        <v>21</v>
      </c>
      <c r="G7106" t="s">
        <v>26</v>
      </c>
      <c r="H7106" t="s">
        <v>21</v>
      </c>
      <c r="I7106" t="s">
        <v>20</v>
      </c>
      <c r="J7106" t="s">
        <v>20</v>
      </c>
      <c r="K7106" t="s">
        <v>22</v>
      </c>
      <c r="L7106" t="s">
        <v>263</v>
      </c>
      <c r="M7106" t="s">
        <v>24</v>
      </c>
      <c r="N7106">
        <v>40.380322</v>
      </c>
      <c r="O7106">
        <v>-111.981178</v>
      </c>
      <c r="P7106">
        <v>4885.2633720000003</v>
      </c>
      <c r="Q7106">
        <v>1372</v>
      </c>
      <c r="R7106">
        <v>0</v>
      </c>
    </row>
    <row r="7107" spans="1:18" x14ac:dyDescent="0.25">
      <c r="A7107">
        <v>6106</v>
      </c>
      <c r="B7107">
        <v>94</v>
      </c>
      <c r="C7107">
        <v>31320712</v>
      </c>
      <c r="D7107" t="s">
        <v>288</v>
      </c>
      <c r="E7107">
        <v>32.963000000000001</v>
      </c>
      <c r="F7107" t="s">
        <v>21</v>
      </c>
      <c r="G7107" t="s">
        <v>20</v>
      </c>
      <c r="H7107" t="s">
        <v>21</v>
      </c>
      <c r="I7107" t="s">
        <v>20</v>
      </c>
      <c r="J7107" t="s">
        <v>20</v>
      </c>
      <c r="K7107" t="s">
        <v>27</v>
      </c>
      <c r="L7107" t="s">
        <v>211</v>
      </c>
      <c r="M7107" t="s">
        <v>318</v>
      </c>
      <c r="N7107">
        <v>37.379443999999999</v>
      </c>
      <c r="O7107">
        <v>-109.503227</v>
      </c>
      <c r="P7107">
        <v>4920.8404350000001</v>
      </c>
      <c r="Q7107">
        <v>350</v>
      </c>
      <c r="R7107">
        <v>0</v>
      </c>
    </row>
    <row r="7108" spans="1:18" x14ac:dyDescent="0.25">
      <c r="A7108">
        <v>6107</v>
      </c>
      <c r="B7108">
        <v>94</v>
      </c>
      <c r="C7108">
        <v>2630285</v>
      </c>
      <c r="D7108" t="s">
        <v>176</v>
      </c>
      <c r="E7108">
        <v>32.963999999999999</v>
      </c>
      <c r="F7108" t="s">
        <v>21</v>
      </c>
      <c r="G7108" t="s">
        <v>26</v>
      </c>
      <c r="H7108" t="s">
        <v>21</v>
      </c>
      <c r="I7108" t="s">
        <v>20</v>
      </c>
      <c r="J7108" t="s">
        <v>20</v>
      </c>
      <c r="K7108" t="s">
        <v>41</v>
      </c>
      <c r="L7108" t="s">
        <v>223</v>
      </c>
      <c r="M7108" t="s">
        <v>178</v>
      </c>
      <c r="N7108">
        <v>41.886493000000002</v>
      </c>
      <c r="O7108">
        <v>-112.16901799999999</v>
      </c>
      <c r="P7108">
        <v>4441.5740660000001</v>
      </c>
      <c r="Q7108">
        <v>1329</v>
      </c>
      <c r="R7108">
        <v>0</v>
      </c>
    </row>
    <row r="7109" spans="1:18" x14ac:dyDescent="0.25">
      <c r="A7109">
        <v>6108</v>
      </c>
      <c r="B7109">
        <v>94</v>
      </c>
      <c r="C7109">
        <v>31429382</v>
      </c>
      <c r="D7109" t="s">
        <v>221</v>
      </c>
      <c r="E7109">
        <v>32.997999999999998</v>
      </c>
      <c r="F7109" t="s">
        <v>21</v>
      </c>
      <c r="G7109" t="s">
        <v>20</v>
      </c>
      <c r="H7109" t="s">
        <v>21</v>
      </c>
      <c r="I7109" t="s">
        <v>20</v>
      </c>
      <c r="J7109" t="s">
        <v>20</v>
      </c>
      <c r="K7109" t="s">
        <v>22</v>
      </c>
      <c r="L7109" t="s">
        <v>155</v>
      </c>
      <c r="M7109" t="s">
        <v>174</v>
      </c>
      <c r="N7109">
        <v>39.601992000000003</v>
      </c>
      <c r="O7109">
        <v>-111.86174</v>
      </c>
      <c r="P7109">
        <v>5265.2703000000001</v>
      </c>
      <c r="Q7109">
        <v>1342</v>
      </c>
      <c r="R7109">
        <v>0</v>
      </c>
    </row>
    <row r="7110" spans="1:18" x14ac:dyDescent="0.25">
      <c r="A7110">
        <v>6109</v>
      </c>
      <c r="B7110">
        <v>94</v>
      </c>
      <c r="C7110" t="e">
        <f>-IoQtmH6HKDZnUKNd6inrk</f>
        <v>#NAME?</v>
      </c>
      <c r="D7110" t="s">
        <v>272</v>
      </c>
      <c r="E7110">
        <v>323.10599999999999</v>
      </c>
      <c r="F7110" t="s">
        <v>21</v>
      </c>
      <c r="G7110" t="s">
        <v>20</v>
      </c>
      <c r="H7110" t="s">
        <v>21</v>
      </c>
      <c r="I7110" t="s">
        <v>20</v>
      </c>
      <c r="J7110" t="s">
        <v>20</v>
      </c>
      <c r="K7110" t="s">
        <v>22</v>
      </c>
      <c r="L7110" t="s">
        <v>140</v>
      </c>
      <c r="M7110" t="s">
        <v>125</v>
      </c>
      <c r="N7110">
        <v>40.093488999999998</v>
      </c>
      <c r="O7110">
        <v>-111.591227</v>
      </c>
      <c r="P7110">
        <v>4711.8493470000003</v>
      </c>
      <c r="Q7110">
        <v>1384</v>
      </c>
      <c r="R7110">
        <v>0</v>
      </c>
    </row>
    <row r="7111" spans="1:18" x14ac:dyDescent="0.25">
      <c r="A7111">
        <v>6110</v>
      </c>
      <c r="B7111">
        <v>94</v>
      </c>
      <c r="C7111" t="e">
        <f>-IoQuFttG8muh18IQS0AJF</f>
        <v>#NAME?</v>
      </c>
      <c r="D7111" t="s">
        <v>272</v>
      </c>
      <c r="E7111">
        <v>323.786</v>
      </c>
      <c r="F7111" t="s">
        <v>21</v>
      </c>
      <c r="G7111" t="s">
        <v>26</v>
      </c>
      <c r="H7111" t="s">
        <v>21</v>
      </c>
      <c r="I7111" t="s">
        <v>20</v>
      </c>
      <c r="J7111" t="s">
        <v>20</v>
      </c>
      <c r="K7111" t="s">
        <v>22</v>
      </c>
      <c r="L7111" t="s">
        <v>140</v>
      </c>
      <c r="M7111" t="s">
        <v>125</v>
      </c>
      <c r="N7111">
        <v>40.102279000000003</v>
      </c>
      <c r="O7111">
        <v>-111.59699000000001</v>
      </c>
      <c r="P7111">
        <v>4690.7143830000005</v>
      </c>
      <c r="Q7111">
        <v>1384</v>
      </c>
      <c r="R7111">
        <v>0</v>
      </c>
    </row>
    <row r="7112" spans="1:18" x14ac:dyDescent="0.25">
      <c r="A7112">
        <v>6111</v>
      </c>
      <c r="B7112">
        <v>94</v>
      </c>
      <c r="C7112" t="e">
        <f>-IoQuZkWH0maFUleWaXiMF</f>
        <v>#NAME?</v>
      </c>
      <c r="D7112" t="s">
        <v>272</v>
      </c>
      <c r="E7112">
        <v>323.89</v>
      </c>
      <c r="F7112" t="s">
        <v>21</v>
      </c>
      <c r="G7112" t="s">
        <v>20</v>
      </c>
      <c r="H7112" t="s">
        <v>21</v>
      </c>
      <c r="I7112" t="s">
        <v>20</v>
      </c>
      <c r="J7112" t="s">
        <v>20</v>
      </c>
      <c r="K7112" t="s">
        <v>22</v>
      </c>
      <c r="L7112" t="s">
        <v>140</v>
      </c>
      <c r="M7112" t="s">
        <v>125</v>
      </c>
      <c r="N7112">
        <v>40.10371</v>
      </c>
      <c r="O7112">
        <v>-111.597556</v>
      </c>
      <c r="P7112">
        <v>4686.6294639999996</v>
      </c>
      <c r="Q7112">
        <v>1384</v>
      </c>
      <c r="R7112">
        <v>0</v>
      </c>
    </row>
    <row r="7113" spans="1:18" x14ac:dyDescent="0.25">
      <c r="A7113">
        <v>6112</v>
      </c>
      <c r="B7113">
        <v>94</v>
      </c>
      <c r="C7113" t="e">
        <f>-IoQudP2IpeQCkjMJ1FfyF</f>
        <v>#NAME?</v>
      </c>
      <c r="D7113" t="s">
        <v>272</v>
      </c>
      <c r="E7113">
        <v>323.952</v>
      </c>
      <c r="F7113" t="s">
        <v>21</v>
      </c>
      <c r="G7113" t="s">
        <v>20</v>
      </c>
      <c r="H7113" t="s">
        <v>21</v>
      </c>
      <c r="I7113" t="s">
        <v>20</v>
      </c>
      <c r="J7113" t="s">
        <v>20</v>
      </c>
      <c r="K7113" t="s">
        <v>22</v>
      </c>
      <c r="L7113" t="s">
        <v>140</v>
      </c>
      <c r="M7113" t="s">
        <v>125</v>
      </c>
      <c r="N7113">
        <v>40.104604000000002</v>
      </c>
      <c r="O7113">
        <v>-111.597722</v>
      </c>
      <c r="P7113">
        <v>4683.7133530000001</v>
      </c>
      <c r="Q7113">
        <v>1384</v>
      </c>
      <c r="R7113">
        <v>0</v>
      </c>
    </row>
    <row r="7114" spans="1:18" x14ac:dyDescent="0.25">
      <c r="A7114">
        <v>6113</v>
      </c>
      <c r="B7114">
        <v>94</v>
      </c>
      <c r="C7114" t="s">
        <v>855</v>
      </c>
      <c r="D7114" t="s">
        <v>272</v>
      </c>
      <c r="E7114">
        <v>324.07400000000001</v>
      </c>
      <c r="F7114" t="s">
        <v>21</v>
      </c>
      <c r="G7114" t="s">
        <v>26</v>
      </c>
      <c r="H7114" t="s">
        <v>21</v>
      </c>
      <c r="I7114" t="s">
        <v>20</v>
      </c>
      <c r="J7114" t="s">
        <v>20</v>
      </c>
      <c r="K7114" t="s">
        <v>22</v>
      </c>
      <c r="L7114" t="s">
        <v>140</v>
      </c>
      <c r="M7114" t="s">
        <v>125</v>
      </c>
      <c r="N7114">
        <v>40.106375</v>
      </c>
      <c r="O7114">
        <v>-111.597753</v>
      </c>
      <c r="P7114">
        <v>4675.6821739999996</v>
      </c>
      <c r="Q7114">
        <v>1384</v>
      </c>
      <c r="R7114">
        <v>0</v>
      </c>
    </row>
    <row r="7115" spans="1:18" x14ac:dyDescent="0.25">
      <c r="A7115">
        <v>6114</v>
      </c>
      <c r="B7115">
        <v>94</v>
      </c>
      <c r="C7115" t="e">
        <f>-IoQv5RzIaPQ4J-deuWkEV</f>
        <v>#NAME?</v>
      </c>
      <c r="D7115" t="s">
        <v>272</v>
      </c>
      <c r="E7115">
        <v>324.197</v>
      </c>
      <c r="F7115" t="s">
        <v>21</v>
      </c>
      <c r="G7115" t="s">
        <v>26</v>
      </c>
      <c r="H7115" t="s">
        <v>21</v>
      </c>
      <c r="I7115" t="s">
        <v>20</v>
      </c>
      <c r="J7115" t="s">
        <v>20</v>
      </c>
      <c r="K7115" t="s">
        <v>22</v>
      </c>
      <c r="L7115" t="s">
        <v>140</v>
      </c>
      <c r="M7115" t="s">
        <v>125</v>
      </c>
      <c r="N7115">
        <v>40.108159000000001</v>
      </c>
      <c r="O7115">
        <v>-111.597747</v>
      </c>
      <c r="P7115">
        <v>4670.3489419999996</v>
      </c>
      <c r="Q7115">
        <v>1384</v>
      </c>
      <c r="R7115">
        <v>0</v>
      </c>
    </row>
    <row r="7116" spans="1:18" x14ac:dyDescent="0.25">
      <c r="A7116">
        <v>6115</v>
      </c>
      <c r="B7116">
        <v>94</v>
      </c>
      <c r="C7116" t="e">
        <f>-IoQvKfkHEPFjxSqx4DahV</f>
        <v>#NAME?</v>
      </c>
      <c r="D7116" t="s">
        <v>272</v>
      </c>
      <c r="E7116">
        <v>324.536</v>
      </c>
      <c r="F7116" t="s">
        <v>21</v>
      </c>
      <c r="G7116" t="s">
        <v>26</v>
      </c>
      <c r="H7116" t="s">
        <v>21</v>
      </c>
      <c r="I7116" t="s">
        <v>20</v>
      </c>
      <c r="J7116" t="s">
        <v>20</v>
      </c>
      <c r="K7116" t="s">
        <v>22</v>
      </c>
      <c r="L7116" t="s">
        <v>140</v>
      </c>
      <c r="M7116" t="s">
        <v>125</v>
      </c>
      <c r="N7116">
        <v>40.113078999999999</v>
      </c>
      <c r="O7116">
        <v>-111.59773300000001</v>
      </c>
      <c r="P7116">
        <v>4664.1566519999997</v>
      </c>
      <c r="Q7116">
        <v>1384</v>
      </c>
      <c r="R7116">
        <v>0</v>
      </c>
    </row>
    <row r="7117" spans="1:18" x14ac:dyDescent="0.25">
      <c r="A7117">
        <v>6116</v>
      </c>
      <c r="B7117">
        <v>94</v>
      </c>
      <c r="C7117" t="e">
        <f>-IoQvoF4I0DB5xH5lhXr5V</f>
        <v>#NAME?</v>
      </c>
      <c r="D7117" t="s">
        <v>272</v>
      </c>
      <c r="E7117">
        <v>324.70999999999998</v>
      </c>
      <c r="F7117" t="s">
        <v>19</v>
      </c>
      <c r="G7117" t="s">
        <v>20</v>
      </c>
      <c r="H7117" t="s">
        <v>19</v>
      </c>
      <c r="I7117">
        <v>147</v>
      </c>
      <c r="J7117" t="s">
        <v>20</v>
      </c>
      <c r="K7117" t="s">
        <v>22</v>
      </c>
      <c r="L7117" t="s">
        <v>140</v>
      </c>
      <c r="M7117" t="s">
        <v>125</v>
      </c>
      <c r="N7117">
        <v>40.115589</v>
      </c>
      <c r="O7117">
        <v>-111.59772</v>
      </c>
      <c r="P7117">
        <v>4662.0016910000004</v>
      </c>
      <c r="Q7117">
        <v>1384</v>
      </c>
      <c r="R7117">
        <v>0</v>
      </c>
    </row>
    <row r="7118" spans="1:18" x14ac:dyDescent="0.25">
      <c r="A7118">
        <v>6117</v>
      </c>
      <c r="B7118">
        <v>94</v>
      </c>
      <c r="C7118" t="e">
        <f>-IoQyx82FF5dW0iA06fGAV</f>
        <v>#NAME?</v>
      </c>
      <c r="D7118" t="s">
        <v>272</v>
      </c>
      <c r="E7118">
        <v>325.21899999999999</v>
      </c>
      <c r="F7118" t="s">
        <v>21</v>
      </c>
      <c r="G7118" t="s">
        <v>26</v>
      </c>
      <c r="H7118" t="s">
        <v>21</v>
      </c>
      <c r="I7118" t="s">
        <v>20</v>
      </c>
      <c r="J7118" t="s">
        <v>20</v>
      </c>
      <c r="K7118" t="s">
        <v>22</v>
      </c>
      <c r="L7118" t="s">
        <v>140</v>
      </c>
      <c r="M7118" t="s">
        <v>125</v>
      </c>
      <c r="N7118">
        <v>40.122909</v>
      </c>
      <c r="O7118">
        <v>-111.59777</v>
      </c>
      <c r="P7118">
        <v>4652.5325430000003</v>
      </c>
      <c r="Q7118">
        <v>1384</v>
      </c>
      <c r="R7118">
        <v>0</v>
      </c>
    </row>
    <row r="7119" spans="1:18" x14ac:dyDescent="0.25">
      <c r="A7119">
        <v>6118</v>
      </c>
      <c r="B7119">
        <v>94</v>
      </c>
      <c r="C7119" t="e">
        <f>-IoQzld1FOm37zSRvuRWSV</f>
        <v>#NAME?</v>
      </c>
      <c r="D7119" t="s">
        <v>272</v>
      </c>
      <c r="E7119">
        <v>325.40300000000002</v>
      </c>
      <c r="F7119" t="s">
        <v>21</v>
      </c>
      <c r="G7119" t="s">
        <v>26</v>
      </c>
      <c r="H7119" t="s">
        <v>21</v>
      </c>
      <c r="I7119" t="s">
        <v>20</v>
      </c>
      <c r="J7119" t="s">
        <v>20</v>
      </c>
      <c r="K7119" t="s">
        <v>22</v>
      </c>
      <c r="L7119" t="s">
        <v>140</v>
      </c>
      <c r="M7119" t="s">
        <v>125</v>
      </c>
      <c r="N7119">
        <v>40.125540999999998</v>
      </c>
      <c r="O7119">
        <v>-111.59779399999999</v>
      </c>
      <c r="P7119">
        <v>4652.900302</v>
      </c>
      <c r="Q7119">
        <v>1384</v>
      </c>
      <c r="R7119">
        <v>0</v>
      </c>
    </row>
    <row r="7120" spans="1:18" x14ac:dyDescent="0.25">
      <c r="A7120">
        <v>6119</v>
      </c>
      <c r="B7120">
        <v>94</v>
      </c>
      <c r="C7120">
        <v>31608917</v>
      </c>
      <c r="D7120" t="s">
        <v>271</v>
      </c>
      <c r="E7120">
        <v>35.423999999999999</v>
      </c>
      <c r="F7120" t="s">
        <v>19</v>
      </c>
      <c r="G7120" t="s">
        <v>20</v>
      </c>
      <c r="H7120" t="s">
        <v>21</v>
      </c>
      <c r="I7120" t="s">
        <v>20</v>
      </c>
      <c r="J7120" t="s">
        <v>20</v>
      </c>
      <c r="K7120" t="s">
        <v>22</v>
      </c>
      <c r="L7120" t="s">
        <v>263</v>
      </c>
      <c r="M7120" t="s">
        <v>24</v>
      </c>
      <c r="N7120">
        <v>40.387058000000003</v>
      </c>
      <c r="O7120">
        <v>-111.9354</v>
      </c>
      <c r="P7120">
        <v>4619.8773870000005</v>
      </c>
      <c r="Q7120">
        <v>1372</v>
      </c>
      <c r="R7120">
        <v>0</v>
      </c>
    </row>
    <row r="7121" spans="1:18" x14ac:dyDescent="0.25">
      <c r="A7121">
        <v>6120</v>
      </c>
      <c r="B7121">
        <v>94</v>
      </c>
      <c r="C7121">
        <v>31520492</v>
      </c>
      <c r="D7121" t="s">
        <v>132</v>
      </c>
      <c r="E7121">
        <v>35.451999999999998</v>
      </c>
      <c r="F7121" t="s">
        <v>21</v>
      </c>
      <c r="G7121" t="s">
        <v>20</v>
      </c>
      <c r="H7121" t="s">
        <v>21</v>
      </c>
      <c r="I7121" t="s">
        <v>20</v>
      </c>
      <c r="J7121" t="s">
        <v>20</v>
      </c>
      <c r="K7121" t="s">
        <v>22</v>
      </c>
      <c r="L7121" t="s">
        <v>234</v>
      </c>
      <c r="M7121" t="s">
        <v>277</v>
      </c>
      <c r="N7121">
        <v>40.456764999999997</v>
      </c>
      <c r="O7121">
        <v>-109.617642</v>
      </c>
      <c r="P7121">
        <v>5748.0966099999996</v>
      </c>
      <c r="Q7121">
        <v>1405</v>
      </c>
      <c r="R7121">
        <v>0</v>
      </c>
    </row>
    <row r="7122" spans="1:18" x14ac:dyDescent="0.25">
      <c r="A7122">
        <v>6121</v>
      </c>
      <c r="B7122">
        <v>94</v>
      </c>
      <c r="C7122" t="e">
        <f>-JST-pO5HOP0PeD_pSE8NV</f>
        <v>#NAME?</v>
      </c>
      <c r="D7122" t="s">
        <v>118</v>
      </c>
      <c r="E7122">
        <v>35.484000000000002</v>
      </c>
      <c r="F7122" t="s">
        <v>21</v>
      </c>
      <c r="G7122" t="s">
        <v>20</v>
      </c>
      <c r="H7122" t="s">
        <v>21</v>
      </c>
      <c r="I7122" t="s">
        <v>20</v>
      </c>
      <c r="J7122" t="s">
        <v>20</v>
      </c>
      <c r="K7122" t="s">
        <v>22</v>
      </c>
      <c r="L7122" t="s">
        <v>119</v>
      </c>
      <c r="M7122" t="s">
        <v>120</v>
      </c>
      <c r="N7122">
        <v>40.287792000000003</v>
      </c>
      <c r="O7122">
        <v>-111.244429</v>
      </c>
      <c r="P7122">
        <v>7788.8301609999999</v>
      </c>
      <c r="Q7122">
        <v>310</v>
      </c>
      <c r="R7122">
        <v>0</v>
      </c>
    </row>
    <row r="7123" spans="1:18" x14ac:dyDescent="0.25">
      <c r="A7123">
        <v>6122</v>
      </c>
      <c r="B7123">
        <v>94</v>
      </c>
      <c r="C7123">
        <v>31411048</v>
      </c>
      <c r="D7123" t="s">
        <v>63</v>
      </c>
      <c r="E7123">
        <v>35.558999999999997</v>
      </c>
      <c r="F7123" t="s">
        <v>21</v>
      </c>
      <c r="G7123" t="s">
        <v>26</v>
      </c>
      <c r="H7123" t="s">
        <v>21</v>
      </c>
      <c r="I7123" t="s">
        <v>20</v>
      </c>
      <c r="J7123" t="s">
        <v>20</v>
      </c>
      <c r="K7123" t="s">
        <v>27</v>
      </c>
      <c r="L7123" t="s">
        <v>266</v>
      </c>
      <c r="M7123" t="s">
        <v>29</v>
      </c>
      <c r="N7123">
        <v>38.480939999999997</v>
      </c>
      <c r="O7123">
        <v>-111.894801</v>
      </c>
      <c r="P7123">
        <v>6775.1853730000003</v>
      </c>
      <c r="Q7123">
        <v>1365</v>
      </c>
      <c r="R7123">
        <v>0</v>
      </c>
    </row>
    <row r="7124" spans="1:18" x14ac:dyDescent="0.25">
      <c r="A7124">
        <v>6123</v>
      </c>
      <c r="B7124">
        <v>94</v>
      </c>
      <c r="C7124">
        <v>31383518</v>
      </c>
      <c r="D7124" t="s">
        <v>116</v>
      </c>
      <c r="E7124">
        <v>35.767000000000003</v>
      </c>
      <c r="F7124" t="s">
        <v>21</v>
      </c>
      <c r="G7124" t="s">
        <v>26</v>
      </c>
      <c r="H7124" t="s">
        <v>21</v>
      </c>
      <c r="I7124" t="s">
        <v>20</v>
      </c>
      <c r="J7124" t="s">
        <v>20</v>
      </c>
      <c r="K7124" t="s">
        <v>41</v>
      </c>
      <c r="L7124" t="s">
        <v>95</v>
      </c>
      <c r="M7124" t="s">
        <v>117</v>
      </c>
      <c r="N7124">
        <v>41.863705000000003</v>
      </c>
      <c r="O7124">
        <v>-111.829742</v>
      </c>
      <c r="P7124">
        <v>4563.4604369999997</v>
      </c>
      <c r="Q7124">
        <v>324</v>
      </c>
      <c r="R7124">
        <v>0</v>
      </c>
    </row>
    <row r="7125" spans="1:18" x14ac:dyDescent="0.25">
      <c r="A7125">
        <v>6124</v>
      </c>
      <c r="B7125">
        <v>94</v>
      </c>
      <c r="C7125">
        <v>31518622</v>
      </c>
      <c r="D7125" t="s">
        <v>292</v>
      </c>
      <c r="E7125">
        <v>35.771999999999998</v>
      </c>
      <c r="F7125" t="s">
        <v>21</v>
      </c>
      <c r="G7125" t="s">
        <v>26</v>
      </c>
      <c r="H7125" t="s">
        <v>21</v>
      </c>
      <c r="I7125" t="s">
        <v>20</v>
      </c>
      <c r="J7125" t="s">
        <v>20</v>
      </c>
      <c r="K7125" t="s">
        <v>22</v>
      </c>
      <c r="L7125" t="s">
        <v>133</v>
      </c>
      <c r="M7125" t="s">
        <v>134</v>
      </c>
      <c r="N7125">
        <v>40.258389999999999</v>
      </c>
      <c r="O7125">
        <v>-110.105329</v>
      </c>
      <c r="P7125">
        <v>5264.7877490000001</v>
      </c>
      <c r="Q7125">
        <v>323</v>
      </c>
      <c r="R7125">
        <v>0</v>
      </c>
    </row>
    <row r="7126" spans="1:18" x14ac:dyDescent="0.25">
      <c r="A7126">
        <v>6125</v>
      </c>
      <c r="B7126">
        <v>94</v>
      </c>
      <c r="C7126" t="s">
        <v>856</v>
      </c>
      <c r="D7126" t="s">
        <v>63</v>
      </c>
      <c r="E7126">
        <v>35.808</v>
      </c>
      <c r="F7126" t="s">
        <v>21</v>
      </c>
      <c r="G7126" t="s">
        <v>26</v>
      </c>
      <c r="H7126" t="s">
        <v>21</v>
      </c>
      <c r="I7126" t="s">
        <v>20</v>
      </c>
      <c r="J7126" t="s">
        <v>20</v>
      </c>
      <c r="K7126" t="s">
        <v>27</v>
      </c>
      <c r="L7126" t="s">
        <v>266</v>
      </c>
      <c r="M7126" t="s">
        <v>29</v>
      </c>
      <c r="N7126">
        <v>38.483494</v>
      </c>
      <c r="O7126">
        <v>-111.891524</v>
      </c>
      <c r="P7126">
        <v>6763.0321199999998</v>
      </c>
      <c r="Q7126">
        <v>1365</v>
      </c>
      <c r="R7126">
        <v>0</v>
      </c>
    </row>
    <row r="7127" spans="1:18" x14ac:dyDescent="0.25">
      <c r="A7127">
        <v>6126</v>
      </c>
      <c r="B7127">
        <v>94</v>
      </c>
      <c r="C7127">
        <v>31429393</v>
      </c>
      <c r="D7127" t="s">
        <v>221</v>
      </c>
      <c r="E7127">
        <v>33.5</v>
      </c>
      <c r="F7127" t="s">
        <v>21</v>
      </c>
      <c r="G7127" t="s">
        <v>20</v>
      </c>
      <c r="H7127" t="s">
        <v>21</v>
      </c>
      <c r="I7127" t="s">
        <v>20</v>
      </c>
      <c r="J7127" t="s">
        <v>20</v>
      </c>
      <c r="K7127" t="s">
        <v>22</v>
      </c>
      <c r="L7127" t="s">
        <v>155</v>
      </c>
      <c r="M7127" t="s">
        <v>174</v>
      </c>
      <c r="N7127">
        <v>39.609290000000001</v>
      </c>
      <c r="O7127">
        <v>-111.86175900000001</v>
      </c>
      <c r="P7127">
        <v>5287.7199970000001</v>
      </c>
      <c r="Q7127">
        <v>1342</v>
      </c>
      <c r="R7127">
        <v>0</v>
      </c>
    </row>
    <row r="7128" spans="1:18" x14ac:dyDescent="0.25">
      <c r="A7128">
        <v>6127</v>
      </c>
      <c r="B7128">
        <v>94</v>
      </c>
      <c r="C7128">
        <v>28393346</v>
      </c>
      <c r="D7128" t="s">
        <v>265</v>
      </c>
      <c r="E7128">
        <v>33.502000000000002</v>
      </c>
      <c r="F7128" t="s">
        <v>21</v>
      </c>
      <c r="G7128" t="s">
        <v>26</v>
      </c>
      <c r="H7128" t="s">
        <v>21</v>
      </c>
      <c r="I7128" t="s">
        <v>20</v>
      </c>
      <c r="J7128" t="s">
        <v>20</v>
      </c>
      <c r="K7128" t="s">
        <v>27</v>
      </c>
      <c r="L7128" t="s">
        <v>183</v>
      </c>
      <c r="M7128" t="s">
        <v>267</v>
      </c>
      <c r="N7128">
        <v>38.755411000000002</v>
      </c>
      <c r="O7128">
        <v>-111.380957</v>
      </c>
      <c r="P7128">
        <v>6762.0817660000002</v>
      </c>
      <c r="Q7128">
        <v>1371</v>
      </c>
      <c r="R7128">
        <v>0</v>
      </c>
    </row>
    <row r="7129" spans="1:18" x14ac:dyDescent="0.25">
      <c r="A7129">
        <v>6128</v>
      </c>
      <c r="B7129">
        <v>94</v>
      </c>
      <c r="C7129" t="s">
        <v>857</v>
      </c>
      <c r="D7129" t="s">
        <v>272</v>
      </c>
      <c r="E7129">
        <v>402.93400000000003</v>
      </c>
      <c r="F7129" t="s">
        <v>21</v>
      </c>
      <c r="G7129" t="s">
        <v>26</v>
      </c>
      <c r="H7129" t="s">
        <v>21</v>
      </c>
      <c r="I7129" t="s">
        <v>20</v>
      </c>
      <c r="J7129" t="s">
        <v>20</v>
      </c>
      <c r="K7129" t="s">
        <v>41</v>
      </c>
      <c r="L7129" t="s">
        <v>87</v>
      </c>
      <c r="M7129" t="s">
        <v>46</v>
      </c>
      <c r="N7129">
        <v>41.088002000000003</v>
      </c>
      <c r="O7129">
        <v>-111.910731</v>
      </c>
      <c r="P7129">
        <v>4817.5663450000002</v>
      </c>
      <c r="Q7129">
        <v>1384</v>
      </c>
      <c r="R7129">
        <v>0</v>
      </c>
    </row>
    <row r="7130" spans="1:18" x14ac:dyDescent="0.25">
      <c r="A7130">
        <v>6129</v>
      </c>
      <c r="B7130">
        <v>94</v>
      </c>
      <c r="C7130">
        <v>31596571</v>
      </c>
      <c r="D7130" t="s">
        <v>288</v>
      </c>
      <c r="E7130">
        <v>402.97399999999999</v>
      </c>
      <c r="F7130" t="s">
        <v>21</v>
      </c>
      <c r="G7130" t="s">
        <v>20</v>
      </c>
      <c r="H7130" t="s">
        <v>21</v>
      </c>
      <c r="I7130" t="s">
        <v>20</v>
      </c>
      <c r="J7130" t="s">
        <v>20</v>
      </c>
      <c r="K7130" t="s">
        <v>22</v>
      </c>
      <c r="L7130" t="s">
        <v>97</v>
      </c>
      <c r="M7130" t="s">
        <v>98</v>
      </c>
      <c r="N7130">
        <v>40.984848</v>
      </c>
      <c r="O7130">
        <v>-109.441112</v>
      </c>
      <c r="P7130">
        <v>6258.271514</v>
      </c>
      <c r="Q7130">
        <v>350</v>
      </c>
      <c r="R7130">
        <v>0</v>
      </c>
    </row>
    <row r="7131" spans="1:18" x14ac:dyDescent="0.25">
      <c r="A7131">
        <v>6130</v>
      </c>
      <c r="B7131">
        <v>94</v>
      </c>
      <c r="C7131" t="e">
        <f>-IpVRoN7GrDM6-XvtFvrZk</f>
        <v>#NAME?</v>
      </c>
      <c r="D7131" t="s">
        <v>272</v>
      </c>
      <c r="E7131">
        <v>432.11</v>
      </c>
      <c r="F7131" t="s">
        <v>21</v>
      </c>
      <c r="G7131" t="s">
        <v>26</v>
      </c>
      <c r="H7131" t="s">
        <v>21</v>
      </c>
      <c r="I7131" t="s">
        <v>20</v>
      </c>
      <c r="J7131" t="s">
        <v>20</v>
      </c>
      <c r="K7131" t="s">
        <v>41</v>
      </c>
      <c r="L7131" t="s">
        <v>177</v>
      </c>
      <c r="M7131" t="s">
        <v>46</v>
      </c>
      <c r="N7131">
        <v>41.468744999999998</v>
      </c>
      <c r="O7131">
        <v>-112.030382</v>
      </c>
      <c r="P7131">
        <v>4303.1702169999999</v>
      </c>
      <c r="Q7131">
        <v>1384</v>
      </c>
      <c r="R7131">
        <v>0</v>
      </c>
    </row>
    <row r="7132" spans="1:18" x14ac:dyDescent="0.25">
      <c r="A7132">
        <v>6131</v>
      </c>
      <c r="B7132">
        <v>94</v>
      </c>
      <c r="C7132" t="e">
        <f>-IpVRuafImPJb5OtfNqXlk</f>
        <v>#NAME?</v>
      </c>
      <c r="D7132" t="s">
        <v>272</v>
      </c>
      <c r="E7132">
        <v>432.20499999999998</v>
      </c>
      <c r="F7132" t="s">
        <v>21</v>
      </c>
      <c r="G7132" t="s">
        <v>26</v>
      </c>
      <c r="H7132" t="s">
        <v>21</v>
      </c>
      <c r="I7132" t="s">
        <v>20</v>
      </c>
      <c r="J7132" t="s">
        <v>20</v>
      </c>
      <c r="K7132" t="s">
        <v>41</v>
      </c>
      <c r="L7132" t="s">
        <v>177</v>
      </c>
      <c r="M7132" t="s">
        <v>46</v>
      </c>
      <c r="N7132">
        <v>41.469923999999999</v>
      </c>
      <c r="O7132">
        <v>-112.029416</v>
      </c>
      <c r="P7132">
        <v>4299.2231149999998</v>
      </c>
      <c r="Q7132">
        <v>1384</v>
      </c>
      <c r="R7132">
        <v>0</v>
      </c>
    </row>
    <row r="7133" spans="1:18" x14ac:dyDescent="0.25">
      <c r="A7133">
        <v>6132</v>
      </c>
      <c r="B7133">
        <v>94</v>
      </c>
      <c r="C7133" t="e">
        <f>-IpVS-bsF25cqpw7r6LbzV</f>
        <v>#NAME?</v>
      </c>
      <c r="D7133" t="s">
        <v>272</v>
      </c>
      <c r="E7133">
        <v>432.32900000000001</v>
      </c>
      <c r="F7133" t="s">
        <v>21</v>
      </c>
      <c r="G7133" t="s">
        <v>26</v>
      </c>
      <c r="H7133" t="s">
        <v>21</v>
      </c>
      <c r="I7133" t="s">
        <v>20</v>
      </c>
      <c r="J7133" t="s">
        <v>20</v>
      </c>
      <c r="K7133" t="s">
        <v>41</v>
      </c>
      <c r="L7133" t="s">
        <v>177</v>
      </c>
      <c r="M7133" t="s">
        <v>46</v>
      </c>
      <c r="N7133">
        <v>41.471432</v>
      </c>
      <c r="O7133">
        <v>-112.028171</v>
      </c>
      <c r="P7133">
        <v>4293.6289280000001</v>
      </c>
      <c r="Q7133">
        <v>1384</v>
      </c>
      <c r="R7133">
        <v>0</v>
      </c>
    </row>
    <row r="7134" spans="1:18" x14ac:dyDescent="0.25">
      <c r="A7134">
        <v>6133</v>
      </c>
      <c r="B7134">
        <v>94</v>
      </c>
      <c r="C7134" t="e">
        <f>-IpQCKvMHImR56qvpY0bek</f>
        <v>#NAME?</v>
      </c>
      <c r="D7134" t="s">
        <v>272</v>
      </c>
      <c r="E7134">
        <v>410.00900000000001</v>
      </c>
      <c r="F7134" t="s">
        <v>19</v>
      </c>
      <c r="G7134" t="s">
        <v>20</v>
      </c>
      <c r="H7134" t="s">
        <v>21</v>
      </c>
      <c r="I7134" t="s">
        <v>20</v>
      </c>
      <c r="J7134" t="s">
        <v>20</v>
      </c>
      <c r="K7134" t="s">
        <v>41</v>
      </c>
      <c r="L7134" t="s">
        <v>81</v>
      </c>
      <c r="M7134" t="s">
        <v>46</v>
      </c>
      <c r="N7134">
        <v>41.168641000000001</v>
      </c>
      <c r="O7134">
        <v>-111.96478999999999</v>
      </c>
      <c r="P7134">
        <v>4674.0872429999999</v>
      </c>
      <c r="Q7134">
        <v>1384</v>
      </c>
      <c r="R7134">
        <v>0</v>
      </c>
    </row>
    <row r="7135" spans="1:18" x14ac:dyDescent="0.25">
      <c r="A7135">
        <v>6134</v>
      </c>
      <c r="B7135">
        <v>94</v>
      </c>
      <c r="C7135" t="e">
        <f>-IpQE8-KI0T60VJzAM2p3F</f>
        <v>#NAME?</v>
      </c>
      <c r="D7135" t="s">
        <v>272</v>
      </c>
      <c r="E7135">
        <v>410.24700000000001</v>
      </c>
      <c r="F7135" t="s">
        <v>19</v>
      </c>
      <c r="G7135" t="s">
        <v>20</v>
      </c>
      <c r="H7135" t="s">
        <v>21</v>
      </c>
      <c r="I7135" t="s">
        <v>20</v>
      </c>
      <c r="J7135" t="s">
        <v>20</v>
      </c>
      <c r="K7135" t="s">
        <v>41</v>
      </c>
      <c r="L7135" t="s">
        <v>81</v>
      </c>
      <c r="M7135" t="s">
        <v>46</v>
      </c>
      <c r="N7135">
        <v>41.170518999999999</v>
      </c>
      <c r="O7135">
        <v>-111.96857</v>
      </c>
      <c r="P7135">
        <v>4656.7267400000001</v>
      </c>
      <c r="Q7135">
        <v>1384</v>
      </c>
      <c r="R7135">
        <v>0</v>
      </c>
    </row>
    <row r="7136" spans="1:18" x14ac:dyDescent="0.25">
      <c r="A7136">
        <v>6135</v>
      </c>
      <c r="B7136">
        <v>94</v>
      </c>
      <c r="C7136" t="s">
        <v>858</v>
      </c>
      <c r="D7136" t="s">
        <v>272</v>
      </c>
      <c r="E7136">
        <v>410.45800000000003</v>
      </c>
      <c r="F7136" t="s">
        <v>19</v>
      </c>
      <c r="G7136" t="s">
        <v>20</v>
      </c>
      <c r="H7136" t="s">
        <v>21</v>
      </c>
      <c r="I7136" t="s">
        <v>20</v>
      </c>
      <c r="J7136" t="s">
        <v>20</v>
      </c>
      <c r="K7136" t="s">
        <v>41</v>
      </c>
      <c r="L7136" t="s">
        <v>81</v>
      </c>
      <c r="M7136" t="s">
        <v>46</v>
      </c>
      <c r="N7136">
        <v>41.173031999999999</v>
      </c>
      <c r="O7136">
        <v>-111.97075700000001</v>
      </c>
      <c r="P7136">
        <v>4611.9407430000001</v>
      </c>
      <c r="Q7136">
        <v>1384</v>
      </c>
      <c r="R7136">
        <v>0</v>
      </c>
    </row>
    <row r="7137" spans="1:18" x14ac:dyDescent="0.25">
      <c r="A7137">
        <v>6136</v>
      </c>
      <c r="B7137">
        <v>94</v>
      </c>
      <c r="C7137" t="s">
        <v>859</v>
      </c>
      <c r="D7137" t="s">
        <v>272</v>
      </c>
      <c r="E7137">
        <v>410.67399999999998</v>
      </c>
      <c r="F7137" t="s">
        <v>21</v>
      </c>
      <c r="G7137" t="s">
        <v>26</v>
      </c>
      <c r="H7137" t="s">
        <v>21</v>
      </c>
      <c r="I7137" t="s">
        <v>20</v>
      </c>
      <c r="J7137" t="s">
        <v>20</v>
      </c>
      <c r="K7137" t="s">
        <v>41</v>
      </c>
      <c r="L7137" t="s">
        <v>81</v>
      </c>
      <c r="M7137" t="s">
        <v>46</v>
      </c>
      <c r="N7137">
        <v>41.176042000000002</v>
      </c>
      <c r="O7137">
        <v>-111.971485</v>
      </c>
      <c r="P7137">
        <v>4565.3466859999999</v>
      </c>
      <c r="Q7137">
        <v>1384</v>
      </c>
      <c r="R7137">
        <v>0</v>
      </c>
    </row>
    <row r="7138" spans="1:18" x14ac:dyDescent="0.25">
      <c r="A7138">
        <v>6137</v>
      </c>
      <c r="B7138">
        <v>94</v>
      </c>
      <c r="C7138" t="s">
        <v>860</v>
      </c>
      <c r="D7138" t="s">
        <v>272</v>
      </c>
      <c r="E7138">
        <v>410.76499999999999</v>
      </c>
      <c r="F7138" t="s">
        <v>19</v>
      </c>
      <c r="G7138" t="s">
        <v>20</v>
      </c>
      <c r="H7138" t="s">
        <v>21</v>
      </c>
      <c r="I7138" t="s">
        <v>20</v>
      </c>
      <c r="J7138" t="s">
        <v>20</v>
      </c>
      <c r="K7138" t="s">
        <v>41</v>
      </c>
      <c r="L7138" t="s">
        <v>81</v>
      </c>
      <c r="M7138" t="s">
        <v>46</v>
      </c>
      <c r="N7138">
        <v>41.177374999999998</v>
      </c>
      <c r="O7138">
        <v>-111.971388</v>
      </c>
      <c r="P7138">
        <v>4546.4402559999999</v>
      </c>
      <c r="Q7138">
        <v>1384</v>
      </c>
      <c r="R7138">
        <v>0</v>
      </c>
    </row>
    <row r="7139" spans="1:18" x14ac:dyDescent="0.25">
      <c r="A7139">
        <v>6138</v>
      </c>
      <c r="B7139">
        <v>94</v>
      </c>
      <c r="C7139" t="e">
        <f>-IpTYn35H9Xr2qRipOEViV</f>
        <v>#NAME?</v>
      </c>
      <c r="D7139" t="s">
        <v>272</v>
      </c>
      <c r="E7139">
        <v>411.04399999999998</v>
      </c>
      <c r="F7139" t="s">
        <v>19</v>
      </c>
      <c r="G7139" t="s">
        <v>20</v>
      </c>
      <c r="H7139" t="s">
        <v>21</v>
      </c>
      <c r="I7139" t="s">
        <v>20</v>
      </c>
      <c r="J7139" t="s">
        <v>20</v>
      </c>
      <c r="K7139" t="s">
        <v>41</v>
      </c>
      <c r="L7139" t="s">
        <v>81</v>
      </c>
      <c r="M7139" t="s">
        <v>46</v>
      </c>
      <c r="N7139">
        <v>41.181381000000002</v>
      </c>
      <c r="O7139">
        <v>-111.97133700000001</v>
      </c>
      <c r="P7139">
        <v>4509.0370300000004</v>
      </c>
      <c r="Q7139">
        <v>1384</v>
      </c>
      <c r="R7139">
        <v>0</v>
      </c>
    </row>
    <row r="7140" spans="1:18" x14ac:dyDescent="0.25">
      <c r="A7140">
        <v>6139</v>
      </c>
      <c r="B7140">
        <v>94</v>
      </c>
      <c r="C7140" t="e">
        <f>-IpT_sCGFwPWc3mbl5D95F</f>
        <v>#NAME?</v>
      </c>
      <c r="D7140" t="s">
        <v>272</v>
      </c>
      <c r="E7140">
        <v>411.27300000000002</v>
      </c>
      <c r="F7140" t="s">
        <v>19</v>
      </c>
      <c r="G7140" t="s">
        <v>20</v>
      </c>
      <c r="H7140" t="s">
        <v>21</v>
      </c>
      <c r="I7140" t="s">
        <v>20</v>
      </c>
      <c r="J7140" t="s">
        <v>20</v>
      </c>
      <c r="K7140" t="s">
        <v>41</v>
      </c>
      <c r="L7140" t="s">
        <v>81</v>
      </c>
      <c r="M7140" t="s">
        <v>46</v>
      </c>
      <c r="N7140">
        <v>41.184693000000003</v>
      </c>
      <c r="O7140">
        <v>-111.971237</v>
      </c>
      <c r="P7140">
        <v>4444.8884909999997</v>
      </c>
      <c r="Q7140">
        <v>1384</v>
      </c>
      <c r="R7140">
        <v>0</v>
      </c>
    </row>
    <row r="7141" spans="1:18" x14ac:dyDescent="0.25">
      <c r="A7141">
        <v>6140</v>
      </c>
      <c r="B7141">
        <v>94</v>
      </c>
      <c r="C7141">
        <v>31719648</v>
      </c>
      <c r="D7141" t="s">
        <v>383</v>
      </c>
      <c r="E7141">
        <v>5.024</v>
      </c>
      <c r="F7141" t="s">
        <v>19</v>
      </c>
      <c r="G7141" t="s">
        <v>20</v>
      </c>
      <c r="H7141" t="s">
        <v>19</v>
      </c>
      <c r="I7141">
        <v>85</v>
      </c>
      <c r="J7141" t="s">
        <v>20</v>
      </c>
      <c r="K7141" t="s">
        <v>31</v>
      </c>
      <c r="L7141" t="s">
        <v>48</v>
      </c>
      <c r="M7141" t="s">
        <v>335</v>
      </c>
      <c r="N7141">
        <v>40.587842999999999</v>
      </c>
      <c r="O7141">
        <v>-112.027807</v>
      </c>
      <c r="P7141">
        <v>4840.2240000000002</v>
      </c>
      <c r="Q7141">
        <v>414</v>
      </c>
      <c r="R7141">
        <v>0</v>
      </c>
    </row>
    <row r="7142" spans="1:18" x14ac:dyDescent="0.25">
      <c r="A7142">
        <v>6141</v>
      </c>
      <c r="B7142">
        <v>94</v>
      </c>
      <c r="C7142">
        <v>31720613</v>
      </c>
      <c r="D7142" t="s">
        <v>383</v>
      </c>
      <c r="E7142">
        <v>5.2089999999999996</v>
      </c>
      <c r="F7142" t="s">
        <v>19</v>
      </c>
      <c r="G7142" t="s">
        <v>20</v>
      </c>
      <c r="H7142" t="s">
        <v>21</v>
      </c>
      <c r="I7142" t="s">
        <v>20</v>
      </c>
      <c r="J7142" t="s">
        <v>20</v>
      </c>
      <c r="K7142" t="s">
        <v>31</v>
      </c>
      <c r="L7142" t="s">
        <v>48</v>
      </c>
      <c r="M7142" t="s">
        <v>335</v>
      </c>
      <c r="N7142">
        <v>40.587997000000001</v>
      </c>
      <c r="O7142">
        <v>-112.024304</v>
      </c>
      <c r="P7142">
        <v>4804.076</v>
      </c>
      <c r="Q7142">
        <v>414</v>
      </c>
      <c r="R7142">
        <v>0</v>
      </c>
    </row>
    <row r="7143" spans="1:18" x14ac:dyDescent="0.25">
      <c r="A7143">
        <v>6142</v>
      </c>
      <c r="B7143">
        <v>94</v>
      </c>
      <c r="C7143">
        <v>31811967</v>
      </c>
      <c r="D7143" t="s">
        <v>383</v>
      </c>
      <c r="E7143">
        <v>1.2589999999999999</v>
      </c>
      <c r="F7143" t="s">
        <v>21</v>
      </c>
      <c r="G7143" t="s">
        <v>26</v>
      </c>
      <c r="H7143" t="s">
        <v>21</v>
      </c>
      <c r="I7143" t="s">
        <v>20</v>
      </c>
      <c r="J7143" t="s">
        <v>20</v>
      </c>
      <c r="K7143" t="s">
        <v>31</v>
      </c>
      <c r="L7143" t="s">
        <v>48</v>
      </c>
      <c r="M7143" t="s">
        <v>335</v>
      </c>
      <c r="N7143">
        <v>40.566113999999999</v>
      </c>
      <c r="O7143">
        <v>-112.091751</v>
      </c>
      <c r="P7143">
        <v>5368.5420000000004</v>
      </c>
      <c r="Q7143">
        <v>414</v>
      </c>
      <c r="R7143">
        <v>0</v>
      </c>
    </row>
    <row r="7144" spans="1:18" x14ac:dyDescent="0.25">
      <c r="A7144">
        <v>6143</v>
      </c>
      <c r="B7144">
        <v>94</v>
      </c>
      <c r="C7144">
        <v>591496</v>
      </c>
      <c r="D7144" t="s">
        <v>383</v>
      </c>
      <c r="E7144">
        <v>10.55</v>
      </c>
      <c r="F7144" t="s">
        <v>21</v>
      </c>
      <c r="G7144" t="s">
        <v>26</v>
      </c>
      <c r="H7144" t="s">
        <v>21</v>
      </c>
      <c r="I7144" t="s">
        <v>20</v>
      </c>
      <c r="J7144" t="s">
        <v>20</v>
      </c>
      <c r="K7144" t="s">
        <v>31</v>
      </c>
      <c r="L7144" t="s">
        <v>48</v>
      </c>
      <c r="M7144" t="s">
        <v>384</v>
      </c>
      <c r="N7144">
        <v>40.587733999999998</v>
      </c>
      <c r="O7144">
        <v>-111.922082</v>
      </c>
      <c r="P7144">
        <v>4299.201</v>
      </c>
      <c r="Q7144">
        <v>414</v>
      </c>
      <c r="R7144">
        <v>0</v>
      </c>
    </row>
    <row r="7145" spans="1:18" x14ac:dyDescent="0.25">
      <c r="A7145">
        <v>6144</v>
      </c>
      <c r="B7145">
        <v>94</v>
      </c>
      <c r="C7145">
        <v>591512</v>
      </c>
      <c r="D7145" t="s">
        <v>383</v>
      </c>
      <c r="E7145">
        <v>9.9239999999999995</v>
      </c>
      <c r="F7145" t="s">
        <v>19</v>
      </c>
      <c r="G7145" t="s">
        <v>20</v>
      </c>
      <c r="H7145" t="s">
        <v>21</v>
      </c>
      <c r="I7145" t="s">
        <v>20</v>
      </c>
      <c r="J7145" t="s">
        <v>20</v>
      </c>
      <c r="K7145" t="s">
        <v>31</v>
      </c>
      <c r="L7145" t="s">
        <v>48</v>
      </c>
      <c r="M7145" t="s">
        <v>384</v>
      </c>
      <c r="N7145">
        <v>40.587744000000001</v>
      </c>
      <c r="O7145">
        <v>-111.934066</v>
      </c>
      <c r="P7145">
        <v>4326.384</v>
      </c>
      <c r="Q7145">
        <v>414</v>
      </c>
      <c r="R7145">
        <v>0</v>
      </c>
    </row>
    <row r="7146" spans="1:18" x14ac:dyDescent="0.25">
      <c r="A7146">
        <v>6145</v>
      </c>
      <c r="B7146">
        <v>94</v>
      </c>
      <c r="C7146">
        <v>591519</v>
      </c>
      <c r="D7146" t="s">
        <v>383</v>
      </c>
      <c r="E7146">
        <v>10.179</v>
      </c>
      <c r="F7146" t="s">
        <v>19</v>
      </c>
      <c r="G7146" t="s">
        <v>20</v>
      </c>
      <c r="H7146" t="s">
        <v>21</v>
      </c>
      <c r="I7146" t="s">
        <v>20</v>
      </c>
      <c r="J7146" t="s">
        <v>20</v>
      </c>
      <c r="K7146" t="s">
        <v>31</v>
      </c>
      <c r="L7146" t="s">
        <v>48</v>
      </c>
      <c r="M7146" t="s">
        <v>384</v>
      </c>
      <c r="N7146">
        <v>40.587795999999997</v>
      </c>
      <c r="O7146">
        <v>-111.92917799999999</v>
      </c>
      <c r="P7146">
        <v>4310.2370000000001</v>
      </c>
      <c r="Q7146">
        <v>414</v>
      </c>
      <c r="R7146">
        <v>0</v>
      </c>
    </row>
    <row r="7147" spans="1:18" x14ac:dyDescent="0.25">
      <c r="A7147">
        <v>6146</v>
      </c>
      <c r="B7147">
        <v>94</v>
      </c>
      <c r="C7147">
        <v>591526</v>
      </c>
      <c r="D7147" t="s">
        <v>383</v>
      </c>
      <c r="E7147">
        <v>10.255000000000001</v>
      </c>
      <c r="F7147" t="s">
        <v>21</v>
      </c>
      <c r="G7147" t="s">
        <v>26</v>
      </c>
      <c r="H7147" t="s">
        <v>21</v>
      </c>
      <c r="I7147" t="s">
        <v>20</v>
      </c>
      <c r="J7147" t="s">
        <v>20</v>
      </c>
      <c r="K7147" t="s">
        <v>31</v>
      </c>
      <c r="L7147" t="s">
        <v>48</v>
      </c>
      <c r="M7147" t="s">
        <v>384</v>
      </c>
      <c r="N7147">
        <v>40.587802000000003</v>
      </c>
      <c r="O7147">
        <v>-111.927736</v>
      </c>
      <c r="P7147">
        <v>4308.0129999999999</v>
      </c>
      <c r="Q7147">
        <v>414</v>
      </c>
      <c r="R7147">
        <v>0</v>
      </c>
    </row>
    <row r="7148" spans="1:18" x14ac:dyDescent="0.25">
      <c r="A7148">
        <v>6147</v>
      </c>
      <c r="B7148">
        <v>94</v>
      </c>
      <c r="C7148">
        <v>591540</v>
      </c>
      <c r="D7148" t="s">
        <v>383</v>
      </c>
      <c r="E7148">
        <v>10.382999999999999</v>
      </c>
      <c r="F7148" t="s">
        <v>21</v>
      </c>
      <c r="G7148" t="s">
        <v>26</v>
      </c>
      <c r="H7148" t="s">
        <v>21</v>
      </c>
      <c r="I7148" t="s">
        <v>20</v>
      </c>
      <c r="J7148" t="s">
        <v>20</v>
      </c>
      <c r="K7148" t="s">
        <v>31</v>
      </c>
      <c r="L7148" t="s">
        <v>48</v>
      </c>
      <c r="M7148" t="s">
        <v>384</v>
      </c>
      <c r="N7148">
        <v>40.587809</v>
      </c>
      <c r="O7148">
        <v>-111.92528900000001</v>
      </c>
      <c r="P7148">
        <v>4305.799</v>
      </c>
      <c r="Q7148">
        <v>414</v>
      </c>
      <c r="R7148">
        <v>0</v>
      </c>
    </row>
    <row r="7149" spans="1:18" x14ac:dyDescent="0.25">
      <c r="A7149">
        <v>6148</v>
      </c>
      <c r="B7149">
        <v>94</v>
      </c>
      <c r="C7149">
        <v>591867</v>
      </c>
      <c r="D7149" t="s">
        <v>383</v>
      </c>
      <c r="E7149">
        <v>10.679</v>
      </c>
      <c r="F7149" t="s">
        <v>21</v>
      </c>
      <c r="G7149" t="s">
        <v>26</v>
      </c>
      <c r="H7149" t="s">
        <v>21</v>
      </c>
      <c r="I7149" t="s">
        <v>20</v>
      </c>
      <c r="J7149" t="s">
        <v>20</v>
      </c>
      <c r="K7149" t="s">
        <v>31</v>
      </c>
      <c r="L7149" t="s">
        <v>89</v>
      </c>
      <c r="M7149" t="s">
        <v>384</v>
      </c>
      <c r="N7149">
        <v>40.587722999999997</v>
      </c>
      <c r="O7149">
        <v>-111.91962599999999</v>
      </c>
      <c r="P7149">
        <v>4277.6289999999999</v>
      </c>
      <c r="Q7149">
        <v>414</v>
      </c>
      <c r="R7149">
        <v>0</v>
      </c>
    </row>
    <row r="7150" spans="1:18" x14ac:dyDescent="0.25">
      <c r="A7150">
        <v>6149</v>
      </c>
      <c r="B7150">
        <v>94</v>
      </c>
      <c r="C7150">
        <v>31718845</v>
      </c>
      <c r="D7150" t="s">
        <v>213</v>
      </c>
      <c r="E7150">
        <v>272.327</v>
      </c>
      <c r="F7150" t="s">
        <v>21</v>
      </c>
      <c r="G7150" t="s">
        <v>20</v>
      </c>
      <c r="H7150" t="s">
        <v>21</v>
      </c>
      <c r="I7150" t="s">
        <v>20</v>
      </c>
      <c r="J7150" t="s">
        <v>20</v>
      </c>
      <c r="K7150" t="s">
        <v>27</v>
      </c>
      <c r="L7150" t="s">
        <v>158</v>
      </c>
      <c r="M7150" t="s">
        <v>422</v>
      </c>
      <c r="N7150">
        <v>39.348115999999997</v>
      </c>
      <c r="O7150">
        <v>-110.37784499999999</v>
      </c>
      <c r="P7150">
        <v>4857.3814849999999</v>
      </c>
      <c r="Q7150">
        <v>1332</v>
      </c>
      <c r="R7150">
        <v>0</v>
      </c>
    </row>
    <row r="7151" spans="1:18" x14ac:dyDescent="0.25">
      <c r="A7151">
        <v>6150</v>
      </c>
      <c r="B7151">
        <v>94</v>
      </c>
      <c r="C7151" t="e">
        <f>-IoMZzlOI5arCzg20z9F_F</f>
        <v>#NAME?</v>
      </c>
      <c r="D7151" t="s">
        <v>272</v>
      </c>
      <c r="E7151">
        <v>272.589</v>
      </c>
      <c r="F7151" t="s">
        <v>21</v>
      </c>
      <c r="G7151" t="s">
        <v>26</v>
      </c>
      <c r="H7151" t="s">
        <v>21</v>
      </c>
      <c r="I7151" t="s">
        <v>20</v>
      </c>
      <c r="J7151" t="s">
        <v>20</v>
      </c>
      <c r="K7151" t="s">
        <v>27</v>
      </c>
      <c r="L7151" t="s">
        <v>230</v>
      </c>
      <c r="M7151" t="s">
        <v>174</v>
      </c>
      <c r="N7151">
        <v>39.489497999999998</v>
      </c>
      <c r="O7151">
        <v>-111.514539</v>
      </c>
      <c r="P7151">
        <v>5635.3896590000004</v>
      </c>
      <c r="Q7151">
        <v>1384</v>
      </c>
      <c r="R7151">
        <v>0</v>
      </c>
    </row>
    <row r="7152" spans="1:18" x14ac:dyDescent="0.25">
      <c r="A7152">
        <v>6151</v>
      </c>
      <c r="B7152">
        <v>94</v>
      </c>
      <c r="C7152" t="e">
        <f>-IoM_oJPFgPfTCRf7rEG4F</f>
        <v>#NAME?</v>
      </c>
      <c r="D7152" t="s">
        <v>272</v>
      </c>
      <c r="E7152">
        <v>272.959</v>
      </c>
      <c r="F7152" t="s">
        <v>21</v>
      </c>
      <c r="G7152" t="s">
        <v>20</v>
      </c>
      <c r="H7152" t="s">
        <v>21</v>
      </c>
      <c r="I7152" t="s">
        <v>20</v>
      </c>
      <c r="J7152" t="s">
        <v>20</v>
      </c>
      <c r="K7152" t="s">
        <v>27</v>
      </c>
      <c r="L7152" t="s">
        <v>230</v>
      </c>
      <c r="M7152" t="s">
        <v>174</v>
      </c>
      <c r="N7152">
        <v>39.49391</v>
      </c>
      <c r="O7152">
        <v>-111.510599</v>
      </c>
      <c r="P7152">
        <v>5639.5342440000004</v>
      </c>
      <c r="Q7152">
        <v>1384</v>
      </c>
      <c r="R7152">
        <v>0</v>
      </c>
    </row>
    <row r="7153" spans="1:18" x14ac:dyDescent="0.25">
      <c r="A7153">
        <v>6152</v>
      </c>
      <c r="B7153">
        <v>94</v>
      </c>
      <c r="C7153" t="e">
        <f>-IoMa1_OHJToBi-g9U2ChV</f>
        <v>#NAME?</v>
      </c>
      <c r="D7153" t="s">
        <v>272</v>
      </c>
      <c r="E7153">
        <v>273.23500000000001</v>
      </c>
      <c r="F7153" t="s">
        <v>21</v>
      </c>
      <c r="G7153" t="s">
        <v>26</v>
      </c>
      <c r="H7153" t="s">
        <v>21</v>
      </c>
      <c r="I7153" t="s">
        <v>20</v>
      </c>
      <c r="J7153" t="s">
        <v>20</v>
      </c>
      <c r="K7153" t="s">
        <v>27</v>
      </c>
      <c r="L7153" t="s">
        <v>230</v>
      </c>
      <c r="M7153" t="s">
        <v>174</v>
      </c>
      <c r="N7153">
        <v>39.497208999999998</v>
      </c>
      <c r="O7153">
        <v>-111.50765</v>
      </c>
      <c r="P7153">
        <v>5648.4188100000001</v>
      </c>
      <c r="Q7153">
        <v>1384</v>
      </c>
      <c r="R7153">
        <v>0</v>
      </c>
    </row>
    <row r="7154" spans="1:18" x14ac:dyDescent="0.25">
      <c r="A7154">
        <v>6153</v>
      </c>
      <c r="B7154">
        <v>94</v>
      </c>
      <c r="C7154" t="e">
        <f>-IoMaKpGHriQ8UaDuJad9V</f>
        <v>#NAME?</v>
      </c>
      <c r="D7154" t="s">
        <v>272</v>
      </c>
      <c r="E7154">
        <v>273.62200000000001</v>
      </c>
      <c r="F7154" t="s">
        <v>21</v>
      </c>
      <c r="G7154" t="s">
        <v>26</v>
      </c>
      <c r="H7154" t="s">
        <v>21</v>
      </c>
      <c r="I7154" t="s">
        <v>20</v>
      </c>
      <c r="J7154" t="s">
        <v>20</v>
      </c>
      <c r="K7154" t="s">
        <v>27</v>
      </c>
      <c r="L7154" t="s">
        <v>230</v>
      </c>
      <c r="M7154" t="s">
        <v>174</v>
      </c>
      <c r="N7154">
        <v>39.501832</v>
      </c>
      <c r="O7154">
        <v>-111.50351999999999</v>
      </c>
      <c r="P7154">
        <v>5659.1862520000004</v>
      </c>
      <c r="Q7154">
        <v>1384</v>
      </c>
      <c r="R7154">
        <v>0</v>
      </c>
    </row>
    <row r="7155" spans="1:18" x14ac:dyDescent="0.25">
      <c r="A7155">
        <v>6154</v>
      </c>
      <c r="B7155">
        <v>94</v>
      </c>
      <c r="C7155" t="e">
        <f>-IoMaYWUIv5no2lPXNiNrV</f>
        <v>#NAME?</v>
      </c>
      <c r="D7155" t="s">
        <v>272</v>
      </c>
      <c r="E7155">
        <v>273.83800000000002</v>
      </c>
      <c r="F7155" t="s">
        <v>21</v>
      </c>
      <c r="G7155" t="s">
        <v>26</v>
      </c>
      <c r="H7155" t="s">
        <v>21</v>
      </c>
      <c r="I7155" t="s">
        <v>20</v>
      </c>
      <c r="J7155" t="s">
        <v>20</v>
      </c>
      <c r="K7155" t="s">
        <v>27</v>
      </c>
      <c r="L7155" t="s">
        <v>230</v>
      </c>
      <c r="M7155" t="s">
        <v>174</v>
      </c>
      <c r="N7155">
        <v>39.504396</v>
      </c>
      <c r="O7155">
        <v>-111.50122399999999</v>
      </c>
      <c r="P7155">
        <v>5665.2876349999997</v>
      </c>
      <c r="Q7155">
        <v>1384</v>
      </c>
      <c r="R7155">
        <v>0</v>
      </c>
    </row>
    <row r="7156" spans="1:18" x14ac:dyDescent="0.25">
      <c r="A7156">
        <v>6155</v>
      </c>
      <c r="B7156">
        <v>94</v>
      </c>
      <c r="C7156" t="e">
        <f>-IoMae6MHhXLJJAiVxcJDk</f>
        <v>#NAME?</v>
      </c>
      <c r="D7156" t="s">
        <v>272</v>
      </c>
      <c r="E7156">
        <v>273.86</v>
      </c>
      <c r="F7156" t="s">
        <v>21</v>
      </c>
      <c r="G7156" t="s">
        <v>26</v>
      </c>
      <c r="H7156" t="s">
        <v>21</v>
      </c>
      <c r="I7156" t="s">
        <v>20</v>
      </c>
      <c r="J7156" t="s">
        <v>20</v>
      </c>
      <c r="K7156" t="s">
        <v>27</v>
      </c>
      <c r="L7156" t="s">
        <v>230</v>
      </c>
      <c r="M7156" t="s">
        <v>174</v>
      </c>
      <c r="N7156">
        <v>39.504666999999998</v>
      </c>
      <c r="O7156">
        <v>-111.50098300000001</v>
      </c>
      <c r="P7156">
        <v>5666.2027010000002</v>
      </c>
      <c r="Q7156">
        <v>1384</v>
      </c>
      <c r="R7156">
        <v>0</v>
      </c>
    </row>
    <row r="7157" spans="1:18" x14ac:dyDescent="0.25">
      <c r="A7157">
        <v>6156</v>
      </c>
      <c r="B7157">
        <v>94</v>
      </c>
      <c r="C7157">
        <v>31433893</v>
      </c>
      <c r="D7157" t="s">
        <v>345</v>
      </c>
      <c r="E7157">
        <v>23.742999999999999</v>
      </c>
      <c r="F7157" t="s">
        <v>21</v>
      </c>
      <c r="G7157" t="s">
        <v>26</v>
      </c>
      <c r="H7157" t="s">
        <v>21</v>
      </c>
      <c r="I7157" t="s">
        <v>20</v>
      </c>
      <c r="J7157" t="s">
        <v>20</v>
      </c>
      <c r="K7157" t="s">
        <v>27</v>
      </c>
      <c r="L7157" t="s">
        <v>75</v>
      </c>
      <c r="M7157" t="s">
        <v>76</v>
      </c>
      <c r="N7157">
        <v>38.860653999999997</v>
      </c>
      <c r="O7157">
        <v>-111.968941</v>
      </c>
      <c r="P7157">
        <v>5199.5055309999998</v>
      </c>
      <c r="Q7157">
        <v>1403</v>
      </c>
      <c r="R7157">
        <v>0</v>
      </c>
    </row>
    <row r="7158" spans="1:18" x14ac:dyDescent="0.25">
      <c r="A7158">
        <v>6157</v>
      </c>
      <c r="B7158">
        <v>94</v>
      </c>
      <c r="C7158">
        <v>31434454</v>
      </c>
      <c r="D7158" t="s">
        <v>345</v>
      </c>
      <c r="E7158">
        <v>23.757999999999999</v>
      </c>
      <c r="F7158" t="s">
        <v>21</v>
      </c>
      <c r="G7158" t="s">
        <v>26</v>
      </c>
      <c r="H7158" t="s">
        <v>21</v>
      </c>
      <c r="I7158" t="s">
        <v>20</v>
      </c>
      <c r="J7158" t="s">
        <v>20</v>
      </c>
      <c r="K7158" t="s">
        <v>27</v>
      </c>
      <c r="L7158" t="s">
        <v>75</v>
      </c>
      <c r="M7158" t="s">
        <v>76</v>
      </c>
      <c r="N7158">
        <v>38.860838000000001</v>
      </c>
      <c r="O7158">
        <v>-111.96881500000001</v>
      </c>
      <c r="P7158">
        <v>5199.702241</v>
      </c>
      <c r="Q7158">
        <v>1403</v>
      </c>
      <c r="R7158">
        <v>0</v>
      </c>
    </row>
    <row r="7159" spans="1:18" x14ac:dyDescent="0.25">
      <c r="A7159">
        <v>6158</v>
      </c>
      <c r="B7159">
        <v>94</v>
      </c>
      <c r="C7159">
        <v>31306167</v>
      </c>
      <c r="D7159" t="s">
        <v>116</v>
      </c>
      <c r="E7159">
        <v>23.771000000000001</v>
      </c>
      <c r="F7159" t="s">
        <v>21</v>
      </c>
      <c r="G7159" t="s">
        <v>26</v>
      </c>
      <c r="H7159" t="s">
        <v>19</v>
      </c>
      <c r="I7159">
        <v>252</v>
      </c>
      <c r="J7159" t="s">
        <v>20</v>
      </c>
      <c r="K7159" t="s">
        <v>41</v>
      </c>
      <c r="L7159" t="s">
        <v>42</v>
      </c>
      <c r="M7159" t="s">
        <v>43</v>
      </c>
      <c r="N7159">
        <v>41.697501000000003</v>
      </c>
      <c r="O7159">
        <v>-111.859714</v>
      </c>
      <c r="P7159">
        <v>4433.2521379999998</v>
      </c>
      <c r="Q7159">
        <v>324</v>
      </c>
      <c r="R7159">
        <v>0</v>
      </c>
    </row>
    <row r="7160" spans="1:18" x14ac:dyDescent="0.25">
      <c r="A7160">
        <v>6159</v>
      </c>
      <c r="B7160">
        <v>94</v>
      </c>
      <c r="C7160">
        <v>31297396</v>
      </c>
      <c r="D7160" t="s">
        <v>316</v>
      </c>
      <c r="E7160">
        <v>23.771999999999998</v>
      </c>
      <c r="F7160" t="s">
        <v>21</v>
      </c>
      <c r="G7160" t="s">
        <v>20</v>
      </c>
      <c r="H7160" t="s">
        <v>21</v>
      </c>
      <c r="I7160" t="s">
        <v>20</v>
      </c>
      <c r="J7160" t="s">
        <v>20</v>
      </c>
      <c r="K7160" t="s">
        <v>22</v>
      </c>
      <c r="L7160" t="s">
        <v>168</v>
      </c>
      <c r="M7160" t="s">
        <v>302</v>
      </c>
      <c r="N7160">
        <v>40.489742</v>
      </c>
      <c r="O7160">
        <v>-110.96388899999999</v>
      </c>
      <c r="P7160">
        <v>8558.5402759999997</v>
      </c>
      <c r="Q7160">
        <v>1346</v>
      </c>
      <c r="R7160">
        <v>0</v>
      </c>
    </row>
    <row r="7161" spans="1:18" x14ac:dyDescent="0.25">
      <c r="A7161">
        <v>6160</v>
      </c>
      <c r="B7161">
        <v>94</v>
      </c>
      <c r="C7161" t="e">
        <f>-JODqqT1FhisyaZKJcEMek</f>
        <v>#NAME?</v>
      </c>
      <c r="D7161" t="s">
        <v>210</v>
      </c>
      <c r="E7161">
        <v>23.776</v>
      </c>
      <c r="F7161" t="s">
        <v>21</v>
      </c>
      <c r="G7161" t="s">
        <v>20</v>
      </c>
      <c r="H7161" t="s">
        <v>21</v>
      </c>
      <c r="I7161" t="s">
        <v>20</v>
      </c>
      <c r="J7161" t="s">
        <v>20</v>
      </c>
      <c r="K7161" t="s">
        <v>27</v>
      </c>
      <c r="L7161" t="s">
        <v>211</v>
      </c>
      <c r="M7161" t="s">
        <v>212</v>
      </c>
      <c r="N7161">
        <v>37.206207999999997</v>
      </c>
      <c r="O7161">
        <v>-109.16322099999999</v>
      </c>
      <c r="P7161">
        <v>4537.4023980000002</v>
      </c>
      <c r="Q7161">
        <v>344</v>
      </c>
      <c r="R7161">
        <v>0</v>
      </c>
    </row>
    <row r="7162" spans="1:18" x14ac:dyDescent="0.25">
      <c r="A7162">
        <v>6161</v>
      </c>
      <c r="B7162">
        <v>94</v>
      </c>
      <c r="C7162">
        <v>31592689</v>
      </c>
      <c r="D7162" t="s">
        <v>271</v>
      </c>
      <c r="E7162">
        <v>23.794</v>
      </c>
      <c r="F7162" t="s">
        <v>21</v>
      </c>
      <c r="G7162" t="s">
        <v>26</v>
      </c>
      <c r="H7162" t="s">
        <v>21</v>
      </c>
      <c r="I7162" t="s">
        <v>20</v>
      </c>
      <c r="J7162" t="s">
        <v>20</v>
      </c>
      <c r="K7162" t="s">
        <v>22</v>
      </c>
      <c r="L7162" t="s">
        <v>263</v>
      </c>
      <c r="M7162" t="s">
        <v>24</v>
      </c>
      <c r="N7162">
        <v>40.305416000000001</v>
      </c>
      <c r="O7162">
        <v>-112.100707</v>
      </c>
      <c r="P7162">
        <v>4998.1457449999998</v>
      </c>
      <c r="Q7162">
        <v>1372</v>
      </c>
      <c r="R7162">
        <v>0</v>
      </c>
    </row>
    <row r="7163" spans="1:18" x14ac:dyDescent="0.25">
      <c r="A7163">
        <v>6162</v>
      </c>
      <c r="B7163">
        <v>94</v>
      </c>
      <c r="C7163" t="e">
        <f>-JXn8QbEGEmtfMH9GjR2xV</f>
        <v>#NAME?</v>
      </c>
      <c r="D7163" t="s">
        <v>203</v>
      </c>
      <c r="E7163">
        <v>23.806000000000001</v>
      </c>
      <c r="F7163" t="s">
        <v>21</v>
      </c>
      <c r="G7163" t="s">
        <v>20</v>
      </c>
      <c r="H7163" t="s">
        <v>21</v>
      </c>
      <c r="I7163" t="s">
        <v>20</v>
      </c>
      <c r="J7163" t="s">
        <v>20</v>
      </c>
      <c r="K7163" t="s">
        <v>41</v>
      </c>
      <c r="L7163" t="s">
        <v>255</v>
      </c>
      <c r="M7163" t="s">
        <v>204</v>
      </c>
      <c r="N7163">
        <v>41.266865000000003</v>
      </c>
      <c r="O7163">
        <v>-111.678973</v>
      </c>
      <c r="P7163">
        <v>5128.2406730000002</v>
      </c>
      <c r="Q7163">
        <v>1349</v>
      </c>
      <c r="R7163">
        <v>0</v>
      </c>
    </row>
    <row r="7164" spans="1:18" x14ac:dyDescent="0.25">
      <c r="A7164">
        <v>6163</v>
      </c>
      <c r="B7164">
        <v>94</v>
      </c>
      <c r="C7164">
        <v>31517649</v>
      </c>
      <c r="D7164" t="s">
        <v>132</v>
      </c>
      <c r="E7164">
        <v>23.811</v>
      </c>
      <c r="F7164" t="s">
        <v>21</v>
      </c>
      <c r="G7164" t="s">
        <v>26</v>
      </c>
      <c r="H7164" t="s">
        <v>21</v>
      </c>
      <c r="I7164" t="s">
        <v>20</v>
      </c>
      <c r="J7164" t="s">
        <v>20</v>
      </c>
      <c r="K7164" t="s">
        <v>22</v>
      </c>
      <c r="L7164" t="s">
        <v>133</v>
      </c>
      <c r="M7164" t="s">
        <v>134</v>
      </c>
      <c r="N7164">
        <v>40.403737999999997</v>
      </c>
      <c r="O7164">
        <v>-109.796536</v>
      </c>
      <c r="P7164">
        <v>5497.8508069999998</v>
      </c>
      <c r="Q7164">
        <v>1405</v>
      </c>
      <c r="R7164">
        <v>0</v>
      </c>
    </row>
    <row r="7165" spans="1:18" x14ac:dyDescent="0.25">
      <c r="A7165">
        <v>6164</v>
      </c>
      <c r="B7165">
        <v>94</v>
      </c>
      <c r="C7165">
        <v>28380722</v>
      </c>
      <c r="D7165" t="s">
        <v>265</v>
      </c>
      <c r="E7165">
        <v>23.821999999999999</v>
      </c>
      <c r="F7165" t="s">
        <v>21</v>
      </c>
      <c r="G7165" t="s">
        <v>26</v>
      </c>
      <c r="H7165" t="s">
        <v>21</v>
      </c>
      <c r="I7165" t="s">
        <v>20</v>
      </c>
      <c r="J7165" t="s">
        <v>20</v>
      </c>
      <c r="K7165" t="s">
        <v>27</v>
      </c>
      <c r="L7165" t="s">
        <v>183</v>
      </c>
      <c r="M7165" t="s">
        <v>267</v>
      </c>
      <c r="N7165">
        <v>38.649191999999999</v>
      </c>
      <c r="O7165">
        <v>-111.44082899999999</v>
      </c>
      <c r="P7165">
        <v>7905.7356019999997</v>
      </c>
      <c r="Q7165">
        <v>1371</v>
      </c>
      <c r="R7165">
        <v>0</v>
      </c>
    </row>
    <row r="7166" spans="1:18" x14ac:dyDescent="0.25">
      <c r="A7166">
        <v>6165</v>
      </c>
      <c r="B7166">
        <v>94</v>
      </c>
      <c r="C7166">
        <v>31568478</v>
      </c>
      <c r="D7166" t="s">
        <v>172</v>
      </c>
      <c r="E7166">
        <v>23.826000000000001</v>
      </c>
      <c r="F7166" t="s">
        <v>21</v>
      </c>
      <c r="G7166" t="s">
        <v>26</v>
      </c>
      <c r="H7166" t="s">
        <v>21</v>
      </c>
      <c r="I7166" t="s">
        <v>20</v>
      </c>
      <c r="J7166" t="s">
        <v>20</v>
      </c>
      <c r="K7166" t="s">
        <v>22</v>
      </c>
      <c r="L7166" t="s">
        <v>155</v>
      </c>
      <c r="M7166" t="s">
        <v>174</v>
      </c>
      <c r="N7166">
        <v>39.686987999999999</v>
      </c>
      <c r="O7166">
        <v>-112.005154</v>
      </c>
      <c r="P7166">
        <v>5407.8497010000001</v>
      </c>
      <c r="Q7166">
        <v>1411</v>
      </c>
      <c r="R7166">
        <v>0</v>
      </c>
    </row>
    <row r="7167" spans="1:18" x14ac:dyDescent="0.25">
      <c r="A7167">
        <v>6166</v>
      </c>
      <c r="B7167">
        <v>94</v>
      </c>
      <c r="C7167">
        <v>31317527</v>
      </c>
      <c r="D7167" t="s">
        <v>347</v>
      </c>
      <c r="E7167">
        <v>23.831</v>
      </c>
      <c r="F7167" t="s">
        <v>21</v>
      </c>
      <c r="G7167" t="s">
        <v>26</v>
      </c>
      <c r="H7167" t="s">
        <v>21</v>
      </c>
      <c r="I7167" t="s">
        <v>20</v>
      </c>
      <c r="J7167" t="s">
        <v>20</v>
      </c>
      <c r="K7167" t="s">
        <v>41</v>
      </c>
      <c r="L7167" t="s">
        <v>325</v>
      </c>
      <c r="M7167" t="s">
        <v>204</v>
      </c>
      <c r="N7167">
        <v>41.702914</v>
      </c>
      <c r="O7167">
        <v>-111.160687</v>
      </c>
      <c r="P7167">
        <v>6227.8366530000003</v>
      </c>
      <c r="Q7167">
        <v>1334</v>
      </c>
      <c r="R7167">
        <v>0</v>
      </c>
    </row>
    <row r="7168" spans="1:18" x14ac:dyDescent="0.25">
      <c r="A7168">
        <v>6167</v>
      </c>
      <c r="B7168">
        <v>94</v>
      </c>
      <c r="C7168">
        <v>31430654</v>
      </c>
      <c r="D7168" t="s">
        <v>221</v>
      </c>
      <c r="E7168">
        <v>34.003999999999998</v>
      </c>
      <c r="F7168" t="s">
        <v>21</v>
      </c>
      <c r="G7168" t="s">
        <v>26</v>
      </c>
      <c r="H7168" t="s">
        <v>21</v>
      </c>
      <c r="I7168" t="s">
        <v>20</v>
      </c>
      <c r="J7168" t="s">
        <v>20</v>
      </c>
      <c r="K7168" t="s">
        <v>22</v>
      </c>
      <c r="L7168" t="s">
        <v>155</v>
      </c>
      <c r="M7168" t="s">
        <v>174</v>
      </c>
      <c r="N7168">
        <v>39.616602999999998</v>
      </c>
      <c r="O7168">
        <v>-111.861892</v>
      </c>
      <c r="P7168">
        <v>5302.6065559999997</v>
      </c>
      <c r="Q7168">
        <v>1342</v>
      </c>
      <c r="R7168">
        <v>0</v>
      </c>
    </row>
    <row r="7169" spans="1:18" x14ac:dyDescent="0.25">
      <c r="A7169">
        <v>6168</v>
      </c>
      <c r="B7169">
        <v>94</v>
      </c>
      <c r="C7169">
        <v>31382783</v>
      </c>
      <c r="D7169" t="s">
        <v>116</v>
      </c>
      <c r="E7169">
        <v>34.021000000000001</v>
      </c>
      <c r="F7169" t="s">
        <v>19</v>
      </c>
      <c r="G7169" t="s">
        <v>20</v>
      </c>
      <c r="H7169" t="s">
        <v>19</v>
      </c>
      <c r="I7169">
        <v>218</v>
      </c>
      <c r="J7169" t="s">
        <v>20</v>
      </c>
      <c r="K7169" t="s">
        <v>41</v>
      </c>
      <c r="L7169" t="s">
        <v>95</v>
      </c>
      <c r="M7169" t="s">
        <v>117</v>
      </c>
      <c r="N7169">
        <v>41.838596000000003</v>
      </c>
      <c r="O7169">
        <v>-111.83263599999999</v>
      </c>
      <c r="P7169">
        <v>4553.9160469999997</v>
      </c>
      <c r="Q7169">
        <v>324</v>
      </c>
      <c r="R7169">
        <v>0</v>
      </c>
    </row>
    <row r="7170" spans="1:18" x14ac:dyDescent="0.25">
      <c r="A7170">
        <v>6169</v>
      </c>
      <c r="B7170">
        <v>94</v>
      </c>
      <c r="C7170" t="e">
        <f>-JNPUR0PH75MDh2mv1QXeV</f>
        <v>#NAME?</v>
      </c>
      <c r="D7170" t="s">
        <v>124</v>
      </c>
      <c r="E7170">
        <v>34.023000000000003</v>
      </c>
      <c r="F7170" t="s">
        <v>21</v>
      </c>
      <c r="G7170" t="s">
        <v>20</v>
      </c>
      <c r="H7170" t="s">
        <v>21</v>
      </c>
      <c r="I7170" t="s">
        <v>20</v>
      </c>
      <c r="J7170" t="s">
        <v>20</v>
      </c>
      <c r="K7170" t="s">
        <v>22</v>
      </c>
      <c r="L7170" t="s">
        <v>84</v>
      </c>
      <c r="M7170" t="s">
        <v>125</v>
      </c>
      <c r="N7170">
        <v>40.405894000000004</v>
      </c>
      <c r="O7170">
        <v>-111.92111300000001</v>
      </c>
      <c r="P7170">
        <v>4616.1752409999999</v>
      </c>
      <c r="Q7170">
        <v>1368</v>
      </c>
      <c r="R7170">
        <v>0</v>
      </c>
    </row>
    <row r="7171" spans="1:18" x14ac:dyDescent="0.25">
      <c r="A7171">
        <v>6170</v>
      </c>
      <c r="B7171">
        <v>94</v>
      </c>
      <c r="C7171">
        <v>31575921</v>
      </c>
      <c r="D7171" t="s">
        <v>172</v>
      </c>
      <c r="E7171">
        <v>34.027999999999999</v>
      </c>
      <c r="F7171" t="s">
        <v>21</v>
      </c>
      <c r="G7171" t="s">
        <v>26</v>
      </c>
      <c r="H7171" t="s">
        <v>21</v>
      </c>
      <c r="I7171" t="s">
        <v>20</v>
      </c>
      <c r="J7171" t="s">
        <v>20</v>
      </c>
      <c r="K7171" t="s">
        <v>22</v>
      </c>
      <c r="L7171" t="s">
        <v>155</v>
      </c>
      <c r="M7171" t="s">
        <v>174</v>
      </c>
      <c r="N7171">
        <v>39.710017999999998</v>
      </c>
      <c r="O7171">
        <v>-111.82104</v>
      </c>
      <c r="P7171">
        <v>5129.4126539999997</v>
      </c>
      <c r="Q7171">
        <v>1411</v>
      </c>
      <c r="R7171">
        <v>0</v>
      </c>
    </row>
    <row r="7172" spans="1:18" x14ac:dyDescent="0.25">
      <c r="A7172">
        <v>6171</v>
      </c>
      <c r="B7172">
        <v>94</v>
      </c>
      <c r="C7172">
        <v>31411004</v>
      </c>
      <c r="D7172" t="s">
        <v>63</v>
      </c>
      <c r="E7172">
        <v>34.06</v>
      </c>
      <c r="F7172" t="s">
        <v>21</v>
      </c>
      <c r="G7172" t="s">
        <v>26</v>
      </c>
      <c r="H7172" t="s">
        <v>21</v>
      </c>
      <c r="I7172" t="s">
        <v>20</v>
      </c>
      <c r="J7172" t="s">
        <v>20</v>
      </c>
      <c r="K7172" t="s">
        <v>27</v>
      </c>
      <c r="L7172" t="s">
        <v>266</v>
      </c>
      <c r="M7172" t="s">
        <v>29</v>
      </c>
      <c r="N7172">
        <v>38.462671999999998</v>
      </c>
      <c r="O7172">
        <v>-111.90872299999999</v>
      </c>
      <c r="P7172">
        <v>6756.2281759999996</v>
      </c>
      <c r="Q7172">
        <v>1365</v>
      </c>
      <c r="R7172">
        <v>0</v>
      </c>
    </row>
    <row r="7173" spans="1:18" x14ac:dyDescent="0.25">
      <c r="A7173">
        <v>6172</v>
      </c>
      <c r="B7173">
        <v>94</v>
      </c>
      <c r="C7173">
        <v>31502860</v>
      </c>
      <c r="D7173" t="s">
        <v>317</v>
      </c>
      <c r="E7173">
        <v>34.07</v>
      </c>
      <c r="F7173" t="s">
        <v>21</v>
      </c>
      <c r="G7173" t="s">
        <v>20</v>
      </c>
      <c r="H7173" t="s">
        <v>21</v>
      </c>
      <c r="I7173" t="s">
        <v>20</v>
      </c>
      <c r="J7173" t="s">
        <v>20</v>
      </c>
      <c r="K7173" t="s">
        <v>27</v>
      </c>
      <c r="L7173" t="s">
        <v>211</v>
      </c>
      <c r="M7173" t="s">
        <v>212</v>
      </c>
      <c r="N7173">
        <v>37.263441999999998</v>
      </c>
      <c r="O7173">
        <v>-109.72947000000001</v>
      </c>
      <c r="P7173">
        <v>5095.4504500000003</v>
      </c>
      <c r="Q7173">
        <v>1432</v>
      </c>
      <c r="R7173">
        <v>0</v>
      </c>
    </row>
    <row r="7174" spans="1:18" x14ac:dyDescent="0.25">
      <c r="A7174">
        <v>6173</v>
      </c>
      <c r="B7174">
        <v>94</v>
      </c>
      <c r="C7174">
        <v>28190018</v>
      </c>
      <c r="D7174" t="s">
        <v>233</v>
      </c>
      <c r="E7174">
        <v>34.08</v>
      </c>
      <c r="F7174" t="s">
        <v>21</v>
      </c>
      <c r="G7174" t="s">
        <v>26</v>
      </c>
      <c r="H7174" t="s">
        <v>21</v>
      </c>
      <c r="I7174" t="s">
        <v>20</v>
      </c>
      <c r="J7174" t="s">
        <v>20</v>
      </c>
      <c r="K7174" t="s">
        <v>22</v>
      </c>
      <c r="L7174" t="s">
        <v>234</v>
      </c>
      <c r="M7174" t="s">
        <v>235</v>
      </c>
      <c r="N7174">
        <v>40.332202000000002</v>
      </c>
      <c r="O7174">
        <v>-109.485733</v>
      </c>
      <c r="P7174">
        <v>4972.217576</v>
      </c>
      <c r="Q7174">
        <v>1354</v>
      </c>
      <c r="R7174">
        <v>0</v>
      </c>
    </row>
    <row r="7175" spans="1:18" x14ac:dyDescent="0.25">
      <c r="A7175">
        <v>6174</v>
      </c>
      <c r="B7175">
        <v>94</v>
      </c>
      <c r="C7175" t="s">
        <v>861</v>
      </c>
      <c r="D7175" t="s">
        <v>50</v>
      </c>
      <c r="E7175">
        <v>34.131</v>
      </c>
      <c r="F7175" t="s">
        <v>21</v>
      </c>
      <c r="G7175" t="s">
        <v>20</v>
      </c>
      <c r="H7175" t="s">
        <v>21</v>
      </c>
      <c r="I7175" t="s">
        <v>20</v>
      </c>
      <c r="J7175" t="s">
        <v>20</v>
      </c>
      <c r="K7175" t="s">
        <v>27</v>
      </c>
      <c r="L7175" t="s">
        <v>247</v>
      </c>
      <c r="M7175" t="s">
        <v>52</v>
      </c>
      <c r="N7175">
        <v>37.707839999999997</v>
      </c>
      <c r="O7175">
        <v>-112.627949</v>
      </c>
      <c r="P7175">
        <v>8203.5701860000008</v>
      </c>
      <c r="Q7175">
        <v>1418</v>
      </c>
      <c r="R7175">
        <v>0</v>
      </c>
    </row>
    <row r="7176" spans="1:18" x14ac:dyDescent="0.25">
      <c r="A7176">
        <v>6175</v>
      </c>
      <c r="B7176">
        <v>94</v>
      </c>
      <c r="C7176">
        <v>31383130</v>
      </c>
      <c r="D7176" t="s">
        <v>116</v>
      </c>
      <c r="E7176">
        <v>34.164999999999999</v>
      </c>
      <c r="F7176" t="s">
        <v>21</v>
      </c>
      <c r="G7176" t="s">
        <v>26</v>
      </c>
      <c r="H7176" t="s">
        <v>21</v>
      </c>
      <c r="I7176" t="s">
        <v>20</v>
      </c>
      <c r="J7176" t="s">
        <v>20</v>
      </c>
      <c r="K7176" t="s">
        <v>41</v>
      </c>
      <c r="L7176" t="s">
        <v>95</v>
      </c>
      <c r="M7176" t="s">
        <v>117</v>
      </c>
      <c r="N7176">
        <v>41.840674999999997</v>
      </c>
      <c r="O7176">
        <v>-111.832577</v>
      </c>
      <c r="P7176">
        <v>4546.8874699999997</v>
      </c>
      <c r="Q7176">
        <v>324</v>
      </c>
      <c r="R7176">
        <v>0</v>
      </c>
    </row>
    <row r="7177" spans="1:18" x14ac:dyDescent="0.25">
      <c r="A7177">
        <v>6176</v>
      </c>
      <c r="B7177">
        <v>94</v>
      </c>
      <c r="C7177" t="e">
        <f>-IpAs1K-FtXi5zRRwmYrtF</f>
        <v>#NAME?</v>
      </c>
      <c r="D7177" t="s">
        <v>172</v>
      </c>
      <c r="E7177">
        <v>34.213000000000001</v>
      </c>
      <c r="F7177" t="s">
        <v>21</v>
      </c>
      <c r="G7177" t="s">
        <v>26</v>
      </c>
      <c r="H7177" t="s">
        <v>21</v>
      </c>
      <c r="I7177" t="s">
        <v>20</v>
      </c>
      <c r="J7177" t="s">
        <v>20</v>
      </c>
      <c r="K7177" t="s">
        <v>22</v>
      </c>
      <c r="L7177" t="s">
        <v>155</v>
      </c>
      <c r="M7177" t="s">
        <v>174</v>
      </c>
      <c r="N7177">
        <v>39.710549</v>
      </c>
      <c r="O7177">
        <v>-111.81765799999999</v>
      </c>
      <c r="P7177">
        <v>5142.3209280000001</v>
      </c>
      <c r="Q7177">
        <v>1411</v>
      </c>
      <c r="R7177">
        <v>0</v>
      </c>
    </row>
    <row r="7178" spans="1:18" x14ac:dyDescent="0.25">
      <c r="A7178">
        <v>6177</v>
      </c>
      <c r="B7178">
        <v>94</v>
      </c>
      <c r="C7178">
        <v>31608223</v>
      </c>
      <c r="D7178" t="s">
        <v>271</v>
      </c>
      <c r="E7178">
        <v>34.215000000000003</v>
      </c>
      <c r="F7178" t="s">
        <v>21</v>
      </c>
      <c r="G7178" t="s">
        <v>20</v>
      </c>
      <c r="H7178" t="s">
        <v>21</v>
      </c>
      <c r="I7178" t="s">
        <v>20</v>
      </c>
      <c r="J7178" t="s">
        <v>20</v>
      </c>
      <c r="K7178" t="s">
        <v>22</v>
      </c>
      <c r="L7178" t="s">
        <v>263</v>
      </c>
      <c r="M7178" t="s">
        <v>24</v>
      </c>
      <c r="N7178">
        <v>40.383363000000003</v>
      </c>
      <c r="O7178">
        <v>-111.957832</v>
      </c>
      <c r="P7178">
        <v>4849.251107</v>
      </c>
      <c r="Q7178">
        <v>1372</v>
      </c>
      <c r="R7178">
        <v>0</v>
      </c>
    </row>
    <row r="7179" spans="1:18" x14ac:dyDescent="0.25">
      <c r="A7179">
        <v>6178</v>
      </c>
      <c r="B7179">
        <v>94</v>
      </c>
      <c r="C7179">
        <v>31321623</v>
      </c>
      <c r="D7179" t="s">
        <v>288</v>
      </c>
      <c r="E7179">
        <v>34.22</v>
      </c>
      <c r="F7179" t="s">
        <v>21</v>
      </c>
      <c r="G7179" t="s">
        <v>20</v>
      </c>
      <c r="H7179" t="s">
        <v>21</v>
      </c>
      <c r="I7179" t="s">
        <v>20</v>
      </c>
      <c r="J7179" t="s">
        <v>20</v>
      </c>
      <c r="K7179" t="s">
        <v>27</v>
      </c>
      <c r="L7179" t="s">
        <v>211</v>
      </c>
      <c r="M7179" t="s">
        <v>318</v>
      </c>
      <c r="N7179">
        <v>37.396701999999998</v>
      </c>
      <c r="O7179">
        <v>-109.49627700000001</v>
      </c>
      <c r="P7179">
        <v>4947.2365209999998</v>
      </c>
      <c r="Q7179">
        <v>350</v>
      </c>
      <c r="R7179">
        <v>0</v>
      </c>
    </row>
    <row r="7180" spans="1:18" x14ac:dyDescent="0.25">
      <c r="A7180">
        <v>6179</v>
      </c>
      <c r="B7180">
        <v>94</v>
      </c>
      <c r="C7180" t="e">
        <f>-JN0bWykHluNXm2IAJtGLV</f>
        <v>#NAME?</v>
      </c>
      <c r="D7180" t="s">
        <v>184</v>
      </c>
      <c r="E7180">
        <v>34.238</v>
      </c>
      <c r="F7180" t="s">
        <v>21</v>
      </c>
      <c r="G7180" t="s">
        <v>20</v>
      </c>
      <c r="H7180" t="s">
        <v>21</v>
      </c>
      <c r="I7180" t="s">
        <v>20</v>
      </c>
      <c r="J7180" t="s">
        <v>20</v>
      </c>
      <c r="K7180" t="s">
        <v>27</v>
      </c>
      <c r="L7180" t="s">
        <v>143</v>
      </c>
      <c r="M7180" t="s">
        <v>55</v>
      </c>
      <c r="N7180">
        <v>38.104685000000003</v>
      </c>
      <c r="O7180">
        <v>-112.94789900000001</v>
      </c>
      <c r="P7180">
        <v>6101.1611940000003</v>
      </c>
      <c r="Q7180">
        <v>1410</v>
      </c>
      <c r="R7180">
        <v>0</v>
      </c>
    </row>
    <row r="7181" spans="1:18" x14ac:dyDescent="0.25">
      <c r="A7181">
        <v>6180</v>
      </c>
      <c r="B7181">
        <v>94</v>
      </c>
      <c r="C7181">
        <v>31501965</v>
      </c>
      <c r="D7181" t="s">
        <v>129</v>
      </c>
      <c r="E7181">
        <v>34.244</v>
      </c>
      <c r="F7181" t="s">
        <v>21</v>
      </c>
      <c r="G7181" t="s">
        <v>26</v>
      </c>
      <c r="H7181" t="s">
        <v>21</v>
      </c>
      <c r="I7181" t="s">
        <v>20</v>
      </c>
      <c r="J7181" t="s">
        <v>20</v>
      </c>
      <c r="K7181" t="s">
        <v>31</v>
      </c>
      <c r="L7181" t="s">
        <v>130</v>
      </c>
      <c r="M7181" t="s">
        <v>302</v>
      </c>
      <c r="N7181">
        <v>40.723705000000002</v>
      </c>
      <c r="O7181">
        <v>-110.865061</v>
      </c>
      <c r="P7181">
        <v>10301.504351</v>
      </c>
      <c r="Q7181">
        <v>340</v>
      </c>
      <c r="R7181">
        <v>0</v>
      </c>
    </row>
    <row r="7182" spans="1:18" x14ac:dyDescent="0.25">
      <c r="A7182">
        <v>6181</v>
      </c>
      <c r="B7182">
        <v>94</v>
      </c>
      <c r="C7182">
        <v>31517750</v>
      </c>
      <c r="D7182" t="s">
        <v>292</v>
      </c>
      <c r="E7182">
        <v>34.311</v>
      </c>
      <c r="F7182" t="s">
        <v>21</v>
      </c>
      <c r="G7182" t="s">
        <v>20</v>
      </c>
      <c r="H7182" t="s">
        <v>21</v>
      </c>
      <c r="I7182" t="s">
        <v>20</v>
      </c>
      <c r="J7182" t="s">
        <v>20</v>
      </c>
      <c r="K7182" t="s">
        <v>22</v>
      </c>
      <c r="L7182" t="s">
        <v>133</v>
      </c>
      <c r="M7182" t="s">
        <v>134</v>
      </c>
      <c r="N7182">
        <v>40.258104000000003</v>
      </c>
      <c r="O7182">
        <v>-110.132931</v>
      </c>
      <c r="P7182">
        <v>5356.28665</v>
      </c>
      <c r="Q7182">
        <v>323</v>
      </c>
      <c r="R7182">
        <v>0</v>
      </c>
    </row>
    <row r="7183" spans="1:18" x14ac:dyDescent="0.25">
      <c r="A7183">
        <v>6182</v>
      </c>
      <c r="B7183">
        <v>94</v>
      </c>
      <c r="C7183">
        <v>31383141</v>
      </c>
      <c r="D7183" t="s">
        <v>116</v>
      </c>
      <c r="E7183">
        <v>34.313000000000002</v>
      </c>
      <c r="F7183" t="s">
        <v>21</v>
      </c>
      <c r="G7183" t="s">
        <v>26</v>
      </c>
      <c r="H7183" t="s">
        <v>21</v>
      </c>
      <c r="I7183" t="s">
        <v>20</v>
      </c>
      <c r="J7183" t="s">
        <v>20</v>
      </c>
      <c r="K7183" t="s">
        <v>41</v>
      </c>
      <c r="L7183" t="s">
        <v>95</v>
      </c>
      <c r="M7183" t="s">
        <v>117</v>
      </c>
      <c r="N7183">
        <v>41.842809000000003</v>
      </c>
      <c r="O7183">
        <v>-111.832528</v>
      </c>
      <c r="P7183">
        <v>4548.6128040000003</v>
      </c>
      <c r="Q7183">
        <v>324</v>
      </c>
      <c r="R7183">
        <v>0</v>
      </c>
    </row>
    <row r="7184" spans="1:18" x14ac:dyDescent="0.25">
      <c r="A7184">
        <v>6183</v>
      </c>
      <c r="B7184">
        <v>94</v>
      </c>
      <c r="C7184" t="e">
        <f>-IovzvZUIpHkNZCw7fdVVV</f>
        <v>#NAME?</v>
      </c>
      <c r="D7184" t="s">
        <v>316</v>
      </c>
      <c r="E7184">
        <v>37.75</v>
      </c>
      <c r="F7184" t="s">
        <v>21</v>
      </c>
      <c r="G7184" t="s">
        <v>20</v>
      </c>
      <c r="H7184" t="s">
        <v>21</v>
      </c>
      <c r="I7184" t="s">
        <v>20</v>
      </c>
      <c r="J7184" t="s">
        <v>20</v>
      </c>
      <c r="K7184" t="s">
        <v>22</v>
      </c>
      <c r="L7184" t="s">
        <v>168</v>
      </c>
      <c r="M7184" t="s">
        <v>302</v>
      </c>
      <c r="N7184">
        <v>40.403931999999998</v>
      </c>
      <c r="O7184">
        <v>-110.765297</v>
      </c>
      <c r="P7184">
        <v>6712.6050729999997</v>
      </c>
      <c r="Q7184">
        <v>1346</v>
      </c>
      <c r="R7184">
        <v>0</v>
      </c>
    </row>
    <row r="7185" spans="1:18" x14ac:dyDescent="0.25">
      <c r="A7185">
        <v>6184</v>
      </c>
      <c r="B7185">
        <v>94</v>
      </c>
      <c r="C7185">
        <v>31285829</v>
      </c>
      <c r="D7185" t="s">
        <v>241</v>
      </c>
      <c r="E7185">
        <v>37.752000000000002</v>
      </c>
      <c r="F7185" t="s">
        <v>21</v>
      </c>
      <c r="G7185" t="s">
        <v>26</v>
      </c>
      <c r="H7185" t="s">
        <v>21</v>
      </c>
      <c r="I7185" t="s">
        <v>20</v>
      </c>
      <c r="J7185" t="s">
        <v>20</v>
      </c>
      <c r="K7185" t="s">
        <v>27</v>
      </c>
      <c r="L7185" t="s">
        <v>111</v>
      </c>
      <c r="M7185" t="s">
        <v>243</v>
      </c>
      <c r="N7185">
        <v>39.211506</v>
      </c>
      <c r="O7185">
        <v>-111.02153199999999</v>
      </c>
      <c r="P7185">
        <v>5613.8781689999996</v>
      </c>
      <c r="Q7185">
        <v>1327</v>
      </c>
      <c r="R7185">
        <v>0</v>
      </c>
    </row>
    <row r="7186" spans="1:18" x14ac:dyDescent="0.25">
      <c r="A7186">
        <v>6185</v>
      </c>
      <c r="B7186">
        <v>94</v>
      </c>
      <c r="C7186">
        <v>31519305</v>
      </c>
      <c r="D7186" t="s">
        <v>292</v>
      </c>
      <c r="E7186">
        <v>37.776000000000003</v>
      </c>
      <c r="F7186" t="s">
        <v>21</v>
      </c>
      <c r="G7186" t="s">
        <v>26</v>
      </c>
      <c r="H7186" t="s">
        <v>21</v>
      </c>
      <c r="I7186" t="s">
        <v>20</v>
      </c>
      <c r="J7186" t="s">
        <v>20</v>
      </c>
      <c r="K7186" t="s">
        <v>22</v>
      </c>
      <c r="L7186" t="s">
        <v>133</v>
      </c>
      <c r="M7186" t="s">
        <v>134</v>
      </c>
      <c r="N7186">
        <v>40.258567999999997</v>
      </c>
      <c r="O7186">
        <v>-110.06742800000001</v>
      </c>
      <c r="P7186">
        <v>5143.0374949999996</v>
      </c>
      <c r="Q7186">
        <v>323</v>
      </c>
      <c r="R7186">
        <v>0</v>
      </c>
    </row>
    <row r="7187" spans="1:18" x14ac:dyDescent="0.25">
      <c r="A7187">
        <v>6186</v>
      </c>
      <c r="B7187">
        <v>94</v>
      </c>
      <c r="C7187">
        <v>31367577</v>
      </c>
      <c r="D7187" t="s">
        <v>229</v>
      </c>
      <c r="E7187">
        <v>9.6010000000000009</v>
      </c>
      <c r="F7187" t="s">
        <v>21</v>
      </c>
      <c r="G7187" t="s">
        <v>26</v>
      </c>
      <c r="H7187" t="s">
        <v>21</v>
      </c>
      <c r="I7187" t="s">
        <v>20</v>
      </c>
      <c r="J7187" t="s">
        <v>20</v>
      </c>
      <c r="K7187" t="s">
        <v>27</v>
      </c>
      <c r="L7187" t="s">
        <v>230</v>
      </c>
      <c r="M7187" t="s">
        <v>82</v>
      </c>
      <c r="N7187">
        <v>39.496856999999999</v>
      </c>
      <c r="O7187">
        <v>-111.491568</v>
      </c>
      <c r="P7187">
        <v>5739.1178120000004</v>
      </c>
      <c r="Q7187">
        <v>331</v>
      </c>
      <c r="R7187">
        <v>0</v>
      </c>
    </row>
    <row r="7188" spans="1:18" x14ac:dyDescent="0.25">
      <c r="A7188">
        <v>6187</v>
      </c>
      <c r="B7188">
        <v>94</v>
      </c>
      <c r="C7188">
        <v>31286825</v>
      </c>
      <c r="D7188" t="s">
        <v>316</v>
      </c>
      <c r="E7188">
        <v>9.6150000000000002</v>
      </c>
      <c r="F7188" t="s">
        <v>21</v>
      </c>
      <c r="G7188" t="s">
        <v>20</v>
      </c>
      <c r="H7188" t="s">
        <v>21</v>
      </c>
      <c r="I7188" t="s">
        <v>20</v>
      </c>
      <c r="J7188" t="s">
        <v>20</v>
      </c>
      <c r="K7188" t="s">
        <v>31</v>
      </c>
      <c r="L7188" t="s">
        <v>130</v>
      </c>
      <c r="M7188" t="s">
        <v>302</v>
      </c>
      <c r="N7188">
        <v>40.557965000000003</v>
      </c>
      <c r="O7188">
        <v>-111.137243</v>
      </c>
      <c r="P7188">
        <v>7085.844908</v>
      </c>
      <c r="Q7188">
        <v>1346</v>
      </c>
      <c r="R7188">
        <v>0</v>
      </c>
    </row>
    <row r="7189" spans="1:18" x14ac:dyDescent="0.25">
      <c r="A7189">
        <v>6188</v>
      </c>
      <c r="B7189">
        <v>94</v>
      </c>
      <c r="C7189">
        <v>31530710</v>
      </c>
      <c r="D7189" t="s">
        <v>326</v>
      </c>
      <c r="E7189">
        <v>9.6150000000000002</v>
      </c>
      <c r="F7189" t="s">
        <v>21</v>
      </c>
      <c r="G7189" t="s">
        <v>26</v>
      </c>
      <c r="H7189" t="s">
        <v>21</v>
      </c>
      <c r="I7189" t="s">
        <v>20</v>
      </c>
      <c r="J7189" t="s">
        <v>20</v>
      </c>
      <c r="K7189" t="s">
        <v>27</v>
      </c>
      <c r="L7189" t="s">
        <v>211</v>
      </c>
      <c r="M7189" t="s">
        <v>318</v>
      </c>
      <c r="N7189">
        <v>37.277653000000001</v>
      </c>
      <c r="O7189">
        <v>-109.94312499999999</v>
      </c>
      <c r="P7189">
        <v>6355.4487509999999</v>
      </c>
      <c r="Q7189">
        <v>256</v>
      </c>
      <c r="R7189">
        <v>0</v>
      </c>
    </row>
    <row r="7190" spans="1:18" x14ac:dyDescent="0.25">
      <c r="A7190">
        <v>6189</v>
      </c>
      <c r="B7190">
        <v>94</v>
      </c>
      <c r="C7190">
        <v>31400416</v>
      </c>
      <c r="D7190" t="s">
        <v>250</v>
      </c>
      <c r="E7190">
        <v>8.7520000000000007</v>
      </c>
      <c r="F7190" t="s">
        <v>21</v>
      </c>
      <c r="G7190" t="s">
        <v>26</v>
      </c>
      <c r="H7190" t="s">
        <v>19</v>
      </c>
      <c r="I7190">
        <v>24</v>
      </c>
      <c r="J7190" t="s">
        <v>20</v>
      </c>
      <c r="K7190" t="s">
        <v>27</v>
      </c>
      <c r="L7190" t="s">
        <v>75</v>
      </c>
      <c r="M7190" t="s">
        <v>76</v>
      </c>
      <c r="N7190">
        <v>38.769920999999997</v>
      </c>
      <c r="O7190">
        <v>-111.927886</v>
      </c>
      <c r="P7190">
        <v>6060.1035549999997</v>
      </c>
      <c r="Q7190">
        <v>1404</v>
      </c>
      <c r="R7190">
        <v>0</v>
      </c>
    </row>
    <row r="7191" spans="1:18" x14ac:dyDescent="0.25">
      <c r="A7191">
        <v>6190</v>
      </c>
      <c r="B7191">
        <v>94</v>
      </c>
      <c r="C7191">
        <v>31390333</v>
      </c>
      <c r="D7191" t="s">
        <v>184</v>
      </c>
      <c r="E7191">
        <v>8.7560000000000002</v>
      </c>
      <c r="F7191" t="s">
        <v>21</v>
      </c>
      <c r="G7191" t="s">
        <v>26</v>
      </c>
      <c r="H7191" t="s">
        <v>21</v>
      </c>
      <c r="I7191" t="s">
        <v>20</v>
      </c>
      <c r="J7191" t="s">
        <v>20</v>
      </c>
      <c r="K7191" t="s">
        <v>27</v>
      </c>
      <c r="L7191" t="s">
        <v>54</v>
      </c>
      <c r="M7191" t="s">
        <v>55</v>
      </c>
      <c r="N7191">
        <v>37.764719999999997</v>
      </c>
      <c r="O7191">
        <v>-113.05527499999999</v>
      </c>
      <c r="P7191">
        <v>5422.3258679999999</v>
      </c>
      <c r="Q7191">
        <v>1410</v>
      </c>
      <c r="R7191">
        <v>0</v>
      </c>
    </row>
    <row r="7192" spans="1:18" x14ac:dyDescent="0.25">
      <c r="A7192">
        <v>6191</v>
      </c>
      <c r="B7192">
        <v>94</v>
      </c>
      <c r="C7192">
        <v>1043560</v>
      </c>
      <c r="D7192" t="s">
        <v>171</v>
      </c>
      <c r="E7192">
        <v>8.76</v>
      </c>
      <c r="F7192" t="s">
        <v>19</v>
      </c>
      <c r="G7192" t="s">
        <v>20</v>
      </c>
      <c r="H7192" t="s">
        <v>21</v>
      </c>
      <c r="I7192" t="s">
        <v>20</v>
      </c>
      <c r="J7192" t="s">
        <v>20</v>
      </c>
      <c r="K7192" t="s">
        <v>31</v>
      </c>
      <c r="L7192" t="s">
        <v>362</v>
      </c>
      <c r="M7192" t="s">
        <v>79</v>
      </c>
      <c r="N7192">
        <v>40.699457000000002</v>
      </c>
      <c r="O7192">
        <v>-111.925748</v>
      </c>
      <c r="P7192">
        <v>4185.6412870000004</v>
      </c>
      <c r="Q7192">
        <v>346</v>
      </c>
      <c r="R7192">
        <v>0</v>
      </c>
    </row>
    <row r="7193" spans="1:18" x14ac:dyDescent="0.25">
      <c r="A7193">
        <v>6192</v>
      </c>
      <c r="B7193">
        <v>94</v>
      </c>
      <c r="C7193">
        <v>27868632</v>
      </c>
      <c r="D7193" t="s">
        <v>91</v>
      </c>
      <c r="E7193">
        <v>8.7639999999999993</v>
      </c>
      <c r="F7193" t="s">
        <v>21</v>
      </c>
      <c r="G7193" t="s">
        <v>26</v>
      </c>
      <c r="H7193" t="s">
        <v>21</v>
      </c>
      <c r="I7193" t="s">
        <v>20</v>
      </c>
      <c r="J7193" t="s">
        <v>20</v>
      </c>
      <c r="K7193" t="s">
        <v>41</v>
      </c>
      <c r="L7193" t="s">
        <v>42</v>
      </c>
      <c r="M7193" t="s">
        <v>73</v>
      </c>
      <c r="N7193">
        <v>41.731940000000002</v>
      </c>
      <c r="O7193">
        <v>-111.979167</v>
      </c>
      <c r="P7193">
        <v>4477.3429290000004</v>
      </c>
      <c r="Q7193">
        <v>1339</v>
      </c>
      <c r="R7193">
        <v>0</v>
      </c>
    </row>
    <row r="7194" spans="1:18" x14ac:dyDescent="0.25">
      <c r="A7194">
        <v>6193</v>
      </c>
      <c r="B7194">
        <v>94</v>
      </c>
      <c r="C7194" t="e">
        <f>-JOUVBBpIDXQk2tmujk4NV</f>
        <v>#NAME?</v>
      </c>
      <c r="D7194" t="s">
        <v>339</v>
      </c>
      <c r="E7194">
        <v>8.7739999999999991</v>
      </c>
      <c r="F7194" t="s">
        <v>21</v>
      </c>
      <c r="G7194" t="s">
        <v>20</v>
      </c>
      <c r="H7194" t="s">
        <v>21</v>
      </c>
      <c r="I7194" t="s">
        <v>20</v>
      </c>
      <c r="J7194" t="s">
        <v>20</v>
      </c>
      <c r="K7194" t="s">
        <v>41</v>
      </c>
      <c r="L7194" t="s">
        <v>95</v>
      </c>
      <c r="M7194" t="s">
        <v>73</v>
      </c>
      <c r="N7194">
        <v>41.917495000000002</v>
      </c>
      <c r="O7194">
        <v>-111.97229</v>
      </c>
      <c r="P7194">
        <v>4697.7334499999997</v>
      </c>
      <c r="Q7194">
        <v>1417</v>
      </c>
      <c r="R7194">
        <v>0</v>
      </c>
    </row>
    <row r="7195" spans="1:18" x14ac:dyDescent="0.25">
      <c r="A7195">
        <v>6194</v>
      </c>
      <c r="B7195">
        <v>94</v>
      </c>
      <c r="C7195">
        <v>31467977</v>
      </c>
      <c r="D7195" t="s">
        <v>213</v>
      </c>
      <c r="E7195">
        <v>8.7750000000000004</v>
      </c>
      <c r="F7195" t="s">
        <v>21</v>
      </c>
      <c r="G7195" t="s">
        <v>26</v>
      </c>
      <c r="H7195" t="s">
        <v>21</v>
      </c>
      <c r="I7195" t="s">
        <v>20</v>
      </c>
      <c r="J7195" t="s">
        <v>20</v>
      </c>
      <c r="K7195" t="s">
        <v>27</v>
      </c>
      <c r="L7195" t="s">
        <v>173</v>
      </c>
      <c r="M7195" t="s">
        <v>214</v>
      </c>
      <c r="N7195">
        <v>39.044677999999998</v>
      </c>
      <c r="O7195">
        <v>-113.88646799999999</v>
      </c>
      <c r="P7195">
        <v>4966.9069419999996</v>
      </c>
      <c r="Q7195">
        <v>1332</v>
      </c>
      <c r="R7195">
        <v>0</v>
      </c>
    </row>
    <row r="7196" spans="1:18" x14ac:dyDescent="0.25">
      <c r="A7196">
        <v>6195</v>
      </c>
      <c r="B7196">
        <v>94</v>
      </c>
      <c r="C7196">
        <v>540628</v>
      </c>
      <c r="D7196" t="s">
        <v>44</v>
      </c>
      <c r="E7196">
        <v>9.1489999999999991</v>
      </c>
      <c r="F7196" t="s">
        <v>21</v>
      </c>
      <c r="G7196" t="s">
        <v>26</v>
      </c>
      <c r="H7196" t="s">
        <v>21</v>
      </c>
      <c r="I7196" t="s">
        <v>20</v>
      </c>
      <c r="J7196" t="s">
        <v>20</v>
      </c>
      <c r="K7196" t="s">
        <v>41</v>
      </c>
      <c r="L7196" t="s">
        <v>87</v>
      </c>
      <c r="M7196" t="s">
        <v>46</v>
      </c>
      <c r="N7196">
        <v>41.000765000000001</v>
      </c>
      <c r="O7196">
        <v>-111.902766</v>
      </c>
      <c r="P7196">
        <v>4232.9377910000003</v>
      </c>
      <c r="Q7196">
        <v>1395</v>
      </c>
      <c r="R7196">
        <v>0</v>
      </c>
    </row>
    <row r="7197" spans="1:18" x14ac:dyDescent="0.25">
      <c r="A7197">
        <v>6196</v>
      </c>
      <c r="B7197">
        <v>94</v>
      </c>
      <c r="C7197">
        <v>1691076</v>
      </c>
      <c r="D7197" t="s">
        <v>100</v>
      </c>
      <c r="E7197">
        <v>9.15</v>
      </c>
      <c r="F7197" t="s">
        <v>21</v>
      </c>
      <c r="G7197" t="s">
        <v>26</v>
      </c>
      <c r="H7197" t="s">
        <v>21</v>
      </c>
      <c r="I7197" t="s">
        <v>20</v>
      </c>
      <c r="J7197" t="s">
        <v>20</v>
      </c>
      <c r="K7197" t="s">
        <v>41</v>
      </c>
      <c r="L7197" t="s">
        <v>57</v>
      </c>
      <c r="M7197" t="s">
        <v>46</v>
      </c>
      <c r="N7197">
        <v>41.163642000000003</v>
      </c>
      <c r="O7197">
        <v>-112.064425</v>
      </c>
      <c r="P7197">
        <v>4250.5839530000003</v>
      </c>
      <c r="Q7197">
        <v>1396</v>
      </c>
      <c r="R7197">
        <v>0</v>
      </c>
    </row>
    <row r="7198" spans="1:18" x14ac:dyDescent="0.25">
      <c r="A7198">
        <v>6197</v>
      </c>
      <c r="B7198">
        <v>94</v>
      </c>
      <c r="C7198">
        <v>27508548</v>
      </c>
      <c r="D7198" t="s">
        <v>96</v>
      </c>
      <c r="E7198">
        <v>9.1630000000000003</v>
      </c>
      <c r="F7198" t="s">
        <v>21</v>
      </c>
      <c r="G7198" t="s">
        <v>26</v>
      </c>
      <c r="H7198" t="s">
        <v>21</v>
      </c>
      <c r="I7198" t="s">
        <v>20</v>
      </c>
      <c r="J7198" t="s">
        <v>20</v>
      </c>
      <c r="K7198" t="s">
        <v>22</v>
      </c>
      <c r="L7198" t="s">
        <v>97</v>
      </c>
      <c r="M7198" t="s">
        <v>98</v>
      </c>
      <c r="N7198">
        <v>40.988503000000001</v>
      </c>
      <c r="O7198">
        <v>-109.699168</v>
      </c>
      <c r="P7198">
        <v>6157.4958040000001</v>
      </c>
      <c r="Q7198">
        <v>311</v>
      </c>
      <c r="R7198">
        <v>0</v>
      </c>
    </row>
    <row r="7199" spans="1:18" x14ac:dyDescent="0.25">
      <c r="A7199">
        <v>6198</v>
      </c>
      <c r="B7199">
        <v>94</v>
      </c>
      <c r="C7199">
        <v>1441481</v>
      </c>
      <c r="D7199" t="s">
        <v>304</v>
      </c>
      <c r="E7199">
        <v>9.1639999999999997</v>
      </c>
      <c r="F7199" t="s">
        <v>21</v>
      </c>
      <c r="G7199" t="s">
        <v>26</v>
      </c>
      <c r="H7199" t="s">
        <v>21</v>
      </c>
      <c r="I7199" t="s">
        <v>20</v>
      </c>
      <c r="J7199" t="s">
        <v>20</v>
      </c>
      <c r="K7199" t="s">
        <v>41</v>
      </c>
      <c r="L7199" t="s">
        <v>223</v>
      </c>
      <c r="M7199" t="s">
        <v>43</v>
      </c>
      <c r="N7199">
        <v>41.646113</v>
      </c>
      <c r="O7199">
        <v>-112.084605</v>
      </c>
      <c r="P7199">
        <v>4245.4145140000001</v>
      </c>
      <c r="Q7199">
        <v>1348</v>
      </c>
      <c r="R7199">
        <v>0</v>
      </c>
    </row>
    <row r="7200" spans="1:18" x14ac:dyDescent="0.25">
      <c r="A7200">
        <v>6199</v>
      </c>
      <c r="B7200">
        <v>94</v>
      </c>
      <c r="C7200">
        <v>31367555</v>
      </c>
      <c r="D7200" t="s">
        <v>229</v>
      </c>
      <c r="E7200">
        <v>9.1850000000000005</v>
      </c>
      <c r="F7200" t="s">
        <v>21</v>
      </c>
      <c r="G7200" t="s">
        <v>26</v>
      </c>
      <c r="H7200" t="s">
        <v>21</v>
      </c>
      <c r="I7200" t="s">
        <v>20</v>
      </c>
      <c r="J7200" t="s">
        <v>20</v>
      </c>
      <c r="K7200" t="s">
        <v>27</v>
      </c>
      <c r="L7200" t="s">
        <v>230</v>
      </c>
      <c r="M7200" t="s">
        <v>82</v>
      </c>
      <c r="N7200">
        <v>39.491627000000001</v>
      </c>
      <c r="O7200">
        <v>-111.49548900000001</v>
      </c>
      <c r="P7200">
        <v>5729.6972800000003</v>
      </c>
      <c r="Q7200">
        <v>331</v>
      </c>
      <c r="R7200">
        <v>0</v>
      </c>
    </row>
    <row r="7201" spans="1:18" x14ac:dyDescent="0.25">
      <c r="A7201">
        <v>6200</v>
      </c>
      <c r="B7201">
        <v>94</v>
      </c>
      <c r="C7201">
        <v>1043112</v>
      </c>
      <c r="D7201" t="s">
        <v>171</v>
      </c>
      <c r="E7201">
        <v>8.3930000000000007</v>
      </c>
      <c r="F7201" t="s">
        <v>21</v>
      </c>
      <c r="G7201" t="s">
        <v>26</v>
      </c>
      <c r="H7201" t="s">
        <v>21</v>
      </c>
      <c r="I7201" t="s">
        <v>20</v>
      </c>
      <c r="J7201" t="s">
        <v>20</v>
      </c>
      <c r="K7201" t="s">
        <v>31</v>
      </c>
      <c r="L7201" t="s">
        <v>362</v>
      </c>
      <c r="M7201" t="s">
        <v>79</v>
      </c>
      <c r="N7201">
        <v>40.698220999999997</v>
      </c>
      <c r="O7201">
        <v>-111.93240900000001</v>
      </c>
      <c r="P7201">
        <v>4187.5211339999996</v>
      </c>
      <c r="Q7201">
        <v>346</v>
      </c>
      <c r="R7201">
        <v>0</v>
      </c>
    </row>
    <row r="7202" spans="1:18" x14ac:dyDescent="0.25">
      <c r="A7202">
        <v>6201</v>
      </c>
      <c r="B7202">
        <v>94</v>
      </c>
      <c r="C7202">
        <v>31460687</v>
      </c>
      <c r="D7202" t="s">
        <v>331</v>
      </c>
      <c r="E7202">
        <v>8.3989999999999991</v>
      </c>
      <c r="F7202" t="s">
        <v>21</v>
      </c>
      <c r="G7202" t="s">
        <v>26</v>
      </c>
      <c r="H7202" t="s">
        <v>21</v>
      </c>
      <c r="I7202" t="s">
        <v>20</v>
      </c>
      <c r="J7202" t="s">
        <v>20</v>
      </c>
      <c r="K7202" t="s">
        <v>27</v>
      </c>
      <c r="L7202" t="s">
        <v>111</v>
      </c>
      <c r="M7202" t="s">
        <v>112</v>
      </c>
      <c r="N7202">
        <v>39.402721999999997</v>
      </c>
      <c r="O7202">
        <v>-110.852549</v>
      </c>
      <c r="P7202">
        <v>5742.749941</v>
      </c>
      <c r="Q7202">
        <v>1427</v>
      </c>
      <c r="R7202">
        <v>0</v>
      </c>
    </row>
    <row r="7203" spans="1:18" x14ac:dyDescent="0.25">
      <c r="A7203">
        <v>6202</v>
      </c>
      <c r="B7203">
        <v>94</v>
      </c>
      <c r="C7203">
        <v>31633161</v>
      </c>
      <c r="D7203" t="s">
        <v>227</v>
      </c>
      <c r="E7203">
        <v>8.4030000000000005</v>
      </c>
      <c r="F7203" t="s">
        <v>21</v>
      </c>
      <c r="G7203" t="s">
        <v>26</v>
      </c>
      <c r="H7203" t="s">
        <v>21</v>
      </c>
      <c r="I7203" t="s">
        <v>20</v>
      </c>
      <c r="J7203" t="s">
        <v>20</v>
      </c>
      <c r="K7203" t="s">
        <v>27</v>
      </c>
      <c r="L7203" t="s">
        <v>158</v>
      </c>
      <c r="M7203" t="s">
        <v>190</v>
      </c>
      <c r="N7203">
        <v>39.542324999999998</v>
      </c>
      <c r="O7203">
        <v>-110.41983999999999</v>
      </c>
      <c r="P7203">
        <v>6209.2721369999999</v>
      </c>
      <c r="Q7203">
        <v>1407</v>
      </c>
      <c r="R7203">
        <v>0</v>
      </c>
    </row>
    <row r="7204" spans="1:18" x14ac:dyDescent="0.25">
      <c r="A7204">
        <v>6203</v>
      </c>
      <c r="B7204">
        <v>94</v>
      </c>
      <c r="C7204">
        <v>1440852</v>
      </c>
      <c r="D7204" t="s">
        <v>304</v>
      </c>
      <c r="E7204">
        <v>8.4079999999999995</v>
      </c>
      <c r="F7204" t="s">
        <v>21</v>
      </c>
      <c r="G7204" t="s">
        <v>26</v>
      </c>
      <c r="H7204" t="s">
        <v>21</v>
      </c>
      <c r="I7204" t="s">
        <v>20</v>
      </c>
      <c r="J7204" t="s">
        <v>20</v>
      </c>
      <c r="K7204" t="s">
        <v>41</v>
      </c>
      <c r="L7204" t="s">
        <v>223</v>
      </c>
      <c r="M7204" t="s">
        <v>43</v>
      </c>
      <c r="N7204">
        <v>41.636425000000003</v>
      </c>
      <c r="O7204">
        <v>-112.07956299999999</v>
      </c>
      <c r="P7204">
        <v>4247.7350669999996</v>
      </c>
      <c r="Q7204">
        <v>1348</v>
      </c>
      <c r="R7204">
        <v>0</v>
      </c>
    </row>
    <row r="7205" spans="1:18" x14ac:dyDescent="0.25">
      <c r="A7205">
        <v>6204</v>
      </c>
      <c r="B7205">
        <v>94</v>
      </c>
      <c r="C7205" t="e">
        <f>-JYm3kUbFImt1Fve-Z8f6F</f>
        <v>#NAME?</v>
      </c>
      <c r="D7205" t="s">
        <v>220</v>
      </c>
      <c r="E7205">
        <v>52.438000000000002</v>
      </c>
      <c r="F7205" t="s">
        <v>21</v>
      </c>
      <c r="G7205" t="s">
        <v>26</v>
      </c>
      <c r="H7205" t="s">
        <v>21</v>
      </c>
      <c r="I7205" t="s">
        <v>20</v>
      </c>
      <c r="J7205" t="s">
        <v>20</v>
      </c>
      <c r="K7205" t="s">
        <v>27</v>
      </c>
      <c r="L7205" t="s">
        <v>28</v>
      </c>
      <c r="M7205" t="s">
        <v>366</v>
      </c>
      <c r="N7205">
        <v>37.742171999999997</v>
      </c>
      <c r="O7205">
        <v>-111.707824</v>
      </c>
      <c r="P7205">
        <v>6229.4359089999998</v>
      </c>
      <c r="Q7205">
        <v>1328</v>
      </c>
      <c r="R7205">
        <v>0</v>
      </c>
    </row>
    <row r="7206" spans="1:18" x14ac:dyDescent="0.25">
      <c r="A7206">
        <v>6205</v>
      </c>
      <c r="B7206">
        <v>94</v>
      </c>
      <c r="C7206">
        <v>28006793</v>
      </c>
      <c r="D7206" t="s">
        <v>281</v>
      </c>
      <c r="E7206">
        <v>52.454000000000001</v>
      </c>
      <c r="F7206" t="s">
        <v>21</v>
      </c>
      <c r="G7206" t="s">
        <v>26</v>
      </c>
      <c r="H7206" t="s">
        <v>21</v>
      </c>
      <c r="I7206" t="s">
        <v>20</v>
      </c>
      <c r="J7206" t="s">
        <v>20</v>
      </c>
      <c r="K7206" t="s">
        <v>31</v>
      </c>
      <c r="L7206" t="s">
        <v>282</v>
      </c>
      <c r="M7206" t="s">
        <v>174</v>
      </c>
      <c r="N7206">
        <v>40.509098000000002</v>
      </c>
      <c r="O7206">
        <v>-112.315718</v>
      </c>
      <c r="P7206">
        <v>5097.928167</v>
      </c>
      <c r="Q7206">
        <v>1347</v>
      </c>
      <c r="R7206">
        <v>0</v>
      </c>
    </row>
    <row r="7207" spans="1:18" x14ac:dyDescent="0.25">
      <c r="A7207">
        <v>6206</v>
      </c>
      <c r="B7207">
        <v>94</v>
      </c>
      <c r="C7207">
        <v>31630266</v>
      </c>
      <c r="D7207" t="s">
        <v>244</v>
      </c>
      <c r="E7207">
        <v>52.460999999999999</v>
      </c>
      <c r="F7207" t="s">
        <v>21</v>
      </c>
      <c r="G7207" t="s">
        <v>26</v>
      </c>
      <c r="H7207" t="s">
        <v>21</v>
      </c>
      <c r="I7207" t="s">
        <v>20</v>
      </c>
      <c r="J7207" t="s">
        <v>20</v>
      </c>
      <c r="K7207" t="s">
        <v>27</v>
      </c>
      <c r="L7207" t="s">
        <v>266</v>
      </c>
      <c r="M7207" t="s">
        <v>386</v>
      </c>
      <c r="N7207">
        <v>38.398045000000003</v>
      </c>
      <c r="O7207">
        <v>-111.642723</v>
      </c>
      <c r="P7207">
        <v>6981.1184599999997</v>
      </c>
      <c r="Q7207">
        <v>1340</v>
      </c>
      <c r="R7207">
        <v>0</v>
      </c>
    </row>
    <row r="7208" spans="1:18" x14ac:dyDescent="0.25">
      <c r="A7208">
        <v>6207</v>
      </c>
      <c r="B7208">
        <v>94</v>
      </c>
      <c r="C7208">
        <v>31495862</v>
      </c>
      <c r="D7208" t="s">
        <v>124</v>
      </c>
      <c r="E7208">
        <v>52.463000000000001</v>
      </c>
      <c r="F7208" t="s">
        <v>19</v>
      </c>
      <c r="G7208" t="s">
        <v>20</v>
      </c>
      <c r="H7208" t="s">
        <v>21</v>
      </c>
      <c r="I7208" t="s">
        <v>20</v>
      </c>
      <c r="J7208" t="s">
        <v>20</v>
      </c>
      <c r="K7208" t="s">
        <v>31</v>
      </c>
      <c r="L7208" t="s">
        <v>69</v>
      </c>
      <c r="M7208" t="s">
        <v>125</v>
      </c>
      <c r="N7208">
        <v>40.669831000000002</v>
      </c>
      <c r="O7208">
        <v>-111.93887100000001</v>
      </c>
      <c r="P7208">
        <v>4238.8478969999996</v>
      </c>
      <c r="Q7208">
        <v>1368</v>
      </c>
      <c r="R7208">
        <v>0</v>
      </c>
    </row>
    <row r="7209" spans="1:18" x14ac:dyDescent="0.25">
      <c r="A7209">
        <v>6208</v>
      </c>
      <c r="B7209">
        <v>94</v>
      </c>
      <c r="C7209">
        <v>31465626</v>
      </c>
      <c r="D7209" t="s">
        <v>319</v>
      </c>
      <c r="E7209">
        <v>52.470999999999997</v>
      </c>
      <c r="F7209" t="s">
        <v>21</v>
      </c>
      <c r="G7209" t="s">
        <v>26</v>
      </c>
      <c r="H7209" t="s">
        <v>21</v>
      </c>
      <c r="I7209" t="s">
        <v>20</v>
      </c>
      <c r="J7209" t="s">
        <v>20</v>
      </c>
      <c r="K7209" t="s">
        <v>27</v>
      </c>
      <c r="L7209" t="s">
        <v>54</v>
      </c>
      <c r="M7209" t="s">
        <v>55</v>
      </c>
      <c r="N7209">
        <v>37.658579000000003</v>
      </c>
      <c r="O7209">
        <v>-113.21659</v>
      </c>
      <c r="P7209">
        <v>5400.6689880000004</v>
      </c>
      <c r="Q7209">
        <v>314</v>
      </c>
      <c r="R7209">
        <v>0</v>
      </c>
    </row>
    <row r="7210" spans="1:18" x14ac:dyDescent="0.25">
      <c r="A7210">
        <v>6209</v>
      </c>
      <c r="B7210">
        <v>94</v>
      </c>
      <c r="C7210">
        <v>31483447</v>
      </c>
      <c r="D7210" t="s">
        <v>213</v>
      </c>
      <c r="E7210">
        <v>52.484999999999999</v>
      </c>
      <c r="F7210" t="s">
        <v>21</v>
      </c>
      <c r="G7210" t="s">
        <v>26</v>
      </c>
      <c r="H7210" t="s">
        <v>21</v>
      </c>
      <c r="I7210" t="s">
        <v>20</v>
      </c>
      <c r="J7210" t="s">
        <v>20</v>
      </c>
      <c r="K7210" t="s">
        <v>27</v>
      </c>
      <c r="L7210" t="s">
        <v>173</v>
      </c>
      <c r="M7210" t="s">
        <v>214</v>
      </c>
      <c r="N7210">
        <v>39.105736999999998</v>
      </c>
      <c r="O7210">
        <v>-113.14532</v>
      </c>
      <c r="P7210">
        <v>4478.40013</v>
      </c>
      <c r="Q7210">
        <v>1332</v>
      </c>
      <c r="R7210">
        <v>0</v>
      </c>
    </row>
    <row r="7211" spans="1:18" x14ac:dyDescent="0.25">
      <c r="A7211">
        <v>6210</v>
      </c>
      <c r="B7211">
        <v>94</v>
      </c>
      <c r="C7211">
        <v>31630277</v>
      </c>
      <c r="D7211" t="s">
        <v>244</v>
      </c>
      <c r="E7211">
        <v>52.545000000000002</v>
      </c>
      <c r="F7211" t="s">
        <v>21</v>
      </c>
      <c r="G7211" t="s">
        <v>26</v>
      </c>
      <c r="H7211" t="s">
        <v>21</v>
      </c>
      <c r="I7211" t="s">
        <v>20</v>
      </c>
      <c r="J7211" t="s">
        <v>20</v>
      </c>
      <c r="K7211" t="s">
        <v>27</v>
      </c>
      <c r="L7211" t="s">
        <v>266</v>
      </c>
      <c r="M7211" t="s">
        <v>386</v>
      </c>
      <c r="N7211">
        <v>38.397187000000002</v>
      </c>
      <c r="O7211">
        <v>-111.64165199999999</v>
      </c>
      <c r="P7211">
        <v>6977.6982029999999</v>
      </c>
      <c r="Q7211">
        <v>1340</v>
      </c>
      <c r="R7211">
        <v>0</v>
      </c>
    </row>
    <row r="7212" spans="1:18" x14ac:dyDescent="0.25">
      <c r="A7212">
        <v>6211</v>
      </c>
      <c r="B7212">
        <v>94</v>
      </c>
      <c r="C7212">
        <v>31506013</v>
      </c>
      <c r="D7212" t="s">
        <v>129</v>
      </c>
      <c r="E7212">
        <v>52.572000000000003</v>
      </c>
      <c r="F7212" t="s">
        <v>21</v>
      </c>
      <c r="G7212" t="s">
        <v>20</v>
      </c>
      <c r="H7212" t="s">
        <v>21</v>
      </c>
      <c r="I7212" t="s">
        <v>20</v>
      </c>
      <c r="J7212" t="s">
        <v>20</v>
      </c>
      <c r="K7212" t="s">
        <v>31</v>
      </c>
      <c r="L7212" t="s">
        <v>130</v>
      </c>
      <c r="M7212" t="s">
        <v>328</v>
      </c>
      <c r="N7212">
        <v>40.968361999999999</v>
      </c>
      <c r="O7212">
        <v>-110.84810899999999</v>
      </c>
      <c r="P7212">
        <v>7964.9834549999996</v>
      </c>
      <c r="Q7212">
        <v>340</v>
      </c>
      <c r="R7212">
        <v>0</v>
      </c>
    </row>
    <row r="7213" spans="1:18" x14ac:dyDescent="0.25">
      <c r="A7213">
        <v>6212</v>
      </c>
      <c r="B7213">
        <v>94</v>
      </c>
      <c r="C7213">
        <v>28007174</v>
      </c>
      <c r="D7213" t="s">
        <v>281</v>
      </c>
      <c r="E7213">
        <v>52.585000000000001</v>
      </c>
      <c r="F7213" t="s">
        <v>21</v>
      </c>
      <c r="G7213" t="s">
        <v>26</v>
      </c>
      <c r="H7213" t="s">
        <v>21</v>
      </c>
      <c r="I7213" t="s">
        <v>20</v>
      </c>
      <c r="J7213" t="s">
        <v>20</v>
      </c>
      <c r="K7213" t="s">
        <v>31</v>
      </c>
      <c r="L7213" t="s">
        <v>282</v>
      </c>
      <c r="M7213" t="s">
        <v>174</v>
      </c>
      <c r="N7213">
        <v>40.510449999999999</v>
      </c>
      <c r="O7213">
        <v>-112.313992</v>
      </c>
      <c r="P7213">
        <v>5100.8895560000001</v>
      </c>
      <c r="Q7213">
        <v>1347</v>
      </c>
      <c r="R7213">
        <v>0</v>
      </c>
    </row>
    <row r="7214" spans="1:18" x14ac:dyDescent="0.25">
      <c r="A7214">
        <v>6213</v>
      </c>
      <c r="B7214">
        <v>94</v>
      </c>
      <c r="C7214">
        <v>31630288</v>
      </c>
      <c r="D7214" t="s">
        <v>244</v>
      </c>
      <c r="E7214">
        <v>52.601999999999997</v>
      </c>
      <c r="F7214" t="s">
        <v>21</v>
      </c>
      <c r="G7214" t="s">
        <v>26</v>
      </c>
      <c r="H7214" t="s">
        <v>21</v>
      </c>
      <c r="I7214" t="s">
        <v>20</v>
      </c>
      <c r="J7214" t="s">
        <v>20</v>
      </c>
      <c r="K7214" t="s">
        <v>27</v>
      </c>
      <c r="L7214" t="s">
        <v>266</v>
      </c>
      <c r="M7214" t="s">
        <v>386</v>
      </c>
      <c r="N7214">
        <v>38.397105000000003</v>
      </c>
      <c r="O7214">
        <v>-111.640626</v>
      </c>
      <c r="P7214">
        <v>6975.9824660000004</v>
      </c>
      <c r="Q7214">
        <v>1340</v>
      </c>
      <c r="R7214">
        <v>0</v>
      </c>
    </row>
    <row r="7215" spans="1:18" x14ac:dyDescent="0.25">
      <c r="A7215">
        <v>6214</v>
      </c>
      <c r="B7215">
        <v>94</v>
      </c>
      <c r="C7215">
        <v>28649041</v>
      </c>
      <c r="D7215" t="s">
        <v>192</v>
      </c>
      <c r="E7215">
        <v>6.6280000000000001</v>
      </c>
      <c r="F7215" t="s">
        <v>21</v>
      </c>
      <c r="G7215" t="s">
        <v>26</v>
      </c>
      <c r="H7215" t="s">
        <v>21</v>
      </c>
      <c r="I7215" t="s">
        <v>20</v>
      </c>
      <c r="J7215" t="s">
        <v>20</v>
      </c>
      <c r="K7215" t="s">
        <v>22</v>
      </c>
      <c r="L7215" t="s">
        <v>140</v>
      </c>
      <c r="M7215" t="s">
        <v>125</v>
      </c>
      <c r="N7215">
        <v>40.161293999999998</v>
      </c>
      <c r="O7215">
        <v>-111.656998</v>
      </c>
      <c r="P7215">
        <v>4445.4278249999998</v>
      </c>
      <c r="Q7215">
        <v>1375</v>
      </c>
      <c r="R7215">
        <v>0</v>
      </c>
    </row>
    <row r="7216" spans="1:18" x14ac:dyDescent="0.25">
      <c r="A7216">
        <v>6215</v>
      </c>
      <c r="B7216">
        <v>94</v>
      </c>
      <c r="C7216">
        <v>27867828</v>
      </c>
      <c r="D7216" t="s">
        <v>91</v>
      </c>
      <c r="E7216">
        <v>7.101</v>
      </c>
      <c r="F7216" t="s">
        <v>21</v>
      </c>
      <c r="G7216" t="s">
        <v>26</v>
      </c>
      <c r="H7216" t="s">
        <v>21</v>
      </c>
      <c r="I7216" t="s">
        <v>20</v>
      </c>
      <c r="J7216" t="s">
        <v>20</v>
      </c>
      <c r="K7216" t="s">
        <v>41</v>
      </c>
      <c r="L7216" t="s">
        <v>42</v>
      </c>
      <c r="M7216" t="s">
        <v>73</v>
      </c>
      <c r="N7216">
        <v>41.707912999999998</v>
      </c>
      <c r="O7216">
        <v>-111.97927900000001</v>
      </c>
      <c r="P7216">
        <v>4463.3037109999996</v>
      </c>
      <c r="Q7216">
        <v>1339</v>
      </c>
      <c r="R7216">
        <v>0</v>
      </c>
    </row>
    <row r="7217" spans="1:18" x14ac:dyDescent="0.25">
      <c r="A7217">
        <v>6216</v>
      </c>
      <c r="B7217">
        <v>94</v>
      </c>
      <c r="C7217" t="e">
        <f>-IoIJklaGH9xc_YWskUjzF</f>
        <v>#NAME?</v>
      </c>
      <c r="D7217" t="s">
        <v>272</v>
      </c>
      <c r="E7217">
        <v>256.03100000000001</v>
      </c>
      <c r="F7217" t="s">
        <v>21</v>
      </c>
      <c r="G7217" t="s">
        <v>26</v>
      </c>
      <c r="H7217" t="s">
        <v>21</v>
      </c>
      <c r="I7217" t="s">
        <v>20</v>
      </c>
      <c r="J7217" t="s">
        <v>20</v>
      </c>
      <c r="K7217" t="s">
        <v>27</v>
      </c>
      <c r="L7217" t="s">
        <v>350</v>
      </c>
      <c r="M7217" t="s">
        <v>174</v>
      </c>
      <c r="N7217">
        <v>39.272399</v>
      </c>
      <c r="O7217">
        <v>-111.636554</v>
      </c>
      <c r="P7217">
        <v>5520.2866389999999</v>
      </c>
      <c r="Q7217">
        <v>1384</v>
      </c>
      <c r="R7217">
        <v>0</v>
      </c>
    </row>
    <row r="7218" spans="1:18" x14ac:dyDescent="0.25">
      <c r="A7218">
        <v>6217</v>
      </c>
      <c r="B7218">
        <v>94</v>
      </c>
      <c r="C7218">
        <v>27528870</v>
      </c>
      <c r="D7218" t="s">
        <v>157</v>
      </c>
      <c r="E7218">
        <v>2.2679999999999998</v>
      </c>
      <c r="F7218" t="s">
        <v>19</v>
      </c>
      <c r="G7218" t="s">
        <v>20</v>
      </c>
      <c r="H7218" t="s">
        <v>21</v>
      </c>
      <c r="I7218" t="s">
        <v>20</v>
      </c>
      <c r="J7218" t="s">
        <v>20</v>
      </c>
      <c r="K7218" t="s">
        <v>27</v>
      </c>
      <c r="L7218" t="s">
        <v>158</v>
      </c>
      <c r="M7218" t="s">
        <v>159</v>
      </c>
      <c r="N7218">
        <v>39.594875000000002</v>
      </c>
      <c r="O7218">
        <v>-110.790713</v>
      </c>
      <c r="P7218">
        <v>5503.1185219999998</v>
      </c>
      <c r="Q7218">
        <v>1360</v>
      </c>
      <c r="R7218">
        <v>0</v>
      </c>
    </row>
    <row r="7219" spans="1:18" x14ac:dyDescent="0.25">
      <c r="A7219">
        <v>6218</v>
      </c>
      <c r="B7219">
        <v>94</v>
      </c>
      <c r="C7219" t="e">
        <f>-IpPXToUII5aDY7tmCPG-V</f>
        <v>#NAME?</v>
      </c>
      <c r="D7219" t="s">
        <v>399</v>
      </c>
      <c r="E7219">
        <v>2.2679999999999998</v>
      </c>
      <c r="F7219" t="s">
        <v>21</v>
      </c>
      <c r="G7219" t="s">
        <v>20</v>
      </c>
      <c r="H7219" t="s">
        <v>21</v>
      </c>
      <c r="I7219" t="s">
        <v>20</v>
      </c>
      <c r="J7219" t="s">
        <v>20</v>
      </c>
      <c r="K7219" t="s">
        <v>27</v>
      </c>
      <c r="L7219" t="s">
        <v>400</v>
      </c>
      <c r="M7219" t="s">
        <v>166</v>
      </c>
      <c r="N7219">
        <v>38.610574</v>
      </c>
      <c r="O7219">
        <v>-112.59984</v>
      </c>
      <c r="P7219">
        <v>5875.3024969999997</v>
      </c>
      <c r="Q7219">
        <v>1431</v>
      </c>
      <c r="R7219">
        <v>0</v>
      </c>
    </row>
    <row r="7220" spans="1:18" x14ac:dyDescent="0.25">
      <c r="A7220">
        <v>6219</v>
      </c>
      <c r="B7220">
        <v>94</v>
      </c>
      <c r="C7220">
        <v>31759151</v>
      </c>
      <c r="D7220" t="s">
        <v>77</v>
      </c>
      <c r="E7220">
        <v>2.2679999999999998</v>
      </c>
      <c r="F7220" t="s">
        <v>21</v>
      </c>
      <c r="G7220" t="s">
        <v>26</v>
      </c>
      <c r="H7220" t="s">
        <v>21</v>
      </c>
      <c r="I7220" t="s">
        <v>20</v>
      </c>
      <c r="J7220" t="s">
        <v>20</v>
      </c>
      <c r="K7220" t="s">
        <v>31</v>
      </c>
      <c r="L7220" t="s">
        <v>78</v>
      </c>
      <c r="M7220" t="s">
        <v>79</v>
      </c>
      <c r="N7220">
        <v>40.671550000000003</v>
      </c>
      <c r="O7220">
        <v>-112.024709</v>
      </c>
      <c r="P7220">
        <v>4506.3073670000003</v>
      </c>
      <c r="Q7220">
        <v>1436</v>
      </c>
      <c r="R7220">
        <v>0</v>
      </c>
    </row>
    <row r="7221" spans="1:18" x14ac:dyDescent="0.25">
      <c r="A7221">
        <v>6220</v>
      </c>
      <c r="B7221">
        <v>94</v>
      </c>
      <c r="C7221">
        <v>554957</v>
      </c>
      <c r="D7221" t="s">
        <v>115</v>
      </c>
      <c r="E7221">
        <v>2.2690000000000001</v>
      </c>
      <c r="F7221" t="s">
        <v>21</v>
      </c>
      <c r="G7221" t="s">
        <v>26</v>
      </c>
      <c r="H7221" t="s">
        <v>21</v>
      </c>
      <c r="I7221" t="s">
        <v>20</v>
      </c>
      <c r="J7221" t="s">
        <v>20</v>
      </c>
      <c r="K7221" t="s">
        <v>31</v>
      </c>
      <c r="L7221" t="s">
        <v>48</v>
      </c>
      <c r="M7221" t="s">
        <v>70</v>
      </c>
      <c r="N7221">
        <v>40.653075999999999</v>
      </c>
      <c r="O7221">
        <v>-112.033738</v>
      </c>
      <c r="P7221">
        <v>4815.9749519999996</v>
      </c>
      <c r="Q7221">
        <v>1437</v>
      </c>
      <c r="R7221">
        <v>0</v>
      </c>
    </row>
    <row r="7222" spans="1:18" x14ac:dyDescent="0.25">
      <c r="A7222">
        <v>6221</v>
      </c>
      <c r="B7222">
        <v>94</v>
      </c>
      <c r="C7222">
        <v>967694</v>
      </c>
      <c r="D7222" t="s">
        <v>175</v>
      </c>
      <c r="E7222">
        <v>2.2719999999999998</v>
      </c>
      <c r="F7222" t="s">
        <v>21</v>
      </c>
      <c r="G7222" t="s">
        <v>26</v>
      </c>
      <c r="H7222" t="s">
        <v>21</v>
      </c>
      <c r="I7222" t="s">
        <v>20</v>
      </c>
      <c r="J7222" t="s">
        <v>20</v>
      </c>
      <c r="K7222" t="s">
        <v>41</v>
      </c>
      <c r="L7222" t="s">
        <v>87</v>
      </c>
      <c r="M7222" t="s">
        <v>93</v>
      </c>
      <c r="N7222">
        <v>41.064476999999997</v>
      </c>
      <c r="O7222">
        <v>-111.923616</v>
      </c>
      <c r="P7222">
        <v>4625.4915360000005</v>
      </c>
      <c r="Q7222">
        <v>1397</v>
      </c>
      <c r="R7222">
        <v>0</v>
      </c>
    </row>
    <row r="7223" spans="1:18" x14ac:dyDescent="0.25">
      <c r="A7223">
        <v>6222</v>
      </c>
      <c r="B7223">
        <v>94</v>
      </c>
      <c r="C7223">
        <v>1368494</v>
      </c>
      <c r="D7223" t="s">
        <v>100</v>
      </c>
      <c r="E7223">
        <v>2.2759999999999998</v>
      </c>
      <c r="F7223" t="s">
        <v>19</v>
      </c>
      <c r="G7223" t="s">
        <v>20</v>
      </c>
      <c r="H7223" t="s">
        <v>21</v>
      </c>
      <c r="I7223" t="s">
        <v>20</v>
      </c>
      <c r="J7223" t="s">
        <v>20</v>
      </c>
      <c r="K7223" t="s">
        <v>41</v>
      </c>
      <c r="L7223" t="s">
        <v>57</v>
      </c>
      <c r="M7223" t="s">
        <v>46</v>
      </c>
      <c r="N7223">
        <v>41.089236</v>
      </c>
      <c r="O7223">
        <v>-112.031446</v>
      </c>
      <c r="P7223">
        <v>4314.7451810000002</v>
      </c>
      <c r="Q7223">
        <v>1396</v>
      </c>
      <c r="R7223">
        <v>0</v>
      </c>
    </row>
    <row r="7224" spans="1:18" x14ac:dyDescent="0.25">
      <c r="A7224">
        <v>6223</v>
      </c>
      <c r="B7224">
        <v>94</v>
      </c>
      <c r="C7224">
        <v>28866147</v>
      </c>
      <c r="D7224" t="s">
        <v>18</v>
      </c>
      <c r="E7224">
        <v>2.2759999999999998</v>
      </c>
      <c r="F7224" t="s">
        <v>19</v>
      </c>
      <c r="G7224" t="s">
        <v>20</v>
      </c>
      <c r="H7224" t="s">
        <v>19</v>
      </c>
      <c r="I7224">
        <v>89</v>
      </c>
      <c r="J7224" t="s">
        <v>20</v>
      </c>
      <c r="K7224" t="s">
        <v>22</v>
      </c>
      <c r="L7224" t="s">
        <v>23</v>
      </c>
      <c r="M7224" t="s">
        <v>24</v>
      </c>
      <c r="N7224">
        <v>40.273392999999999</v>
      </c>
      <c r="O7224">
        <v>-111.68456399999999</v>
      </c>
      <c r="P7224">
        <v>4690.383108</v>
      </c>
      <c r="Q7224">
        <v>1281</v>
      </c>
      <c r="R7224">
        <v>0</v>
      </c>
    </row>
    <row r="7225" spans="1:18" x14ac:dyDescent="0.25">
      <c r="A7225">
        <v>6224</v>
      </c>
      <c r="B7225">
        <v>94</v>
      </c>
      <c r="C7225" t="e">
        <f>-Ip9QOKcFuaFObLDqFjadV</f>
        <v>#NAME?</v>
      </c>
      <c r="D7225" t="s">
        <v>34</v>
      </c>
      <c r="E7225">
        <v>2.2789999999999999</v>
      </c>
      <c r="F7225" t="s">
        <v>21</v>
      </c>
      <c r="G7225" t="s">
        <v>20</v>
      </c>
      <c r="H7225" t="s">
        <v>21</v>
      </c>
      <c r="I7225" t="s">
        <v>20</v>
      </c>
      <c r="J7225" t="s">
        <v>20</v>
      </c>
      <c r="K7225" t="s">
        <v>22</v>
      </c>
      <c r="L7225" t="s">
        <v>35</v>
      </c>
      <c r="M7225" t="s">
        <v>36</v>
      </c>
      <c r="N7225">
        <v>40.488604000000002</v>
      </c>
      <c r="O7225">
        <v>-111.471963</v>
      </c>
      <c r="P7225">
        <v>5391.3027789999996</v>
      </c>
      <c r="Q7225">
        <v>1400</v>
      </c>
      <c r="R7225">
        <v>0</v>
      </c>
    </row>
    <row r="7226" spans="1:18" x14ac:dyDescent="0.25">
      <c r="A7226">
        <v>6225</v>
      </c>
      <c r="B7226">
        <v>94</v>
      </c>
      <c r="C7226">
        <v>31791005</v>
      </c>
      <c r="D7226" t="s">
        <v>61</v>
      </c>
      <c r="E7226">
        <v>2.2799999999999998</v>
      </c>
      <c r="F7226" t="s">
        <v>21</v>
      </c>
      <c r="G7226" t="s">
        <v>26</v>
      </c>
      <c r="H7226" t="s">
        <v>21</v>
      </c>
      <c r="I7226" t="s">
        <v>20</v>
      </c>
      <c r="J7226" t="s">
        <v>20</v>
      </c>
      <c r="K7226" t="s">
        <v>22</v>
      </c>
      <c r="L7226" t="s">
        <v>23</v>
      </c>
      <c r="M7226" t="s">
        <v>62</v>
      </c>
      <c r="N7226">
        <v>40.239074000000002</v>
      </c>
      <c r="O7226">
        <v>-111.65867299999999</v>
      </c>
      <c r="P7226">
        <v>4504.6736099999998</v>
      </c>
      <c r="Q7226">
        <v>403</v>
      </c>
      <c r="R7226">
        <v>0</v>
      </c>
    </row>
    <row r="7227" spans="1:18" x14ac:dyDescent="0.25">
      <c r="A7227">
        <v>6226</v>
      </c>
      <c r="B7227">
        <v>94</v>
      </c>
      <c r="C7227">
        <v>31565382</v>
      </c>
      <c r="D7227" t="s">
        <v>80</v>
      </c>
      <c r="E7227">
        <v>2.2850000000000001</v>
      </c>
      <c r="F7227" t="s">
        <v>21</v>
      </c>
      <c r="G7227" t="s">
        <v>26</v>
      </c>
      <c r="H7227" t="s">
        <v>21</v>
      </c>
      <c r="I7227" t="s">
        <v>20</v>
      </c>
      <c r="J7227" t="s">
        <v>20</v>
      </c>
      <c r="K7227" t="s">
        <v>41</v>
      </c>
      <c r="L7227" t="s">
        <v>81</v>
      </c>
      <c r="M7227" t="s">
        <v>82</v>
      </c>
      <c r="N7227">
        <v>41.229228999999997</v>
      </c>
      <c r="O7227">
        <v>-111.982827</v>
      </c>
      <c r="P7227">
        <v>4233.8374819999999</v>
      </c>
      <c r="Q7227">
        <v>1393</v>
      </c>
      <c r="R7227">
        <v>0</v>
      </c>
    </row>
    <row r="7228" spans="1:18" x14ac:dyDescent="0.25">
      <c r="A7228">
        <v>6227</v>
      </c>
      <c r="B7228">
        <v>94</v>
      </c>
      <c r="C7228">
        <v>27343945</v>
      </c>
      <c r="D7228" t="s">
        <v>185</v>
      </c>
      <c r="E7228">
        <v>2.2850000000000001</v>
      </c>
      <c r="F7228" t="s">
        <v>21</v>
      </c>
      <c r="G7228" t="s">
        <v>26</v>
      </c>
      <c r="H7228" t="s">
        <v>21</v>
      </c>
      <c r="I7228" t="s">
        <v>20</v>
      </c>
      <c r="J7228" t="s">
        <v>20</v>
      </c>
      <c r="K7228" t="s">
        <v>41</v>
      </c>
      <c r="L7228" t="s">
        <v>57</v>
      </c>
      <c r="M7228" t="s">
        <v>58</v>
      </c>
      <c r="N7228">
        <v>41.139879000000001</v>
      </c>
      <c r="O7228">
        <v>-112.069999</v>
      </c>
      <c r="P7228">
        <v>4268.1993039999998</v>
      </c>
      <c r="Q7228">
        <v>309</v>
      </c>
      <c r="R7228">
        <v>0</v>
      </c>
    </row>
    <row r="7229" spans="1:18" x14ac:dyDescent="0.25">
      <c r="A7229">
        <v>6228</v>
      </c>
      <c r="B7229">
        <v>94</v>
      </c>
      <c r="C7229">
        <v>31554891</v>
      </c>
      <c r="D7229" t="s">
        <v>102</v>
      </c>
      <c r="E7229">
        <v>2.2869999999999999</v>
      </c>
      <c r="F7229" t="s">
        <v>21</v>
      </c>
      <c r="G7229" t="s">
        <v>26</v>
      </c>
      <c r="H7229" t="s">
        <v>21</v>
      </c>
      <c r="I7229" t="s">
        <v>20</v>
      </c>
      <c r="J7229" t="s">
        <v>20</v>
      </c>
      <c r="K7229" t="s">
        <v>27</v>
      </c>
      <c r="L7229" t="s">
        <v>103</v>
      </c>
      <c r="M7229" t="s">
        <v>104</v>
      </c>
      <c r="N7229">
        <v>38.278250999999997</v>
      </c>
      <c r="O7229">
        <v>-112.641291</v>
      </c>
      <c r="P7229">
        <v>5838.4028639999997</v>
      </c>
      <c r="Q7229">
        <v>1430</v>
      </c>
      <c r="R7229">
        <v>0</v>
      </c>
    </row>
    <row r="7230" spans="1:18" x14ac:dyDescent="0.25">
      <c r="A7230">
        <v>6229</v>
      </c>
      <c r="B7230">
        <v>94</v>
      </c>
      <c r="C7230">
        <v>31597973</v>
      </c>
      <c r="D7230" t="s">
        <v>50</v>
      </c>
      <c r="E7230">
        <v>2.29</v>
      </c>
      <c r="F7230" t="s">
        <v>21</v>
      </c>
      <c r="G7230" t="s">
        <v>26</v>
      </c>
      <c r="H7230" t="s">
        <v>21</v>
      </c>
      <c r="I7230" t="s">
        <v>20</v>
      </c>
      <c r="J7230" t="s">
        <v>20</v>
      </c>
      <c r="K7230" t="s">
        <v>27</v>
      </c>
      <c r="L7230" t="s">
        <v>51</v>
      </c>
      <c r="M7230" t="s">
        <v>52</v>
      </c>
      <c r="N7230">
        <v>37.838881999999998</v>
      </c>
      <c r="O7230">
        <v>-112.829947</v>
      </c>
      <c r="P7230">
        <v>5950.5118940000002</v>
      </c>
      <c r="Q7230">
        <v>1418</v>
      </c>
      <c r="R7230">
        <v>0</v>
      </c>
    </row>
    <row r="7231" spans="1:18" x14ac:dyDescent="0.25">
      <c r="A7231">
        <v>6230</v>
      </c>
      <c r="B7231">
        <v>94</v>
      </c>
      <c r="C7231">
        <v>1239062</v>
      </c>
      <c r="D7231" t="s">
        <v>189</v>
      </c>
      <c r="E7231">
        <v>2.2909999999999999</v>
      </c>
      <c r="F7231" t="s">
        <v>19</v>
      </c>
      <c r="G7231" t="s">
        <v>20</v>
      </c>
      <c r="H7231" t="s">
        <v>21</v>
      </c>
      <c r="I7231" t="s">
        <v>20</v>
      </c>
      <c r="J7231" t="s">
        <v>20</v>
      </c>
      <c r="K7231" t="s">
        <v>41</v>
      </c>
      <c r="L7231" t="s">
        <v>81</v>
      </c>
      <c r="M7231" t="s">
        <v>190</v>
      </c>
      <c r="N7231">
        <v>41.186348000000002</v>
      </c>
      <c r="O7231">
        <v>-111.949032</v>
      </c>
      <c r="P7231">
        <v>4644.7175310000002</v>
      </c>
      <c r="Q7231">
        <v>412</v>
      </c>
      <c r="R7231">
        <v>0</v>
      </c>
    </row>
    <row r="7232" spans="1:18" x14ac:dyDescent="0.25">
      <c r="A7232">
        <v>6231</v>
      </c>
      <c r="B7232">
        <v>94</v>
      </c>
      <c r="C7232">
        <v>1103004</v>
      </c>
      <c r="D7232" t="s">
        <v>195</v>
      </c>
      <c r="E7232">
        <v>2.2909999999999999</v>
      </c>
      <c r="F7232" t="s">
        <v>21</v>
      </c>
      <c r="G7232" t="s">
        <v>26</v>
      </c>
      <c r="H7232" t="s">
        <v>21</v>
      </c>
      <c r="I7232" t="s">
        <v>20</v>
      </c>
      <c r="J7232" t="s">
        <v>20</v>
      </c>
      <c r="K7232" t="s">
        <v>41</v>
      </c>
      <c r="L7232" t="s">
        <v>57</v>
      </c>
      <c r="M7232" t="s">
        <v>190</v>
      </c>
      <c r="N7232">
        <v>41.089174999999997</v>
      </c>
      <c r="O7232">
        <v>-112.068737</v>
      </c>
      <c r="P7232">
        <v>4220.2406970000002</v>
      </c>
      <c r="Q7232">
        <v>334</v>
      </c>
      <c r="R7232">
        <v>0</v>
      </c>
    </row>
    <row r="7233" spans="1:18" x14ac:dyDescent="0.25">
      <c r="A7233">
        <v>6232</v>
      </c>
      <c r="B7233">
        <v>94</v>
      </c>
      <c r="C7233">
        <v>27132147</v>
      </c>
      <c r="D7233" t="s">
        <v>351</v>
      </c>
      <c r="E7233">
        <v>2.294</v>
      </c>
      <c r="F7233" t="s">
        <v>21</v>
      </c>
      <c r="G7233" t="s">
        <v>26</v>
      </c>
      <c r="H7233" t="s">
        <v>21</v>
      </c>
      <c r="I7233" t="s">
        <v>20</v>
      </c>
      <c r="J7233" t="s">
        <v>20</v>
      </c>
      <c r="K7233" t="s">
        <v>22</v>
      </c>
      <c r="L7233" t="s">
        <v>140</v>
      </c>
      <c r="M7233" t="s">
        <v>125</v>
      </c>
      <c r="N7233">
        <v>40.143281999999999</v>
      </c>
      <c r="O7233">
        <v>-111.611577</v>
      </c>
      <c r="P7233">
        <v>4545.1253580000002</v>
      </c>
      <c r="Q7233">
        <v>1357</v>
      </c>
      <c r="R7233">
        <v>0</v>
      </c>
    </row>
    <row r="7234" spans="1:18" x14ac:dyDescent="0.25">
      <c r="A7234">
        <v>6233</v>
      </c>
      <c r="B7234">
        <v>94</v>
      </c>
      <c r="C7234">
        <v>31749066</v>
      </c>
      <c r="D7234" t="s">
        <v>156</v>
      </c>
      <c r="E7234">
        <v>2.2989999999999999</v>
      </c>
      <c r="F7234" t="s">
        <v>21</v>
      </c>
      <c r="G7234" t="s">
        <v>26</v>
      </c>
      <c r="H7234" t="s">
        <v>21</v>
      </c>
      <c r="I7234" t="s">
        <v>20</v>
      </c>
      <c r="J7234" t="s">
        <v>20</v>
      </c>
      <c r="K7234" t="s">
        <v>41</v>
      </c>
      <c r="L7234" t="s">
        <v>81</v>
      </c>
      <c r="M7234" t="s">
        <v>93</v>
      </c>
      <c r="N7234">
        <v>41.292726000000002</v>
      </c>
      <c r="O7234">
        <v>-111.96898899999999</v>
      </c>
      <c r="P7234">
        <v>4299.2602999999999</v>
      </c>
      <c r="Q7234">
        <v>424</v>
      </c>
      <c r="R7234">
        <v>0</v>
      </c>
    </row>
    <row r="7235" spans="1:18" x14ac:dyDescent="0.25">
      <c r="A7235">
        <v>6234</v>
      </c>
      <c r="B7235">
        <v>94</v>
      </c>
      <c r="C7235">
        <v>27881429</v>
      </c>
      <c r="D7235" t="s">
        <v>91</v>
      </c>
      <c r="E7235">
        <v>26.779</v>
      </c>
      <c r="F7235" t="s">
        <v>21</v>
      </c>
      <c r="G7235" t="s">
        <v>26</v>
      </c>
      <c r="H7235" t="s">
        <v>21</v>
      </c>
      <c r="I7235" t="s">
        <v>20</v>
      </c>
      <c r="J7235" t="s">
        <v>20</v>
      </c>
      <c r="K7235" t="s">
        <v>41</v>
      </c>
      <c r="L7235" t="s">
        <v>95</v>
      </c>
      <c r="M7235" t="s">
        <v>73</v>
      </c>
      <c r="N7235">
        <v>41.953553999999997</v>
      </c>
      <c r="O7235">
        <v>-111.953917</v>
      </c>
      <c r="P7235">
        <v>4420.279415</v>
      </c>
      <c r="Q7235">
        <v>1339</v>
      </c>
      <c r="R7235">
        <v>0</v>
      </c>
    </row>
    <row r="7236" spans="1:18" x14ac:dyDescent="0.25">
      <c r="A7236">
        <v>6235</v>
      </c>
      <c r="B7236">
        <v>94</v>
      </c>
      <c r="C7236">
        <v>27719388</v>
      </c>
      <c r="D7236" t="s">
        <v>217</v>
      </c>
      <c r="E7236">
        <v>26.783000000000001</v>
      </c>
      <c r="F7236" t="s">
        <v>21</v>
      </c>
      <c r="G7236" t="s">
        <v>26</v>
      </c>
      <c r="H7236" t="s">
        <v>21</v>
      </c>
      <c r="I7236" t="s">
        <v>20</v>
      </c>
      <c r="J7236" t="s">
        <v>20</v>
      </c>
      <c r="K7236" t="s">
        <v>27</v>
      </c>
      <c r="L7236" t="s">
        <v>162</v>
      </c>
      <c r="M7236" t="s">
        <v>163</v>
      </c>
      <c r="N7236">
        <v>37.417022000000003</v>
      </c>
      <c r="O7236">
        <v>-113.632025</v>
      </c>
      <c r="P7236">
        <v>5137.4059740000002</v>
      </c>
      <c r="Q7236">
        <v>304</v>
      </c>
      <c r="R7236">
        <v>0</v>
      </c>
    </row>
    <row r="7237" spans="1:18" x14ac:dyDescent="0.25">
      <c r="A7237">
        <v>6236</v>
      </c>
      <c r="B7237">
        <v>94</v>
      </c>
      <c r="C7237">
        <v>28155953</v>
      </c>
      <c r="D7237" t="s">
        <v>220</v>
      </c>
      <c r="E7237">
        <v>26.789000000000001</v>
      </c>
      <c r="F7237" t="s">
        <v>21</v>
      </c>
      <c r="G7237" t="s">
        <v>26</v>
      </c>
      <c r="H7237" t="s">
        <v>21</v>
      </c>
      <c r="I7237" t="s">
        <v>20</v>
      </c>
      <c r="J7237" t="s">
        <v>20</v>
      </c>
      <c r="K7237" t="s">
        <v>27</v>
      </c>
      <c r="L7237" t="s">
        <v>28</v>
      </c>
      <c r="M7237" t="s">
        <v>29</v>
      </c>
      <c r="N7237">
        <v>37.563268000000001</v>
      </c>
      <c r="O7237">
        <v>-112.03475</v>
      </c>
      <c r="P7237">
        <v>5861.586695</v>
      </c>
      <c r="Q7237">
        <v>1328</v>
      </c>
      <c r="R7237">
        <v>0</v>
      </c>
    </row>
    <row r="7238" spans="1:18" x14ac:dyDescent="0.25">
      <c r="A7238">
        <v>6237</v>
      </c>
      <c r="B7238">
        <v>94</v>
      </c>
      <c r="C7238">
        <v>31817114</v>
      </c>
      <c r="D7238" t="s">
        <v>290</v>
      </c>
      <c r="E7238">
        <v>23.905999999999999</v>
      </c>
      <c r="F7238" t="s">
        <v>21</v>
      </c>
      <c r="G7238" t="s">
        <v>20</v>
      </c>
      <c r="H7238" t="s">
        <v>21</v>
      </c>
      <c r="I7238" t="s">
        <v>20</v>
      </c>
      <c r="J7238" t="s">
        <v>20</v>
      </c>
      <c r="K7238" t="s">
        <v>41</v>
      </c>
      <c r="L7238" t="s">
        <v>291</v>
      </c>
      <c r="M7238" t="s">
        <v>238</v>
      </c>
      <c r="N7238">
        <v>41.487005000000003</v>
      </c>
      <c r="O7238">
        <v>-113.622765</v>
      </c>
      <c r="P7238">
        <v>4620.0722770000002</v>
      </c>
      <c r="Q7238">
        <v>1343</v>
      </c>
      <c r="R7238">
        <v>0</v>
      </c>
    </row>
    <row r="7239" spans="1:18" x14ac:dyDescent="0.25">
      <c r="A7239">
        <v>6238</v>
      </c>
      <c r="B7239">
        <v>94</v>
      </c>
      <c r="C7239">
        <v>31517821</v>
      </c>
      <c r="D7239" t="s">
        <v>132</v>
      </c>
      <c r="E7239">
        <v>23.983000000000001</v>
      </c>
      <c r="F7239" t="s">
        <v>21</v>
      </c>
      <c r="G7239" t="s">
        <v>26</v>
      </c>
      <c r="H7239" t="s">
        <v>21</v>
      </c>
      <c r="I7239" t="s">
        <v>20</v>
      </c>
      <c r="J7239" t="s">
        <v>20</v>
      </c>
      <c r="K7239" t="s">
        <v>22</v>
      </c>
      <c r="L7239" t="s">
        <v>133</v>
      </c>
      <c r="M7239" t="s">
        <v>134</v>
      </c>
      <c r="N7239">
        <v>40.403756000000001</v>
      </c>
      <c r="O7239">
        <v>-109.793295</v>
      </c>
      <c r="P7239">
        <v>5509.3796460000003</v>
      </c>
      <c r="Q7239">
        <v>1405</v>
      </c>
      <c r="R7239">
        <v>0</v>
      </c>
    </row>
    <row r="7240" spans="1:18" x14ac:dyDescent="0.25">
      <c r="A7240">
        <v>6239</v>
      </c>
      <c r="B7240">
        <v>94</v>
      </c>
      <c r="C7240" t="e">
        <f>-JYLD1lqIY92V1_6l9fqjV</f>
        <v>#NAME?</v>
      </c>
      <c r="D7240" t="s">
        <v>61</v>
      </c>
      <c r="E7240">
        <v>23.995999999999999</v>
      </c>
      <c r="F7240" t="s">
        <v>21</v>
      </c>
      <c r="G7240" t="s">
        <v>26</v>
      </c>
      <c r="H7240" t="s">
        <v>21</v>
      </c>
      <c r="I7240" t="s">
        <v>20</v>
      </c>
      <c r="J7240" t="s">
        <v>20</v>
      </c>
      <c r="K7240" t="s">
        <v>22</v>
      </c>
      <c r="L7240" t="s">
        <v>60</v>
      </c>
      <c r="M7240" t="s">
        <v>328</v>
      </c>
      <c r="N7240">
        <v>40.445951999999998</v>
      </c>
      <c r="O7240">
        <v>-111.477092</v>
      </c>
      <c r="P7240">
        <v>5379.6727689999998</v>
      </c>
      <c r="Q7240">
        <v>403</v>
      </c>
      <c r="R7240">
        <v>0</v>
      </c>
    </row>
    <row r="7241" spans="1:18" x14ac:dyDescent="0.25">
      <c r="A7241">
        <v>6240</v>
      </c>
      <c r="B7241">
        <v>94</v>
      </c>
      <c r="C7241" t="s">
        <v>862</v>
      </c>
      <c r="D7241" t="s">
        <v>272</v>
      </c>
      <c r="E7241">
        <v>230.03399999999999</v>
      </c>
      <c r="F7241" t="s">
        <v>21</v>
      </c>
      <c r="G7241" t="s">
        <v>20</v>
      </c>
      <c r="H7241" t="s">
        <v>21</v>
      </c>
      <c r="I7241" t="s">
        <v>20</v>
      </c>
      <c r="J7241" t="s">
        <v>20</v>
      </c>
      <c r="K7241" t="s">
        <v>27</v>
      </c>
      <c r="L7241" t="s">
        <v>183</v>
      </c>
      <c r="M7241" t="s">
        <v>174</v>
      </c>
      <c r="N7241">
        <v>38.996791999999999</v>
      </c>
      <c r="O7241">
        <v>-111.843422</v>
      </c>
      <c r="P7241">
        <v>5052.5056729999997</v>
      </c>
      <c r="Q7241">
        <v>1384</v>
      </c>
      <c r="R7241">
        <v>0</v>
      </c>
    </row>
    <row r="7242" spans="1:18" x14ac:dyDescent="0.25">
      <c r="A7242">
        <v>6241</v>
      </c>
      <c r="B7242">
        <v>94</v>
      </c>
      <c r="C7242">
        <v>31722226</v>
      </c>
      <c r="D7242" t="s">
        <v>245</v>
      </c>
      <c r="E7242">
        <v>26.538</v>
      </c>
      <c r="F7242" t="s">
        <v>21</v>
      </c>
      <c r="G7242" t="s">
        <v>20</v>
      </c>
      <c r="H7242" t="s">
        <v>21</v>
      </c>
      <c r="I7242" t="s">
        <v>20</v>
      </c>
      <c r="J7242" t="s">
        <v>20</v>
      </c>
      <c r="K7242" t="s">
        <v>22</v>
      </c>
      <c r="L7242" t="s">
        <v>97</v>
      </c>
      <c r="M7242" t="s">
        <v>98</v>
      </c>
      <c r="N7242">
        <v>40.969563000000001</v>
      </c>
      <c r="O7242">
        <v>-109.714333</v>
      </c>
      <c r="P7242">
        <v>6315.8959930000001</v>
      </c>
      <c r="Q7242">
        <v>1353</v>
      </c>
      <c r="R7242">
        <v>0</v>
      </c>
    </row>
    <row r="7243" spans="1:18" x14ac:dyDescent="0.25">
      <c r="A7243">
        <v>6242</v>
      </c>
      <c r="B7243">
        <v>94</v>
      </c>
      <c r="C7243">
        <v>27719190</v>
      </c>
      <c r="D7243" t="s">
        <v>217</v>
      </c>
      <c r="E7243">
        <v>26.538</v>
      </c>
      <c r="F7243" t="s">
        <v>21</v>
      </c>
      <c r="G7243" t="s">
        <v>26</v>
      </c>
      <c r="H7243" t="s">
        <v>21</v>
      </c>
      <c r="I7243" t="s">
        <v>20</v>
      </c>
      <c r="J7243" t="s">
        <v>20</v>
      </c>
      <c r="K7243" t="s">
        <v>27</v>
      </c>
      <c r="L7243" t="s">
        <v>162</v>
      </c>
      <c r="M7243" t="s">
        <v>163</v>
      </c>
      <c r="N7243">
        <v>37.413530000000002</v>
      </c>
      <c r="O7243">
        <v>-113.632803</v>
      </c>
      <c r="P7243">
        <v>5109.3823270000003</v>
      </c>
      <c r="Q7243">
        <v>304</v>
      </c>
      <c r="R7243">
        <v>0</v>
      </c>
    </row>
    <row r="7244" spans="1:18" x14ac:dyDescent="0.25">
      <c r="A7244">
        <v>6243</v>
      </c>
      <c r="B7244">
        <v>94</v>
      </c>
      <c r="C7244">
        <v>31741023</v>
      </c>
      <c r="D7244" t="s">
        <v>281</v>
      </c>
      <c r="E7244">
        <v>26.54</v>
      </c>
      <c r="F7244" t="s">
        <v>21</v>
      </c>
      <c r="G7244" t="s">
        <v>26</v>
      </c>
      <c r="H7244" t="s">
        <v>21</v>
      </c>
      <c r="I7244" t="s">
        <v>20</v>
      </c>
      <c r="J7244" t="s">
        <v>20</v>
      </c>
      <c r="K7244" t="s">
        <v>31</v>
      </c>
      <c r="L7244" t="s">
        <v>282</v>
      </c>
      <c r="M7244" t="s">
        <v>174</v>
      </c>
      <c r="N7244">
        <v>40.165270999999997</v>
      </c>
      <c r="O7244">
        <v>-112.430629</v>
      </c>
      <c r="P7244">
        <v>5207.2377720000004</v>
      </c>
      <c r="Q7244">
        <v>1347</v>
      </c>
      <c r="R7244">
        <v>0</v>
      </c>
    </row>
    <row r="7245" spans="1:18" x14ac:dyDescent="0.25">
      <c r="A7245">
        <v>6244</v>
      </c>
      <c r="B7245">
        <v>94</v>
      </c>
      <c r="C7245" t="e">
        <f>-JYlS9mVGgPOPoVQnnQmDV</f>
        <v>#NAME?</v>
      </c>
      <c r="D7245" t="s">
        <v>129</v>
      </c>
      <c r="E7245">
        <v>26.564</v>
      </c>
      <c r="F7245" t="s">
        <v>21</v>
      </c>
      <c r="G7245" t="s">
        <v>20</v>
      </c>
      <c r="H7245" t="s">
        <v>21</v>
      </c>
      <c r="I7245" t="s">
        <v>20</v>
      </c>
      <c r="J7245" t="s">
        <v>20</v>
      </c>
      <c r="K7245" t="s">
        <v>31</v>
      </c>
      <c r="L7245" t="s">
        <v>130</v>
      </c>
      <c r="M7245" t="s">
        <v>328</v>
      </c>
      <c r="N7245">
        <v>40.680599999999998</v>
      </c>
      <c r="O7245">
        <v>-110.937912</v>
      </c>
      <c r="P7245">
        <v>9872.2988189999996</v>
      </c>
      <c r="Q7245">
        <v>340</v>
      </c>
      <c r="R7245">
        <v>0</v>
      </c>
    </row>
    <row r="7246" spans="1:18" x14ac:dyDescent="0.25">
      <c r="A7246">
        <v>6245</v>
      </c>
      <c r="B7246">
        <v>94</v>
      </c>
      <c r="C7246">
        <v>31515706</v>
      </c>
      <c r="D7246" t="s">
        <v>132</v>
      </c>
      <c r="E7246">
        <v>14.999000000000001</v>
      </c>
      <c r="F7246" t="s">
        <v>21</v>
      </c>
      <c r="G7246" t="s">
        <v>20</v>
      </c>
      <c r="H7246" t="s">
        <v>21</v>
      </c>
      <c r="I7246" t="s">
        <v>20</v>
      </c>
      <c r="J7246" t="s">
        <v>20</v>
      </c>
      <c r="K7246" t="s">
        <v>22</v>
      </c>
      <c r="L7246" t="s">
        <v>133</v>
      </c>
      <c r="M7246" t="s">
        <v>134</v>
      </c>
      <c r="N7246">
        <v>40.432870999999999</v>
      </c>
      <c r="O7246">
        <v>-109.93535799999999</v>
      </c>
      <c r="P7246">
        <v>5735.3825440000001</v>
      </c>
      <c r="Q7246">
        <v>1405</v>
      </c>
      <c r="R7246">
        <v>0</v>
      </c>
    </row>
    <row r="7247" spans="1:18" x14ac:dyDescent="0.25">
      <c r="A7247">
        <v>6246</v>
      </c>
      <c r="B7247">
        <v>94</v>
      </c>
      <c r="C7247" t="s">
        <v>863</v>
      </c>
      <c r="D7247" t="s">
        <v>272</v>
      </c>
      <c r="E7247">
        <v>274.50599999999997</v>
      </c>
      <c r="F7247" t="s">
        <v>21</v>
      </c>
      <c r="G7247" t="s">
        <v>26</v>
      </c>
      <c r="H7247" t="s">
        <v>21</v>
      </c>
      <c r="I7247" t="s">
        <v>20</v>
      </c>
      <c r="J7247" t="s">
        <v>20</v>
      </c>
      <c r="K7247" t="s">
        <v>27</v>
      </c>
      <c r="L7247" t="s">
        <v>230</v>
      </c>
      <c r="M7247" t="s">
        <v>174</v>
      </c>
      <c r="N7247">
        <v>39.512327999999997</v>
      </c>
      <c r="O7247">
        <v>-111.493987</v>
      </c>
      <c r="P7247">
        <v>5695.2198609999996</v>
      </c>
      <c r="Q7247">
        <v>1384</v>
      </c>
      <c r="R7247">
        <v>0</v>
      </c>
    </row>
    <row r="7248" spans="1:18" x14ac:dyDescent="0.25">
      <c r="A7248">
        <v>6247</v>
      </c>
      <c r="B7248">
        <v>94</v>
      </c>
      <c r="C7248" t="s">
        <v>864</v>
      </c>
      <c r="D7248" t="s">
        <v>272</v>
      </c>
      <c r="E7248">
        <v>275.065</v>
      </c>
      <c r="F7248" t="s">
        <v>21</v>
      </c>
      <c r="G7248" t="s">
        <v>20</v>
      </c>
      <c r="H7248" t="s">
        <v>21</v>
      </c>
      <c r="I7248" t="s">
        <v>20</v>
      </c>
      <c r="J7248" t="s">
        <v>20</v>
      </c>
      <c r="K7248" t="s">
        <v>27</v>
      </c>
      <c r="L7248" t="s">
        <v>230</v>
      </c>
      <c r="M7248" t="s">
        <v>174</v>
      </c>
      <c r="N7248">
        <v>39.517595999999998</v>
      </c>
      <c r="O7248">
        <v>-111.48603900000001</v>
      </c>
      <c r="P7248">
        <v>5725.5819510000001</v>
      </c>
      <c r="Q7248">
        <v>1384</v>
      </c>
      <c r="R7248">
        <v>0</v>
      </c>
    </row>
    <row r="7249" spans="1:18" x14ac:dyDescent="0.25">
      <c r="A7249">
        <v>6248</v>
      </c>
      <c r="B7249">
        <v>94</v>
      </c>
      <c r="C7249" t="e">
        <f>-IoMcci4HxLyC7DWxAkf2F</f>
        <v>#NAME?</v>
      </c>
      <c r="D7249" t="s">
        <v>272</v>
      </c>
      <c r="E7249">
        <v>275.43200000000002</v>
      </c>
      <c r="F7249" t="s">
        <v>21</v>
      </c>
      <c r="G7249" t="s">
        <v>26</v>
      </c>
      <c r="H7249" t="s">
        <v>21</v>
      </c>
      <c r="I7249" t="s">
        <v>20</v>
      </c>
      <c r="J7249" t="s">
        <v>20</v>
      </c>
      <c r="K7249" t="s">
        <v>27</v>
      </c>
      <c r="L7249" t="s">
        <v>230</v>
      </c>
      <c r="M7249" t="s">
        <v>174</v>
      </c>
      <c r="N7249">
        <v>39.520933999999997</v>
      </c>
      <c r="O7249">
        <v>-111.48066900000001</v>
      </c>
      <c r="P7249">
        <v>5760.633691</v>
      </c>
      <c r="Q7249">
        <v>1384</v>
      </c>
      <c r="R7249">
        <v>0</v>
      </c>
    </row>
    <row r="7250" spans="1:18" x14ac:dyDescent="0.25">
      <c r="A7250">
        <v>6249</v>
      </c>
      <c r="B7250">
        <v>94</v>
      </c>
      <c r="C7250" t="e">
        <f>-JRN9pL0InulstPS2cKHdV</f>
        <v>#NAME?</v>
      </c>
      <c r="D7250" t="s">
        <v>213</v>
      </c>
      <c r="E7250">
        <v>275.68299999999999</v>
      </c>
      <c r="F7250" t="s">
        <v>21</v>
      </c>
      <c r="G7250" t="s">
        <v>20</v>
      </c>
      <c r="H7250" t="s">
        <v>21</v>
      </c>
      <c r="I7250" t="s">
        <v>20</v>
      </c>
      <c r="J7250" t="s">
        <v>20</v>
      </c>
      <c r="K7250" t="s">
        <v>27</v>
      </c>
      <c r="L7250" t="s">
        <v>158</v>
      </c>
      <c r="M7250" t="s">
        <v>422</v>
      </c>
      <c r="N7250">
        <v>39.302256999999997</v>
      </c>
      <c r="O7250">
        <v>-110.35763900000001</v>
      </c>
      <c r="P7250">
        <v>4741.0103330000002</v>
      </c>
      <c r="Q7250">
        <v>1332</v>
      </c>
      <c r="R7250">
        <v>0</v>
      </c>
    </row>
    <row r="7251" spans="1:18" x14ac:dyDescent="0.25">
      <c r="A7251">
        <v>6250</v>
      </c>
      <c r="B7251">
        <v>94</v>
      </c>
      <c r="C7251" t="s">
        <v>865</v>
      </c>
      <c r="D7251" t="s">
        <v>272</v>
      </c>
      <c r="E7251">
        <v>276.24900000000002</v>
      </c>
      <c r="F7251" t="s">
        <v>21</v>
      </c>
      <c r="G7251" t="s">
        <v>26</v>
      </c>
      <c r="H7251" t="s">
        <v>21</v>
      </c>
      <c r="I7251" t="s">
        <v>20</v>
      </c>
      <c r="J7251" t="s">
        <v>20</v>
      </c>
      <c r="K7251" t="s">
        <v>27</v>
      </c>
      <c r="L7251" t="s">
        <v>230</v>
      </c>
      <c r="M7251" t="s">
        <v>174</v>
      </c>
      <c r="N7251">
        <v>39.528360999999997</v>
      </c>
      <c r="O7251">
        <v>-111.468732</v>
      </c>
      <c r="P7251">
        <v>5815.203176</v>
      </c>
      <c r="Q7251">
        <v>1384</v>
      </c>
      <c r="R7251">
        <v>0</v>
      </c>
    </row>
    <row r="7252" spans="1:18" x14ac:dyDescent="0.25">
      <c r="A7252">
        <v>6251</v>
      </c>
      <c r="B7252">
        <v>94</v>
      </c>
      <c r="C7252" t="e">
        <f>-IoMdm09IuLfm5aHF4OTeV</f>
        <v>#NAME?</v>
      </c>
      <c r="D7252" t="s">
        <v>272</v>
      </c>
      <c r="E7252">
        <v>276.346</v>
      </c>
      <c r="F7252" t="s">
        <v>21</v>
      </c>
      <c r="G7252" t="s">
        <v>26</v>
      </c>
      <c r="H7252" t="s">
        <v>19</v>
      </c>
      <c r="I7252">
        <v>117</v>
      </c>
      <c r="J7252" t="s">
        <v>20</v>
      </c>
      <c r="K7252" t="s">
        <v>27</v>
      </c>
      <c r="L7252" t="s">
        <v>230</v>
      </c>
      <c r="M7252" t="s">
        <v>174</v>
      </c>
      <c r="N7252">
        <v>39.529240000000001</v>
      </c>
      <c r="O7252">
        <v>-111.467311</v>
      </c>
      <c r="P7252">
        <v>5819.2699910000001</v>
      </c>
      <c r="Q7252">
        <v>1384</v>
      </c>
      <c r="R7252">
        <v>0</v>
      </c>
    </row>
    <row r="7253" spans="1:18" x14ac:dyDescent="0.25">
      <c r="A7253">
        <v>6252</v>
      </c>
      <c r="B7253">
        <v>94</v>
      </c>
      <c r="C7253" t="e">
        <f>-IoMeYoEFnafh9B40iIrBF</f>
        <v>#NAME?</v>
      </c>
      <c r="D7253" t="s">
        <v>272</v>
      </c>
      <c r="E7253">
        <v>276.53699999999998</v>
      </c>
      <c r="F7253" t="s">
        <v>21</v>
      </c>
      <c r="G7253" t="s">
        <v>26</v>
      </c>
      <c r="H7253" t="s">
        <v>21</v>
      </c>
      <c r="I7253" t="s">
        <v>20</v>
      </c>
      <c r="J7253" t="s">
        <v>20</v>
      </c>
      <c r="K7253" t="s">
        <v>27</v>
      </c>
      <c r="L7253" t="s">
        <v>230</v>
      </c>
      <c r="M7253" t="s">
        <v>174</v>
      </c>
      <c r="N7253">
        <v>39.530985000000001</v>
      </c>
      <c r="O7253">
        <v>-111.464508</v>
      </c>
      <c r="P7253">
        <v>5818.5954330000004</v>
      </c>
      <c r="Q7253">
        <v>1384</v>
      </c>
      <c r="R7253">
        <v>0</v>
      </c>
    </row>
    <row r="7254" spans="1:18" x14ac:dyDescent="0.25">
      <c r="A7254">
        <v>6253</v>
      </c>
      <c r="B7254">
        <v>94</v>
      </c>
      <c r="C7254" t="e">
        <f>-IoMnS-DF2HLmd9Xbaw16V</f>
        <v>#NAME?</v>
      </c>
      <c r="D7254" t="s">
        <v>272</v>
      </c>
      <c r="E7254">
        <v>276.608</v>
      </c>
      <c r="F7254" t="s">
        <v>21</v>
      </c>
      <c r="G7254" t="s">
        <v>26</v>
      </c>
      <c r="H7254" t="s">
        <v>21</v>
      </c>
      <c r="I7254" t="s">
        <v>20</v>
      </c>
      <c r="J7254" t="s">
        <v>20</v>
      </c>
      <c r="K7254" t="s">
        <v>27</v>
      </c>
      <c r="L7254" t="s">
        <v>230</v>
      </c>
      <c r="M7254" t="s">
        <v>174</v>
      </c>
      <c r="N7254">
        <v>39.531548999999998</v>
      </c>
      <c r="O7254">
        <v>-111.46337800000001</v>
      </c>
      <c r="P7254">
        <v>5826.4442980000003</v>
      </c>
      <c r="Q7254">
        <v>1384</v>
      </c>
      <c r="R7254">
        <v>0</v>
      </c>
    </row>
    <row r="7255" spans="1:18" x14ac:dyDescent="0.25">
      <c r="A7255">
        <v>6254</v>
      </c>
      <c r="B7255">
        <v>94</v>
      </c>
      <c r="C7255" t="e">
        <f>-IoMnit4FpyY1YRaa8ycik</f>
        <v>#NAME?</v>
      </c>
      <c r="D7255" t="s">
        <v>272</v>
      </c>
      <c r="E7255">
        <v>276.73</v>
      </c>
      <c r="F7255" t="s">
        <v>21</v>
      </c>
      <c r="G7255" t="s">
        <v>26</v>
      </c>
      <c r="H7255" t="s">
        <v>21</v>
      </c>
      <c r="I7255" t="s">
        <v>20</v>
      </c>
      <c r="J7255" t="s">
        <v>20</v>
      </c>
      <c r="K7255" t="s">
        <v>27</v>
      </c>
      <c r="L7255" t="s">
        <v>230</v>
      </c>
      <c r="M7255" t="s">
        <v>174</v>
      </c>
      <c r="N7255">
        <v>39.532465000000002</v>
      </c>
      <c r="O7255">
        <v>-111.46141900000001</v>
      </c>
      <c r="P7255">
        <v>5839.0274019999997</v>
      </c>
      <c r="Q7255">
        <v>1384</v>
      </c>
      <c r="R7255">
        <v>0</v>
      </c>
    </row>
    <row r="7256" spans="1:18" x14ac:dyDescent="0.25">
      <c r="A7256">
        <v>6255</v>
      </c>
      <c r="B7256">
        <v>94</v>
      </c>
      <c r="C7256">
        <v>484759</v>
      </c>
      <c r="D7256" t="s">
        <v>83</v>
      </c>
      <c r="E7256">
        <v>2.2629999999999999</v>
      </c>
      <c r="F7256" t="s">
        <v>21</v>
      </c>
      <c r="G7256" t="s">
        <v>26</v>
      </c>
      <c r="H7256" t="s">
        <v>21</v>
      </c>
      <c r="I7256" t="s">
        <v>20</v>
      </c>
      <c r="J7256" t="s">
        <v>20</v>
      </c>
      <c r="K7256" t="s">
        <v>22</v>
      </c>
      <c r="L7256" t="s">
        <v>84</v>
      </c>
      <c r="M7256" t="s">
        <v>85</v>
      </c>
      <c r="N7256">
        <v>40.408538999999998</v>
      </c>
      <c r="O7256">
        <v>-111.789303</v>
      </c>
      <c r="P7256">
        <v>4758.5114350000003</v>
      </c>
      <c r="Q7256">
        <v>319</v>
      </c>
      <c r="R7256">
        <v>0</v>
      </c>
    </row>
    <row r="7257" spans="1:18" x14ac:dyDescent="0.25">
      <c r="A7257">
        <v>6256</v>
      </c>
      <c r="B7257">
        <v>94</v>
      </c>
      <c r="C7257">
        <v>1679896</v>
      </c>
      <c r="D7257" t="s">
        <v>180</v>
      </c>
      <c r="E7257">
        <v>2.266</v>
      </c>
      <c r="F7257" t="s">
        <v>21</v>
      </c>
      <c r="G7257" t="s">
        <v>26</v>
      </c>
      <c r="H7257" t="s">
        <v>21</v>
      </c>
      <c r="I7257" t="s">
        <v>20</v>
      </c>
      <c r="J7257" t="s">
        <v>20</v>
      </c>
      <c r="K7257" t="s">
        <v>41</v>
      </c>
      <c r="L7257" t="s">
        <v>181</v>
      </c>
      <c r="M7257" t="s">
        <v>117</v>
      </c>
      <c r="N7257">
        <v>41.741233000000001</v>
      </c>
      <c r="O7257">
        <v>-112.15733400000001</v>
      </c>
      <c r="P7257">
        <v>4285.3333919999995</v>
      </c>
      <c r="Q7257">
        <v>1379</v>
      </c>
      <c r="R7257">
        <v>0</v>
      </c>
    </row>
    <row r="7258" spans="1:18" x14ac:dyDescent="0.25">
      <c r="A7258">
        <v>6257</v>
      </c>
      <c r="B7258">
        <v>94</v>
      </c>
      <c r="C7258" t="e">
        <f>-IrBAvvaISelFgEUVphSNF</f>
        <v>#NAME?</v>
      </c>
      <c r="D7258" t="s">
        <v>92</v>
      </c>
      <c r="E7258">
        <v>2.266</v>
      </c>
      <c r="F7258" t="s">
        <v>19</v>
      </c>
      <c r="G7258" t="s">
        <v>20</v>
      </c>
      <c r="H7258" t="s">
        <v>19</v>
      </c>
      <c r="I7258">
        <v>193</v>
      </c>
      <c r="J7258" t="s">
        <v>20</v>
      </c>
      <c r="K7258" t="s">
        <v>41</v>
      </c>
      <c r="L7258" t="s">
        <v>87</v>
      </c>
      <c r="M7258" t="s">
        <v>93</v>
      </c>
      <c r="N7258">
        <v>41.103496999999997</v>
      </c>
      <c r="O7258">
        <v>-111.973309</v>
      </c>
      <c r="P7258">
        <v>4693.2780080000002</v>
      </c>
      <c r="Q7258">
        <v>252</v>
      </c>
      <c r="R7258">
        <v>0</v>
      </c>
    </row>
    <row r="7259" spans="1:18" x14ac:dyDescent="0.25">
      <c r="A7259">
        <v>6258</v>
      </c>
      <c r="B7259">
        <v>94</v>
      </c>
      <c r="C7259" t="e">
        <f>-JY1dC6rIqaAjV_EoCD_Ik</f>
        <v>#NAME?</v>
      </c>
      <c r="D7259" t="s">
        <v>199</v>
      </c>
      <c r="E7259">
        <v>2.2669999999999999</v>
      </c>
      <c r="F7259" t="s">
        <v>21</v>
      </c>
      <c r="G7259" t="s">
        <v>26</v>
      </c>
      <c r="H7259" t="s">
        <v>21</v>
      </c>
      <c r="I7259" t="s">
        <v>20</v>
      </c>
      <c r="J7259" t="s">
        <v>20</v>
      </c>
      <c r="K7259" t="s">
        <v>27</v>
      </c>
      <c r="L7259" t="s">
        <v>103</v>
      </c>
      <c r="M7259" t="s">
        <v>200</v>
      </c>
      <c r="N7259">
        <v>38.279713999999998</v>
      </c>
      <c r="O7259">
        <v>-112.602403</v>
      </c>
      <c r="P7259">
        <v>5990.5585090000004</v>
      </c>
      <c r="Q7259">
        <v>341</v>
      </c>
      <c r="R7259">
        <v>0</v>
      </c>
    </row>
    <row r="7260" spans="1:18" x14ac:dyDescent="0.25">
      <c r="A7260">
        <v>6259</v>
      </c>
      <c r="B7260">
        <v>94</v>
      </c>
      <c r="C7260">
        <v>758295</v>
      </c>
      <c r="D7260" t="s">
        <v>86</v>
      </c>
      <c r="E7260">
        <v>2.9049999999999998</v>
      </c>
      <c r="F7260" t="s">
        <v>19</v>
      </c>
      <c r="G7260" t="s">
        <v>20</v>
      </c>
      <c r="H7260" t="s">
        <v>21</v>
      </c>
      <c r="I7260" t="s">
        <v>20</v>
      </c>
      <c r="J7260" t="s">
        <v>20</v>
      </c>
      <c r="K7260" t="s">
        <v>41</v>
      </c>
      <c r="L7260" t="s">
        <v>87</v>
      </c>
      <c r="M7260" t="s">
        <v>58</v>
      </c>
      <c r="N7260">
        <v>41.038151999999997</v>
      </c>
      <c r="O7260">
        <v>-111.947418</v>
      </c>
      <c r="P7260">
        <v>4255.7198930000004</v>
      </c>
      <c r="Q7260">
        <v>258</v>
      </c>
      <c r="R7260">
        <v>0</v>
      </c>
    </row>
    <row r="7261" spans="1:18" x14ac:dyDescent="0.25">
      <c r="A7261">
        <v>6260</v>
      </c>
      <c r="B7261">
        <v>94</v>
      </c>
      <c r="C7261">
        <v>31467933</v>
      </c>
      <c r="D7261" t="s">
        <v>264</v>
      </c>
      <c r="E7261">
        <v>2.907</v>
      </c>
      <c r="F7261" t="s">
        <v>21</v>
      </c>
      <c r="G7261" t="s">
        <v>26</v>
      </c>
      <c r="H7261" t="s">
        <v>21</v>
      </c>
      <c r="I7261" t="s">
        <v>20</v>
      </c>
      <c r="J7261" t="s">
        <v>20</v>
      </c>
      <c r="K7261" t="s">
        <v>22</v>
      </c>
      <c r="L7261" t="s">
        <v>35</v>
      </c>
      <c r="M7261" t="s">
        <v>36</v>
      </c>
      <c r="N7261">
        <v>40.538643999999998</v>
      </c>
      <c r="O7261">
        <v>-111.483839</v>
      </c>
      <c r="P7261">
        <v>5709.3491899999999</v>
      </c>
      <c r="Q7261">
        <v>420</v>
      </c>
      <c r="R7261">
        <v>0</v>
      </c>
    </row>
    <row r="7262" spans="1:18" x14ac:dyDescent="0.25">
      <c r="A7262">
        <v>6261</v>
      </c>
      <c r="B7262">
        <v>94</v>
      </c>
      <c r="C7262" t="e">
        <f>-JMsDSyNG-ijJzRVdz6tWF</f>
        <v>#NAME?</v>
      </c>
      <c r="D7262" t="s">
        <v>197</v>
      </c>
      <c r="E7262">
        <v>2.9119999999999999</v>
      </c>
      <c r="F7262" t="s">
        <v>21</v>
      </c>
      <c r="G7262" t="s">
        <v>20</v>
      </c>
      <c r="H7262" t="s">
        <v>21</v>
      </c>
      <c r="I7262" t="s">
        <v>20</v>
      </c>
      <c r="J7262" t="s">
        <v>20</v>
      </c>
      <c r="K7262" t="s">
        <v>22</v>
      </c>
      <c r="L7262" t="s">
        <v>198</v>
      </c>
      <c r="M7262" t="s">
        <v>125</v>
      </c>
      <c r="N7262">
        <v>40.002581999999997</v>
      </c>
      <c r="O7262">
        <v>-111.81483799999999</v>
      </c>
      <c r="P7262">
        <v>4725.6531679999998</v>
      </c>
      <c r="Q7262">
        <v>1416</v>
      </c>
      <c r="R7262">
        <v>0</v>
      </c>
    </row>
    <row r="7263" spans="1:18" x14ac:dyDescent="0.25">
      <c r="A7263">
        <v>6262</v>
      </c>
      <c r="B7263">
        <v>94</v>
      </c>
      <c r="C7263">
        <v>558563</v>
      </c>
      <c r="D7263" t="s">
        <v>115</v>
      </c>
      <c r="E7263">
        <v>2.9129999999999998</v>
      </c>
      <c r="F7263" t="s">
        <v>21</v>
      </c>
      <c r="G7263" t="s">
        <v>26</v>
      </c>
      <c r="H7263" t="s">
        <v>21</v>
      </c>
      <c r="I7263" t="s">
        <v>20</v>
      </c>
      <c r="J7263" t="s">
        <v>20</v>
      </c>
      <c r="K7263" t="s">
        <v>31</v>
      </c>
      <c r="L7263" t="s">
        <v>48</v>
      </c>
      <c r="M7263" t="s">
        <v>70</v>
      </c>
      <c r="N7263">
        <v>40.653030999999999</v>
      </c>
      <c r="O7263">
        <v>-112.021547</v>
      </c>
      <c r="P7263">
        <v>4691.4613579999996</v>
      </c>
      <c r="Q7263">
        <v>1437</v>
      </c>
      <c r="R7263">
        <v>0</v>
      </c>
    </row>
    <row r="7264" spans="1:18" x14ac:dyDescent="0.25">
      <c r="A7264">
        <v>6263</v>
      </c>
      <c r="B7264">
        <v>94</v>
      </c>
      <c r="C7264">
        <v>31411362</v>
      </c>
      <c r="D7264" t="s">
        <v>129</v>
      </c>
      <c r="E7264">
        <v>2.915</v>
      </c>
      <c r="F7264" t="s">
        <v>21</v>
      </c>
      <c r="G7264" t="s">
        <v>26</v>
      </c>
      <c r="H7264" t="s">
        <v>21</v>
      </c>
      <c r="I7264" t="s">
        <v>20</v>
      </c>
      <c r="J7264" t="s">
        <v>20</v>
      </c>
      <c r="K7264" t="s">
        <v>31</v>
      </c>
      <c r="L7264" t="s">
        <v>130</v>
      </c>
      <c r="M7264" t="s">
        <v>131</v>
      </c>
      <c r="N7264">
        <v>40.625563999999997</v>
      </c>
      <c r="O7264">
        <v>-111.23374699999999</v>
      </c>
      <c r="P7264">
        <v>6709.7996149999999</v>
      </c>
      <c r="Q7264">
        <v>340</v>
      </c>
      <c r="R7264">
        <v>0</v>
      </c>
    </row>
    <row r="7265" spans="1:18" x14ac:dyDescent="0.25">
      <c r="A7265">
        <v>6264</v>
      </c>
      <c r="B7265">
        <v>94</v>
      </c>
      <c r="C7265">
        <v>28639062</v>
      </c>
      <c r="D7265" t="s">
        <v>192</v>
      </c>
      <c r="E7265">
        <v>2.9159999999999999</v>
      </c>
      <c r="F7265" t="s">
        <v>21</v>
      </c>
      <c r="G7265" t="s">
        <v>26</v>
      </c>
      <c r="H7265" t="s">
        <v>21</v>
      </c>
      <c r="I7265" t="s">
        <v>20</v>
      </c>
      <c r="J7265" t="s">
        <v>20</v>
      </c>
      <c r="K7265" t="s">
        <v>22</v>
      </c>
      <c r="L7265" t="s">
        <v>140</v>
      </c>
      <c r="M7265" t="s">
        <v>125</v>
      </c>
      <c r="N7265">
        <v>40.151130999999999</v>
      </c>
      <c r="O7265">
        <v>-111.72063199999999</v>
      </c>
      <c r="P7265">
        <v>4441.5718010000001</v>
      </c>
      <c r="Q7265">
        <v>1375</v>
      </c>
      <c r="R7265">
        <v>0</v>
      </c>
    </row>
    <row r="7266" spans="1:18" x14ac:dyDescent="0.25">
      <c r="A7266">
        <v>6265</v>
      </c>
      <c r="B7266">
        <v>94</v>
      </c>
      <c r="C7266">
        <v>27369062</v>
      </c>
      <c r="D7266" t="s">
        <v>185</v>
      </c>
      <c r="E7266">
        <v>2.9169999999999998</v>
      </c>
      <c r="F7266" t="s">
        <v>21</v>
      </c>
      <c r="G7266" t="s">
        <v>26</v>
      </c>
      <c r="H7266" t="s">
        <v>21</v>
      </c>
      <c r="I7266" t="s">
        <v>20</v>
      </c>
      <c r="J7266" t="s">
        <v>20</v>
      </c>
      <c r="K7266" t="s">
        <v>41</v>
      </c>
      <c r="L7266" t="s">
        <v>57</v>
      </c>
      <c r="M7266" t="s">
        <v>58</v>
      </c>
      <c r="N7266">
        <v>41.139890999999999</v>
      </c>
      <c r="O7266">
        <v>-112.08209100000001</v>
      </c>
      <c r="P7266">
        <v>4237.2290389999998</v>
      </c>
      <c r="Q7266">
        <v>309</v>
      </c>
      <c r="R7266">
        <v>0</v>
      </c>
    </row>
    <row r="7267" spans="1:18" x14ac:dyDescent="0.25">
      <c r="A7267">
        <v>6266</v>
      </c>
      <c r="B7267">
        <v>94</v>
      </c>
      <c r="C7267">
        <v>31348966</v>
      </c>
      <c r="D7267" t="s">
        <v>333</v>
      </c>
      <c r="E7267">
        <v>15.8</v>
      </c>
      <c r="F7267" t="s">
        <v>19</v>
      </c>
      <c r="G7267" t="s">
        <v>20</v>
      </c>
      <c r="H7267" t="s">
        <v>21</v>
      </c>
      <c r="I7267" t="s">
        <v>20</v>
      </c>
      <c r="J7267" t="s">
        <v>20</v>
      </c>
      <c r="K7267" t="s">
        <v>31</v>
      </c>
      <c r="L7267" t="s">
        <v>48</v>
      </c>
      <c r="M7267" t="s">
        <v>49</v>
      </c>
      <c r="N7267">
        <v>40.651288000000001</v>
      </c>
      <c r="O7267">
        <v>-111.980662</v>
      </c>
      <c r="P7267">
        <v>4494.7611200000001</v>
      </c>
      <c r="Q7267">
        <v>1426</v>
      </c>
      <c r="R7267">
        <v>0</v>
      </c>
    </row>
    <row r="7268" spans="1:18" x14ac:dyDescent="0.25">
      <c r="A7268">
        <v>6267</v>
      </c>
      <c r="B7268">
        <v>94</v>
      </c>
      <c r="C7268" t="e">
        <f>-JP1zBNUIMHMUqVfgOACtV</f>
        <v>#NAME?</v>
      </c>
      <c r="D7268" t="s">
        <v>121</v>
      </c>
      <c r="E7268">
        <v>15.807</v>
      </c>
      <c r="F7268" t="s">
        <v>21</v>
      </c>
      <c r="G7268" t="s">
        <v>26</v>
      </c>
      <c r="H7268" t="s">
        <v>21</v>
      </c>
      <c r="I7268" t="s">
        <v>20</v>
      </c>
      <c r="J7268" t="s">
        <v>20</v>
      </c>
      <c r="K7268" t="s">
        <v>27</v>
      </c>
      <c r="L7268" t="s">
        <v>122</v>
      </c>
      <c r="M7268" t="s">
        <v>123</v>
      </c>
      <c r="N7268">
        <v>37.820808</v>
      </c>
      <c r="O7268">
        <v>-110.611092</v>
      </c>
      <c r="P7268">
        <v>4984.6235120000001</v>
      </c>
      <c r="Q7268">
        <v>1283</v>
      </c>
      <c r="R7268">
        <v>0</v>
      </c>
    </row>
    <row r="7269" spans="1:18" x14ac:dyDescent="0.25">
      <c r="A7269">
        <v>6268</v>
      </c>
      <c r="B7269">
        <v>94</v>
      </c>
      <c r="C7269">
        <v>31588547</v>
      </c>
      <c r="D7269" t="s">
        <v>271</v>
      </c>
      <c r="E7269">
        <v>15.821999999999999</v>
      </c>
      <c r="F7269" t="s">
        <v>21</v>
      </c>
      <c r="G7269" t="s">
        <v>26</v>
      </c>
      <c r="H7269" t="s">
        <v>21</v>
      </c>
      <c r="I7269" t="s">
        <v>20</v>
      </c>
      <c r="J7269" t="s">
        <v>20</v>
      </c>
      <c r="K7269" t="s">
        <v>22</v>
      </c>
      <c r="L7269" t="s">
        <v>263</v>
      </c>
      <c r="M7269" t="s">
        <v>24</v>
      </c>
      <c r="N7269">
        <v>40.231538</v>
      </c>
      <c r="O7269">
        <v>-112.17815899999999</v>
      </c>
      <c r="P7269">
        <v>5261.2465739999998</v>
      </c>
      <c r="Q7269">
        <v>1372</v>
      </c>
      <c r="R7269">
        <v>0</v>
      </c>
    </row>
    <row r="7270" spans="1:18" x14ac:dyDescent="0.25">
      <c r="A7270">
        <v>6269</v>
      </c>
      <c r="B7270">
        <v>94</v>
      </c>
      <c r="C7270">
        <v>31528310</v>
      </c>
      <c r="D7270" t="s">
        <v>390</v>
      </c>
      <c r="E7270">
        <v>15.849</v>
      </c>
      <c r="F7270" t="s">
        <v>21</v>
      </c>
      <c r="G7270" t="s">
        <v>20</v>
      </c>
      <c r="H7270" t="s">
        <v>21</v>
      </c>
      <c r="I7270" t="s">
        <v>20</v>
      </c>
      <c r="J7270" t="s">
        <v>20</v>
      </c>
      <c r="K7270" t="s">
        <v>22</v>
      </c>
      <c r="L7270" t="s">
        <v>60</v>
      </c>
      <c r="M7270" t="s">
        <v>335</v>
      </c>
      <c r="N7270">
        <v>40.435789</v>
      </c>
      <c r="O7270">
        <v>-111.635835</v>
      </c>
      <c r="P7270">
        <v>7129.0217830000001</v>
      </c>
      <c r="Q7270">
        <v>1386</v>
      </c>
      <c r="R7270">
        <v>0</v>
      </c>
    </row>
    <row r="7271" spans="1:18" x14ac:dyDescent="0.25">
      <c r="A7271">
        <v>6270</v>
      </c>
      <c r="B7271">
        <v>94</v>
      </c>
      <c r="C7271" t="e">
        <f>-JMELYyBHk5wnJdfArVO5V</f>
        <v>#NAME?</v>
      </c>
      <c r="D7271" t="s">
        <v>417</v>
      </c>
      <c r="E7271">
        <v>17.657</v>
      </c>
      <c r="F7271" t="s">
        <v>19</v>
      </c>
      <c r="G7271" t="s">
        <v>20</v>
      </c>
      <c r="H7271" t="s">
        <v>21</v>
      </c>
      <c r="I7271" t="s">
        <v>20</v>
      </c>
      <c r="J7271" t="s">
        <v>20</v>
      </c>
      <c r="K7271" t="s">
        <v>31</v>
      </c>
      <c r="L7271" t="s">
        <v>84</v>
      </c>
      <c r="M7271" t="s">
        <v>24</v>
      </c>
      <c r="N7271">
        <v>40.638582</v>
      </c>
      <c r="O7271">
        <v>-112.046402</v>
      </c>
      <c r="P7271">
        <v>4948.1685180000004</v>
      </c>
      <c r="Q7271">
        <v>6765</v>
      </c>
      <c r="R7271">
        <v>0</v>
      </c>
    </row>
    <row r="7272" spans="1:18" x14ac:dyDescent="0.25">
      <c r="A7272">
        <v>6271</v>
      </c>
      <c r="B7272">
        <v>94</v>
      </c>
      <c r="C7272" t="e">
        <f>-JMDyb0IGduHVNFdgArNzk</f>
        <v>#NAME?</v>
      </c>
      <c r="D7272" t="s">
        <v>322</v>
      </c>
      <c r="E7272">
        <v>17.658999999999999</v>
      </c>
      <c r="F7272" t="s">
        <v>19</v>
      </c>
      <c r="G7272" t="s">
        <v>20</v>
      </c>
      <c r="H7272" t="s">
        <v>21</v>
      </c>
      <c r="I7272" t="s">
        <v>20</v>
      </c>
      <c r="J7272" t="s">
        <v>20</v>
      </c>
      <c r="K7272" t="s">
        <v>31</v>
      </c>
      <c r="L7272" t="s">
        <v>84</v>
      </c>
      <c r="M7272" t="s">
        <v>24</v>
      </c>
      <c r="N7272">
        <v>40.638567999999999</v>
      </c>
      <c r="O7272">
        <v>-112.044586</v>
      </c>
      <c r="P7272">
        <v>4938.0574130000005</v>
      </c>
      <c r="Q7272">
        <v>6660</v>
      </c>
      <c r="R7272">
        <v>0</v>
      </c>
    </row>
    <row r="7273" spans="1:18" x14ac:dyDescent="0.25">
      <c r="A7273">
        <v>6272</v>
      </c>
      <c r="B7273">
        <v>94</v>
      </c>
      <c r="C7273">
        <v>31523680</v>
      </c>
      <c r="D7273" t="s">
        <v>309</v>
      </c>
      <c r="E7273">
        <v>17.667999999999999</v>
      </c>
      <c r="F7273" t="s">
        <v>21</v>
      </c>
      <c r="G7273" t="s">
        <v>26</v>
      </c>
      <c r="H7273" t="s">
        <v>21</v>
      </c>
      <c r="I7273" t="s">
        <v>20</v>
      </c>
      <c r="J7273" t="s">
        <v>20</v>
      </c>
      <c r="K7273" t="s">
        <v>22</v>
      </c>
      <c r="L7273" t="s">
        <v>140</v>
      </c>
      <c r="M7273" t="s">
        <v>125</v>
      </c>
      <c r="N7273">
        <v>40.130253000000003</v>
      </c>
      <c r="O7273">
        <v>-111.588273</v>
      </c>
      <c r="P7273">
        <v>4655.4421849999999</v>
      </c>
      <c r="Q7273">
        <v>339</v>
      </c>
      <c r="R7273">
        <v>0</v>
      </c>
    </row>
    <row r="7274" spans="1:18" x14ac:dyDescent="0.25">
      <c r="A7274">
        <v>6273</v>
      </c>
      <c r="B7274">
        <v>94</v>
      </c>
      <c r="C7274" t="s">
        <v>866</v>
      </c>
      <c r="D7274" t="s">
        <v>88</v>
      </c>
      <c r="E7274">
        <v>17.672999999999998</v>
      </c>
      <c r="F7274" t="s">
        <v>21</v>
      </c>
      <c r="G7274" t="s">
        <v>26</v>
      </c>
      <c r="H7274" t="s">
        <v>21</v>
      </c>
      <c r="I7274" t="s">
        <v>20</v>
      </c>
      <c r="J7274" t="s">
        <v>20</v>
      </c>
      <c r="K7274" t="s">
        <v>31</v>
      </c>
      <c r="L7274" t="s">
        <v>69</v>
      </c>
      <c r="M7274" t="s">
        <v>90</v>
      </c>
      <c r="N7274">
        <v>40.691147999999998</v>
      </c>
      <c r="O7274">
        <v>-111.87138</v>
      </c>
      <c r="P7274">
        <v>4224.5000360000004</v>
      </c>
      <c r="Q7274">
        <v>318</v>
      </c>
      <c r="R7274">
        <v>0</v>
      </c>
    </row>
    <row r="7275" spans="1:18" x14ac:dyDescent="0.25">
      <c r="A7275">
        <v>6274</v>
      </c>
      <c r="B7275">
        <v>94</v>
      </c>
      <c r="C7275" t="e">
        <f>-IoNUQqZIUiDWuxb-xIHbk</f>
        <v>#NAME?</v>
      </c>
      <c r="D7275" t="s">
        <v>272</v>
      </c>
      <c r="E7275">
        <v>309.767</v>
      </c>
      <c r="F7275" t="s">
        <v>21</v>
      </c>
      <c r="G7275" t="s">
        <v>20</v>
      </c>
      <c r="H7275" t="s">
        <v>21</v>
      </c>
      <c r="I7275" t="s">
        <v>20</v>
      </c>
      <c r="J7275" t="s">
        <v>20</v>
      </c>
      <c r="K7275" t="s">
        <v>22</v>
      </c>
      <c r="L7275" t="s">
        <v>140</v>
      </c>
      <c r="M7275" t="s">
        <v>174</v>
      </c>
      <c r="N7275">
        <v>39.973852000000001</v>
      </c>
      <c r="O7275">
        <v>-111.505296</v>
      </c>
      <c r="P7275">
        <v>5094.8077890000004</v>
      </c>
      <c r="Q7275">
        <v>1384</v>
      </c>
      <c r="R7275">
        <v>0</v>
      </c>
    </row>
    <row r="7276" spans="1:18" x14ac:dyDescent="0.25">
      <c r="A7276">
        <v>6275</v>
      </c>
      <c r="B7276">
        <v>94</v>
      </c>
      <c r="C7276" t="e">
        <f>-IowelzPG3DiEM4zKq7C2V</f>
        <v>#NAME?</v>
      </c>
      <c r="D7276" t="s">
        <v>203</v>
      </c>
      <c r="E7276">
        <v>31.033000000000001</v>
      </c>
      <c r="F7276" t="s">
        <v>21</v>
      </c>
      <c r="G7276" t="s">
        <v>20</v>
      </c>
      <c r="H7276" t="s">
        <v>21</v>
      </c>
      <c r="I7276" t="s">
        <v>20</v>
      </c>
      <c r="J7276" t="s">
        <v>20</v>
      </c>
      <c r="K7276" t="s">
        <v>41</v>
      </c>
      <c r="L7276" t="s">
        <v>255</v>
      </c>
      <c r="M7276" t="s">
        <v>204</v>
      </c>
      <c r="N7276">
        <v>41.341622999999998</v>
      </c>
      <c r="O7276">
        <v>-111.604482</v>
      </c>
      <c r="P7276">
        <v>5952.5261399999999</v>
      </c>
      <c r="Q7276">
        <v>1349</v>
      </c>
      <c r="R7276">
        <v>0</v>
      </c>
    </row>
    <row r="7277" spans="1:18" x14ac:dyDescent="0.25">
      <c r="A7277">
        <v>6276</v>
      </c>
      <c r="B7277">
        <v>94</v>
      </c>
      <c r="C7277">
        <v>31571205</v>
      </c>
      <c r="D7277" t="s">
        <v>172</v>
      </c>
      <c r="E7277">
        <v>31.143999999999998</v>
      </c>
      <c r="F7277" t="s">
        <v>21</v>
      </c>
      <c r="G7277" t="s">
        <v>26</v>
      </c>
      <c r="H7277" t="s">
        <v>21</v>
      </c>
      <c r="I7277" t="s">
        <v>20</v>
      </c>
      <c r="J7277" t="s">
        <v>20</v>
      </c>
      <c r="K7277" t="s">
        <v>22</v>
      </c>
      <c r="L7277" t="s">
        <v>155</v>
      </c>
      <c r="M7277" t="s">
        <v>174</v>
      </c>
      <c r="N7277">
        <v>39.710040999999997</v>
      </c>
      <c r="O7277">
        <v>-111.87518799999999</v>
      </c>
      <c r="P7277">
        <v>4966.7293520000003</v>
      </c>
      <c r="Q7277">
        <v>1411</v>
      </c>
      <c r="R7277">
        <v>0</v>
      </c>
    </row>
    <row r="7278" spans="1:18" x14ac:dyDescent="0.25">
      <c r="A7278">
        <v>6277</v>
      </c>
      <c r="B7278">
        <v>94</v>
      </c>
      <c r="C7278">
        <v>31442058</v>
      </c>
      <c r="D7278" t="s">
        <v>319</v>
      </c>
      <c r="E7278">
        <v>31.181000000000001</v>
      </c>
      <c r="F7278" t="s">
        <v>21</v>
      </c>
      <c r="G7278" t="s">
        <v>20</v>
      </c>
      <c r="H7278" t="s">
        <v>21</v>
      </c>
      <c r="I7278" t="s">
        <v>20</v>
      </c>
      <c r="J7278" t="s">
        <v>20</v>
      </c>
      <c r="K7278" t="s">
        <v>27</v>
      </c>
      <c r="L7278" t="s">
        <v>162</v>
      </c>
      <c r="M7278" t="s">
        <v>55</v>
      </c>
      <c r="N7278">
        <v>37.673172000000001</v>
      </c>
      <c r="O7278">
        <v>-113.555283</v>
      </c>
      <c r="P7278">
        <v>5201.3706890000003</v>
      </c>
      <c r="Q7278">
        <v>314</v>
      </c>
      <c r="R7278">
        <v>0</v>
      </c>
    </row>
    <row r="7279" spans="1:18" x14ac:dyDescent="0.25">
      <c r="A7279">
        <v>6278</v>
      </c>
      <c r="B7279">
        <v>94</v>
      </c>
      <c r="C7279" t="e">
        <f>-IovEsRNF4miItA5J0HmrV</f>
        <v>#NAME?</v>
      </c>
      <c r="D7279" t="s">
        <v>176</v>
      </c>
      <c r="E7279">
        <v>31.193999999999999</v>
      </c>
      <c r="F7279" t="s">
        <v>21</v>
      </c>
      <c r="G7279" t="s">
        <v>26</v>
      </c>
      <c r="H7279" t="s">
        <v>21</v>
      </c>
      <c r="I7279" t="s">
        <v>20</v>
      </c>
      <c r="J7279" t="s">
        <v>20</v>
      </c>
      <c r="K7279" t="s">
        <v>41</v>
      </c>
      <c r="L7279" t="s">
        <v>223</v>
      </c>
      <c r="M7279" t="s">
        <v>178</v>
      </c>
      <c r="N7279">
        <v>41.870019999999997</v>
      </c>
      <c r="O7279">
        <v>-112.147364</v>
      </c>
      <c r="P7279">
        <v>4392.9333999999999</v>
      </c>
      <c r="Q7279">
        <v>1329</v>
      </c>
      <c r="R7279">
        <v>0</v>
      </c>
    </row>
    <row r="7280" spans="1:18" x14ac:dyDescent="0.25">
      <c r="A7280">
        <v>6279</v>
      </c>
      <c r="B7280">
        <v>94</v>
      </c>
      <c r="C7280">
        <v>31332640</v>
      </c>
      <c r="D7280" t="s">
        <v>303</v>
      </c>
      <c r="E7280">
        <v>31.225999999999999</v>
      </c>
      <c r="F7280" t="s">
        <v>21</v>
      </c>
      <c r="G7280" t="s">
        <v>20</v>
      </c>
      <c r="H7280" t="s">
        <v>21</v>
      </c>
      <c r="I7280" t="s">
        <v>20</v>
      </c>
      <c r="J7280" t="s">
        <v>20</v>
      </c>
      <c r="K7280" t="s">
        <v>27</v>
      </c>
      <c r="L7280" t="s">
        <v>72</v>
      </c>
      <c r="M7280" t="s">
        <v>73</v>
      </c>
      <c r="N7280">
        <v>37.184603000000003</v>
      </c>
      <c r="O7280">
        <v>-113.002821</v>
      </c>
      <c r="P7280">
        <v>3799.7389389999998</v>
      </c>
      <c r="Q7280">
        <v>1326</v>
      </c>
      <c r="R7280">
        <v>0</v>
      </c>
    </row>
    <row r="7281" spans="1:18" x14ac:dyDescent="0.25">
      <c r="A7281">
        <v>6280</v>
      </c>
      <c r="B7281">
        <v>94</v>
      </c>
      <c r="C7281">
        <v>31501171</v>
      </c>
      <c r="D7281" t="s">
        <v>129</v>
      </c>
      <c r="E7281">
        <v>31.286000000000001</v>
      </c>
      <c r="F7281" t="s">
        <v>21</v>
      </c>
      <c r="G7281" t="s">
        <v>26</v>
      </c>
      <c r="H7281" t="s">
        <v>21</v>
      </c>
      <c r="I7281" t="s">
        <v>20</v>
      </c>
      <c r="J7281" t="s">
        <v>20</v>
      </c>
      <c r="K7281" t="s">
        <v>31</v>
      </c>
      <c r="L7281" t="s">
        <v>130</v>
      </c>
      <c r="M7281" t="s">
        <v>302</v>
      </c>
      <c r="N7281">
        <v>40.703035</v>
      </c>
      <c r="O7281">
        <v>-110.893692</v>
      </c>
      <c r="P7281">
        <v>10183.827112999999</v>
      </c>
      <c r="Q7281">
        <v>340</v>
      </c>
      <c r="R7281">
        <v>0</v>
      </c>
    </row>
    <row r="7282" spans="1:18" x14ac:dyDescent="0.25">
      <c r="A7282">
        <v>6281</v>
      </c>
      <c r="B7282">
        <v>94</v>
      </c>
      <c r="C7282" t="e">
        <f>-JN0XlICFdyaVTXbb9FFBV</f>
        <v>#NAME?</v>
      </c>
      <c r="D7282" t="s">
        <v>184</v>
      </c>
      <c r="E7282">
        <v>31.300999999999998</v>
      </c>
      <c r="F7282" t="s">
        <v>21</v>
      </c>
      <c r="G7282" t="s">
        <v>20</v>
      </c>
      <c r="H7282" t="s">
        <v>21</v>
      </c>
      <c r="I7282" t="s">
        <v>20</v>
      </c>
      <c r="J7282" t="s">
        <v>20</v>
      </c>
      <c r="K7282" t="s">
        <v>27</v>
      </c>
      <c r="L7282" t="s">
        <v>143</v>
      </c>
      <c r="M7282" t="s">
        <v>55</v>
      </c>
      <c r="N7282">
        <v>38.065002</v>
      </c>
      <c r="O7282">
        <v>-112.96334299999999</v>
      </c>
      <c r="P7282">
        <v>6477.8548229999997</v>
      </c>
      <c r="Q7282">
        <v>1410</v>
      </c>
      <c r="R7282">
        <v>0</v>
      </c>
    </row>
    <row r="7283" spans="1:18" x14ac:dyDescent="0.25">
      <c r="A7283">
        <v>6282</v>
      </c>
      <c r="B7283">
        <v>94</v>
      </c>
      <c r="C7283">
        <v>31381095</v>
      </c>
      <c r="D7283" t="s">
        <v>116</v>
      </c>
      <c r="E7283">
        <v>31.306999999999999</v>
      </c>
      <c r="F7283" t="s">
        <v>19</v>
      </c>
      <c r="G7283" t="s">
        <v>20</v>
      </c>
      <c r="H7283" t="s">
        <v>21</v>
      </c>
      <c r="I7283" t="s">
        <v>20</v>
      </c>
      <c r="J7283" t="s">
        <v>20</v>
      </c>
      <c r="K7283" t="s">
        <v>41</v>
      </c>
      <c r="L7283" t="s">
        <v>95</v>
      </c>
      <c r="M7283" t="s">
        <v>117</v>
      </c>
      <c r="N7283">
        <v>41.799281000000001</v>
      </c>
      <c r="O7283">
        <v>-111.83350299999999</v>
      </c>
      <c r="P7283">
        <v>4420.3180439999996</v>
      </c>
      <c r="Q7283">
        <v>324</v>
      </c>
      <c r="R7283">
        <v>0</v>
      </c>
    </row>
    <row r="7284" spans="1:18" x14ac:dyDescent="0.25">
      <c r="A7284">
        <v>6283</v>
      </c>
      <c r="B7284">
        <v>94</v>
      </c>
      <c r="C7284">
        <v>31605143</v>
      </c>
      <c r="D7284" t="s">
        <v>271</v>
      </c>
      <c r="E7284">
        <v>31.344000000000001</v>
      </c>
      <c r="F7284" t="s">
        <v>21</v>
      </c>
      <c r="G7284" t="s">
        <v>26</v>
      </c>
      <c r="H7284" t="s">
        <v>21</v>
      </c>
      <c r="I7284" t="s">
        <v>20</v>
      </c>
      <c r="J7284" t="s">
        <v>20</v>
      </c>
      <c r="K7284" t="s">
        <v>22</v>
      </c>
      <c r="L7284" t="s">
        <v>263</v>
      </c>
      <c r="M7284" t="s">
        <v>24</v>
      </c>
      <c r="N7284">
        <v>40.376013999999998</v>
      </c>
      <c r="O7284">
        <v>-112.01113100000001</v>
      </c>
      <c r="P7284">
        <v>4947.4162319999996</v>
      </c>
      <c r="Q7284">
        <v>1372</v>
      </c>
      <c r="R7284">
        <v>0</v>
      </c>
    </row>
    <row r="7285" spans="1:18" x14ac:dyDescent="0.25">
      <c r="A7285">
        <v>6284</v>
      </c>
      <c r="B7285">
        <v>94</v>
      </c>
      <c r="C7285">
        <v>28866125</v>
      </c>
      <c r="D7285" t="s">
        <v>18</v>
      </c>
      <c r="E7285">
        <v>1.7170000000000001</v>
      </c>
      <c r="F7285" t="s">
        <v>19</v>
      </c>
      <c r="G7285" t="s">
        <v>20</v>
      </c>
      <c r="H7285" t="s">
        <v>21</v>
      </c>
      <c r="I7285" t="s">
        <v>20</v>
      </c>
      <c r="J7285" t="s">
        <v>20</v>
      </c>
      <c r="K7285" t="s">
        <v>22</v>
      </c>
      <c r="L7285" t="s">
        <v>23</v>
      </c>
      <c r="M7285" t="s">
        <v>24</v>
      </c>
      <c r="N7285">
        <v>40.273493999999999</v>
      </c>
      <c r="O7285">
        <v>-111.695143</v>
      </c>
      <c r="P7285">
        <v>4686.0105480000002</v>
      </c>
      <c r="Q7285">
        <v>1281</v>
      </c>
      <c r="R7285">
        <v>0</v>
      </c>
    </row>
    <row r="7286" spans="1:18" x14ac:dyDescent="0.25">
      <c r="A7286">
        <v>6285</v>
      </c>
      <c r="B7286">
        <v>94</v>
      </c>
      <c r="C7286">
        <v>31778220</v>
      </c>
      <c r="D7286" t="s">
        <v>171</v>
      </c>
      <c r="E7286">
        <v>10.127000000000001</v>
      </c>
      <c r="F7286" t="s">
        <v>19</v>
      </c>
      <c r="G7286" t="s">
        <v>20</v>
      </c>
      <c r="H7286" t="s">
        <v>21</v>
      </c>
      <c r="I7286" t="s">
        <v>20</v>
      </c>
      <c r="J7286" t="s">
        <v>20</v>
      </c>
      <c r="K7286" t="s">
        <v>31</v>
      </c>
      <c r="L7286" t="s">
        <v>69</v>
      </c>
      <c r="M7286" t="s">
        <v>79</v>
      </c>
      <c r="N7286">
        <v>40.699877999999998</v>
      </c>
      <c r="O7286">
        <v>-111.89975699999999</v>
      </c>
      <c r="P7286">
        <v>4189.6351210000003</v>
      </c>
      <c r="Q7286">
        <v>346</v>
      </c>
      <c r="R7286">
        <v>0</v>
      </c>
    </row>
    <row r="7287" spans="1:18" x14ac:dyDescent="0.25">
      <c r="A7287">
        <v>6286</v>
      </c>
      <c r="B7287">
        <v>94</v>
      </c>
      <c r="C7287">
        <v>31695764</v>
      </c>
      <c r="D7287" t="s">
        <v>323</v>
      </c>
      <c r="E7287">
        <v>10.14</v>
      </c>
      <c r="F7287" t="s">
        <v>21</v>
      </c>
      <c r="G7287" t="s">
        <v>26</v>
      </c>
      <c r="H7287" t="s">
        <v>21</v>
      </c>
      <c r="I7287" t="s">
        <v>20</v>
      </c>
      <c r="J7287" t="s">
        <v>20</v>
      </c>
      <c r="K7287" t="s">
        <v>31</v>
      </c>
      <c r="L7287" t="s">
        <v>130</v>
      </c>
      <c r="M7287" t="s">
        <v>131</v>
      </c>
      <c r="N7287">
        <v>40.610469999999999</v>
      </c>
      <c r="O7287">
        <v>-111.285684</v>
      </c>
      <c r="P7287">
        <v>6495.7579610000003</v>
      </c>
      <c r="Q7287">
        <v>1345</v>
      </c>
      <c r="R7287">
        <v>0</v>
      </c>
    </row>
    <row r="7288" spans="1:18" x14ac:dyDescent="0.25">
      <c r="A7288">
        <v>6287</v>
      </c>
      <c r="B7288">
        <v>94</v>
      </c>
      <c r="C7288" t="e">
        <f>-IowW9YmG_5OWsvY6iGXbV</f>
        <v>#NAME?</v>
      </c>
      <c r="D7288" t="s">
        <v>203</v>
      </c>
      <c r="E7288">
        <v>10.141999999999999</v>
      </c>
      <c r="F7288" t="s">
        <v>21</v>
      </c>
      <c r="G7288" t="s">
        <v>20</v>
      </c>
      <c r="H7288" t="s">
        <v>21</v>
      </c>
      <c r="I7288" t="s">
        <v>20</v>
      </c>
      <c r="J7288" t="s">
        <v>20</v>
      </c>
      <c r="K7288" t="s">
        <v>41</v>
      </c>
      <c r="L7288" t="s">
        <v>255</v>
      </c>
      <c r="M7288" t="s">
        <v>204</v>
      </c>
      <c r="N7288">
        <v>41.240605000000002</v>
      </c>
      <c r="O7288">
        <v>-111.902773</v>
      </c>
      <c r="P7288">
        <v>4570.9120270000003</v>
      </c>
      <c r="Q7288">
        <v>1349</v>
      </c>
      <c r="R7288">
        <v>0</v>
      </c>
    </row>
    <row r="7289" spans="1:18" x14ac:dyDescent="0.25">
      <c r="A7289">
        <v>6288</v>
      </c>
      <c r="B7289">
        <v>94</v>
      </c>
      <c r="C7289">
        <v>31274046</v>
      </c>
      <c r="D7289" t="s">
        <v>303</v>
      </c>
      <c r="E7289">
        <v>10.148999999999999</v>
      </c>
      <c r="F7289" t="s">
        <v>21</v>
      </c>
      <c r="G7289" t="s">
        <v>26</v>
      </c>
      <c r="H7289" t="s">
        <v>21</v>
      </c>
      <c r="I7289" t="s">
        <v>20</v>
      </c>
      <c r="J7289" t="s">
        <v>20</v>
      </c>
      <c r="K7289" t="s">
        <v>27</v>
      </c>
      <c r="L7289" t="s">
        <v>72</v>
      </c>
      <c r="M7289" t="s">
        <v>73</v>
      </c>
      <c r="N7289">
        <v>37.179564999999997</v>
      </c>
      <c r="O7289">
        <v>-113.284296</v>
      </c>
      <c r="P7289">
        <v>3188.8410100000001</v>
      </c>
      <c r="Q7289">
        <v>1326</v>
      </c>
      <c r="R7289">
        <v>0</v>
      </c>
    </row>
    <row r="7290" spans="1:18" x14ac:dyDescent="0.25">
      <c r="A7290">
        <v>6289</v>
      </c>
      <c r="B7290">
        <v>94</v>
      </c>
      <c r="C7290">
        <v>31193904</v>
      </c>
      <c r="D7290" t="s">
        <v>339</v>
      </c>
      <c r="E7290">
        <v>10.154</v>
      </c>
      <c r="F7290" t="s">
        <v>21</v>
      </c>
      <c r="G7290" t="s">
        <v>26</v>
      </c>
      <c r="H7290" t="s">
        <v>21</v>
      </c>
      <c r="I7290" t="s">
        <v>20</v>
      </c>
      <c r="J7290" t="s">
        <v>20</v>
      </c>
      <c r="K7290" t="s">
        <v>41</v>
      </c>
      <c r="L7290" t="s">
        <v>95</v>
      </c>
      <c r="M7290" t="s">
        <v>73</v>
      </c>
      <c r="N7290">
        <v>41.917624000000004</v>
      </c>
      <c r="O7290">
        <v>-111.94556</v>
      </c>
      <c r="P7290">
        <v>4412.9372569999996</v>
      </c>
      <c r="Q7290">
        <v>1417</v>
      </c>
      <c r="R7290">
        <v>0</v>
      </c>
    </row>
    <row r="7291" spans="1:18" x14ac:dyDescent="0.25">
      <c r="A7291">
        <v>6290</v>
      </c>
      <c r="B7291">
        <v>94</v>
      </c>
      <c r="C7291">
        <v>31492773</v>
      </c>
      <c r="D7291" t="s">
        <v>224</v>
      </c>
      <c r="E7291">
        <v>10.173999999999999</v>
      </c>
      <c r="F7291" t="s">
        <v>21</v>
      </c>
      <c r="G7291" t="s">
        <v>26</v>
      </c>
      <c r="H7291" t="s">
        <v>21</v>
      </c>
      <c r="I7291" t="s">
        <v>20</v>
      </c>
      <c r="J7291" t="s">
        <v>20</v>
      </c>
      <c r="K7291" t="s">
        <v>22</v>
      </c>
      <c r="L7291" t="s">
        <v>198</v>
      </c>
      <c r="M7291" t="s">
        <v>194</v>
      </c>
      <c r="N7291">
        <v>40.074973</v>
      </c>
      <c r="O7291">
        <v>-111.660955</v>
      </c>
      <c r="P7291">
        <v>4586.1361740000002</v>
      </c>
      <c r="Q7291">
        <v>408</v>
      </c>
      <c r="R7291">
        <v>0</v>
      </c>
    </row>
    <row r="7292" spans="1:18" x14ac:dyDescent="0.25">
      <c r="A7292">
        <v>6291</v>
      </c>
      <c r="B7292">
        <v>94</v>
      </c>
      <c r="C7292">
        <v>31732746</v>
      </c>
      <c r="D7292" t="s">
        <v>290</v>
      </c>
      <c r="E7292">
        <v>10.188000000000001</v>
      </c>
      <c r="F7292" t="s">
        <v>21</v>
      </c>
      <c r="G7292" t="s">
        <v>20</v>
      </c>
      <c r="H7292" t="s">
        <v>21</v>
      </c>
      <c r="I7292" t="s">
        <v>20</v>
      </c>
      <c r="J7292" t="s">
        <v>20</v>
      </c>
      <c r="K7292" t="s">
        <v>41</v>
      </c>
      <c r="L7292" t="s">
        <v>291</v>
      </c>
      <c r="M7292" t="s">
        <v>238</v>
      </c>
      <c r="N7292">
        <v>41.424402000000001</v>
      </c>
      <c r="O7292">
        <v>-113.861862</v>
      </c>
      <c r="P7292">
        <v>4572.3764030000002</v>
      </c>
      <c r="Q7292">
        <v>1343</v>
      </c>
      <c r="R7292">
        <v>0</v>
      </c>
    </row>
    <row r="7293" spans="1:18" x14ac:dyDescent="0.25">
      <c r="A7293">
        <v>6292</v>
      </c>
      <c r="B7293">
        <v>94</v>
      </c>
      <c r="C7293">
        <v>31290457</v>
      </c>
      <c r="D7293" t="s">
        <v>315</v>
      </c>
      <c r="E7293">
        <v>10.19</v>
      </c>
      <c r="F7293" t="s">
        <v>21</v>
      </c>
      <c r="G7293" t="s">
        <v>26</v>
      </c>
      <c r="H7293" t="s">
        <v>21</v>
      </c>
      <c r="I7293" t="s">
        <v>20</v>
      </c>
      <c r="J7293" t="s">
        <v>20</v>
      </c>
      <c r="K7293" t="s">
        <v>27</v>
      </c>
      <c r="L7293" t="s">
        <v>111</v>
      </c>
      <c r="M7293" t="s">
        <v>243</v>
      </c>
      <c r="N7293">
        <v>39.276403000000002</v>
      </c>
      <c r="O7293">
        <v>-111.174851</v>
      </c>
      <c r="P7293">
        <v>6288.1746039999998</v>
      </c>
      <c r="Q7293">
        <v>307</v>
      </c>
      <c r="R7293">
        <v>0</v>
      </c>
    </row>
    <row r="7294" spans="1:18" x14ac:dyDescent="0.25">
      <c r="A7294">
        <v>6293</v>
      </c>
      <c r="B7294">
        <v>94</v>
      </c>
      <c r="C7294">
        <v>31469690</v>
      </c>
      <c r="D7294" t="s">
        <v>167</v>
      </c>
      <c r="E7294">
        <v>10.193</v>
      </c>
      <c r="F7294" t="s">
        <v>21</v>
      </c>
      <c r="G7294" t="s">
        <v>26</v>
      </c>
      <c r="H7294" t="s">
        <v>19</v>
      </c>
      <c r="I7294">
        <v>35</v>
      </c>
      <c r="J7294" t="s">
        <v>20</v>
      </c>
      <c r="K7294" t="s">
        <v>22</v>
      </c>
      <c r="L7294" t="s">
        <v>168</v>
      </c>
      <c r="M7294" t="s">
        <v>169</v>
      </c>
      <c r="N7294">
        <v>40.331189000000002</v>
      </c>
      <c r="O7294">
        <v>-110.671134</v>
      </c>
      <c r="P7294">
        <v>6387.0454710000004</v>
      </c>
      <c r="Q7294">
        <v>354</v>
      </c>
      <c r="R7294">
        <v>0</v>
      </c>
    </row>
    <row r="7295" spans="1:18" x14ac:dyDescent="0.25">
      <c r="A7295">
        <v>6294</v>
      </c>
      <c r="B7295">
        <v>94</v>
      </c>
      <c r="C7295">
        <v>31281710</v>
      </c>
      <c r="D7295" t="s">
        <v>347</v>
      </c>
      <c r="E7295">
        <v>10.195</v>
      </c>
      <c r="F7295" t="s">
        <v>21</v>
      </c>
      <c r="G7295" t="s">
        <v>26</v>
      </c>
      <c r="H7295" t="s">
        <v>21</v>
      </c>
      <c r="I7295" t="s">
        <v>20</v>
      </c>
      <c r="J7295" t="s">
        <v>20</v>
      </c>
      <c r="K7295" t="s">
        <v>41</v>
      </c>
      <c r="L7295" t="s">
        <v>325</v>
      </c>
      <c r="M7295" t="s">
        <v>204</v>
      </c>
      <c r="N7295">
        <v>41.519643000000002</v>
      </c>
      <c r="O7295">
        <v>-111.162924</v>
      </c>
      <c r="P7295">
        <v>6292.5172380000004</v>
      </c>
      <c r="Q7295">
        <v>1334</v>
      </c>
      <c r="R7295">
        <v>0</v>
      </c>
    </row>
    <row r="7296" spans="1:18" x14ac:dyDescent="0.25">
      <c r="A7296">
        <v>6295</v>
      </c>
      <c r="B7296">
        <v>94</v>
      </c>
      <c r="C7296" t="e">
        <f>-JYhkOGsHbDHbTmL24nY3V</f>
        <v>#NAME?</v>
      </c>
      <c r="D7296" t="s">
        <v>390</v>
      </c>
      <c r="E7296">
        <v>10.195</v>
      </c>
      <c r="F7296" t="s">
        <v>21</v>
      </c>
      <c r="G7296" t="s">
        <v>20</v>
      </c>
      <c r="H7296" t="s">
        <v>21</v>
      </c>
      <c r="I7296" t="s">
        <v>20</v>
      </c>
      <c r="J7296" t="s">
        <v>20</v>
      </c>
      <c r="K7296" t="s">
        <v>22</v>
      </c>
      <c r="L7296" t="s">
        <v>84</v>
      </c>
      <c r="M7296" t="s">
        <v>335</v>
      </c>
      <c r="N7296">
        <v>40.443860999999998</v>
      </c>
      <c r="O7296">
        <v>-111.70655600000001</v>
      </c>
      <c r="P7296">
        <v>5573.1717410000001</v>
      </c>
      <c r="Q7296">
        <v>1386</v>
      </c>
      <c r="R7296">
        <v>0</v>
      </c>
    </row>
    <row r="7297" spans="1:18" x14ac:dyDescent="0.25">
      <c r="A7297">
        <v>6296</v>
      </c>
      <c r="B7297">
        <v>94</v>
      </c>
      <c r="C7297">
        <v>31314865</v>
      </c>
      <c r="D7297" t="s">
        <v>215</v>
      </c>
      <c r="E7297">
        <v>10.199</v>
      </c>
      <c r="F7297" t="s">
        <v>21</v>
      </c>
      <c r="G7297" t="s">
        <v>26</v>
      </c>
      <c r="H7297" t="s">
        <v>21</v>
      </c>
      <c r="I7297" t="s">
        <v>20</v>
      </c>
      <c r="J7297" t="s">
        <v>20</v>
      </c>
      <c r="K7297" t="s">
        <v>22</v>
      </c>
      <c r="L7297" t="s">
        <v>23</v>
      </c>
      <c r="M7297" t="s">
        <v>85</v>
      </c>
      <c r="N7297">
        <v>40.349418</v>
      </c>
      <c r="O7297">
        <v>-111.740746</v>
      </c>
      <c r="P7297">
        <v>4483.9126310000001</v>
      </c>
      <c r="Q7297">
        <v>330</v>
      </c>
      <c r="R7297">
        <v>0</v>
      </c>
    </row>
    <row r="7298" spans="1:18" x14ac:dyDescent="0.25">
      <c r="A7298">
        <v>6297</v>
      </c>
      <c r="B7298">
        <v>94</v>
      </c>
      <c r="C7298" t="e">
        <f>-JXgqutcHnq1OxAjCMLRYV</f>
        <v>#NAME?</v>
      </c>
      <c r="D7298" t="s">
        <v>390</v>
      </c>
      <c r="E7298">
        <v>10.207000000000001</v>
      </c>
      <c r="F7298" t="s">
        <v>21</v>
      </c>
      <c r="G7298" t="s">
        <v>20</v>
      </c>
      <c r="H7298" t="s">
        <v>21</v>
      </c>
      <c r="I7298" t="s">
        <v>20</v>
      </c>
      <c r="J7298" t="s">
        <v>20</v>
      </c>
      <c r="K7298" t="s">
        <v>22</v>
      </c>
      <c r="L7298" t="s">
        <v>84</v>
      </c>
      <c r="M7298" t="s">
        <v>335</v>
      </c>
      <c r="N7298">
        <v>40.443874000000001</v>
      </c>
      <c r="O7298">
        <v>-111.706324</v>
      </c>
      <c r="P7298">
        <v>5575.5648190000002</v>
      </c>
      <c r="Q7298">
        <v>1386</v>
      </c>
      <c r="R7298">
        <v>0</v>
      </c>
    </row>
    <row r="7299" spans="1:18" x14ac:dyDescent="0.25">
      <c r="A7299">
        <v>6298</v>
      </c>
      <c r="B7299">
        <v>94</v>
      </c>
      <c r="C7299">
        <v>31505744</v>
      </c>
      <c r="D7299" t="s">
        <v>292</v>
      </c>
      <c r="E7299">
        <v>10.212999999999999</v>
      </c>
      <c r="F7299" t="s">
        <v>21</v>
      </c>
      <c r="G7299" t="s">
        <v>26</v>
      </c>
      <c r="H7299" t="s">
        <v>21</v>
      </c>
      <c r="I7299" t="s">
        <v>20</v>
      </c>
      <c r="J7299" t="s">
        <v>20</v>
      </c>
      <c r="K7299" t="s">
        <v>22</v>
      </c>
      <c r="L7299" t="s">
        <v>253</v>
      </c>
      <c r="M7299" t="s">
        <v>134</v>
      </c>
      <c r="N7299">
        <v>40.308140000000002</v>
      </c>
      <c r="O7299">
        <v>-110.37444600000001</v>
      </c>
      <c r="P7299">
        <v>6400.6228899999996</v>
      </c>
      <c r="Q7299">
        <v>323</v>
      </c>
      <c r="R7299">
        <v>0</v>
      </c>
    </row>
    <row r="7300" spans="1:18" x14ac:dyDescent="0.25">
      <c r="A7300">
        <v>6299</v>
      </c>
      <c r="B7300">
        <v>94</v>
      </c>
      <c r="C7300">
        <v>31192089</v>
      </c>
      <c r="D7300" t="s">
        <v>310</v>
      </c>
      <c r="E7300">
        <v>10.215</v>
      </c>
      <c r="F7300" t="s">
        <v>21</v>
      </c>
      <c r="G7300" t="s">
        <v>26</v>
      </c>
      <c r="H7300" t="s">
        <v>21</v>
      </c>
      <c r="I7300" t="s">
        <v>20</v>
      </c>
      <c r="J7300" t="s">
        <v>20</v>
      </c>
      <c r="K7300" t="s">
        <v>31</v>
      </c>
      <c r="L7300" t="s">
        <v>285</v>
      </c>
      <c r="M7300" t="s">
        <v>206</v>
      </c>
      <c r="N7300">
        <v>40.599893000000002</v>
      </c>
      <c r="O7300">
        <v>-112.463832</v>
      </c>
      <c r="P7300">
        <v>4247.4082070000004</v>
      </c>
      <c r="Q7300">
        <v>1414</v>
      </c>
      <c r="R7300">
        <v>0</v>
      </c>
    </row>
    <row r="7301" spans="1:18" x14ac:dyDescent="0.25">
      <c r="A7301">
        <v>6300</v>
      </c>
      <c r="B7301">
        <v>94</v>
      </c>
      <c r="C7301">
        <v>31375435</v>
      </c>
      <c r="D7301" t="s">
        <v>142</v>
      </c>
      <c r="E7301">
        <v>100.747</v>
      </c>
      <c r="F7301" t="s">
        <v>21</v>
      </c>
      <c r="G7301" t="s">
        <v>20</v>
      </c>
      <c r="H7301" t="s">
        <v>21</v>
      </c>
      <c r="I7301" t="s">
        <v>20</v>
      </c>
      <c r="J7301" t="s">
        <v>20</v>
      </c>
      <c r="K7301" t="s">
        <v>27</v>
      </c>
      <c r="L7301" t="s">
        <v>103</v>
      </c>
      <c r="M7301" t="s">
        <v>106</v>
      </c>
      <c r="N7301">
        <v>38.256126000000002</v>
      </c>
      <c r="O7301">
        <v>-112.75999299999999</v>
      </c>
      <c r="P7301">
        <v>5517.2974770000001</v>
      </c>
      <c r="Q7301">
        <v>305</v>
      </c>
      <c r="R7301">
        <v>0</v>
      </c>
    </row>
    <row r="7302" spans="1:18" x14ac:dyDescent="0.25">
      <c r="A7302">
        <v>6301</v>
      </c>
      <c r="B7302">
        <v>94</v>
      </c>
      <c r="C7302" t="e">
        <f>-JYmZO1jFfLFvIB8g0ZOhk</f>
        <v>#NAME?</v>
      </c>
      <c r="D7302" t="s">
        <v>220</v>
      </c>
      <c r="E7302">
        <v>100.761</v>
      </c>
      <c r="F7302" t="s">
        <v>21</v>
      </c>
      <c r="G7302" t="s">
        <v>20</v>
      </c>
      <c r="H7302" t="s">
        <v>21</v>
      </c>
      <c r="I7302" t="s">
        <v>20</v>
      </c>
      <c r="J7302" t="s">
        <v>20</v>
      </c>
      <c r="K7302" t="s">
        <v>27</v>
      </c>
      <c r="L7302" t="s">
        <v>28</v>
      </c>
      <c r="M7302" t="s">
        <v>366</v>
      </c>
      <c r="N7302">
        <v>38.041936</v>
      </c>
      <c r="O7302">
        <v>-111.327749</v>
      </c>
      <c r="P7302">
        <v>9526.5984919999992</v>
      </c>
      <c r="Q7302">
        <v>1328</v>
      </c>
      <c r="R7302">
        <v>0</v>
      </c>
    </row>
    <row r="7303" spans="1:18" x14ac:dyDescent="0.25">
      <c r="A7303">
        <v>6302</v>
      </c>
      <c r="B7303">
        <v>94</v>
      </c>
      <c r="C7303" t="e">
        <f>-Ip-ObrGGqa17QxisEn0Fk</f>
        <v>#NAME?</v>
      </c>
      <c r="D7303" t="s">
        <v>118</v>
      </c>
      <c r="E7303">
        <v>100.773</v>
      </c>
      <c r="F7303" t="s">
        <v>21</v>
      </c>
      <c r="G7303" t="s">
        <v>20</v>
      </c>
      <c r="H7303" t="s">
        <v>21</v>
      </c>
      <c r="I7303" t="s">
        <v>20</v>
      </c>
      <c r="J7303" t="s">
        <v>20</v>
      </c>
      <c r="K7303" t="s">
        <v>22</v>
      </c>
      <c r="L7303" t="s">
        <v>133</v>
      </c>
      <c r="M7303" t="s">
        <v>169</v>
      </c>
      <c r="N7303">
        <v>40.169611000000003</v>
      </c>
      <c r="O7303">
        <v>-110.14305</v>
      </c>
      <c r="P7303">
        <v>5140.6550969999998</v>
      </c>
      <c r="Q7303">
        <v>310</v>
      </c>
      <c r="R7303">
        <v>0</v>
      </c>
    </row>
    <row r="7304" spans="1:18" x14ac:dyDescent="0.25">
      <c r="A7304">
        <v>6303</v>
      </c>
      <c r="B7304">
        <v>94</v>
      </c>
      <c r="C7304">
        <v>31375446</v>
      </c>
      <c r="D7304" t="s">
        <v>142</v>
      </c>
      <c r="E7304">
        <v>100.90300000000001</v>
      </c>
      <c r="F7304" t="s">
        <v>21</v>
      </c>
      <c r="G7304" t="s">
        <v>26</v>
      </c>
      <c r="H7304" t="s">
        <v>21</v>
      </c>
      <c r="I7304" t="s">
        <v>20</v>
      </c>
      <c r="J7304" t="s">
        <v>20</v>
      </c>
      <c r="K7304" t="s">
        <v>27</v>
      </c>
      <c r="L7304" t="s">
        <v>103</v>
      </c>
      <c r="M7304" t="s">
        <v>106</v>
      </c>
      <c r="N7304">
        <v>38.256929999999997</v>
      </c>
      <c r="O7304">
        <v>-112.757311</v>
      </c>
      <c r="P7304">
        <v>5541.0293000000001</v>
      </c>
      <c r="Q7304">
        <v>305</v>
      </c>
      <c r="R7304">
        <v>0</v>
      </c>
    </row>
    <row r="7305" spans="1:18" x14ac:dyDescent="0.25">
      <c r="A7305">
        <v>6304</v>
      </c>
      <c r="B7305">
        <v>94</v>
      </c>
      <c r="C7305">
        <v>31810927</v>
      </c>
      <c r="D7305" t="s">
        <v>61</v>
      </c>
      <c r="E7305">
        <v>6.55</v>
      </c>
      <c r="F7305" t="s">
        <v>21</v>
      </c>
      <c r="G7305" t="s">
        <v>26</v>
      </c>
      <c r="H7305" t="s">
        <v>21</v>
      </c>
      <c r="I7305" t="s">
        <v>20</v>
      </c>
      <c r="J7305" t="s">
        <v>20</v>
      </c>
      <c r="K7305" t="s">
        <v>22</v>
      </c>
      <c r="L7305" t="s">
        <v>60</v>
      </c>
      <c r="M7305" t="s">
        <v>62</v>
      </c>
      <c r="N7305">
        <v>40.300486999999997</v>
      </c>
      <c r="O7305">
        <v>-111.656363</v>
      </c>
      <c r="P7305">
        <v>4714.9671470000003</v>
      </c>
      <c r="Q7305">
        <v>403</v>
      </c>
      <c r="R7305">
        <v>0</v>
      </c>
    </row>
    <row r="7306" spans="1:18" x14ac:dyDescent="0.25">
      <c r="A7306">
        <v>6305</v>
      </c>
      <c r="B7306">
        <v>94</v>
      </c>
      <c r="C7306">
        <v>27867552</v>
      </c>
      <c r="D7306" t="s">
        <v>91</v>
      </c>
      <c r="E7306">
        <v>6.55</v>
      </c>
      <c r="F7306" t="s">
        <v>21</v>
      </c>
      <c r="G7306" t="s">
        <v>26</v>
      </c>
      <c r="H7306" t="s">
        <v>21</v>
      </c>
      <c r="I7306" t="s">
        <v>20</v>
      </c>
      <c r="J7306" t="s">
        <v>20</v>
      </c>
      <c r="K7306" t="s">
        <v>41</v>
      </c>
      <c r="L7306" t="s">
        <v>42</v>
      </c>
      <c r="M7306" t="s">
        <v>73</v>
      </c>
      <c r="N7306">
        <v>41.700423000000001</v>
      </c>
      <c r="O7306">
        <v>-111.976837</v>
      </c>
      <c r="P7306">
        <v>4472.8160399999997</v>
      </c>
      <c r="Q7306">
        <v>1339</v>
      </c>
      <c r="R7306">
        <v>0</v>
      </c>
    </row>
    <row r="7307" spans="1:18" x14ac:dyDescent="0.25">
      <c r="A7307">
        <v>6306</v>
      </c>
      <c r="B7307">
        <v>94</v>
      </c>
      <c r="C7307">
        <v>31694500</v>
      </c>
      <c r="D7307" t="s">
        <v>96</v>
      </c>
      <c r="E7307">
        <v>6.5519999999999996</v>
      </c>
      <c r="F7307" t="s">
        <v>21</v>
      </c>
      <c r="G7307" t="s">
        <v>20</v>
      </c>
      <c r="H7307" t="s">
        <v>21</v>
      </c>
      <c r="I7307" t="s">
        <v>20</v>
      </c>
      <c r="J7307" t="s">
        <v>20</v>
      </c>
      <c r="K7307" t="s">
        <v>22</v>
      </c>
      <c r="L7307" t="s">
        <v>97</v>
      </c>
      <c r="M7307" t="s">
        <v>98</v>
      </c>
      <c r="N7307">
        <v>40.980767</v>
      </c>
      <c r="O7307">
        <v>-109.74582700000001</v>
      </c>
      <c r="P7307">
        <v>6528.4842580000004</v>
      </c>
      <c r="Q7307">
        <v>311</v>
      </c>
      <c r="R7307">
        <v>0</v>
      </c>
    </row>
    <row r="7308" spans="1:18" x14ac:dyDescent="0.25">
      <c r="A7308">
        <v>6307</v>
      </c>
      <c r="B7308">
        <v>94</v>
      </c>
      <c r="C7308">
        <v>31364588</v>
      </c>
      <c r="D7308" t="s">
        <v>343</v>
      </c>
      <c r="E7308">
        <v>6.5540000000000003</v>
      </c>
      <c r="F7308" t="s">
        <v>21</v>
      </c>
      <c r="G7308" t="s">
        <v>26</v>
      </c>
      <c r="H7308" t="s">
        <v>21</v>
      </c>
      <c r="I7308" t="s">
        <v>20</v>
      </c>
      <c r="J7308" t="s">
        <v>20</v>
      </c>
      <c r="K7308" t="s">
        <v>27</v>
      </c>
      <c r="L7308" t="s">
        <v>230</v>
      </c>
      <c r="M7308" t="s">
        <v>82</v>
      </c>
      <c r="N7308">
        <v>39.546756000000002</v>
      </c>
      <c r="O7308">
        <v>-111.464789</v>
      </c>
      <c r="P7308">
        <v>5793.5607879999998</v>
      </c>
      <c r="Q7308">
        <v>1402</v>
      </c>
      <c r="R7308">
        <v>0</v>
      </c>
    </row>
    <row r="7309" spans="1:18" x14ac:dyDescent="0.25">
      <c r="A7309">
        <v>6308</v>
      </c>
      <c r="B7309">
        <v>94</v>
      </c>
      <c r="C7309">
        <v>27376547</v>
      </c>
      <c r="D7309" t="s">
        <v>185</v>
      </c>
      <c r="E7309">
        <v>6.5579999999999998</v>
      </c>
      <c r="F7309" t="s">
        <v>21</v>
      </c>
      <c r="G7309" t="s">
        <v>26</v>
      </c>
      <c r="H7309" t="s">
        <v>21</v>
      </c>
      <c r="I7309" t="s">
        <v>20</v>
      </c>
      <c r="J7309" t="s">
        <v>20</v>
      </c>
      <c r="K7309" t="s">
        <v>41</v>
      </c>
      <c r="L7309" t="s">
        <v>57</v>
      </c>
      <c r="M7309" t="s">
        <v>58</v>
      </c>
      <c r="N7309">
        <v>41.162042999999997</v>
      </c>
      <c r="O7309">
        <v>-112.12283600000001</v>
      </c>
      <c r="P7309">
        <v>4183.8955089999999</v>
      </c>
      <c r="Q7309">
        <v>309</v>
      </c>
      <c r="R7309">
        <v>0</v>
      </c>
    </row>
    <row r="7310" spans="1:18" x14ac:dyDescent="0.25">
      <c r="A7310">
        <v>6309</v>
      </c>
      <c r="B7310">
        <v>94</v>
      </c>
      <c r="C7310" t="e">
        <f>-Ior1HbPHqP9qAGAnetZJF</f>
        <v>#NAME?</v>
      </c>
      <c r="D7310" t="s">
        <v>241</v>
      </c>
      <c r="E7310">
        <v>67.335999999999999</v>
      </c>
      <c r="F7310" t="s">
        <v>21</v>
      </c>
      <c r="G7310" t="s">
        <v>26</v>
      </c>
      <c r="H7310" t="s">
        <v>21</v>
      </c>
      <c r="I7310" t="s">
        <v>20</v>
      </c>
      <c r="J7310" t="s">
        <v>20</v>
      </c>
      <c r="K7310" t="s">
        <v>27</v>
      </c>
      <c r="L7310" t="s">
        <v>158</v>
      </c>
      <c r="M7310" t="s">
        <v>243</v>
      </c>
      <c r="N7310">
        <v>39.580060000000003</v>
      </c>
      <c r="O7310">
        <v>-110.81569</v>
      </c>
      <c r="P7310">
        <v>5493.7991480000001</v>
      </c>
      <c r="Q7310">
        <v>1327</v>
      </c>
      <c r="R7310">
        <v>0</v>
      </c>
    </row>
    <row r="7311" spans="1:18" x14ac:dyDescent="0.25">
      <c r="A7311">
        <v>6310</v>
      </c>
      <c r="B7311">
        <v>94</v>
      </c>
      <c r="C7311">
        <v>31314523</v>
      </c>
      <c r="D7311" t="s">
        <v>203</v>
      </c>
      <c r="E7311">
        <v>67.402000000000001</v>
      </c>
      <c r="F7311" t="s">
        <v>21</v>
      </c>
      <c r="G7311" t="s">
        <v>26</v>
      </c>
      <c r="H7311" t="s">
        <v>21</v>
      </c>
      <c r="I7311" t="s">
        <v>20</v>
      </c>
      <c r="J7311" t="s">
        <v>20</v>
      </c>
      <c r="K7311" t="s">
        <v>41</v>
      </c>
      <c r="L7311" t="s">
        <v>325</v>
      </c>
      <c r="M7311" t="s">
        <v>204</v>
      </c>
      <c r="N7311">
        <v>41.524106000000003</v>
      </c>
      <c r="O7311">
        <v>-111.169562</v>
      </c>
      <c r="P7311">
        <v>6301.8469850000001</v>
      </c>
      <c r="Q7311">
        <v>1349</v>
      </c>
      <c r="R7311">
        <v>0</v>
      </c>
    </row>
    <row r="7312" spans="1:18" x14ac:dyDescent="0.25">
      <c r="A7312">
        <v>6311</v>
      </c>
      <c r="B7312">
        <v>94</v>
      </c>
      <c r="C7312" t="e">
        <f>-JOigQsvIIqfnzJ4kvb80V</f>
        <v>#NAME?</v>
      </c>
      <c r="D7312" t="s">
        <v>244</v>
      </c>
      <c r="E7312">
        <v>67.409000000000006</v>
      </c>
      <c r="F7312" t="s">
        <v>21</v>
      </c>
      <c r="G7312" t="s">
        <v>20</v>
      </c>
      <c r="H7312" t="s">
        <v>21</v>
      </c>
      <c r="I7312" t="s">
        <v>20</v>
      </c>
      <c r="J7312" t="s">
        <v>20</v>
      </c>
      <c r="K7312" t="s">
        <v>27</v>
      </c>
      <c r="L7312" t="s">
        <v>266</v>
      </c>
      <c r="M7312" t="s">
        <v>386</v>
      </c>
      <c r="N7312">
        <v>38.299790000000002</v>
      </c>
      <c r="O7312">
        <v>-111.441118</v>
      </c>
      <c r="P7312">
        <v>6778.7809960000004</v>
      </c>
      <c r="Q7312">
        <v>1340</v>
      </c>
      <c r="R7312">
        <v>0</v>
      </c>
    </row>
    <row r="7313" spans="1:18" x14ac:dyDescent="0.25">
      <c r="A7313">
        <v>6312</v>
      </c>
      <c r="B7313">
        <v>94</v>
      </c>
      <c r="C7313" t="e">
        <f>-JWMRYvgFFHAUyql2N7orV</f>
        <v>#NAME?</v>
      </c>
      <c r="D7313" t="s">
        <v>347</v>
      </c>
      <c r="E7313">
        <v>9.9359999999999999</v>
      </c>
      <c r="F7313" t="s">
        <v>21</v>
      </c>
      <c r="G7313" t="s">
        <v>20</v>
      </c>
      <c r="H7313" t="s">
        <v>21</v>
      </c>
      <c r="I7313" t="s">
        <v>20</v>
      </c>
      <c r="J7313" t="s">
        <v>20</v>
      </c>
      <c r="K7313" t="s">
        <v>41</v>
      </c>
      <c r="L7313" t="s">
        <v>325</v>
      </c>
      <c r="M7313" t="s">
        <v>204</v>
      </c>
      <c r="N7313">
        <v>41.517417000000002</v>
      </c>
      <c r="O7313">
        <v>-111.159971</v>
      </c>
      <c r="P7313">
        <v>6286.502786</v>
      </c>
      <c r="Q7313">
        <v>1334</v>
      </c>
      <c r="R7313">
        <v>0</v>
      </c>
    </row>
    <row r="7314" spans="1:18" x14ac:dyDescent="0.25">
      <c r="A7314">
        <v>6313</v>
      </c>
      <c r="B7314">
        <v>94</v>
      </c>
      <c r="C7314">
        <v>31273620</v>
      </c>
      <c r="D7314" t="s">
        <v>303</v>
      </c>
      <c r="E7314">
        <v>9.9380000000000006</v>
      </c>
      <c r="F7314" t="s">
        <v>21</v>
      </c>
      <c r="G7314" t="s">
        <v>26</v>
      </c>
      <c r="H7314" t="s">
        <v>21</v>
      </c>
      <c r="I7314" t="s">
        <v>20</v>
      </c>
      <c r="J7314" t="s">
        <v>20</v>
      </c>
      <c r="K7314" t="s">
        <v>27</v>
      </c>
      <c r="L7314" t="s">
        <v>72</v>
      </c>
      <c r="M7314" t="s">
        <v>73</v>
      </c>
      <c r="N7314">
        <v>37.176785000000002</v>
      </c>
      <c r="O7314">
        <v>-113.28522599999999</v>
      </c>
      <c r="P7314">
        <v>3164.4040369999998</v>
      </c>
      <c r="Q7314">
        <v>1326</v>
      </c>
      <c r="R7314">
        <v>0</v>
      </c>
    </row>
    <row r="7315" spans="1:18" x14ac:dyDescent="0.25">
      <c r="A7315">
        <v>6314</v>
      </c>
      <c r="B7315">
        <v>94</v>
      </c>
      <c r="C7315">
        <v>31482047</v>
      </c>
      <c r="D7315" t="s">
        <v>244</v>
      </c>
      <c r="E7315">
        <v>9.94</v>
      </c>
      <c r="F7315" t="s">
        <v>21</v>
      </c>
      <c r="G7315" t="s">
        <v>26</v>
      </c>
      <c r="H7315" t="s">
        <v>21</v>
      </c>
      <c r="I7315" t="s">
        <v>20</v>
      </c>
      <c r="J7315" t="s">
        <v>20</v>
      </c>
      <c r="K7315" t="s">
        <v>27</v>
      </c>
      <c r="L7315" t="s">
        <v>75</v>
      </c>
      <c r="M7315" t="s">
        <v>58</v>
      </c>
      <c r="N7315">
        <v>38.839486000000001</v>
      </c>
      <c r="O7315">
        <v>-111.96757599999999</v>
      </c>
      <c r="P7315">
        <v>5161.3121419999998</v>
      </c>
      <c r="Q7315">
        <v>1340</v>
      </c>
      <c r="R7315">
        <v>0</v>
      </c>
    </row>
    <row r="7316" spans="1:18" x14ac:dyDescent="0.25">
      <c r="A7316">
        <v>6315</v>
      </c>
      <c r="B7316">
        <v>94</v>
      </c>
      <c r="C7316">
        <v>31416341</v>
      </c>
      <c r="D7316" t="s">
        <v>288</v>
      </c>
      <c r="E7316">
        <v>72.046000000000006</v>
      </c>
      <c r="F7316" t="s">
        <v>21</v>
      </c>
      <c r="G7316" t="s">
        <v>26</v>
      </c>
      <c r="H7316" t="s">
        <v>21</v>
      </c>
      <c r="I7316" t="s">
        <v>20</v>
      </c>
      <c r="J7316" t="s">
        <v>20</v>
      </c>
      <c r="K7316" t="s">
        <v>27</v>
      </c>
      <c r="L7316" t="s">
        <v>146</v>
      </c>
      <c r="M7316" t="s">
        <v>147</v>
      </c>
      <c r="N7316">
        <v>37.875385999999999</v>
      </c>
      <c r="O7316">
        <v>-109.342902</v>
      </c>
      <c r="P7316">
        <v>6996.7886040000003</v>
      </c>
      <c r="Q7316">
        <v>350</v>
      </c>
      <c r="R7316">
        <v>0</v>
      </c>
    </row>
    <row r="7317" spans="1:18" x14ac:dyDescent="0.25">
      <c r="A7317">
        <v>6316</v>
      </c>
      <c r="B7317">
        <v>94</v>
      </c>
      <c r="C7317">
        <v>31769310</v>
      </c>
      <c r="D7317" t="s">
        <v>118</v>
      </c>
      <c r="E7317">
        <v>72.174000000000007</v>
      </c>
      <c r="F7317" t="s">
        <v>21</v>
      </c>
      <c r="G7317" t="s">
        <v>20</v>
      </c>
      <c r="H7317" t="s">
        <v>21</v>
      </c>
      <c r="I7317" t="s">
        <v>20</v>
      </c>
      <c r="J7317" t="s">
        <v>20</v>
      </c>
      <c r="K7317" t="s">
        <v>22</v>
      </c>
      <c r="L7317" t="s">
        <v>253</v>
      </c>
      <c r="M7317" t="s">
        <v>120</v>
      </c>
      <c r="N7317">
        <v>40.183864</v>
      </c>
      <c r="O7317">
        <v>-110.663656</v>
      </c>
      <c r="P7317">
        <v>6764.5753489999997</v>
      </c>
      <c r="Q7317">
        <v>310</v>
      </c>
      <c r="R7317">
        <v>0</v>
      </c>
    </row>
    <row r="7318" spans="1:18" x14ac:dyDescent="0.25">
      <c r="A7318">
        <v>6317</v>
      </c>
      <c r="B7318">
        <v>94</v>
      </c>
      <c r="C7318">
        <v>31769321</v>
      </c>
      <c r="D7318" t="s">
        <v>118</v>
      </c>
      <c r="E7318">
        <v>72.236999999999995</v>
      </c>
      <c r="F7318" t="s">
        <v>21</v>
      </c>
      <c r="G7318" t="s">
        <v>20</v>
      </c>
      <c r="H7318" t="s">
        <v>21</v>
      </c>
      <c r="I7318" t="s">
        <v>20</v>
      </c>
      <c r="J7318" t="s">
        <v>20</v>
      </c>
      <c r="K7318" t="s">
        <v>22</v>
      </c>
      <c r="L7318" t="s">
        <v>253</v>
      </c>
      <c r="M7318" t="s">
        <v>120</v>
      </c>
      <c r="N7318">
        <v>40.183545000000002</v>
      </c>
      <c r="O7318">
        <v>-110.662548</v>
      </c>
      <c r="P7318">
        <v>6761.9650959999999</v>
      </c>
      <c r="Q7318">
        <v>310</v>
      </c>
      <c r="R7318">
        <v>0</v>
      </c>
    </row>
    <row r="7319" spans="1:18" x14ac:dyDescent="0.25">
      <c r="A7319">
        <v>6318</v>
      </c>
      <c r="B7319">
        <v>94</v>
      </c>
      <c r="C7319">
        <v>31417452</v>
      </c>
      <c r="D7319" t="s">
        <v>288</v>
      </c>
      <c r="E7319">
        <v>72.262</v>
      </c>
      <c r="F7319" t="s">
        <v>21</v>
      </c>
      <c r="G7319" t="s">
        <v>26</v>
      </c>
      <c r="H7319" t="s">
        <v>21</v>
      </c>
      <c r="I7319" t="s">
        <v>20</v>
      </c>
      <c r="J7319" t="s">
        <v>20</v>
      </c>
      <c r="K7319" t="s">
        <v>27</v>
      </c>
      <c r="L7319" t="s">
        <v>146</v>
      </c>
      <c r="M7319" t="s">
        <v>147</v>
      </c>
      <c r="N7319">
        <v>37.878520999999999</v>
      </c>
      <c r="O7319">
        <v>-109.342915</v>
      </c>
      <c r="P7319">
        <v>6999.7852999999996</v>
      </c>
      <c r="Q7319">
        <v>350</v>
      </c>
      <c r="R7319">
        <v>0</v>
      </c>
    </row>
    <row r="7320" spans="1:18" x14ac:dyDescent="0.25">
      <c r="A7320">
        <v>6319</v>
      </c>
      <c r="B7320">
        <v>94</v>
      </c>
      <c r="C7320">
        <v>31417463</v>
      </c>
      <c r="D7320" t="s">
        <v>288</v>
      </c>
      <c r="E7320">
        <v>72.322999999999993</v>
      </c>
      <c r="F7320" t="s">
        <v>21</v>
      </c>
      <c r="G7320" t="s">
        <v>26</v>
      </c>
      <c r="H7320" t="s">
        <v>21</v>
      </c>
      <c r="I7320" t="s">
        <v>20</v>
      </c>
      <c r="J7320" t="s">
        <v>20</v>
      </c>
      <c r="K7320" t="s">
        <v>27</v>
      </c>
      <c r="L7320" t="s">
        <v>146</v>
      </c>
      <c r="M7320" t="s">
        <v>147</v>
      </c>
      <c r="N7320">
        <v>37.879406000000003</v>
      </c>
      <c r="O7320">
        <v>-109.342901</v>
      </c>
      <c r="P7320">
        <v>6997.7874879999999</v>
      </c>
      <c r="Q7320">
        <v>350</v>
      </c>
      <c r="R7320">
        <v>0</v>
      </c>
    </row>
    <row r="7321" spans="1:18" x14ac:dyDescent="0.25">
      <c r="A7321">
        <v>6320</v>
      </c>
      <c r="B7321">
        <v>94</v>
      </c>
      <c r="C7321">
        <v>31417474</v>
      </c>
      <c r="D7321" t="s">
        <v>288</v>
      </c>
      <c r="E7321">
        <v>72.394000000000005</v>
      </c>
      <c r="F7321" t="s">
        <v>21</v>
      </c>
      <c r="G7321" t="s">
        <v>26</v>
      </c>
      <c r="H7321" t="s">
        <v>21</v>
      </c>
      <c r="I7321" t="s">
        <v>20</v>
      </c>
      <c r="J7321" t="s">
        <v>20</v>
      </c>
      <c r="K7321" t="s">
        <v>27</v>
      </c>
      <c r="L7321" t="s">
        <v>146</v>
      </c>
      <c r="M7321" t="s">
        <v>147</v>
      </c>
      <c r="N7321">
        <v>37.880420999999998</v>
      </c>
      <c r="O7321">
        <v>-109.34292499999999</v>
      </c>
      <c r="P7321">
        <v>6990.2456339999999</v>
      </c>
      <c r="Q7321">
        <v>350</v>
      </c>
      <c r="R7321">
        <v>0</v>
      </c>
    </row>
    <row r="7322" spans="1:18" x14ac:dyDescent="0.25">
      <c r="A7322">
        <v>6321</v>
      </c>
      <c r="B7322">
        <v>94</v>
      </c>
      <c r="C7322">
        <v>31417496</v>
      </c>
      <c r="D7322" t="s">
        <v>288</v>
      </c>
      <c r="E7322">
        <v>72.55</v>
      </c>
      <c r="F7322" t="s">
        <v>21</v>
      </c>
      <c r="G7322" t="s">
        <v>26</v>
      </c>
      <c r="H7322" t="s">
        <v>21</v>
      </c>
      <c r="I7322" t="s">
        <v>20</v>
      </c>
      <c r="J7322" t="s">
        <v>20</v>
      </c>
      <c r="K7322" t="s">
        <v>27</v>
      </c>
      <c r="L7322" t="s">
        <v>146</v>
      </c>
      <c r="M7322" t="s">
        <v>147</v>
      </c>
      <c r="N7322">
        <v>37.882702000000002</v>
      </c>
      <c r="O7322">
        <v>-109.342938</v>
      </c>
      <c r="P7322">
        <v>6954.4315500000002</v>
      </c>
      <c r="Q7322">
        <v>350</v>
      </c>
      <c r="R7322">
        <v>0</v>
      </c>
    </row>
    <row r="7323" spans="1:18" x14ac:dyDescent="0.25">
      <c r="A7323">
        <v>6322</v>
      </c>
      <c r="B7323">
        <v>94</v>
      </c>
      <c r="C7323">
        <v>1503749</v>
      </c>
      <c r="D7323" t="s">
        <v>88</v>
      </c>
      <c r="E7323">
        <v>9.1</v>
      </c>
      <c r="F7323" t="s">
        <v>21</v>
      </c>
      <c r="G7323" t="s">
        <v>26</v>
      </c>
      <c r="H7323" t="s">
        <v>21</v>
      </c>
      <c r="I7323" t="s">
        <v>20</v>
      </c>
      <c r="J7323" t="s">
        <v>20</v>
      </c>
      <c r="K7323" t="s">
        <v>31</v>
      </c>
      <c r="L7323" t="s">
        <v>89</v>
      </c>
      <c r="M7323" t="s">
        <v>90</v>
      </c>
      <c r="N7323">
        <v>40.571646000000001</v>
      </c>
      <c r="O7323">
        <v>-111.872162</v>
      </c>
      <c r="P7323">
        <v>4473.8865880000003</v>
      </c>
      <c r="Q7323">
        <v>318</v>
      </c>
      <c r="R7323">
        <v>0</v>
      </c>
    </row>
    <row r="7324" spans="1:18" x14ac:dyDescent="0.25">
      <c r="A7324">
        <v>6323</v>
      </c>
      <c r="B7324">
        <v>94</v>
      </c>
      <c r="C7324">
        <v>31410318</v>
      </c>
      <c r="D7324" t="s">
        <v>224</v>
      </c>
      <c r="E7324">
        <v>9.1010000000000009</v>
      </c>
      <c r="F7324" t="s">
        <v>19</v>
      </c>
      <c r="G7324" t="s">
        <v>20</v>
      </c>
      <c r="H7324" t="s">
        <v>21</v>
      </c>
      <c r="I7324" t="s">
        <v>20</v>
      </c>
      <c r="J7324" t="s">
        <v>20</v>
      </c>
      <c r="K7324" t="s">
        <v>22</v>
      </c>
      <c r="L7324" t="s">
        <v>198</v>
      </c>
      <c r="M7324" t="s">
        <v>194</v>
      </c>
      <c r="N7324">
        <v>40.060628000000001</v>
      </c>
      <c r="O7324">
        <v>-111.668665</v>
      </c>
      <c r="P7324">
        <v>4536.1732149999998</v>
      </c>
      <c r="Q7324">
        <v>408</v>
      </c>
      <c r="R7324">
        <v>0</v>
      </c>
    </row>
    <row r="7325" spans="1:18" x14ac:dyDescent="0.25">
      <c r="A7325">
        <v>6324</v>
      </c>
      <c r="B7325">
        <v>94</v>
      </c>
      <c r="C7325" t="e">
        <f>-Ip5PPcnGdXLq7MZrgK8OF</f>
        <v>#NAME?</v>
      </c>
      <c r="D7325" t="s">
        <v>208</v>
      </c>
      <c r="E7325">
        <v>9.1020000000000003</v>
      </c>
      <c r="F7325" t="s">
        <v>19</v>
      </c>
      <c r="G7325" t="s">
        <v>20</v>
      </c>
      <c r="H7325" t="s">
        <v>21</v>
      </c>
      <c r="I7325" t="s">
        <v>20</v>
      </c>
      <c r="J7325" t="s">
        <v>20</v>
      </c>
      <c r="K7325" t="s">
        <v>31</v>
      </c>
      <c r="L7325" t="s">
        <v>209</v>
      </c>
      <c r="M7325" t="s">
        <v>131</v>
      </c>
      <c r="N7325">
        <v>40.692363999999998</v>
      </c>
      <c r="O7325">
        <v>-111.54424899999999</v>
      </c>
      <c r="P7325">
        <v>6577.2116400000004</v>
      </c>
      <c r="Q7325">
        <v>357</v>
      </c>
      <c r="R7325">
        <v>0</v>
      </c>
    </row>
    <row r="7326" spans="1:18" x14ac:dyDescent="0.25">
      <c r="A7326">
        <v>6325</v>
      </c>
      <c r="B7326">
        <v>94</v>
      </c>
      <c r="C7326" t="s">
        <v>867</v>
      </c>
      <c r="D7326" t="s">
        <v>228</v>
      </c>
      <c r="E7326">
        <v>9.1029999999999998</v>
      </c>
      <c r="F7326" t="s">
        <v>21</v>
      </c>
      <c r="G7326" t="s">
        <v>26</v>
      </c>
      <c r="H7326" t="s">
        <v>21</v>
      </c>
      <c r="I7326" t="s">
        <v>20</v>
      </c>
      <c r="J7326" t="s">
        <v>20</v>
      </c>
      <c r="K7326" t="s">
        <v>22</v>
      </c>
      <c r="L7326" t="s">
        <v>155</v>
      </c>
      <c r="M7326" t="s">
        <v>76</v>
      </c>
      <c r="N7326">
        <v>39.558587000000003</v>
      </c>
      <c r="O7326">
        <v>-111.86964399999999</v>
      </c>
      <c r="P7326">
        <v>5225.4125540000005</v>
      </c>
      <c r="Q7326">
        <v>320</v>
      </c>
      <c r="R7326">
        <v>0</v>
      </c>
    </row>
    <row r="7327" spans="1:18" x14ac:dyDescent="0.25">
      <c r="A7327">
        <v>6326</v>
      </c>
      <c r="B7327">
        <v>94</v>
      </c>
      <c r="C7327">
        <v>31314023</v>
      </c>
      <c r="D7327" t="s">
        <v>215</v>
      </c>
      <c r="E7327">
        <v>9.1050000000000004</v>
      </c>
      <c r="F7327" t="s">
        <v>19</v>
      </c>
      <c r="G7327" t="s">
        <v>20</v>
      </c>
      <c r="H7327" t="s">
        <v>21</v>
      </c>
      <c r="I7327" t="s">
        <v>20</v>
      </c>
      <c r="J7327" t="s">
        <v>20</v>
      </c>
      <c r="K7327" t="s">
        <v>22</v>
      </c>
      <c r="L7327" t="s">
        <v>23</v>
      </c>
      <c r="M7327" t="s">
        <v>85</v>
      </c>
      <c r="N7327">
        <v>40.333632999999999</v>
      </c>
      <c r="O7327">
        <v>-111.73867199999999</v>
      </c>
      <c r="P7327">
        <v>4486.0761620000003</v>
      </c>
      <c r="Q7327">
        <v>330</v>
      </c>
      <c r="R7327">
        <v>0</v>
      </c>
    </row>
    <row r="7328" spans="1:18" x14ac:dyDescent="0.25">
      <c r="A7328">
        <v>6327</v>
      </c>
      <c r="B7328">
        <v>94</v>
      </c>
      <c r="C7328">
        <v>802333</v>
      </c>
      <c r="D7328" t="s">
        <v>236</v>
      </c>
      <c r="E7328">
        <v>9.1050000000000004</v>
      </c>
      <c r="F7328" t="s">
        <v>19</v>
      </c>
      <c r="G7328" t="s">
        <v>20</v>
      </c>
      <c r="H7328" t="s">
        <v>19</v>
      </c>
      <c r="I7328">
        <v>171</v>
      </c>
      <c r="J7328" t="s">
        <v>20</v>
      </c>
      <c r="K7328" t="s">
        <v>31</v>
      </c>
      <c r="L7328" t="s">
        <v>78</v>
      </c>
      <c r="M7328" t="s">
        <v>79</v>
      </c>
      <c r="N7328">
        <v>40.696505000000002</v>
      </c>
      <c r="O7328">
        <v>-112.091825</v>
      </c>
      <c r="P7328">
        <v>4353.8035440000003</v>
      </c>
      <c r="Q7328">
        <v>1398</v>
      </c>
      <c r="R7328">
        <v>0</v>
      </c>
    </row>
    <row r="7329" spans="1:18" x14ac:dyDescent="0.25">
      <c r="A7329">
        <v>6328</v>
      </c>
      <c r="B7329">
        <v>94</v>
      </c>
      <c r="C7329" t="e">
        <f>-IpPgafyGf5jEmF0VFZVHV</f>
        <v>#NAME?</v>
      </c>
      <c r="D7329" t="s">
        <v>210</v>
      </c>
      <c r="E7329">
        <v>9.1120000000000001</v>
      </c>
      <c r="F7329" t="s">
        <v>21</v>
      </c>
      <c r="G7329" t="s">
        <v>20</v>
      </c>
      <c r="H7329" t="s">
        <v>21</v>
      </c>
      <c r="I7329" t="s">
        <v>20</v>
      </c>
      <c r="J7329" t="s">
        <v>20</v>
      </c>
      <c r="K7329" t="s">
        <v>27</v>
      </c>
      <c r="L7329" t="s">
        <v>211</v>
      </c>
      <c r="M7329" t="s">
        <v>212</v>
      </c>
      <c r="N7329">
        <v>37.287768</v>
      </c>
      <c r="O7329">
        <v>-109.394676</v>
      </c>
      <c r="P7329">
        <v>4418.2862240000004</v>
      </c>
      <c r="Q7329">
        <v>344</v>
      </c>
      <c r="R7329">
        <v>0</v>
      </c>
    </row>
    <row r="7330" spans="1:18" x14ac:dyDescent="0.25">
      <c r="A7330">
        <v>6329</v>
      </c>
      <c r="B7330">
        <v>94</v>
      </c>
      <c r="C7330">
        <v>31634110</v>
      </c>
      <c r="D7330" t="s">
        <v>227</v>
      </c>
      <c r="E7330">
        <v>9.1140000000000008</v>
      </c>
      <c r="F7330" t="s">
        <v>21</v>
      </c>
      <c r="G7330" t="s">
        <v>26</v>
      </c>
      <c r="H7330" t="s">
        <v>21</v>
      </c>
      <c r="I7330" t="s">
        <v>20</v>
      </c>
      <c r="J7330" t="s">
        <v>20</v>
      </c>
      <c r="K7330" t="s">
        <v>27</v>
      </c>
      <c r="L7330" t="s">
        <v>158</v>
      </c>
      <c r="M7330" t="s">
        <v>190</v>
      </c>
      <c r="N7330">
        <v>39.544527000000002</v>
      </c>
      <c r="O7330">
        <v>-110.406898</v>
      </c>
      <c r="P7330">
        <v>6306.0625</v>
      </c>
      <c r="Q7330">
        <v>1407</v>
      </c>
      <c r="R7330">
        <v>0</v>
      </c>
    </row>
    <row r="7331" spans="1:18" x14ac:dyDescent="0.25">
      <c r="A7331">
        <v>6330</v>
      </c>
      <c r="B7331">
        <v>94</v>
      </c>
      <c r="C7331">
        <v>27873975</v>
      </c>
      <c r="D7331" t="s">
        <v>136</v>
      </c>
      <c r="E7331">
        <v>9.1180000000000003</v>
      </c>
      <c r="F7331" t="s">
        <v>21</v>
      </c>
      <c r="G7331" t="s">
        <v>26</v>
      </c>
      <c r="H7331" t="s">
        <v>21</v>
      </c>
      <c r="I7331" t="s">
        <v>20</v>
      </c>
      <c r="J7331" t="s">
        <v>20</v>
      </c>
      <c r="K7331" t="s">
        <v>41</v>
      </c>
      <c r="L7331" t="s">
        <v>137</v>
      </c>
      <c r="M7331" t="s">
        <v>138</v>
      </c>
      <c r="N7331">
        <v>40.986668000000002</v>
      </c>
      <c r="O7331">
        <v>-111.678625</v>
      </c>
      <c r="P7331">
        <v>5110.8345330000002</v>
      </c>
      <c r="Q7331">
        <v>317</v>
      </c>
      <c r="R7331">
        <v>0</v>
      </c>
    </row>
    <row r="7332" spans="1:18" x14ac:dyDescent="0.25">
      <c r="A7332">
        <v>6331</v>
      </c>
      <c r="B7332">
        <v>94</v>
      </c>
      <c r="C7332">
        <v>28112244</v>
      </c>
      <c r="D7332" t="s">
        <v>239</v>
      </c>
      <c r="E7332">
        <v>4.6550000000000002</v>
      </c>
      <c r="F7332" t="s">
        <v>21</v>
      </c>
      <c r="G7332" t="s">
        <v>361</v>
      </c>
      <c r="H7332" t="s">
        <v>21</v>
      </c>
      <c r="I7332" t="s">
        <v>20</v>
      </c>
      <c r="J7332" t="s">
        <v>20</v>
      </c>
      <c r="K7332" t="s">
        <v>41</v>
      </c>
      <c r="L7332" t="s">
        <v>181</v>
      </c>
      <c r="M7332" t="s">
        <v>178</v>
      </c>
      <c r="N7332">
        <v>41.650345000000002</v>
      </c>
      <c r="O7332">
        <v>-112.314285</v>
      </c>
      <c r="P7332">
        <v>4220.9355720000003</v>
      </c>
      <c r="Q7332">
        <v>1392</v>
      </c>
      <c r="R7332">
        <v>0</v>
      </c>
    </row>
    <row r="7333" spans="1:18" x14ac:dyDescent="0.25">
      <c r="A7333">
        <v>6332</v>
      </c>
      <c r="B7333">
        <v>94</v>
      </c>
      <c r="C7333">
        <v>31459083</v>
      </c>
      <c r="D7333" t="s">
        <v>331</v>
      </c>
      <c r="E7333">
        <v>4.6550000000000002</v>
      </c>
      <c r="F7333" t="s">
        <v>21</v>
      </c>
      <c r="G7333" t="s">
        <v>26</v>
      </c>
      <c r="H7333" t="s">
        <v>21</v>
      </c>
      <c r="I7333" t="s">
        <v>20</v>
      </c>
      <c r="J7333" t="s">
        <v>20</v>
      </c>
      <c r="K7333" t="s">
        <v>27</v>
      </c>
      <c r="L7333" t="s">
        <v>111</v>
      </c>
      <c r="M7333" t="s">
        <v>112</v>
      </c>
      <c r="N7333">
        <v>39.348717999999998</v>
      </c>
      <c r="O7333">
        <v>-110.85193099999999</v>
      </c>
      <c r="P7333">
        <v>5663.4286419999999</v>
      </c>
      <c r="Q7333">
        <v>1427</v>
      </c>
      <c r="R7333">
        <v>0</v>
      </c>
    </row>
    <row r="7334" spans="1:18" x14ac:dyDescent="0.25">
      <c r="A7334">
        <v>6333</v>
      </c>
      <c r="B7334">
        <v>94</v>
      </c>
      <c r="C7334" t="e">
        <f>-JRSn4ywF7HYfhrYeRCCYF</f>
        <v>#NAME?</v>
      </c>
      <c r="D7334" t="s">
        <v>118</v>
      </c>
      <c r="E7334">
        <v>140.05500000000001</v>
      </c>
      <c r="F7334" t="s">
        <v>21</v>
      </c>
      <c r="G7334" t="s">
        <v>26</v>
      </c>
      <c r="H7334" t="s">
        <v>21</v>
      </c>
      <c r="I7334" t="s">
        <v>20</v>
      </c>
      <c r="J7334" t="s">
        <v>20</v>
      </c>
      <c r="K7334" t="s">
        <v>22</v>
      </c>
      <c r="L7334" t="s">
        <v>234</v>
      </c>
      <c r="M7334" t="s">
        <v>169</v>
      </c>
      <c r="N7334">
        <v>40.416269999999997</v>
      </c>
      <c r="O7334">
        <v>-109.58248399999999</v>
      </c>
      <c r="P7334">
        <v>5650.8761869999998</v>
      </c>
      <c r="Q7334">
        <v>310</v>
      </c>
      <c r="R7334">
        <v>0</v>
      </c>
    </row>
    <row r="7335" spans="1:18" x14ac:dyDescent="0.25">
      <c r="A7335">
        <v>6334</v>
      </c>
      <c r="B7335">
        <v>94</v>
      </c>
      <c r="C7335">
        <v>31537633</v>
      </c>
      <c r="D7335" t="s">
        <v>320</v>
      </c>
      <c r="E7335">
        <v>140.11799999999999</v>
      </c>
      <c r="F7335" t="s">
        <v>21</v>
      </c>
      <c r="G7335" t="s">
        <v>26</v>
      </c>
      <c r="H7335" t="s">
        <v>21</v>
      </c>
      <c r="I7335" t="s">
        <v>20</v>
      </c>
      <c r="J7335" t="s">
        <v>20</v>
      </c>
      <c r="K7335" t="s">
        <v>27</v>
      </c>
      <c r="L7335" t="s">
        <v>202</v>
      </c>
      <c r="M7335" t="s">
        <v>76</v>
      </c>
      <c r="N7335">
        <v>39.121465999999998</v>
      </c>
      <c r="O7335">
        <v>-112.05022</v>
      </c>
      <c r="P7335">
        <v>5914.6123390000002</v>
      </c>
      <c r="Q7335">
        <v>1356</v>
      </c>
      <c r="R7335">
        <v>0</v>
      </c>
    </row>
    <row r="7336" spans="1:18" x14ac:dyDescent="0.25">
      <c r="A7336">
        <v>6335</v>
      </c>
      <c r="B7336">
        <v>94</v>
      </c>
      <c r="C7336">
        <v>31580329</v>
      </c>
      <c r="D7336" t="s">
        <v>213</v>
      </c>
      <c r="E7336">
        <v>140.12799999999999</v>
      </c>
      <c r="F7336" t="s">
        <v>21</v>
      </c>
      <c r="G7336" t="s">
        <v>26</v>
      </c>
      <c r="H7336" t="s">
        <v>21</v>
      </c>
      <c r="I7336" t="s">
        <v>20</v>
      </c>
      <c r="J7336" t="s">
        <v>20</v>
      </c>
      <c r="K7336" t="s">
        <v>22</v>
      </c>
      <c r="L7336" t="s">
        <v>193</v>
      </c>
      <c r="M7336" t="s">
        <v>214</v>
      </c>
      <c r="N7336">
        <v>39.955010000000001</v>
      </c>
      <c r="O7336">
        <v>-112.118128</v>
      </c>
      <c r="P7336">
        <v>6385.4282249999997</v>
      </c>
      <c r="Q7336">
        <v>1332</v>
      </c>
      <c r="R7336">
        <v>0</v>
      </c>
    </row>
    <row r="7337" spans="1:18" x14ac:dyDescent="0.25">
      <c r="A7337">
        <v>6336</v>
      </c>
      <c r="B7337">
        <v>94</v>
      </c>
      <c r="C7337">
        <v>31537644</v>
      </c>
      <c r="D7337" t="s">
        <v>320</v>
      </c>
      <c r="E7337">
        <v>140.245</v>
      </c>
      <c r="F7337" t="s">
        <v>21</v>
      </c>
      <c r="G7337" t="s">
        <v>26</v>
      </c>
      <c r="H7337" t="s">
        <v>21</v>
      </c>
      <c r="I7337" t="s">
        <v>20</v>
      </c>
      <c r="J7337" t="s">
        <v>20</v>
      </c>
      <c r="K7337" t="s">
        <v>27</v>
      </c>
      <c r="L7337" t="s">
        <v>202</v>
      </c>
      <c r="M7337" t="s">
        <v>76</v>
      </c>
      <c r="N7337">
        <v>39.119877000000002</v>
      </c>
      <c r="O7337">
        <v>-112.049038</v>
      </c>
      <c r="P7337">
        <v>5912.7526790000002</v>
      </c>
      <c r="Q7337">
        <v>1356</v>
      </c>
      <c r="R7337">
        <v>0</v>
      </c>
    </row>
    <row r="7338" spans="1:18" x14ac:dyDescent="0.25">
      <c r="A7338">
        <v>6337</v>
      </c>
      <c r="B7338">
        <v>94</v>
      </c>
      <c r="C7338">
        <v>1117507</v>
      </c>
      <c r="D7338" t="s">
        <v>171</v>
      </c>
      <c r="E7338">
        <v>13.393000000000001</v>
      </c>
      <c r="F7338" t="s">
        <v>21</v>
      </c>
      <c r="G7338" t="s">
        <v>26</v>
      </c>
      <c r="H7338" t="s">
        <v>21</v>
      </c>
      <c r="I7338" t="s">
        <v>20</v>
      </c>
      <c r="J7338" t="s">
        <v>20</v>
      </c>
      <c r="K7338" t="s">
        <v>31</v>
      </c>
      <c r="L7338" t="s">
        <v>188</v>
      </c>
      <c r="M7338" t="s">
        <v>79</v>
      </c>
      <c r="N7338">
        <v>40.699894</v>
      </c>
      <c r="O7338">
        <v>-111.837693</v>
      </c>
      <c r="P7338">
        <v>4454.7929590000003</v>
      </c>
      <c r="Q7338">
        <v>346</v>
      </c>
      <c r="R7338">
        <v>0</v>
      </c>
    </row>
    <row r="7339" spans="1:18" x14ac:dyDescent="0.25">
      <c r="A7339">
        <v>6338</v>
      </c>
      <c r="B7339">
        <v>94</v>
      </c>
      <c r="C7339">
        <v>31271133</v>
      </c>
      <c r="D7339" t="s">
        <v>241</v>
      </c>
      <c r="E7339">
        <v>13.396000000000001</v>
      </c>
      <c r="F7339" t="s">
        <v>21</v>
      </c>
      <c r="G7339" t="s">
        <v>26</v>
      </c>
      <c r="H7339" t="s">
        <v>21</v>
      </c>
      <c r="I7339" t="s">
        <v>20</v>
      </c>
      <c r="J7339" t="s">
        <v>20</v>
      </c>
      <c r="K7339" t="s">
        <v>27</v>
      </c>
      <c r="L7339" t="s">
        <v>242</v>
      </c>
      <c r="M7339" t="s">
        <v>243</v>
      </c>
      <c r="N7339">
        <v>38.928069999999998</v>
      </c>
      <c r="O7339">
        <v>-111.23677600000001</v>
      </c>
      <c r="P7339">
        <v>6188.5971630000004</v>
      </c>
      <c r="Q7339">
        <v>1327</v>
      </c>
      <c r="R7339">
        <v>0</v>
      </c>
    </row>
    <row r="7340" spans="1:18" x14ac:dyDescent="0.25">
      <c r="A7340">
        <v>6339</v>
      </c>
      <c r="B7340">
        <v>94</v>
      </c>
      <c r="C7340" t="e">
        <f>-IovQKvuFBPEtWpJiFBLDV</f>
        <v>#NAME?</v>
      </c>
      <c r="D7340" t="s">
        <v>118</v>
      </c>
      <c r="E7340">
        <v>13.398999999999999</v>
      </c>
      <c r="F7340" t="s">
        <v>21</v>
      </c>
      <c r="G7340" t="s">
        <v>20</v>
      </c>
      <c r="H7340" t="s">
        <v>21</v>
      </c>
      <c r="I7340" t="s">
        <v>20</v>
      </c>
      <c r="J7340" t="s">
        <v>20</v>
      </c>
      <c r="K7340" t="s">
        <v>22</v>
      </c>
      <c r="L7340" t="s">
        <v>35</v>
      </c>
      <c r="M7340" t="s">
        <v>120</v>
      </c>
      <c r="N7340">
        <v>40.555646000000003</v>
      </c>
      <c r="O7340">
        <v>-111.42451200000001</v>
      </c>
      <c r="P7340">
        <v>5664.135577</v>
      </c>
      <c r="Q7340">
        <v>310</v>
      </c>
      <c r="R7340">
        <v>0</v>
      </c>
    </row>
    <row r="7341" spans="1:18" x14ac:dyDescent="0.25">
      <c r="A7341">
        <v>6340</v>
      </c>
      <c r="B7341">
        <v>94</v>
      </c>
      <c r="C7341" t="s">
        <v>868</v>
      </c>
      <c r="D7341" t="s">
        <v>176</v>
      </c>
      <c r="E7341">
        <v>13.4</v>
      </c>
      <c r="F7341" t="s">
        <v>21</v>
      </c>
      <c r="G7341" t="s">
        <v>26</v>
      </c>
      <c r="H7341" t="s">
        <v>21</v>
      </c>
      <c r="I7341" t="s">
        <v>20</v>
      </c>
      <c r="J7341" t="s">
        <v>20</v>
      </c>
      <c r="K7341" t="s">
        <v>41</v>
      </c>
      <c r="L7341" t="s">
        <v>181</v>
      </c>
      <c r="M7341" t="s">
        <v>178</v>
      </c>
      <c r="N7341">
        <v>41.616534000000001</v>
      </c>
      <c r="O7341">
        <v>-112.12698</v>
      </c>
      <c r="P7341">
        <v>4207.8904860000002</v>
      </c>
      <c r="Q7341">
        <v>1329</v>
      </c>
      <c r="R7341">
        <v>0</v>
      </c>
    </row>
    <row r="7342" spans="1:18" x14ac:dyDescent="0.25">
      <c r="A7342">
        <v>6341</v>
      </c>
      <c r="B7342">
        <v>94</v>
      </c>
      <c r="C7342">
        <v>1117514</v>
      </c>
      <c r="D7342" t="s">
        <v>171</v>
      </c>
      <c r="E7342">
        <v>13.404</v>
      </c>
      <c r="F7342" t="s">
        <v>21</v>
      </c>
      <c r="G7342" t="s">
        <v>26</v>
      </c>
      <c r="H7342" t="s">
        <v>21</v>
      </c>
      <c r="I7342" t="s">
        <v>20</v>
      </c>
      <c r="J7342" t="s">
        <v>20</v>
      </c>
      <c r="K7342" t="s">
        <v>31</v>
      </c>
      <c r="L7342" t="s">
        <v>188</v>
      </c>
      <c r="M7342" t="s">
        <v>79</v>
      </c>
      <c r="N7342">
        <v>40.699894</v>
      </c>
      <c r="O7342">
        <v>-111.837481</v>
      </c>
      <c r="P7342">
        <v>4456.6229750000002</v>
      </c>
      <c r="Q7342">
        <v>346</v>
      </c>
      <c r="R7342">
        <v>0</v>
      </c>
    </row>
    <row r="7343" spans="1:18" x14ac:dyDescent="0.25">
      <c r="A7343">
        <v>6342</v>
      </c>
      <c r="B7343">
        <v>94</v>
      </c>
      <c r="C7343">
        <v>31498156</v>
      </c>
      <c r="D7343" t="s">
        <v>317</v>
      </c>
      <c r="E7343">
        <v>13.426</v>
      </c>
      <c r="F7343" t="s">
        <v>21</v>
      </c>
      <c r="G7343" t="s">
        <v>26</v>
      </c>
      <c r="H7343" t="s">
        <v>21</v>
      </c>
      <c r="I7343" t="s">
        <v>20</v>
      </c>
      <c r="J7343" t="s">
        <v>20</v>
      </c>
      <c r="K7343" t="s">
        <v>27</v>
      </c>
      <c r="L7343" t="s">
        <v>211</v>
      </c>
      <c r="M7343" t="s">
        <v>212</v>
      </c>
      <c r="N7343">
        <v>37.104930000000003</v>
      </c>
      <c r="O7343">
        <v>-109.98536300000001</v>
      </c>
      <c r="P7343">
        <v>5139.4671699999999</v>
      </c>
      <c r="Q7343">
        <v>1432</v>
      </c>
      <c r="R7343">
        <v>0</v>
      </c>
    </row>
    <row r="7344" spans="1:18" x14ac:dyDescent="0.25">
      <c r="A7344">
        <v>6343</v>
      </c>
      <c r="B7344">
        <v>94</v>
      </c>
      <c r="C7344">
        <v>27957755</v>
      </c>
      <c r="D7344" t="s">
        <v>281</v>
      </c>
      <c r="E7344">
        <v>13.435</v>
      </c>
      <c r="F7344" t="s">
        <v>21</v>
      </c>
      <c r="G7344" t="s">
        <v>26</v>
      </c>
      <c r="H7344" t="s">
        <v>21</v>
      </c>
      <c r="I7344" t="s">
        <v>20</v>
      </c>
      <c r="J7344" t="s">
        <v>20</v>
      </c>
      <c r="K7344" t="s">
        <v>31</v>
      </c>
      <c r="L7344" t="s">
        <v>282</v>
      </c>
      <c r="M7344" t="s">
        <v>174</v>
      </c>
      <c r="N7344">
        <v>40.052540999999998</v>
      </c>
      <c r="O7344">
        <v>-112.298148</v>
      </c>
      <c r="P7344">
        <v>5532.7922159999998</v>
      </c>
      <c r="Q7344">
        <v>1347</v>
      </c>
      <c r="R7344">
        <v>0</v>
      </c>
    </row>
    <row r="7345" spans="1:18" x14ac:dyDescent="0.25">
      <c r="A7345">
        <v>6344</v>
      </c>
      <c r="B7345">
        <v>94</v>
      </c>
      <c r="C7345">
        <v>31503219</v>
      </c>
      <c r="D7345" t="s">
        <v>224</v>
      </c>
      <c r="E7345">
        <v>13.44</v>
      </c>
      <c r="F7345" t="s">
        <v>19</v>
      </c>
      <c r="G7345" t="s">
        <v>20</v>
      </c>
      <c r="H7345" t="s">
        <v>21</v>
      </c>
      <c r="I7345" t="s">
        <v>20</v>
      </c>
      <c r="J7345" t="s">
        <v>20</v>
      </c>
      <c r="K7345" t="s">
        <v>22</v>
      </c>
      <c r="L7345" t="s">
        <v>140</v>
      </c>
      <c r="M7345" t="s">
        <v>194</v>
      </c>
      <c r="N7345">
        <v>40.101560999999997</v>
      </c>
      <c r="O7345">
        <v>-111.635735</v>
      </c>
      <c r="P7345">
        <v>4663.6491580000002</v>
      </c>
      <c r="Q7345">
        <v>408</v>
      </c>
      <c r="R7345">
        <v>0</v>
      </c>
    </row>
    <row r="7346" spans="1:18" x14ac:dyDescent="0.25">
      <c r="A7346">
        <v>6345</v>
      </c>
      <c r="B7346">
        <v>94</v>
      </c>
      <c r="C7346">
        <v>28134725</v>
      </c>
      <c r="D7346" t="s">
        <v>239</v>
      </c>
      <c r="E7346">
        <v>13.44</v>
      </c>
      <c r="F7346" t="s">
        <v>21</v>
      </c>
      <c r="G7346" t="s">
        <v>26</v>
      </c>
      <c r="H7346" t="s">
        <v>21</v>
      </c>
      <c r="I7346" t="s">
        <v>20</v>
      </c>
      <c r="J7346" t="s">
        <v>20</v>
      </c>
      <c r="K7346" t="s">
        <v>41</v>
      </c>
      <c r="L7346" t="s">
        <v>181</v>
      </c>
      <c r="M7346" t="s">
        <v>178</v>
      </c>
      <c r="N7346">
        <v>41.710523000000002</v>
      </c>
      <c r="O7346">
        <v>-112.220735</v>
      </c>
      <c r="P7346">
        <v>4270.534455</v>
      </c>
      <c r="Q7346">
        <v>1392</v>
      </c>
      <c r="R7346">
        <v>0</v>
      </c>
    </row>
    <row r="7347" spans="1:18" x14ac:dyDescent="0.25">
      <c r="A7347">
        <v>6346</v>
      </c>
      <c r="B7347">
        <v>94</v>
      </c>
      <c r="C7347">
        <v>31519440</v>
      </c>
      <c r="D7347" t="s">
        <v>309</v>
      </c>
      <c r="E7347">
        <v>13.441000000000001</v>
      </c>
      <c r="F7347" t="s">
        <v>21</v>
      </c>
      <c r="G7347" t="s">
        <v>26</v>
      </c>
      <c r="H7347" t="s">
        <v>21</v>
      </c>
      <c r="I7347" t="s">
        <v>20</v>
      </c>
      <c r="J7347" t="s">
        <v>20</v>
      </c>
      <c r="K7347" t="s">
        <v>22</v>
      </c>
      <c r="L7347" t="s">
        <v>140</v>
      </c>
      <c r="M7347" t="s">
        <v>125</v>
      </c>
      <c r="N7347">
        <v>40.115310999999998</v>
      </c>
      <c r="O7347">
        <v>-111.62994</v>
      </c>
      <c r="P7347">
        <v>4656.0931039999996</v>
      </c>
      <c r="Q7347">
        <v>339</v>
      </c>
      <c r="R7347">
        <v>0</v>
      </c>
    </row>
    <row r="7348" spans="1:18" x14ac:dyDescent="0.25">
      <c r="A7348">
        <v>6347</v>
      </c>
      <c r="B7348">
        <v>94</v>
      </c>
      <c r="C7348">
        <v>31286332</v>
      </c>
      <c r="D7348" t="s">
        <v>126</v>
      </c>
      <c r="E7348">
        <v>13.446999999999999</v>
      </c>
      <c r="F7348" t="s">
        <v>21</v>
      </c>
      <c r="G7348" t="s">
        <v>26</v>
      </c>
      <c r="H7348" t="s">
        <v>21</v>
      </c>
      <c r="I7348" t="s">
        <v>20</v>
      </c>
      <c r="J7348" t="s">
        <v>20</v>
      </c>
      <c r="K7348" t="s">
        <v>41</v>
      </c>
      <c r="L7348" t="s">
        <v>81</v>
      </c>
      <c r="M7348" t="s">
        <v>93</v>
      </c>
      <c r="N7348">
        <v>41.305607000000002</v>
      </c>
      <c r="O7348">
        <v>-111.985286</v>
      </c>
      <c r="P7348">
        <v>4275.8169159999998</v>
      </c>
      <c r="Q7348">
        <v>1412</v>
      </c>
      <c r="R7348">
        <v>0</v>
      </c>
    </row>
    <row r="7349" spans="1:18" x14ac:dyDescent="0.25">
      <c r="A7349">
        <v>6348</v>
      </c>
      <c r="B7349">
        <v>94</v>
      </c>
      <c r="C7349">
        <v>31754431</v>
      </c>
      <c r="D7349" t="s">
        <v>346</v>
      </c>
      <c r="E7349">
        <v>13.456</v>
      </c>
      <c r="F7349" t="s">
        <v>21</v>
      </c>
      <c r="G7349" t="s">
        <v>20</v>
      </c>
      <c r="H7349" t="s">
        <v>21</v>
      </c>
      <c r="I7349" t="s">
        <v>20</v>
      </c>
      <c r="J7349" t="s">
        <v>20</v>
      </c>
      <c r="K7349" t="s">
        <v>27</v>
      </c>
      <c r="L7349" t="s">
        <v>307</v>
      </c>
      <c r="M7349" t="s">
        <v>159</v>
      </c>
      <c r="N7349">
        <v>39.810423</v>
      </c>
      <c r="O7349">
        <v>-111.13509999999999</v>
      </c>
      <c r="P7349">
        <v>7591.9845610000002</v>
      </c>
      <c r="Q7349">
        <v>1389</v>
      </c>
      <c r="R7349">
        <v>0</v>
      </c>
    </row>
    <row r="7350" spans="1:18" x14ac:dyDescent="0.25">
      <c r="A7350">
        <v>6349</v>
      </c>
      <c r="B7350">
        <v>94</v>
      </c>
      <c r="C7350">
        <v>27854414</v>
      </c>
      <c r="D7350" t="s">
        <v>136</v>
      </c>
      <c r="E7350">
        <v>13.465</v>
      </c>
      <c r="F7350" t="s">
        <v>21</v>
      </c>
      <c r="G7350" t="s">
        <v>26</v>
      </c>
      <c r="H7350" t="s">
        <v>21</v>
      </c>
      <c r="I7350" t="s">
        <v>20</v>
      </c>
      <c r="J7350" t="s">
        <v>20</v>
      </c>
      <c r="K7350" t="s">
        <v>41</v>
      </c>
      <c r="L7350" t="s">
        <v>137</v>
      </c>
      <c r="M7350" t="s">
        <v>138</v>
      </c>
      <c r="N7350">
        <v>41.045349999999999</v>
      </c>
      <c r="O7350">
        <v>-111.676101</v>
      </c>
      <c r="P7350">
        <v>5009.1312239999997</v>
      </c>
      <c r="Q7350">
        <v>317</v>
      </c>
      <c r="R7350">
        <v>0</v>
      </c>
    </row>
    <row r="7351" spans="1:18" x14ac:dyDescent="0.25">
      <c r="A7351">
        <v>6350</v>
      </c>
      <c r="B7351">
        <v>94</v>
      </c>
      <c r="C7351">
        <v>31611542</v>
      </c>
      <c r="D7351" t="s">
        <v>232</v>
      </c>
      <c r="E7351">
        <v>13.465999999999999</v>
      </c>
      <c r="F7351" t="s">
        <v>21</v>
      </c>
      <c r="G7351" t="s">
        <v>26</v>
      </c>
      <c r="H7351" t="s">
        <v>21</v>
      </c>
      <c r="I7351" t="s">
        <v>20</v>
      </c>
      <c r="J7351" t="s">
        <v>20</v>
      </c>
      <c r="K7351" t="s">
        <v>31</v>
      </c>
      <c r="L7351" t="s">
        <v>130</v>
      </c>
      <c r="M7351" t="s">
        <v>131</v>
      </c>
      <c r="N7351">
        <v>40.639952999999998</v>
      </c>
      <c r="O7351">
        <v>-111.300117</v>
      </c>
      <c r="P7351">
        <v>6368.1833109999998</v>
      </c>
      <c r="Q7351">
        <v>1279</v>
      </c>
      <c r="R7351">
        <v>0</v>
      </c>
    </row>
    <row r="7352" spans="1:18" x14ac:dyDescent="0.25">
      <c r="A7352">
        <v>6351</v>
      </c>
      <c r="B7352">
        <v>94</v>
      </c>
      <c r="C7352" t="s">
        <v>869</v>
      </c>
      <c r="D7352" t="s">
        <v>338</v>
      </c>
      <c r="E7352">
        <v>13.468</v>
      </c>
      <c r="F7352" t="s">
        <v>21</v>
      </c>
      <c r="G7352" t="s">
        <v>26</v>
      </c>
      <c r="H7352" t="s">
        <v>21</v>
      </c>
      <c r="I7352" t="s">
        <v>20</v>
      </c>
      <c r="J7352" t="s">
        <v>20</v>
      </c>
      <c r="K7352" t="s">
        <v>27</v>
      </c>
      <c r="L7352" t="s">
        <v>72</v>
      </c>
      <c r="M7352" t="s">
        <v>73</v>
      </c>
      <c r="N7352">
        <v>37.119591999999997</v>
      </c>
      <c r="O7352">
        <v>-113.17953900000001</v>
      </c>
      <c r="P7352">
        <v>4592.2844340000001</v>
      </c>
      <c r="Q7352">
        <v>315</v>
      </c>
      <c r="R7352">
        <v>0</v>
      </c>
    </row>
    <row r="7353" spans="1:18" x14ac:dyDescent="0.25">
      <c r="A7353">
        <v>6352</v>
      </c>
      <c r="B7353">
        <v>94</v>
      </c>
      <c r="C7353">
        <v>1117521</v>
      </c>
      <c r="D7353" t="s">
        <v>171</v>
      </c>
      <c r="E7353">
        <v>13.478</v>
      </c>
      <c r="F7353" t="s">
        <v>21</v>
      </c>
      <c r="G7353" t="s">
        <v>26</v>
      </c>
      <c r="H7353" t="s">
        <v>21</v>
      </c>
      <c r="I7353" t="s">
        <v>20</v>
      </c>
      <c r="J7353" t="s">
        <v>20</v>
      </c>
      <c r="K7353" t="s">
        <v>31</v>
      </c>
      <c r="L7353" t="s">
        <v>188</v>
      </c>
      <c r="M7353" t="s">
        <v>79</v>
      </c>
      <c r="N7353">
        <v>40.699880999999998</v>
      </c>
      <c r="O7353">
        <v>-111.83606399999999</v>
      </c>
      <c r="P7353">
        <v>4465.6924440000003</v>
      </c>
      <c r="Q7353">
        <v>346</v>
      </c>
      <c r="R7353">
        <v>0</v>
      </c>
    </row>
    <row r="7354" spans="1:18" x14ac:dyDescent="0.25">
      <c r="A7354">
        <v>6353</v>
      </c>
      <c r="B7354">
        <v>94</v>
      </c>
      <c r="C7354">
        <v>1530058</v>
      </c>
      <c r="D7354" t="s">
        <v>88</v>
      </c>
      <c r="E7354">
        <v>13.48</v>
      </c>
      <c r="F7354" t="s">
        <v>21</v>
      </c>
      <c r="G7354" t="s">
        <v>26</v>
      </c>
      <c r="H7354" t="s">
        <v>21</v>
      </c>
      <c r="I7354" t="s">
        <v>20</v>
      </c>
      <c r="J7354" t="s">
        <v>20</v>
      </c>
      <c r="K7354" t="s">
        <v>31</v>
      </c>
      <c r="L7354" t="s">
        <v>32</v>
      </c>
      <c r="M7354" t="s">
        <v>90</v>
      </c>
      <c r="N7354">
        <v>40.633594000000002</v>
      </c>
      <c r="O7354">
        <v>-111.865967</v>
      </c>
      <c r="P7354">
        <v>4342.826384</v>
      </c>
      <c r="Q7354">
        <v>318</v>
      </c>
      <c r="R7354">
        <v>0</v>
      </c>
    </row>
    <row r="7355" spans="1:18" x14ac:dyDescent="0.25">
      <c r="A7355">
        <v>6354</v>
      </c>
      <c r="B7355">
        <v>94</v>
      </c>
      <c r="C7355">
        <v>1117528</v>
      </c>
      <c r="D7355" t="s">
        <v>171</v>
      </c>
      <c r="E7355">
        <v>13.488</v>
      </c>
      <c r="F7355" t="s">
        <v>21</v>
      </c>
      <c r="G7355" t="s">
        <v>26</v>
      </c>
      <c r="H7355" t="s">
        <v>21</v>
      </c>
      <c r="I7355" t="s">
        <v>20</v>
      </c>
      <c r="J7355" t="s">
        <v>20</v>
      </c>
      <c r="K7355" t="s">
        <v>31</v>
      </c>
      <c r="L7355" t="s">
        <v>188</v>
      </c>
      <c r="M7355" t="s">
        <v>79</v>
      </c>
      <c r="N7355">
        <v>40.69988</v>
      </c>
      <c r="O7355">
        <v>-111.83589600000001</v>
      </c>
      <c r="P7355">
        <v>4467.3690479999996</v>
      </c>
      <c r="Q7355">
        <v>346</v>
      </c>
      <c r="R7355">
        <v>0</v>
      </c>
    </row>
    <row r="7356" spans="1:18" x14ac:dyDescent="0.25">
      <c r="A7356">
        <v>6355</v>
      </c>
      <c r="B7356">
        <v>94</v>
      </c>
      <c r="C7356">
        <v>31586981</v>
      </c>
      <c r="D7356" t="s">
        <v>271</v>
      </c>
      <c r="E7356">
        <v>13.488</v>
      </c>
      <c r="F7356" t="s">
        <v>21</v>
      </c>
      <c r="G7356" t="s">
        <v>20</v>
      </c>
      <c r="H7356" t="s">
        <v>21</v>
      </c>
      <c r="I7356" t="s">
        <v>20</v>
      </c>
      <c r="J7356" t="s">
        <v>20</v>
      </c>
      <c r="K7356" t="s">
        <v>31</v>
      </c>
      <c r="L7356" t="s">
        <v>282</v>
      </c>
      <c r="M7356" t="s">
        <v>24</v>
      </c>
      <c r="N7356">
        <v>40.247607000000002</v>
      </c>
      <c r="O7356">
        <v>-112.214127</v>
      </c>
      <c r="P7356">
        <v>5307.6827910000002</v>
      </c>
      <c r="Q7356">
        <v>1372</v>
      </c>
      <c r="R7356">
        <v>0</v>
      </c>
    </row>
    <row r="7357" spans="1:18" x14ac:dyDescent="0.25">
      <c r="A7357">
        <v>6356</v>
      </c>
      <c r="B7357">
        <v>94</v>
      </c>
      <c r="C7357">
        <v>28134736</v>
      </c>
      <c r="D7357" t="s">
        <v>239</v>
      </c>
      <c r="E7357">
        <v>13.491</v>
      </c>
      <c r="F7357" t="s">
        <v>21</v>
      </c>
      <c r="G7357" t="s">
        <v>26</v>
      </c>
      <c r="H7357" t="s">
        <v>21</v>
      </c>
      <c r="I7357" t="s">
        <v>20</v>
      </c>
      <c r="J7357" t="s">
        <v>20</v>
      </c>
      <c r="K7357" t="s">
        <v>41</v>
      </c>
      <c r="L7357" t="s">
        <v>181</v>
      </c>
      <c r="M7357" t="s">
        <v>178</v>
      </c>
      <c r="N7357">
        <v>41.710548000000003</v>
      </c>
      <c r="O7357">
        <v>-112.219747</v>
      </c>
      <c r="P7357">
        <v>4270.1442559999996</v>
      </c>
      <c r="Q7357">
        <v>1392</v>
      </c>
      <c r="R7357">
        <v>0</v>
      </c>
    </row>
    <row r="7358" spans="1:18" x14ac:dyDescent="0.25">
      <c r="A7358">
        <v>6357</v>
      </c>
      <c r="B7358">
        <v>94</v>
      </c>
      <c r="C7358">
        <v>27854425</v>
      </c>
      <c r="D7358" t="s">
        <v>136</v>
      </c>
      <c r="E7358">
        <v>13.510999999999999</v>
      </c>
      <c r="F7358" t="s">
        <v>21</v>
      </c>
      <c r="G7358" t="s">
        <v>26</v>
      </c>
      <c r="H7358" t="s">
        <v>21</v>
      </c>
      <c r="I7358" t="s">
        <v>20</v>
      </c>
      <c r="J7358" t="s">
        <v>20</v>
      </c>
      <c r="K7358" t="s">
        <v>41</v>
      </c>
      <c r="L7358" t="s">
        <v>137</v>
      </c>
      <c r="M7358" t="s">
        <v>138</v>
      </c>
      <c r="N7358">
        <v>41.045845999999997</v>
      </c>
      <c r="O7358">
        <v>-111.675528</v>
      </c>
      <c r="P7358">
        <v>5001.6846480000004</v>
      </c>
      <c r="Q7358">
        <v>317</v>
      </c>
      <c r="R7358">
        <v>0</v>
      </c>
    </row>
    <row r="7359" spans="1:18" x14ac:dyDescent="0.25">
      <c r="A7359">
        <v>6358</v>
      </c>
      <c r="B7359">
        <v>94</v>
      </c>
      <c r="C7359">
        <v>31290913</v>
      </c>
      <c r="D7359" t="s">
        <v>308</v>
      </c>
      <c r="E7359">
        <v>13.510999999999999</v>
      </c>
      <c r="F7359" t="s">
        <v>21</v>
      </c>
      <c r="G7359" t="s">
        <v>26</v>
      </c>
      <c r="H7359" t="s">
        <v>21</v>
      </c>
      <c r="I7359" t="s">
        <v>20</v>
      </c>
      <c r="J7359" t="s">
        <v>20</v>
      </c>
      <c r="K7359" t="s">
        <v>27</v>
      </c>
      <c r="L7359" t="s">
        <v>230</v>
      </c>
      <c r="M7359" t="s">
        <v>82</v>
      </c>
      <c r="N7359">
        <v>39.617443000000002</v>
      </c>
      <c r="O7359">
        <v>-111.31087599999999</v>
      </c>
      <c r="P7359">
        <v>9733.2944160000006</v>
      </c>
      <c r="Q7359">
        <v>1344</v>
      </c>
      <c r="R7359">
        <v>0</v>
      </c>
    </row>
    <row r="7360" spans="1:18" x14ac:dyDescent="0.25">
      <c r="A7360">
        <v>6359</v>
      </c>
      <c r="B7360">
        <v>94</v>
      </c>
      <c r="C7360">
        <v>31909843</v>
      </c>
      <c r="D7360" t="s">
        <v>272</v>
      </c>
      <c r="E7360">
        <v>131.08699999999999</v>
      </c>
      <c r="F7360" t="s">
        <v>19</v>
      </c>
      <c r="G7360" t="s">
        <v>26</v>
      </c>
      <c r="H7360" t="s">
        <v>19</v>
      </c>
      <c r="I7360">
        <v>143</v>
      </c>
      <c r="J7360" t="s">
        <v>20</v>
      </c>
      <c r="K7360" t="s">
        <v>27</v>
      </c>
      <c r="L7360" t="s">
        <v>247</v>
      </c>
      <c r="M7360" t="s">
        <v>214</v>
      </c>
      <c r="N7360">
        <v>37.822752000000001</v>
      </c>
      <c r="O7360">
        <v>-112.435648</v>
      </c>
      <c r="P7360">
        <v>6558.7724980000003</v>
      </c>
      <c r="Q7360">
        <v>1384</v>
      </c>
      <c r="R7360">
        <v>0</v>
      </c>
    </row>
    <row r="7361" spans="1:18" x14ac:dyDescent="0.25">
      <c r="A7361">
        <v>6360</v>
      </c>
      <c r="B7361">
        <v>94</v>
      </c>
      <c r="C7361">
        <v>31536767</v>
      </c>
      <c r="D7361" t="s">
        <v>320</v>
      </c>
      <c r="E7361">
        <v>131.15700000000001</v>
      </c>
      <c r="F7361" t="s">
        <v>21</v>
      </c>
      <c r="G7361" t="s">
        <v>26</v>
      </c>
      <c r="H7361" t="s">
        <v>21</v>
      </c>
      <c r="I7361" t="s">
        <v>20</v>
      </c>
      <c r="J7361" t="s">
        <v>20</v>
      </c>
      <c r="K7361" t="s">
        <v>27</v>
      </c>
      <c r="L7361" t="s">
        <v>202</v>
      </c>
      <c r="M7361" t="s">
        <v>76</v>
      </c>
      <c r="N7361">
        <v>39.241776000000002</v>
      </c>
      <c r="O7361">
        <v>-112.103938</v>
      </c>
      <c r="P7361">
        <v>5251.7118680000003</v>
      </c>
      <c r="Q7361">
        <v>1356</v>
      </c>
      <c r="R7361">
        <v>0</v>
      </c>
    </row>
    <row r="7362" spans="1:18" x14ac:dyDescent="0.25">
      <c r="A7362">
        <v>6361</v>
      </c>
      <c r="B7362">
        <v>94</v>
      </c>
      <c r="C7362" t="e">
        <f>-IoRVnoOIvyf2D3SKuTt-F</f>
        <v>#NAME?</v>
      </c>
      <c r="D7362" t="s">
        <v>272</v>
      </c>
      <c r="E7362">
        <v>330.24700000000001</v>
      </c>
      <c r="F7362" t="s">
        <v>21</v>
      </c>
      <c r="G7362" t="s">
        <v>20</v>
      </c>
      <c r="H7362" t="s">
        <v>21</v>
      </c>
      <c r="I7362" t="s">
        <v>20</v>
      </c>
      <c r="J7362" t="s">
        <v>20</v>
      </c>
      <c r="K7362" t="s">
        <v>22</v>
      </c>
      <c r="L7362" t="s">
        <v>23</v>
      </c>
      <c r="M7362" t="s">
        <v>125</v>
      </c>
      <c r="N7362">
        <v>40.19218</v>
      </c>
      <c r="O7362">
        <v>-111.61256</v>
      </c>
      <c r="P7362">
        <v>4519.8805160000002</v>
      </c>
      <c r="Q7362">
        <v>1384</v>
      </c>
      <c r="R7362">
        <v>0</v>
      </c>
    </row>
    <row r="7363" spans="1:18" x14ac:dyDescent="0.25">
      <c r="A7363">
        <v>6362</v>
      </c>
      <c r="B7363">
        <v>94</v>
      </c>
      <c r="C7363" t="e">
        <f>-IoRW_P8Ik1xWewSY4IW-F</f>
        <v>#NAME?</v>
      </c>
      <c r="D7363" t="s">
        <v>272</v>
      </c>
      <c r="E7363">
        <v>330.87299999999999</v>
      </c>
      <c r="F7363" t="s">
        <v>21</v>
      </c>
      <c r="G7363" t="s">
        <v>26</v>
      </c>
      <c r="H7363" t="s">
        <v>21</v>
      </c>
      <c r="I7363" t="s">
        <v>20</v>
      </c>
      <c r="J7363" t="s">
        <v>20</v>
      </c>
      <c r="K7363" t="s">
        <v>22</v>
      </c>
      <c r="L7363" t="s">
        <v>23</v>
      </c>
      <c r="M7363" t="s">
        <v>125</v>
      </c>
      <c r="N7363">
        <v>40.199480999999999</v>
      </c>
      <c r="O7363">
        <v>-111.61927799999999</v>
      </c>
      <c r="P7363">
        <v>4497.7210009999999</v>
      </c>
      <c r="Q7363">
        <v>1384</v>
      </c>
      <c r="R7363">
        <v>0</v>
      </c>
    </row>
    <row r="7364" spans="1:18" x14ac:dyDescent="0.25">
      <c r="A7364">
        <v>6363</v>
      </c>
      <c r="B7364">
        <v>94</v>
      </c>
      <c r="C7364">
        <v>31783533</v>
      </c>
      <c r="D7364" t="s">
        <v>272</v>
      </c>
      <c r="E7364">
        <v>17.686</v>
      </c>
      <c r="F7364" t="s">
        <v>21</v>
      </c>
      <c r="G7364" t="s">
        <v>26</v>
      </c>
      <c r="H7364" t="s">
        <v>21</v>
      </c>
      <c r="I7364" t="s">
        <v>20</v>
      </c>
      <c r="J7364" t="s">
        <v>20</v>
      </c>
      <c r="K7364" t="s">
        <v>27</v>
      </c>
      <c r="L7364" t="s">
        <v>259</v>
      </c>
      <c r="M7364" t="s">
        <v>214</v>
      </c>
      <c r="N7364">
        <v>37.104956000000001</v>
      </c>
      <c r="O7364">
        <v>-111.84685500000001</v>
      </c>
      <c r="P7364">
        <v>4578.8479870000001</v>
      </c>
      <c r="Q7364">
        <v>1384</v>
      </c>
      <c r="R7364">
        <v>0</v>
      </c>
    </row>
    <row r="7365" spans="1:18" x14ac:dyDescent="0.25">
      <c r="A7365">
        <v>6364</v>
      </c>
      <c r="B7365">
        <v>94</v>
      </c>
      <c r="C7365">
        <v>31431611</v>
      </c>
      <c r="D7365" t="s">
        <v>345</v>
      </c>
      <c r="E7365">
        <v>17.716000000000001</v>
      </c>
      <c r="F7365" t="s">
        <v>21</v>
      </c>
      <c r="G7365" t="s">
        <v>26</v>
      </c>
      <c r="H7365" t="s">
        <v>21</v>
      </c>
      <c r="I7365" t="s">
        <v>20</v>
      </c>
      <c r="J7365" t="s">
        <v>20</v>
      </c>
      <c r="K7365" t="s">
        <v>27</v>
      </c>
      <c r="L7365" t="s">
        <v>75</v>
      </c>
      <c r="M7365" t="s">
        <v>76</v>
      </c>
      <c r="N7365">
        <v>38.793878999999997</v>
      </c>
      <c r="O7365">
        <v>-112.039314</v>
      </c>
      <c r="P7365">
        <v>5224.2213140000003</v>
      </c>
      <c r="Q7365">
        <v>1403</v>
      </c>
      <c r="R7365">
        <v>0</v>
      </c>
    </row>
    <row r="7366" spans="1:18" x14ac:dyDescent="0.25">
      <c r="A7366">
        <v>6365</v>
      </c>
      <c r="B7366">
        <v>94</v>
      </c>
      <c r="C7366" t="s">
        <v>870</v>
      </c>
      <c r="D7366" t="s">
        <v>304</v>
      </c>
      <c r="E7366">
        <v>17.748000000000001</v>
      </c>
      <c r="F7366" t="s">
        <v>21</v>
      </c>
      <c r="G7366" t="s">
        <v>20</v>
      </c>
      <c r="H7366" t="s">
        <v>21</v>
      </c>
      <c r="I7366" t="s">
        <v>20</v>
      </c>
      <c r="J7366" t="s">
        <v>20</v>
      </c>
      <c r="K7366" t="s">
        <v>41</v>
      </c>
      <c r="L7366" t="s">
        <v>223</v>
      </c>
      <c r="M7366" t="s">
        <v>43</v>
      </c>
      <c r="N7366">
        <v>41.768636999999998</v>
      </c>
      <c r="O7366">
        <v>-112.09688199999999</v>
      </c>
      <c r="P7366">
        <v>4356.8850249999996</v>
      </c>
      <c r="Q7366">
        <v>1348</v>
      </c>
      <c r="R7366">
        <v>0</v>
      </c>
    </row>
    <row r="7367" spans="1:18" x14ac:dyDescent="0.25">
      <c r="A7367">
        <v>6366</v>
      </c>
      <c r="B7367">
        <v>94</v>
      </c>
      <c r="C7367">
        <v>1543777</v>
      </c>
      <c r="D7367" t="s">
        <v>88</v>
      </c>
      <c r="E7367">
        <v>17.754000000000001</v>
      </c>
      <c r="F7367" t="s">
        <v>21</v>
      </c>
      <c r="G7367" t="s">
        <v>26</v>
      </c>
      <c r="H7367" t="s">
        <v>21</v>
      </c>
      <c r="I7367" t="s">
        <v>20</v>
      </c>
      <c r="J7367" t="s">
        <v>20</v>
      </c>
      <c r="K7367" t="s">
        <v>31</v>
      </c>
      <c r="L7367" t="s">
        <v>69</v>
      </c>
      <c r="M7367" t="s">
        <v>90</v>
      </c>
      <c r="N7367">
        <v>40.692307</v>
      </c>
      <c r="O7367">
        <v>-111.871371</v>
      </c>
      <c r="P7367">
        <v>4223.6136880000004</v>
      </c>
      <c r="Q7367">
        <v>318</v>
      </c>
      <c r="R7367">
        <v>0</v>
      </c>
    </row>
    <row r="7368" spans="1:18" x14ac:dyDescent="0.25">
      <c r="A7368">
        <v>6367</v>
      </c>
      <c r="B7368">
        <v>94</v>
      </c>
      <c r="C7368">
        <v>31523691</v>
      </c>
      <c r="D7368" t="s">
        <v>309</v>
      </c>
      <c r="E7368">
        <v>17.779</v>
      </c>
      <c r="F7368" t="s">
        <v>21</v>
      </c>
      <c r="G7368" t="s">
        <v>26</v>
      </c>
      <c r="H7368" t="s">
        <v>21</v>
      </c>
      <c r="I7368" t="s">
        <v>20</v>
      </c>
      <c r="J7368" t="s">
        <v>20</v>
      </c>
      <c r="K7368" t="s">
        <v>22</v>
      </c>
      <c r="L7368" t="s">
        <v>140</v>
      </c>
      <c r="M7368" t="s">
        <v>125</v>
      </c>
      <c r="N7368">
        <v>40.130228000000002</v>
      </c>
      <c r="O7368">
        <v>-111.590356</v>
      </c>
      <c r="P7368">
        <v>4654.6860219999999</v>
      </c>
      <c r="Q7368">
        <v>339</v>
      </c>
      <c r="R7368">
        <v>0</v>
      </c>
    </row>
    <row r="7369" spans="1:18" x14ac:dyDescent="0.25">
      <c r="A7369">
        <v>6368</v>
      </c>
      <c r="B7369">
        <v>94</v>
      </c>
      <c r="C7369">
        <v>27872158</v>
      </c>
      <c r="D7369" t="s">
        <v>91</v>
      </c>
      <c r="E7369">
        <v>17.797000000000001</v>
      </c>
      <c r="F7369" t="s">
        <v>21</v>
      </c>
      <c r="G7369" t="s">
        <v>26</v>
      </c>
      <c r="H7369" t="s">
        <v>21</v>
      </c>
      <c r="I7369" t="s">
        <v>20</v>
      </c>
      <c r="J7369" t="s">
        <v>20</v>
      </c>
      <c r="K7369" t="s">
        <v>41</v>
      </c>
      <c r="L7369" t="s">
        <v>42</v>
      </c>
      <c r="M7369" t="s">
        <v>73</v>
      </c>
      <c r="N7369">
        <v>41.858390999999997</v>
      </c>
      <c r="O7369">
        <v>-111.999934</v>
      </c>
      <c r="P7369">
        <v>4452.0762599999998</v>
      </c>
      <c r="Q7369">
        <v>1339</v>
      </c>
      <c r="R7369">
        <v>0</v>
      </c>
    </row>
    <row r="7370" spans="1:18" x14ac:dyDescent="0.25">
      <c r="A7370">
        <v>6369</v>
      </c>
      <c r="B7370">
        <v>94</v>
      </c>
      <c r="C7370" t="e">
        <f>-Iov7ZiGIua1NSTCCi35kk</f>
        <v>#NAME?</v>
      </c>
      <c r="D7370" t="s">
        <v>176</v>
      </c>
      <c r="E7370">
        <v>17.800999999999998</v>
      </c>
      <c r="F7370" t="s">
        <v>21</v>
      </c>
      <c r="G7370" t="s">
        <v>26</v>
      </c>
      <c r="H7370" t="s">
        <v>21</v>
      </c>
      <c r="I7370" t="s">
        <v>20</v>
      </c>
      <c r="J7370" t="s">
        <v>20</v>
      </c>
      <c r="K7370" t="s">
        <v>41</v>
      </c>
      <c r="L7370" t="s">
        <v>181</v>
      </c>
      <c r="M7370" t="s">
        <v>178</v>
      </c>
      <c r="N7370">
        <v>41.677802999999997</v>
      </c>
      <c r="O7370">
        <v>-112.141155</v>
      </c>
      <c r="P7370">
        <v>4241.5311099999999</v>
      </c>
      <c r="Q7370">
        <v>1329</v>
      </c>
      <c r="R7370">
        <v>0</v>
      </c>
    </row>
    <row r="7371" spans="1:18" x14ac:dyDescent="0.25">
      <c r="A7371">
        <v>6370</v>
      </c>
      <c r="B7371">
        <v>94</v>
      </c>
      <c r="C7371">
        <v>1543792</v>
      </c>
      <c r="D7371" t="s">
        <v>88</v>
      </c>
      <c r="E7371">
        <v>17.806000000000001</v>
      </c>
      <c r="F7371" t="s">
        <v>21</v>
      </c>
      <c r="G7371" t="s">
        <v>26</v>
      </c>
      <c r="H7371" t="s">
        <v>21</v>
      </c>
      <c r="I7371" t="s">
        <v>20</v>
      </c>
      <c r="J7371" t="s">
        <v>20</v>
      </c>
      <c r="K7371" t="s">
        <v>31</v>
      </c>
      <c r="L7371" t="s">
        <v>69</v>
      </c>
      <c r="M7371" t="s">
        <v>90</v>
      </c>
      <c r="N7371">
        <v>40.693075</v>
      </c>
      <c r="O7371">
        <v>-111.87137300000001</v>
      </c>
      <c r="P7371">
        <v>4223.0001929999999</v>
      </c>
      <c r="Q7371">
        <v>318</v>
      </c>
      <c r="R7371">
        <v>0</v>
      </c>
    </row>
    <row r="7372" spans="1:18" x14ac:dyDescent="0.25">
      <c r="A7372">
        <v>6371</v>
      </c>
      <c r="B7372">
        <v>94</v>
      </c>
      <c r="C7372" t="e">
        <f>-JYlRcYjGNukokaSQsaQrV</f>
        <v>#NAME?</v>
      </c>
      <c r="D7372" t="s">
        <v>129</v>
      </c>
      <c r="E7372">
        <v>17.812999999999999</v>
      </c>
      <c r="F7372" t="s">
        <v>21</v>
      </c>
      <c r="G7372" t="s">
        <v>20</v>
      </c>
      <c r="H7372" t="s">
        <v>21</v>
      </c>
      <c r="I7372" t="s">
        <v>20</v>
      </c>
      <c r="J7372" t="s">
        <v>20</v>
      </c>
      <c r="K7372" t="s">
        <v>31</v>
      </c>
      <c r="L7372" t="s">
        <v>130</v>
      </c>
      <c r="M7372" t="s">
        <v>131</v>
      </c>
      <c r="N7372">
        <v>40.594237</v>
      </c>
      <c r="O7372">
        <v>-110.997488</v>
      </c>
      <c r="P7372">
        <v>8105.6081320000003</v>
      </c>
      <c r="Q7372">
        <v>340</v>
      </c>
      <c r="R7372">
        <v>0</v>
      </c>
    </row>
    <row r="7373" spans="1:18" x14ac:dyDescent="0.25">
      <c r="A7373">
        <v>6372</v>
      </c>
      <c r="B7373">
        <v>94</v>
      </c>
      <c r="C7373">
        <v>31347337</v>
      </c>
      <c r="D7373" t="s">
        <v>413</v>
      </c>
      <c r="E7373">
        <v>17.812999999999999</v>
      </c>
      <c r="F7373" t="s">
        <v>19</v>
      </c>
      <c r="G7373" t="s">
        <v>20</v>
      </c>
      <c r="H7373" t="s">
        <v>21</v>
      </c>
      <c r="I7373" t="s">
        <v>20</v>
      </c>
      <c r="J7373" t="s">
        <v>20</v>
      </c>
      <c r="K7373" t="s">
        <v>31</v>
      </c>
      <c r="L7373" t="s">
        <v>66</v>
      </c>
      <c r="M7373" t="s">
        <v>206</v>
      </c>
      <c r="N7373">
        <v>40.725436000000002</v>
      </c>
      <c r="O7373">
        <v>-111.893985</v>
      </c>
      <c r="P7373">
        <v>4186.1109660000002</v>
      </c>
      <c r="Q7373">
        <v>411</v>
      </c>
      <c r="R7373">
        <v>0</v>
      </c>
    </row>
    <row r="7374" spans="1:18" x14ac:dyDescent="0.25">
      <c r="A7374">
        <v>6373</v>
      </c>
      <c r="B7374">
        <v>94</v>
      </c>
      <c r="C7374">
        <v>31548794</v>
      </c>
      <c r="D7374" t="s">
        <v>320</v>
      </c>
      <c r="E7374">
        <v>158.13200000000001</v>
      </c>
      <c r="F7374" t="s">
        <v>21</v>
      </c>
      <c r="G7374" t="s">
        <v>26</v>
      </c>
      <c r="H7374" t="s">
        <v>21</v>
      </c>
      <c r="I7374" t="s">
        <v>20</v>
      </c>
      <c r="J7374" t="s">
        <v>20</v>
      </c>
      <c r="K7374" t="s">
        <v>27</v>
      </c>
      <c r="L7374" t="s">
        <v>183</v>
      </c>
      <c r="M7374" t="s">
        <v>76</v>
      </c>
      <c r="N7374">
        <v>38.957355</v>
      </c>
      <c r="O7374">
        <v>-111.866781</v>
      </c>
      <c r="P7374">
        <v>5087.9010829999997</v>
      </c>
      <c r="Q7374">
        <v>1356</v>
      </c>
      <c r="R7374">
        <v>0</v>
      </c>
    </row>
    <row r="7375" spans="1:18" x14ac:dyDescent="0.25">
      <c r="A7375">
        <v>6374</v>
      </c>
      <c r="B7375">
        <v>94</v>
      </c>
      <c r="C7375" t="s">
        <v>871</v>
      </c>
      <c r="D7375" t="s">
        <v>272</v>
      </c>
      <c r="E7375">
        <v>158.13900000000001</v>
      </c>
      <c r="F7375" t="s">
        <v>21</v>
      </c>
      <c r="G7375" t="s">
        <v>26</v>
      </c>
      <c r="H7375" t="s">
        <v>21</v>
      </c>
      <c r="I7375" t="s">
        <v>20</v>
      </c>
      <c r="J7375" t="s">
        <v>20</v>
      </c>
      <c r="K7375" t="s">
        <v>27</v>
      </c>
      <c r="L7375" t="s">
        <v>64</v>
      </c>
      <c r="M7375" t="s">
        <v>214</v>
      </c>
      <c r="N7375">
        <v>38.171717999999998</v>
      </c>
      <c r="O7375">
        <v>-112.27649</v>
      </c>
      <c r="P7375">
        <v>6007.7698559999999</v>
      </c>
      <c r="Q7375">
        <v>1384</v>
      </c>
      <c r="R7375">
        <v>0</v>
      </c>
    </row>
    <row r="7376" spans="1:18" x14ac:dyDescent="0.25">
      <c r="A7376">
        <v>6375</v>
      </c>
      <c r="B7376">
        <v>94</v>
      </c>
      <c r="C7376">
        <v>31588289</v>
      </c>
      <c r="D7376" t="s">
        <v>213</v>
      </c>
      <c r="E7376">
        <v>158.167</v>
      </c>
      <c r="F7376" t="s">
        <v>21</v>
      </c>
      <c r="G7376" t="s">
        <v>26</v>
      </c>
      <c r="H7376" t="s">
        <v>21</v>
      </c>
      <c r="I7376" t="s">
        <v>20</v>
      </c>
      <c r="J7376" t="s">
        <v>20</v>
      </c>
      <c r="K7376" t="s">
        <v>22</v>
      </c>
      <c r="L7376" t="s">
        <v>198</v>
      </c>
      <c r="M7376" t="s">
        <v>214</v>
      </c>
      <c r="N7376">
        <v>39.985100000000003</v>
      </c>
      <c r="O7376">
        <v>-111.813084</v>
      </c>
      <c r="P7376">
        <v>4760.8542020000004</v>
      </c>
      <c r="Q7376">
        <v>1332</v>
      </c>
      <c r="R7376">
        <v>0</v>
      </c>
    </row>
    <row r="7377" spans="1:18" x14ac:dyDescent="0.25">
      <c r="A7377">
        <v>6376</v>
      </c>
      <c r="B7377">
        <v>94</v>
      </c>
      <c r="C7377">
        <v>31550005</v>
      </c>
      <c r="D7377" t="s">
        <v>320</v>
      </c>
      <c r="E7377">
        <v>158.21899999999999</v>
      </c>
      <c r="F7377" t="s">
        <v>21</v>
      </c>
      <c r="G7377" t="s">
        <v>26</v>
      </c>
      <c r="H7377" t="s">
        <v>21</v>
      </c>
      <c r="I7377" t="s">
        <v>20</v>
      </c>
      <c r="J7377" t="s">
        <v>20</v>
      </c>
      <c r="K7377" t="s">
        <v>27</v>
      </c>
      <c r="L7377" t="s">
        <v>183</v>
      </c>
      <c r="M7377" t="s">
        <v>76</v>
      </c>
      <c r="N7377">
        <v>38.957579000000003</v>
      </c>
      <c r="O7377">
        <v>-111.865309</v>
      </c>
      <c r="P7377">
        <v>5090.8538850000004</v>
      </c>
      <c r="Q7377">
        <v>1356</v>
      </c>
      <c r="R7377">
        <v>0</v>
      </c>
    </row>
    <row r="7378" spans="1:18" x14ac:dyDescent="0.25">
      <c r="A7378">
        <v>6377</v>
      </c>
      <c r="B7378">
        <v>94</v>
      </c>
      <c r="C7378" t="s">
        <v>872</v>
      </c>
      <c r="D7378" t="s">
        <v>272</v>
      </c>
      <c r="E7378">
        <v>158.24700000000001</v>
      </c>
      <c r="F7378" t="s">
        <v>21</v>
      </c>
      <c r="G7378" t="s">
        <v>26</v>
      </c>
      <c r="H7378" t="s">
        <v>21</v>
      </c>
      <c r="I7378" t="s">
        <v>20</v>
      </c>
      <c r="J7378" t="s">
        <v>20</v>
      </c>
      <c r="K7378" t="s">
        <v>27</v>
      </c>
      <c r="L7378" t="s">
        <v>64</v>
      </c>
      <c r="M7378" t="s">
        <v>214</v>
      </c>
      <c r="N7378">
        <v>38.171745000000001</v>
      </c>
      <c r="O7378">
        <v>-112.274485</v>
      </c>
      <c r="P7378">
        <v>6004.6213820000003</v>
      </c>
      <c r="Q7378">
        <v>1384</v>
      </c>
      <c r="R7378">
        <v>0</v>
      </c>
    </row>
    <row r="7379" spans="1:18" x14ac:dyDescent="0.25">
      <c r="A7379">
        <v>6378</v>
      </c>
      <c r="B7379">
        <v>94</v>
      </c>
      <c r="C7379">
        <v>31550034</v>
      </c>
      <c r="D7379" t="s">
        <v>320</v>
      </c>
      <c r="E7379">
        <v>158.32300000000001</v>
      </c>
      <c r="F7379" t="s">
        <v>21</v>
      </c>
      <c r="G7379" t="s">
        <v>26</v>
      </c>
      <c r="H7379" t="s">
        <v>21</v>
      </c>
      <c r="I7379" t="s">
        <v>20</v>
      </c>
      <c r="J7379" t="s">
        <v>20</v>
      </c>
      <c r="K7379" t="s">
        <v>27</v>
      </c>
      <c r="L7379" t="s">
        <v>183</v>
      </c>
      <c r="M7379" t="s">
        <v>76</v>
      </c>
      <c r="N7379">
        <v>38.957585999999999</v>
      </c>
      <c r="O7379">
        <v>-111.863539</v>
      </c>
      <c r="P7379">
        <v>5094.5723379999999</v>
      </c>
      <c r="Q7379">
        <v>1356</v>
      </c>
      <c r="R7379">
        <v>0</v>
      </c>
    </row>
    <row r="7380" spans="1:18" x14ac:dyDescent="0.25">
      <c r="A7380">
        <v>6379</v>
      </c>
      <c r="B7380">
        <v>94</v>
      </c>
      <c r="C7380" t="e">
        <f>-JMHDjgqIh5whZCYQDPVyV</f>
        <v>#NAME?</v>
      </c>
      <c r="D7380" t="s">
        <v>88</v>
      </c>
      <c r="E7380">
        <v>18.071000000000002</v>
      </c>
      <c r="F7380" t="s">
        <v>21</v>
      </c>
      <c r="G7380" t="s">
        <v>20</v>
      </c>
      <c r="H7380" t="s">
        <v>21</v>
      </c>
      <c r="I7380" t="s">
        <v>20</v>
      </c>
      <c r="J7380" t="s">
        <v>20</v>
      </c>
      <c r="K7380" t="s">
        <v>31</v>
      </c>
      <c r="L7380" t="s">
        <v>69</v>
      </c>
      <c r="M7380" t="s">
        <v>90</v>
      </c>
      <c r="N7380">
        <v>40.696911</v>
      </c>
      <c r="O7380">
        <v>-111.87134500000001</v>
      </c>
      <c r="P7380">
        <v>4215.2854239999997</v>
      </c>
      <c r="Q7380">
        <v>318</v>
      </c>
      <c r="R7380">
        <v>0</v>
      </c>
    </row>
    <row r="7381" spans="1:18" x14ac:dyDescent="0.25">
      <c r="A7381">
        <v>6380</v>
      </c>
      <c r="B7381">
        <v>94</v>
      </c>
      <c r="C7381" t="e">
        <f>-IoSSs91GeyoXaCAp8hEuF</f>
        <v>#NAME?</v>
      </c>
      <c r="D7381" t="s">
        <v>413</v>
      </c>
      <c r="E7381">
        <v>18.084</v>
      </c>
      <c r="F7381" t="s">
        <v>19</v>
      </c>
      <c r="G7381" t="s">
        <v>20</v>
      </c>
      <c r="H7381" t="s">
        <v>19</v>
      </c>
      <c r="I7381">
        <v>89</v>
      </c>
      <c r="J7381" t="s">
        <v>20</v>
      </c>
      <c r="K7381" t="s">
        <v>31</v>
      </c>
      <c r="L7381" t="s">
        <v>66</v>
      </c>
      <c r="M7381" t="s">
        <v>206</v>
      </c>
      <c r="N7381">
        <v>40.725458000000003</v>
      </c>
      <c r="O7381">
        <v>-111.888335</v>
      </c>
      <c r="P7381">
        <v>4194.8075060000001</v>
      </c>
      <c r="Q7381">
        <v>411</v>
      </c>
      <c r="R7381">
        <v>0</v>
      </c>
    </row>
    <row r="7382" spans="1:18" x14ac:dyDescent="0.25">
      <c r="A7382">
        <v>6381</v>
      </c>
      <c r="B7382">
        <v>94</v>
      </c>
      <c r="C7382">
        <v>27872923</v>
      </c>
      <c r="D7382" t="s">
        <v>91</v>
      </c>
      <c r="E7382">
        <v>18.085000000000001</v>
      </c>
      <c r="F7382" t="s">
        <v>21</v>
      </c>
      <c r="G7382" t="s">
        <v>26</v>
      </c>
      <c r="H7382" t="s">
        <v>19</v>
      </c>
      <c r="I7382">
        <v>142</v>
      </c>
      <c r="J7382" t="s">
        <v>20</v>
      </c>
      <c r="K7382" t="s">
        <v>41</v>
      </c>
      <c r="L7382" t="s">
        <v>42</v>
      </c>
      <c r="M7382" t="s">
        <v>73</v>
      </c>
      <c r="N7382">
        <v>41.862592999999997</v>
      </c>
      <c r="O7382">
        <v>-111.999759</v>
      </c>
      <c r="P7382">
        <v>4474.5366139999996</v>
      </c>
      <c r="Q7382">
        <v>1339</v>
      </c>
      <c r="R7382">
        <v>0</v>
      </c>
    </row>
    <row r="7383" spans="1:18" x14ac:dyDescent="0.25">
      <c r="A7383">
        <v>6382</v>
      </c>
      <c r="B7383">
        <v>94</v>
      </c>
      <c r="C7383">
        <v>31316106</v>
      </c>
      <c r="D7383" t="s">
        <v>347</v>
      </c>
      <c r="E7383">
        <v>18.085999999999999</v>
      </c>
      <c r="F7383" t="s">
        <v>21</v>
      </c>
      <c r="G7383" t="s">
        <v>26</v>
      </c>
      <c r="H7383" t="s">
        <v>21</v>
      </c>
      <c r="I7383" t="s">
        <v>20</v>
      </c>
      <c r="J7383" t="s">
        <v>20</v>
      </c>
      <c r="K7383" t="s">
        <v>41</v>
      </c>
      <c r="L7383" t="s">
        <v>325</v>
      </c>
      <c r="M7383" t="s">
        <v>204</v>
      </c>
      <c r="N7383">
        <v>41.628556000000003</v>
      </c>
      <c r="O7383">
        <v>-111.179097</v>
      </c>
      <c r="P7383">
        <v>6221.6138270000001</v>
      </c>
      <c r="Q7383">
        <v>1334</v>
      </c>
      <c r="R7383">
        <v>0</v>
      </c>
    </row>
    <row r="7384" spans="1:18" x14ac:dyDescent="0.25">
      <c r="A7384">
        <v>6383</v>
      </c>
      <c r="B7384">
        <v>94</v>
      </c>
      <c r="C7384">
        <v>31808839</v>
      </c>
      <c r="D7384" t="s">
        <v>290</v>
      </c>
      <c r="E7384">
        <v>109.938</v>
      </c>
      <c r="F7384" t="s">
        <v>19</v>
      </c>
      <c r="G7384" t="s">
        <v>20</v>
      </c>
      <c r="H7384" t="s">
        <v>19</v>
      </c>
      <c r="I7384">
        <v>91</v>
      </c>
      <c r="J7384" t="s">
        <v>20</v>
      </c>
      <c r="K7384" t="s">
        <v>41</v>
      </c>
      <c r="L7384" t="s">
        <v>325</v>
      </c>
      <c r="M7384" t="s">
        <v>152</v>
      </c>
      <c r="N7384">
        <v>41.735213000000002</v>
      </c>
      <c r="O7384">
        <v>-111.834959</v>
      </c>
      <c r="P7384">
        <v>4478.3467369999998</v>
      </c>
      <c r="Q7384">
        <v>1343</v>
      </c>
      <c r="R7384">
        <v>0</v>
      </c>
    </row>
    <row r="7385" spans="1:18" x14ac:dyDescent="0.25">
      <c r="A7385">
        <v>6384</v>
      </c>
      <c r="B7385">
        <v>94</v>
      </c>
      <c r="C7385">
        <v>31811079</v>
      </c>
      <c r="D7385" t="s">
        <v>290</v>
      </c>
      <c r="E7385">
        <v>109.977</v>
      </c>
      <c r="F7385" t="s">
        <v>21</v>
      </c>
      <c r="G7385" t="s">
        <v>26</v>
      </c>
      <c r="H7385" t="s">
        <v>21</v>
      </c>
      <c r="I7385" t="s">
        <v>20</v>
      </c>
      <c r="J7385" t="s">
        <v>20</v>
      </c>
      <c r="K7385" t="s">
        <v>41</v>
      </c>
      <c r="L7385" t="s">
        <v>325</v>
      </c>
      <c r="M7385" t="s">
        <v>280</v>
      </c>
      <c r="N7385">
        <v>41.945976000000002</v>
      </c>
      <c r="O7385">
        <v>-111.39342000000001</v>
      </c>
      <c r="P7385">
        <v>5915.2747879999997</v>
      </c>
      <c r="Q7385">
        <v>1343</v>
      </c>
      <c r="R7385">
        <v>0</v>
      </c>
    </row>
    <row r="7386" spans="1:18" x14ac:dyDescent="0.25">
      <c r="A7386">
        <v>6385</v>
      </c>
      <c r="B7386">
        <v>94</v>
      </c>
      <c r="C7386">
        <v>28356538</v>
      </c>
      <c r="D7386" t="s">
        <v>323</v>
      </c>
      <c r="E7386">
        <v>11.012</v>
      </c>
      <c r="F7386" t="s">
        <v>21</v>
      </c>
      <c r="G7386" t="s">
        <v>20</v>
      </c>
      <c r="H7386" t="s">
        <v>21</v>
      </c>
      <c r="I7386" t="s">
        <v>20</v>
      </c>
      <c r="J7386" t="s">
        <v>20</v>
      </c>
      <c r="K7386" t="s">
        <v>31</v>
      </c>
      <c r="L7386" t="s">
        <v>130</v>
      </c>
      <c r="M7386" t="s">
        <v>131</v>
      </c>
      <c r="N7386">
        <v>40.619315999999998</v>
      </c>
      <c r="O7386">
        <v>-111.28068</v>
      </c>
      <c r="P7386">
        <v>6490.0594840000003</v>
      </c>
      <c r="Q7386">
        <v>1345</v>
      </c>
      <c r="R7386">
        <v>0</v>
      </c>
    </row>
    <row r="7387" spans="1:18" x14ac:dyDescent="0.25">
      <c r="A7387">
        <v>6386</v>
      </c>
      <c r="B7387">
        <v>94</v>
      </c>
      <c r="C7387">
        <v>27416500</v>
      </c>
      <c r="D7387" t="s">
        <v>185</v>
      </c>
      <c r="E7387">
        <v>11.012</v>
      </c>
      <c r="F7387" t="s">
        <v>21</v>
      </c>
      <c r="G7387" t="s">
        <v>26</v>
      </c>
      <c r="H7387" t="s">
        <v>21</v>
      </c>
      <c r="I7387" t="s">
        <v>20</v>
      </c>
      <c r="J7387" t="s">
        <v>20</v>
      </c>
      <c r="K7387" t="s">
        <v>41</v>
      </c>
      <c r="L7387" t="s">
        <v>57</v>
      </c>
      <c r="M7387" t="s">
        <v>58</v>
      </c>
      <c r="N7387">
        <v>41.190761000000002</v>
      </c>
      <c r="O7387">
        <v>-112.074027</v>
      </c>
      <c r="P7387">
        <v>4206.060845</v>
      </c>
      <c r="Q7387">
        <v>309</v>
      </c>
      <c r="R7387">
        <v>0</v>
      </c>
    </row>
    <row r="7388" spans="1:18" x14ac:dyDescent="0.25">
      <c r="A7388">
        <v>6387</v>
      </c>
      <c r="B7388">
        <v>94</v>
      </c>
      <c r="C7388">
        <v>31529876</v>
      </c>
      <c r="D7388" t="s">
        <v>231</v>
      </c>
      <c r="E7388">
        <v>11.013</v>
      </c>
      <c r="F7388" t="s">
        <v>21</v>
      </c>
      <c r="G7388" t="s">
        <v>26</v>
      </c>
      <c r="H7388" t="s">
        <v>21</v>
      </c>
      <c r="I7388" t="s">
        <v>20</v>
      </c>
      <c r="J7388" t="s">
        <v>20</v>
      </c>
      <c r="K7388" t="s">
        <v>41</v>
      </c>
      <c r="L7388" t="s">
        <v>57</v>
      </c>
      <c r="M7388" t="s">
        <v>93</v>
      </c>
      <c r="N7388">
        <v>41.194775999999997</v>
      </c>
      <c r="O7388">
        <v>-112.025834</v>
      </c>
      <c r="P7388">
        <v>4394.8935750000001</v>
      </c>
      <c r="Q7388">
        <v>1409</v>
      </c>
      <c r="R7388">
        <v>0</v>
      </c>
    </row>
    <row r="7389" spans="1:18" x14ac:dyDescent="0.25">
      <c r="A7389">
        <v>6388</v>
      </c>
      <c r="B7389">
        <v>94</v>
      </c>
      <c r="C7389">
        <v>1060680</v>
      </c>
      <c r="D7389" t="s">
        <v>171</v>
      </c>
      <c r="E7389">
        <v>11.023</v>
      </c>
      <c r="F7389" t="s">
        <v>19</v>
      </c>
      <c r="G7389" t="s">
        <v>20</v>
      </c>
      <c r="H7389" t="s">
        <v>21</v>
      </c>
      <c r="I7389" t="s">
        <v>20</v>
      </c>
      <c r="J7389" t="s">
        <v>20</v>
      </c>
      <c r="K7389" t="s">
        <v>31</v>
      </c>
      <c r="L7389" t="s">
        <v>69</v>
      </c>
      <c r="M7389" t="s">
        <v>79</v>
      </c>
      <c r="N7389">
        <v>40.699841999999997</v>
      </c>
      <c r="O7389">
        <v>-111.882711</v>
      </c>
      <c r="P7389">
        <v>4205.5679410000002</v>
      </c>
      <c r="Q7389">
        <v>346</v>
      </c>
      <c r="R7389">
        <v>0</v>
      </c>
    </row>
    <row r="7390" spans="1:18" x14ac:dyDescent="0.25">
      <c r="A7390">
        <v>6389</v>
      </c>
      <c r="B7390">
        <v>94</v>
      </c>
      <c r="C7390">
        <v>31529887</v>
      </c>
      <c r="D7390" t="s">
        <v>231</v>
      </c>
      <c r="E7390">
        <v>11.035</v>
      </c>
      <c r="F7390" t="s">
        <v>21</v>
      </c>
      <c r="G7390" t="s">
        <v>26</v>
      </c>
      <c r="H7390" t="s">
        <v>21</v>
      </c>
      <c r="I7390" t="s">
        <v>20</v>
      </c>
      <c r="J7390" t="s">
        <v>20</v>
      </c>
      <c r="K7390" t="s">
        <v>41</v>
      </c>
      <c r="L7390" t="s">
        <v>57</v>
      </c>
      <c r="M7390" t="s">
        <v>93</v>
      </c>
      <c r="N7390">
        <v>41.195067999999999</v>
      </c>
      <c r="O7390">
        <v>-112.025847</v>
      </c>
      <c r="P7390">
        <v>4393.7172149999997</v>
      </c>
      <c r="Q7390">
        <v>1409</v>
      </c>
      <c r="R7390">
        <v>0</v>
      </c>
    </row>
    <row r="7391" spans="1:18" x14ac:dyDescent="0.25">
      <c r="A7391">
        <v>6390</v>
      </c>
      <c r="B7391">
        <v>94</v>
      </c>
      <c r="C7391" t="e">
        <f>-IorcBxzH9uVxhlbsOiMKF</f>
        <v>#NAME?</v>
      </c>
      <c r="D7391" t="s">
        <v>91</v>
      </c>
      <c r="E7391">
        <v>11.035</v>
      </c>
      <c r="F7391" t="s">
        <v>21</v>
      </c>
      <c r="G7391" t="s">
        <v>20</v>
      </c>
      <c r="H7391" t="s">
        <v>21</v>
      </c>
      <c r="I7391" t="s">
        <v>20</v>
      </c>
      <c r="J7391" t="s">
        <v>20</v>
      </c>
      <c r="K7391" t="s">
        <v>41</v>
      </c>
      <c r="L7391" t="s">
        <v>42</v>
      </c>
      <c r="M7391" t="s">
        <v>73</v>
      </c>
      <c r="N7391">
        <v>41.764673999999999</v>
      </c>
      <c r="O7391">
        <v>-111.980317</v>
      </c>
      <c r="P7391">
        <v>4422.9654829999999</v>
      </c>
      <c r="Q7391">
        <v>1339</v>
      </c>
      <c r="R7391">
        <v>0</v>
      </c>
    </row>
    <row r="7392" spans="1:18" x14ac:dyDescent="0.25">
      <c r="A7392">
        <v>6391</v>
      </c>
      <c r="B7392">
        <v>94</v>
      </c>
      <c r="C7392">
        <v>1697153</v>
      </c>
      <c r="D7392" t="s">
        <v>100</v>
      </c>
      <c r="E7392">
        <v>11.055999999999999</v>
      </c>
      <c r="F7392" t="s">
        <v>21</v>
      </c>
      <c r="G7392" t="s">
        <v>26</v>
      </c>
      <c r="H7392" t="s">
        <v>21</v>
      </c>
      <c r="I7392" t="s">
        <v>20</v>
      </c>
      <c r="J7392" t="s">
        <v>20</v>
      </c>
      <c r="K7392" t="s">
        <v>41</v>
      </c>
      <c r="L7392" t="s">
        <v>57</v>
      </c>
      <c r="M7392" t="s">
        <v>46</v>
      </c>
      <c r="N7392">
        <v>41.187443999999999</v>
      </c>
      <c r="O7392">
        <v>-112.051715</v>
      </c>
      <c r="P7392">
        <v>4253.7181119999996</v>
      </c>
      <c r="Q7392">
        <v>1396</v>
      </c>
      <c r="R7392">
        <v>0</v>
      </c>
    </row>
    <row r="7393" spans="1:18" x14ac:dyDescent="0.25">
      <c r="A7393">
        <v>6392</v>
      </c>
      <c r="B7393">
        <v>94</v>
      </c>
      <c r="C7393">
        <v>31778603</v>
      </c>
      <c r="D7393" t="s">
        <v>290</v>
      </c>
      <c r="E7393">
        <v>101.009</v>
      </c>
      <c r="F7393" t="s">
        <v>21</v>
      </c>
      <c r="G7393" t="s">
        <v>26</v>
      </c>
      <c r="H7393" t="s">
        <v>21</v>
      </c>
      <c r="I7393" t="s">
        <v>20</v>
      </c>
      <c r="J7393" t="s">
        <v>20</v>
      </c>
      <c r="K7393" t="s">
        <v>41</v>
      </c>
      <c r="L7393" t="s">
        <v>95</v>
      </c>
      <c r="M7393" t="s">
        <v>152</v>
      </c>
      <c r="N7393">
        <v>41.757275</v>
      </c>
      <c r="O7393">
        <v>-112.003894</v>
      </c>
      <c r="P7393">
        <v>4638.6730930000003</v>
      </c>
      <c r="Q7393">
        <v>1343</v>
      </c>
      <c r="R7393">
        <v>0</v>
      </c>
    </row>
    <row r="7394" spans="1:18" x14ac:dyDescent="0.25">
      <c r="A7394">
        <v>6393</v>
      </c>
      <c r="B7394">
        <v>94</v>
      </c>
      <c r="C7394">
        <v>31778614</v>
      </c>
      <c r="D7394" t="s">
        <v>290</v>
      </c>
      <c r="E7394">
        <v>101.044</v>
      </c>
      <c r="F7394" t="s">
        <v>21</v>
      </c>
      <c r="G7394" t="s">
        <v>20</v>
      </c>
      <c r="H7394" t="s">
        <v>21</v>
      </c>
      <c r="I7394" t="s">
        <v>20</v>
      </c>
      <c r="J7394" t="s">
        <v>20</v>
      </c>
      <c r="K7394" t="s">
        <v>41</v>
      </c>
      <c r="L7394" t="s">
        <v>95</v>
      </c>
      <c r="M7394" t="s">
        <v>152</v>
      </c>
      <c r="N7394">
        <v>41.756909999999998</v>
      </c>
      <c r="O7394">
        <v>-112.003428</v>
      </c>
      <c r="P7394">
        <v>4629.3357850000002</v>
      </c>
      <c r="Q7394">
        <v>1343</v>
      </c>
      <c r="R7394">
        <v>0</v>
      </c>
    </row>
    <row r="7395" spans="1:18" x14ac:dyDescent="0.25">
      <c r="A7395">
        <v>6394</v>
      </c>
      <c r="B7395">
        <v>94</v>
      </c>
      <c r="C7395">
        <v>31727639</v>
      </c>
      <c r="D7395" t="s">
        <v>244</v>
      </c>
      <c r="E7395">
        <v>101.104</v>
      </c>
      <c r="F7395" t="s">
        <v>21</v>
      </c>
      <c r="G7395" t="s">
        <v>20</v>
      </c>
      <c r="H7395" t="s">
        <v>21</v>
      </c>
      <c r="I7395" t="s">
        <v>20</v>
      </c>
      <c r="J7395" t="s">
        <v>20</v>
      </c>
      <c r="K7395" t="s">
        <v>27</v>
      </c>
      <c r="L7395" t="s">
        <v>122</v>
      </c>
      <c r="M7395" t="s">
        <v>270</v>
      </c>
      <c r="N7395">
        <v>38.347807000000003</v>
      </c>
      <c r="O7395">
        <v>-110.967431</v>
      </c>
      <c r="P7395">
        <v>4483.298237</v>
      </c>
      <c r="Q7395">
        <v>1340</v>
      </c>
      <c r="R7395">
        <v>0</v>
      </c>
    </row>
    <row r="7396" spans="1:18" x14ac:dyDescent="0.25">
      <c r="A7396">
        <v>6395</v>
      </c>
      <c r="B7396">
        <v>94</v>
      </c>
      <c r="C7396">
        <v>31561689</v>
      </c>
      <c r="D7396" t="s">
        <v>213</v>
      </c>
      <c r="E7396">
        <v>101.16200000000001</v>
      </c>
      <c r="F7396" t="s">
        <v>21</v>
      </c>
      <c r="G7396" t="s">
        <v>20</v>
      </c>
      <c r="H7396" t="s">
        <v>21</v>
      </c>
      <c r="I7396" t="s">
        <v>20</v>
      </c>
      <c r="J7396" t="s">
        <v>20</v>
      </c>
      <c r="K7396" t="s">
        <v>27</v>
      </c>
      <c r="L7396" t="s">
        <v>173</v>
      </c>
      <c r="M7396" t="s">
        <v>214</v>
      </c>
      <c r="N7396">
        <v>39.477924999999999</v>
      </c>
      <c r="O7396">
        <v>-112.41607399999999</v>
      </c>
      <c r="P7396">
        <v>4725.228118</v>
      </c>
      <c r="Q7396">
        <v>1332</v>
      </c>
      <c r="R7396">
        <v>0</v>
      </c>
    </row>
    <row r="7397" spans="1:18" x14ac:dyDescent="0.25">
      <c r="A7397">
        <v>6396</v>
      </c>
      <c r="B7397">
        <v>94</v>
      </c>
      <c r="C7397">
        <v>31549961</v>
      </c>
      <c r="D7397" t="s">
        <v>348</v>
      </c>
      <c r="E7397">
        <v>101.438</v>
      </c>
      <c r="F7397" t="s">
        <v>21</v>
      </c>
      <c r="G7397" t="s">
        <v>26</v>
      </c>
      <c r="H7397" t="s">
        <v>21</v>
      </c>
      <c r="I7397" t="s">
        <v>20</v>
      </c>
      <c r="J7397" t="s">
        <v>20</v>
      </c>
      <c r="K7397" t="s">
        <v>27</v>
      </c>
      <c r="L7397" t="s">
        <v>327</v>
      </c>
      <c r="M7397" t="s">
        <v>123</v>
      </c>
      <c r="N7397">
        <v>37.540185999999999</v>
      </c>
      <c r="O7397">
        <v>-109.74538099999999</v>
      </c>
      <c r="P7397">
        <v>6093.3701719999999</v>
      </c>
      <c r="Q7397">
        <v>1388</v>
      </c>
      <c r="R7397">
        <v>0</v>
      </c>
    </row>
    <row r="7398" spans="1:18" x14ac:dyDescent="0.25">
      <c r="A7398">
        <v>6397</v>
      </c>
      <c r="B7398">
        <v>94</v>
      </c>
      <c r="C7398" t="e">
        <f>-JOj5XD5Ia9j7-bOoNZNSF</f>
        <v>#NAME?</v>
      </c>
      <c r="D7398" t="s">
        <v>244</v>
      </c>
      <c r="E7398">
        <v>101.49299999999999</v>
      </c>
      <c r="F7398" t="s">
        <v>21</v>
      </c>
      <c r="G7398" t="s">
        <v>20</v>
      </c>
      <c r="H7398" t="s">
        <v>21</v>
      </c>
      <c r="I7398" t="s">
        <v>20</v>
      </c>
      <c r="J7398" t="s">
        <v>20</v>
      </c>
      <c r="K7398" t="s">
        <v>27</v>
      </c>
      <c r="L7398" t="s">
        <v>122</v>
      </c>
      <c r="M7398" t="s">
        <v>270</v>
      </c>
      <c r="N7398">
        <v>38.349288999999999</v>
      </c>
      <c r="O7398">
        <v>-110.960537</v>
      </c>
      <c r="P7398">
        <v>4479.6685639999996</v>
      </c>
      <c r="Q7398">
        <v>1340</v>
      </c>
      <c r="R7398">
        <v>0</v>
      </c>
    </row>
    <row r="7399" spans="1:18" x14ac:dyDescent="0.25">
      <c r="A7399">
        <v>6398</v>
      </c>
      <c r="B7399">
        <v>94</v>
      </c>
      <c r="C7399">
        <v>31778625</v>
      </c>
      <c r="D7399" t="s">
        <v>290</v>
      </c>
      <c r="E7399">
        <v>101.834</v>
      </c>
      <c r="F7399" t="s">
        <v>21</v>
      </c>
      <c r="G7399" t="s">
        <v>26</v>
      </c>
      <c r="H7399" t="s">
        <v>21</v>
      </c>
      <c r="I7399" t="s">
        <v>20</v>
      </c>
      <c r="J7399" t="s">
        <v>20</v>
      </c>
      <c r="K7399" t="s">
        <v>41</v>
      </c>
      <c r="L7399" t="s">
        <v>95</v>
      </c>
      <c r="M7399" t="s">
        <v>152</v>
      </c>
      <c r="N7399">
        <v>41.753061000000002</v>
      </c>
      <c r="O7399">
        <v>-111.989107</v>
      </c>
      <c r="P7399">
        <v>4498.2562260000004</v>
      </c>
      <c r="Q7399">
        <v>1343</v>
      </c>
      <c r="R7399">
        <v>0</v>
      </c>
    </row>
    <row r="7400" spans="1:18" x14ac:dyDescent="0.25">
      <c r="A7400">
        <v>6399</v>
      </c>
      <c r="B7400">
        <v>94</v>
      </c>
      <c r="C7400">
        <v>31788143</v>
      </c>
      <c r="D7400" t="s">
        <v>118</v>
      </c>
      <c r="E7400">
        <v>101.874</v>
      </c>
      <c r="F7400" t="s">
        <v>21</v>
      </c>
      <c r="G7400" t="s">
        <v>26</v>
      </c>
      <c r="H7400" t="s">
        <v>21</v>
      </c>
      <c r="I7400" t="s">
        <v>20</v>
      </c>
      <c r="J7400" t="s">
        <v>20</v>
      </c>
      <c r="K7400" t="s">
        <v>22</v>
      </c>
      <c r="L7400" t="s">
        <v>133</v>
      </c>
      <c r="M7400" t="s">
        <v>169</v>
      </c>
      <c r="N7400">
        <v>40.176119</v>
      </c>
      <c r="O7400">
        <v>-110.123977</v>
      </c>
      <c r="P7400">
        <v>5115.14347</v>
      </c>
      <c r="Q7400">
        <v>310</v>
      </c>
      <c r="R7400">
        <v>0</v>
      </c>
    </row>
    <row r="7401" spans="1:18" x14ac:dyDescent="0.25">
      <c r="A7401">
        <v>6400</v>
      </c>
      <c r="B7401">
        <v>94</v>
      </c>
      <c r="C7401">
        <v>31727650</v>
      </c>
      <c r="D7401" t="s">
        <v>244</v>
      </c>
      <c r="E7401">
        <v>101.916</v>
      </c>
      <c r="F7401" t="s">
        <v>21</v>
      </c>
      <c r="G7401" t="s">
        <v>20</v>
      </c>
      <c r="H7401" t="s">
        <v>21</v>
      </c>
      <c r="I7401" t="s">
        <v>20</v>
      </c>
      <c r="J7401" t="s">
        <v>20</v>
      </c>
      <c r="K7401" t="s">
        <v>27</v>
      </c>
      <c r="L7401" t="s">
        <v>122</v>
      </c>
      <c r="M7401" t="s">
        <v>270</v>
      </c>
      <c r="N7401">
        <v>38.351686000000001</v>
      </c>
      <c r="O7401">
        <v>-110.953344</v>
      </c>
      <c r="P7401">
        <v>4474.3419450000001</v>
      </c>
      <c r="Q7401">
        <v>1340</v>
      </c>
      <c r="R7401">
        <v>0</v>
      </c>
    </row>
    <row r="7402" spans="1:18" x14ac:dyDescent="0.25">
      <c r="A7402">
        <v>6401</v>
      </c>
      <c r="B7402">
        <v>94</v>
      </c>
      <c r="C7402">
        <v>31459094</v>
      </c>
      <c r="D7402" t="s">
        <v>331</v>
      </c>
      <c r="E7402">
        <v>4.9450000000000003</v>
      </c>
      <c r="F7402" t="s">
        <v>21</v>
      </c>
      <c r="G7402" t="s">
        <v>26</v>
      </c>
      <c r="H7402" t="s">
        <v>21</v>
      </c>
      <c r="I7402" t="s">
        <v>20</v>
      </c>
      <c r="J7402" t="s">
        <v>20</v>
      </c>
      <c r="K7402" t="s">
        <v>27</v>
      </c>
      <c r="L7402" t="s">
        <v>111</v>
      </c>
      <c r="M7402" t="s">
        <v>112</v>
      </c>
      <c r="N7402">
        <v>39.352935000000002</v>
      </c>
      <c r="O7402">
        <v>-110.851991</v>
      </c>
      <c r="P7402">
        <v>5663.158066</v>
      </c>
      <c r="Q7402">
        <v>1427</v>
      </c>
      <c r="R7402">
        <v>0</v>
      </c>
    </row>
    <row r="7403" spans="1:18" x14ac:dyDescent="0.25">
      <c r="A7403">
        <v>6402</v>
      </c>
      <c r="B7403">
        <v>94</v>
      </c>
      <c r="C7403">
        <v>31435649</v>
      </c>
      <c r="D7403" t="s">
        <v>216</v>
      </c>
      <c r="E7403">
        <v>4.9459999999999997</v>
      </c>
      <c r="F7403" t="s">
        <v>21</v>
      </c>
      <c r="G7403" t="s">
        <v>26</v>
      </c>
      <c r="H7403" t="s">
        <v>21</v>
      </c>
      <c r="I7403" t="s">
        <v>20</v>
      </c>
      <c r="J7403" t="s">
        <v>20</v>
      </c>
      <c r="K7403" t="s">
        <v>27</v>
      </c>
      <c r="L7403" t="s">
        <v>158</v>
      </c>
      <c r="M7403" t="s">
        <v>159</v>
      </c>
      <c r="N7403">
        <v>39.687359999999998</v>
      </c>
      <c r="O7403">
        <v>-110.804461</v>
      </c>
      <c r="P7403">
        <v>6475.9633320000003</v>
      </c>
      <c r="Q7403">
        <v>1428</v>
      </c>
      <c r="R7403">
        <v>0</v>
      </c>
    </row>
    <row r="7404" spans="1:18" x14ac:dyDescent="0.25">
      <c r="A7404">
        <v>6403</v>
      </c>
      <c r="B7404">
        <v>94</v>
      </c>
      <c r="C7404">
        <v>31255997</v>
      </c>
      <c r="D7404" t="s">
        <v>303</v>
      </c>
      <c r="E7404">
        <v>4.9509999999999996</v>
      </c>
      <c r="F7404" t="s">
        <v>19</v>
      </c>
      <c r="G7404" t="s">
        <v>20</v>
      </c>
      <c r="H7404" t="s">
        <v>21</v>
      </c>
      <c r="I7404" t="s">
        <v>20</v>
      </c>
      <c r="J7404" t="s">
        <v>20</v>
      </c>
      <c r="K7404" t="s">
        <v>27</v>
      </c>
      <c r="L7404" t="s">
        <v>72</v>
      </c>
      <c r="M7404" t="s">
        <v>73</v>
      </c>
      <c r="N7404">
        <v>37.16751</v>
      </c>
      <c r="O7404">
        <v>-113.37387099999999</v>
      </c>
      <c r="P7404">
        <v>2834.2233209999999</v>
      </c>
      <c r="Q7404">
        <v>1326</v>
      </c>
      <c r="R7404">
        <v>0</v>
      </c>
    </row>
    <row r="7405" spans="1:18" x14ac:dyDescent="0.25">
      <c r="A7405">
        <v>6404</v>
      </c>
      <c r="B7405">
        <v>94</v>
      </c>
      <c r="C7405">
        <v>31351926</v>
      </c>
      <c r="D7405" t="s">
        <v>34</v>
      </c>
      <c r="E7405">
        <v>5.0309999999999997</v>
      </c>
      <c r="F7405" t="s">
        <v>21</v>
      </c>
      <c r="G7405" t="s">
        <v>26</v>
      </c>
      <c r="H7405" t="s">
        <v>21</v>
      </c>
      <c r="I7405" t="s">
        <v>20</v>
      </c>
      <c r="J7405" t="s">
        <v>20</v>
      </c>
      <c r="K7405" t="s">
        <v>22</v>
      </c>
      <c r="L7405" t="s">
        <v>35</v>
      </c>
      <c r="M7405" t="s">
        <v>36</v>
      </c>
      <c r="N7405">
        <v>40.509321999999997</v>
      </c>
      <c r="O7405">
        <v>-111.452332</v>
      </c>
      <c r="P7405">
        <v>5473.6481480000002</v>
      </c>
      <c r="Q7405">
        <v>1400</v>
      </c>
      <c r="R7405">
        <v>0</v>
      </c>
    </row>
    <row r="7406" spans="1:18" x14ac:dyDescent="0.25">
      <c r="A7406">
        <v>6405</v>
      </c>
      <c r="B7406">
        <v>94</v>
      </c>
      <c r="C7406">
        <v>561930</v>
      </c>
      <c r="D7406" t="s">
        <v>115</v>
      </c>
      <c r="E7406">
        <v>5.0309999999999997</v>
      </c>
      <c r="F7406" t="s">
        <v>19</v>
      </c>
      <c r="G7406" t="s">
        <v>20</v>
      </c>
      <c r="H7406" t="s">
        <v>19</v>
      </c>
      <c r="I7406">
        <v>154</v>
      </c>
      <c r="J7406" t="s">
        <v>20</v>
      </c>
      <c r="K7406" t="s">
        <v>31</v>
      </c>
      <c r="L7406" t="s">
        <v>48</v>
      </c>
      <c r="M7406" t="s">
        <v>70</v>
      </c>
      <c r="N7406">
        <v>40.653008</v>
      </c>
      <c r="O7406">
        <v>-111.981403</v>
      </c>
      <c r="P7406">
        <v>4492.2049669999997</v>
      </c>
      <c r="Q7406">
        <v>1437</v>
      </c>
      <c r="R7406">
        <v>0</v>
      </c>
    </row>
    <row r="7407" spans="1:18" x14ac:dyDescent="0.25">
      <c r="A7407">
        <v>6406</v>
      </c>
      <c r="B7407">
        <v>94</v>
      </c>
      <c r="C7407">
        <v>31436410</v>
      </c>
      <c r="D7407" t="s">
        <v>216</v>
      </c>
      <c r="E7407">
        <v>5.0359999999999996</v>
      </c>
      <c r="F7407" t="s">
        <v>21</v>
      </c>
      <c r="G7407" t="s">
        <v>26</v>
      </c>
      <c r="H7407" t="s">
        <v>21</v>
      </c>
      <c r="I7407" t="s">
        <v>20</v>
      </c>
      <c r="J7407" t="s">
        <v>20</v>
      </c>
      <c r="K7407" t="s">
        <v>27</v>
      </c>
      <c r="L7407" t="s">
        <v>158</v>
      </c>
      <c r="M7407" t="s">
        <v>159</v>
      </c>
      <c r="N7407">
        <v>39.688384999999997</v>
      </c>
      <c r="O7407">
        <v>-110.805419</v>
      </c>
      <c r="P7407">
        <v>6477.0693920000003</v>
      </c>
      <c r="Q7407">
        <v>1428</v>
      </c>
      <c r="R7407">
        <v>0</v>
      </c>
    </row>
    <row r="7408" spans="1:18" x14ac:dyDescent="0.25">
      <c r="A7408">
        <v>6407</v>
      </c>
      <c r="B7408">
        <v>94</v>
      </c>
      <c r="C7408">
        <v>31523056</v>
      </c>
      <c r="D7408" t="s">
        <v>390</v>
      </c>
      <c r="E7408">
        <v>5.0369999999999999</v>
      </c>
      <c r="F7408" t="s">
        <v>21</v>
      </c>
      <c r="G7408" t="s">
        <v>26</v>
      </c>
      <c r="H7408" t="s">
        <v>21</v>
      </c>
      <c r="I7408" t="s">
        <v>20</v>
      </c>
      <c r="J7408" t="s">
        <v>20</v>
      </c>
      <c r="K7408" t="s">
        <v>22</v>
      </c>
      <c r="L7408" t="s">
        <v>84</v>
      </c>
      <c r="M7408" t="s">
        <v>335</v>
      </c>
      <c r="N7408">
        <v>40.431870000000004</v>
      </c>
      <c r="O7408">
        <v>-111.80025999999999</v>
      </c>
      <c r="P7408">
        <v>4808.6964710000002</v>
      </c>
      <c r="Q7408">
        <v>1386</v>
      </c>
      <c r="R7408">
        <v>0</v>
      </c>
    </row>
    <row r="7409" spans="1:18" x14ac:dyDescent="0.25">
      <c r="A7409">
        <v>6408</v>
      </c>
      <c r="B7409">
        <v>94</v>
      </c>
      <c r="C7409">
        <v>31520688</v>
      </c>
      <c r="D7409" t="s">
        <v>231</v>
      </c>
      <c r="E7409">
        <v>5.0369999999999999</v>
      </c>
      <c r="F7409" t="s">
        <v>21</v>
      </c>
      <c r="G7409" t="s">
        <v>26</v>
      </c>
      <c r="H7409" t="s">
        <v>21</v>
      </c>
      <c r="I7409" t="s">
        <v>20</v>
      </c>
      <c r="J7409" t="s">
        <v>20</v>
      </c>
      <c r="K7409" t="s">
        <v>41</v>
      </c>
      <c r="L7409" t="s">
        <v>57</v>
      </c>
      <c r="M7409" t="s">
        <v>93</v>
      </c>
      <c r="N7409">
        <v>41.108865999999999</v>
      </c>
      <c r="O7409">
        <v>-112.02130699999999</v>
      </c>
      <c r="P7409">
        <v>4433.1106049999999</v>
      </c>
      <c r="Q7409">
        <v>1409</v>
      </c>
      <c r="R7409">
        <v>0</v>
      </c>
    </row>
    <row r="7410" spans="1:18" x14ac:dyDescent="0.25">
      <c r="A7410">
        <v>6409</v>
      </c>
      <c r="B7410">
        <v>94</v>
      </c>
      <c r="C7410">
        <v>31311299</v>
      </c>
      <c r="D7410" t="s">
        <v>40</v>
      </c>
      <c r="E7410">
        <v>5.0380000000000003</v>
      </c>
      <c r="F7410" t="s">
        <v>21</v>
      </c>
      <c r="G7410" t="s">
        <v>26</v>
      </c>
      <c r="H7410" t="s">
        <v>21</v>
      </c>
      <c r="I7410" t="s">
        <v>20</v>
      </c>
      <c r="J7410" t="s">
        <v>20</v>
      </c>
      <c r="K7410" t="s">
        <v>41</v>
      </c>
      <c r="L7410" t="s">
        <v>42</v>
      </c>
      <c r="M7410" t="s">
        <v>43</v>
      </c>
      <c r="N7410">
        <v>41.633941999999998</v>
      </c>
      <c r="O7410">
        <v>-111.84971</v>
      </c>
      <c r="P7410">
        <v>4652.6823059999997</v>
      </c>
      <c r="Q7410">
        <v>1391</v>
      </c>
      <c r="R7410">
        <v>0</v>
      </c>
    </row>
    <row r="7411" spans="1:18" x14ac:dyDescent="0.25">
      <c r="A7411">
        <v>6410</v>
      </c>
      <c r="B7411">
        <v>94</v>
      </c>
      <c r="C7411" t="s">
        <v>873</v>
      </c>
      <c r="D7411" t="s">
        <v>322</v>
      </c>
      <c r="E7411">
        <v>5.0570000000000004</v>
      </c>
      <c r="F7411" t="s">
        <v>21</v>
      </c>
      <c r="G7411" t="s">
        <v>26</v>
      </c>
      <c r="H7411" t="s">
        <v>21</v>
      </c>
      <c r="I7411" t="s">
        <v>20</v>
      </c>
      <c r="J7411" t="s">
        <v>20</v>
      </c>
      <c r="K7411" t="s">
        <v>31</v>
      </c>
      <c r="L7411" t="s">
        <v>84</v>
      </c>
      <c r="M7411" t="s">
        <v>24</v>
      </c>
      <c r="N7411">
        <v>40.475619000000002</v>
      </c>
      <c r="O7411">
        <v>-111.976949</v>
      </c>
      <c r="P7411">
        <v>4789.4658399999998</v>
      </c>
      <c r="Q7411">
        <v>6660</v>
      </c>
      <c r="R7411">
        <v>0</v>
      </c>
    </row>
    <row r="7412" spans="1:18" x14ac:dyDescent="0.25">
      <c r="A7412">
        <v>6411</v>
      </c>
      <c r="B7412">
        <v>94</v>
      </c>
      <c r="C7412" t="s">
        <v>874</v>
      </c>
      <c r="D7412" t="s">
        <v>316</v>
      </c>
      <c r="E7412">
        <v>5.0590000000000002</v>
      </c>
      <c r="F7412" t="s">
        <v>21</v>
      </c>
      <c r="G7412" t="s">
        <v>20</v>
      </c>
      <c r="H7412" t="s">
        <v>21</v>
      </c>
      <c r="I7412" t="s">
        <v>20</v>
      </c>
      <c r="J7412" t="s">
        <v>20</v>
      </c>
      <c r="K7412" t="s">
        <v>31</v>
      </c>
      <c r="L7412" t="s">
        <v>130</v>
      </c>
      <c r="M7412" t="s">
        <v>302</v>
      </c>
      <c r="N7412">
        <v>40.574987999999998</v>
      </c>
      <c r="O7412">
        <v>-111.210477</v>
      </c>
      <c r="P7412">
        <v>6740.9608289999996</v>
      </c>
      <c r="Q7412">
        <v>1346</v>
      </c>
      <c r="R7412">
        <v>0</v>
      </c>
    </row>
    <row r="7413" spans="1:18" x14ac:dyDescent="0.25">
      <c r="A7413">
        <v>6412</v>
      </c>
      <c r="B7413">
        <v>94</v>
      </c>
      <c r="C7413">
        <v>533929</v>
      </c>
      <c r="D7413" t="s">
        <v>44</v>
      </c>
      <c r="E7413">
        <v>5.0650000000000004</v>
      </c>
      <c r="F7413" t="s">
        <v>21</v>
      </c>
      <c r="G7413" t="s">
        <v>26</v>
      </c>
      <c r="H7413" t="s">
        <v>21</v>
      </c>
      <c r="I7413" t="s">
        <v>20</v>
      </c>
      <c r="J7413" t="s">
        <v>20</v>
      </c>
      <c r="K7413" t="s">
        <v>41</v>
      </c>
      <c r="L7413" t="s">
        <v>45</v>
      </c>
      <c r="M7413" t="s">
        <v>46</v>
      </c>
      <c r="N7413">
        <v>40.950408000000003</v>
      </c>
      <c r="O7413">
        <v>-111.88294999999999</v>
      </c>
      <c r="P7413">
        <v>4256.2255649999997</v>
      </c>
      <c r="Q7413">
        <v>1395</v>
      </c>
      <c r="R7413">
        <v>0</v>
      </c>
    </row>
    <row r="7414" spans="1:18" x14ac:dyDescent="0.25">
      <c r="A7414">
        <v>6413</v>
      </c>
      <c r="B7414">
        <v>94</v>
      </c>
      <c r="C7414" t="e">
        <f>-JPu1c1DIUTOgzWSVb_FMF</f>
        <v>#NAME?</v>
      </c>
      <c r="D7414" t="s">
        <v>167</v>
      </c>
      <c r="E7414">
        <v>5.0659999999999998</v>
      </c>
      <c r="F7414" t="s">
        <v>21</v>
      </c>
      <c r="G7414" t="s">
        <v>20</v>
      </c>
      <c r="H7414" t="s">
        <v>21</v>
      </c>
      <c r="I7414" t="s">
        <v>20</v>
      </c>
      <c r="J7414" t="s">
        <v>20</v>
      </c>
      <c r="K7414" t="s">
        <v>22</v>
      </c>
      <c r="L7414" t="s">
        <v>168</v>
      </c>
      <c r="M7414" t="s">
        <v>169</v>
      </c>
      <c r="N7414">
        <v>40.275652000000001</v>
      </c>
      <c r="O7414">
        <v>-110.702591</v>
      </c>
      <c r="P7414">
        <v>6644.4905310000004</v>
      </c>
      <c r="Q7414">
        <v>354</v>
      </c>
      <c r="R7414">
        <v>0</v>
      </c>
    </row>
    <row r="7415" spans="1:18" x14ac:dyDescent="0.25">
      <c r="A7415">
        <v>6414</v>
      </c>
      <c r="B7415">
        <v>94</v>
      </c>
      <c r="C7415" t="s">
        <v>875</v>
      </c>
      <c r="D7415" t="s">
        <v>331</v>
      </c>
      <c r="E7415">
        <v>5.069</v>
      </c>
      <c r="F7415" t="s">
        <v>21</v>
      </c>
      <c r="G7415" t="s">
        <v>26</v>
      </c>
      <c r="H7415" t="s">
        <v>21</v>
      </c>
      <c r="I7415" t="s">
        <v>20</v>
      </c>
      <c r="J7415" t="s">
        <v>20</v>
      </c>
      <c r="K7415" t="s">
        <v>27</v>
      </c>
      <c r="L7415" t="s">
        <v>111</v>
      </c>
      <c r="M7415" t="s">
        <v>112</v>
      </c>
      <c r="N7415">
        <v>39.354731999999998</v>
      </c>
      <c r="O7415">
        <v>-110.852018</v>
      </c>
      <c r="P7415">
        <v>5671.8254109999998</v>
      </c>
      <c r="Q7415">
        <v>1427</v>
      </c>
      <c r="R7415">
        <v>0</v>
      </c>
    </row>
    <row r="7416" spans="1:18" x14ac:dyDescent="0.25">
      <c r="A7416">
        <v>6415</v>
      </c>
      <c r="B7416">
        <v>94</v>
      </c>
      <c r="C7416">
        <v>1269842</v>
      </c>
      <c r="D7416" t="s">
        <v>189</v>
      </c>
      <c r="E7416">
        <v>5.0709999999999997</v>
      </c>
      <c r="F7416" t="s">
        <v>19</v>
      </c>
      <c r="G7416" t="s">
        <v>20</v>
      </c>
      <c r="H7416" t="s">
        <v>21</v>
      </c>
      <c r="I7416" t="s">
        <v>20</v>
      </c>
      <c r="J7416" t="s">
        <v>20</v>
      </c>
      <c r="K7416" t="s">
        <v>41</v>
      </c>
      <c r="L7416" t="s">
        <v>81</v>
      </c>
      <c r="M7416" t="s">
        <v>190</v>
      </c>
      <c r="N7416">
        <v>41.226646000000002</v>
      </c>
      <c r="O7416">
        <v>-111.948114</v>
      </c>
      <c r="P7416">
        <v>4403.238257</v>
      </c>
      <c r="Q7416">
        <v>412</v>
      </c>
      <c r="R7416">
        <v>0</v>
      </c>
    </row>
    <row r="7417" spans="1:18" x14ac:dyDescent="0.25">
      <c r="A7417">
        <v>6416</v>
      </c>
      <c r="B7417">
        <v>94</v>
      </c>
      <c r="C7417">
        <v>807911</v>
      </c>
      <c r="D7417" t="s">
        <v>68</v>
      </c>
      <c r="E7417">
        <v>5.0789999999999997</v>
      </c>
      <c r="F7417" t="s">
        <v>21</v>
      </c>
      <c r="G7417" t="s">
        <v>26</v>
      </c>
      <c r="H7417" t="s">
        <v>21</v>
      </c>
      <c r="I7417" t="s">
        <v>20</v>
      </c>
      <c r="J7417" t="s">
        <v>20</v>
      </c>
      <c r="K7417" t="s">
        <v>31</v>
      </c>
      <c r="L7417" t="s">
        <v>32</v>
      </c>
      <c r="M7417" t="s">
        <v>70</v>
      </c>
      <c r="N7417">
        <v>40.674301999999997</v>
      </c>
      <c r="O7417">
        <v>-111.85894</v>
      </c>
      <c r="P7417">
        <v>4273.2186810000003</v>
      </c>
      <c r="Q7417">
        <v>431</v>
      </c>
      <c r="R7417">
        <v>0</v>
      </c>
    </row>
    <row r="7418" spans="1:18" x14ac:dyDescent="0.25">
      <c r="A7418">
        <v>6417</v>
      </c>
      <c r="B7418">
        <v>94</v>
      </c>
      <c r="C7418">
        <v>28493714</v>
      </c>
      <c r="D7418" t="s">
        <v>99</v>
      </c>
      <c r="E7418">
        <v>5.0839999999999996</v>
      </c>
      <c r="F7418" t="s">
        <v>21</v>
      </c>
      <c r="G7418" t="s">
        <v>20</v>
      </c>
      <c r="H7418" t="s">
        <v>21</v>
      </c>
      <c r="I7418" t="s">
        <v>20</v>
      </c>
      <c r="J7418" t="s">
        <v>20</v>
      </c>
      <c r="K7418" t="s">
        <v>41</v>
      </c>
      <c r="L7418" t="s">
        <v>81</v>
      </c>
      <c r="M7418" t="s">
        <v>82</v>
      </c>
      <c r="N7418">
        <v>41.210295000000002</v>
      </c>
      <c r="O7418">
        <v>-111.975047</v>
      </c>
      <c r="P7418">
        <v>4260.5331630000001</v>
      </c>
      <c r="Q7418">
        <v>1376</v>
      </c>
      <c r="R7418">
        <v>0</v>
      </c>
    </row>
    <row r="7419" spans="1:18" x14ac:dyDescent="0.25">
      <c r="A7419">
        <v>6418</v>
      </c>
      <c r="B7419">
        <v>94</v>
      </c>
      <c r="C7419">
        <v>31436421</v>
      </c>
      <c r="D7419" t="s">
        <v>216</v>
      </c>
      <c r="E7419">
        <v>5.0869999999999997</v>
      </c>
      <c r="F7419" t="s">
        <v>21</v>
      </c>
      <c r="G7419" t="s">
        <v>26</v>
      </c>
      <c r="H7419" t="s">
        <v>21</v>
      </c>
      <c r="I7419" t="s">
        <v>20</v>
      </c>
      <c r="J7419" t="s">
        <v>20</v>
      </c>
      <c r="K7419" t="s">
        <v>27</v>
      </c>
      <c r="L7419" t="s">
        <v>158</v>
      </c>
      <c r="M7419" t="s">
        <v>159</v>
      </c>
      <c r="N7419">
        <v>39.688448999999999</v>
      </c>
      <c r="O7419">
        <v>-110.80636699999999</v>
      </c>
      <c r="P7419">
        <v>6481.9829170000003</v>
      </c>
      <c r="Q7419">
        <v>1428</v>
      </c>
      <c r="R7419">
        <v>0</v>
      </c>
    </row>
    <row r="7420" spans="1:18" x14ac:dyDescent="0.25">
      <c r="A7420">
        <v>6419</v>
      </c>
      <c r="B7420">
        <v>94</v>
      </c>
      <c r="C7420">
        <v>1159257</v>
      </c>
      <c r="D7420" t="s">
        <v>56</v>
      </c>
      <c r="E7420">
        <v>5.0949999999999998</v>
      </c>
      <c r="F7420" t="s">
        <v>19</v>
      </c>
      <c r="G7420" t="s">
        <v>20</v>
      </c>
      <c r="H7420" t="s">
        <v>19</v>
      </c>
      <c r="I7420">
        <v>126</v>
      </c>
      <c r="J7420" t="s">
        <v>20</v>
      </c>
      <c r="K7420" t="s">
        <v>41</v>
      </c>
      <c r="L7420" t="s">
        <v>57</v>
      </c>
      <c r="M7420" t="s">
        <v>58</v>
      </c>
      <c r="N7420">
        <v>41.161717000000003</v>
      </c>
      <c r="O7420">
        <v>-112.026025</v>
      </c>
      <c r="P7420">
        <v>4484.9138549999998</v>
      </c>
      <c r="Q7420">
        <v>1459</v>
      </c>
      <c r="R7420">
        <v>0</v>
      </c>
    </row>
    <row r="7421" spans="1:18" x14ac:dyDescent="0.25">
      <c r="A7421">
        <v>6420</v>
      </c>
      <c r="B7421">
        <v>94</v>
      </c>
      <c r="C7421">
        <v>1467086</v>
      </c>
      <c r="D7421" t="s">
        <v>88</v>
      </c>
      <c r="E7421">
        <v>5.0960000000000001</v>
      </c>
      <c r="F7421" t="s">
        <v>19</v>
      </c>
      <c r="G7421" t="s">
        <v>20</v>
      </c>
      <c r="H7421" t="s">
        <v>19</v>
      </c>
      <c r="I7421">
        <v>89</v>
      </c>
      <c r="J7421" t="s">
        <v>20</v>
      </c>
      <c r="K7421" t="s">
        <v>31</v>
      </c>
      <c r="L7421" t="s">
        <v>89</v>
      </c>
      <c r="M7421" t="s">
        <v>90</v>
      </c>
      <c r="N7421">
        <v>40.526739999999997</v>
      </c>
      <c r="O7421">
        <v>-111.888578</v>
      </c>
      <c r="P7421">
        <v>4370.4596250000004</v>
      </c>
      <c r="Q7421">
        <v>318</v>
      </c>
      <c r="R7421">
        <v>0</v>
      </c>
    </row>
    <row r="7422" spans="1:18" x14ac:dyDescent="0.25">
      <c r="A7422">
        <v>6421</v>
      </c>
      <c r="B7422">
        <v>94</v>
      </c>
      <c r="C7422">
        <v>31523067</v>
      </c>
      <c r="D7422" t="s">
        <v>390</v>
      </c>
      <c r="E7422">
        <v>5.0990000000000002</v>
      </c>
      <c r="F7422" t="s">
        <v>21</v>
      </c>
      <c r="G7422" t="s">
        <v>26</v>
      </c>
      <c r="H7422" t="s">
        <v>21</v>
      </c>
      <c r="I7422" t="s">
        <v>20</v>
      </c>
      <c r="J7422" t="s">
        <v>20</v>
      </c>
      <c r="K7422" t="s">
        <v>22</v>
      </c>
      <c r="L7422" t="s">
        <v>84</v>
      </c>
      <c r="M7422" t="s">
        <v>335</v>
      </c>
      <c r="N7422">
        <v>40.431882000000002</v>
      </c>
      <c r="O7422">
        <v>-111.799086</v>
      </c>
      <c r="P7422">
        <v>4811.0772919999999</v>
      </c>
      <c r="Q7422">
        <v>1386</v>
      </c>
      <c r="R7422">
        <v>0</v>
      </c>
    </row>
    <row r="7423" spans="1:18" x14ac:dyDescent="0.25">
      <c r="A7423">
        <v>6422</v>
      </c>
      <c r="B7423">
        <v>94</v>
      </c>
      <c r="C7423" t="s">
        <v>876</v>
      </c>
      <c r="D7423" t="s">
        <v>244</v>
      </c>
      <c r="E7423">
        <v>3.786</v>
      </c>
      <c r="F7423" t="s">
        <v>21</v>
      </c>
      <c r="G7423" t="s">
        <v>26</v>
      </c>
      <c r="H7423" t="s">
        <v>21</v>
      </c>
      <c r="I7423" t="s">
        <v>20</v>
      </c>
      <c r="J7423" t="s">
        <v>20</v>
      </c>
      <c r="K7423" t="s">
        <v>27</v>
      </c>
      <c r="L7423" t="s">
        <v>183</v>
      </c>
      <c r="M7423" t="s">
        <v>58</v>
      </c>
      <c r="N7423">
        <v>38.919324000000003</v>
      </c>
      <c r="O7423">
        <v>-111.92444399999999</v>
      </c>
      <c r="P7423">
        <v>5092.9296359999998</v>
      </c>
      <c r="Q7423">
        <v>1340</v>
      </c>
      <c r="R7423">
        <v>0</v>
      </c>
    </row>
    <row r="7424" spans="1:18" x14ac:dyDescent="0.25">
      <c r="A7424">
        <v>6423</v>
      </c>
      <c r="B7424">
        <v>94</v>
      </c>
      <c r="C7424">
        <v>31408795</v>
      </c>
      <c r="D7424" t="s">
        <v>74</v>
      </c>
      <c r="E7424">
        <v>3.786</v>
      </c>
      <c r="F7424" t="s">
        <v>21</v>
      </c>
      <c r="G7424" t="s">
        <v>26</v>
      </c>
      <c r="H7424" t="s">
        <v>21</v>
      </c>
      <c r="I7424" t="s">
        <v>20</v>
      </c>
      <c r="J7424" t="s">
        <v>20</v>
      </c>
      <c r="K7424" t="s">
        <v>27</v>
      </c>
      <c r="L7424" t="s">
        <v>75</v>
      </c>
      <c r="M7424" t="s">
        <v>76</v>
      </c>
      <c r="N7424">
        <v>38.789141000000001</v>
      </c>
      <c r="O7424">
        <v>-112.082926</v>
      </c>
      <c r="P7424">
        <v>5370.8888889999998</v>
      </c>
      <c r="Q7424">
        <v>332</v>
      </c>
      <c r="R7424">
        <v>0</v>
      </c>
    </row>
    <row r="7425" spans="1:18" x14ac:dyDescent="0.25">
      <c r="A7425">
        <v>6424</v>
      </c>
      <c r="B7425">
        <v>94</v>
      </c>
      <c r="C7425">
        <v>31193582</v>
      </c>
      <c r="D7425" t="s">
        <v>126</v>
      </c>
      <c r="E7425">
        <v>3.7890000000000001</v>
      </c>
      <c r="F7425" t="s">
        <v>21</v>
      </c>
      <c r="G7425" t="s">
        <v>26</v>
      </c>
      <c r="H7425" t="s">
        <v>19</v>
      </c>
      <c r="I7425">
        <v>39</v>
      </c>
      <c r="J7425" t="s">
        <v>20</v>
      </c>
      <c r="K7425" t="s">
        <v>41</v>
      </c>
      <c r="L7425" t="s">
        <v>57</v>
      </c>
      <c r="M7425" t="s">
        <v>93</v>
      </c>
      <c r="N7425">
        <v>41.245925</v>
      </c>
      <c r="O7425">
        <v>-112.092598</v>
      </c>
      <c r="P7425">
        <v>4180.6662720000004</v>
      </c>
      <c r="Q7425">
        <v>1412</v>
      </c>
      <c r="R7425">
        <v>0</v>
      </c>
    </row>
    <row r="7426" spans="1:18" x14ac:dyDescent="0.25">
      <c r="A7426">
        <v>6425</v>
      </c>
      <c r="B7426">
        <v>94</v>
      </c>
      <c r="C7426">
        <v>31558823</v>
      </c>
      <c r="D7426" t="s">
        <v>102</v>
      </c>
      <c r="E7426">
        <v>3.7909999999999999</v>
      </c>
      <c r="F7426" t="s">
        <v>21</v>
      </c>
      <c r="G7426" t="s">
        <v>26</v>
      </c>
      <c r="H7426" t="s">
        <v>21</v>
      </c>
      <c r="I7426" t="s">
        <v>20</v>
      </c>
      <c r="J7426" t="s">
        <v>20</v>
      </c>
      <c r="K7426" t="s">
        <v>27</v>
      </c>
      <c r="L7426" t="s">
        <v>103</v>
      </c>
      <c r="M7426" t="s">
        <v>104</v>
      </c>
      <c r="N7426">
        <v>38.293570000000003</v>
      </c>
      <c r="O7426">
        <v>-112.651777</v>
      </c>
      <c r="P7426">
        <v>5861.7840960000003</v>
      </c>
      <c r="Q7426">
        <v>1430</v>
      </c>
      <c r="R7426">
        <v>0</v>
      </c>
    </row>
    <row r="7427" spans="1:18" x14ac:dyDescent="0.25">
      <c r="A7427">
        <v>6426</v>
      </c>
      <c r="B7427">
        <v>94</v>
      </c>
      <c r="C7427">
        <v>31350105</v>
      </c>
      <c r="D7427" t="s">
        <v>34</v>
      </c>
      <c r="E7427">
        <v>3.7919999999999998</v>
      </c>
      <c r="F7427" t="s">
        <v>21</v>
      </c>
      <c r="G7427" t="s">
        <v>26</v>
      </c>
      <c r="H7427" t="s">
        <v>21</v>
      </c>
      <c r="I7427" t="s">
        <v>20</v>
      </c>
      <c r="J7427" t="s">
        <v>20</v>
      </c>
      <c r="K7427" t="s">
        <v>22</v>
      </c>
      <c r="L7427" t="s">
        <v>35</v>
      </c>
      <c r="M7427" t="s">
        <v>36</v>
      </c>
      <c r="N7427">
        <v>40.510492999999997</v>
      </c>
      <c r="O7427">
        <v>-111.472328</v>
      </c>
      <c r="P7427">
        <v>5516.9702090000001</v>
      </c>
      <c r="Q7427">
        <v>1400</v>
      </c>
      <c r="R7427">
        <v>0</v>
      </c>
    </row>
    <row r="7428" spans="1:18" x14ac:dyDescent="0.25">
      <c r="A7428">
        <v>6427</v>
      </c>
      <c r="B7428">
        <v>94</v>
      </c>
      <c r="C7428">
        <v>31759505</v>
      </c>
      <c r="D7428" t="s">
        <v>105</v>
      </c>
      <c r="E7428">
        <v>3.7970000000000002</v>
      </c>
      <c r="F7428" t="s">
        <v>21</v>
      </c>
      <c r="G7428" t="s">
        <v>26</v>
      </c>
      <c r="H7428" t="s">
        <v>21</v>
      </c>
      <c r="I7428" t="s">
        <v>20</v>
      </c>
      <c r="J7428" t="s">
        <v>20</v>
      </c>
      <c r="K7428" t="s">
        <v>27</v>
      </c>
      <c r="L7428" t="s">
        <v>51</v>
      </c>
      <c r="M7428" t="s">
        <v>106</v>
      </c>
      <c r="N7428">
        <v>37.884639</v>
      </c>
      <c r="O7428">
        <v>-112.775006</v>
      </c>
      <c r="P7428">
        <v>5813.9362789999996</v>
      </c>
      <c r="Q7428">
        <v>432</v>
      </c>
      <c r="R7428">
        <v>0</v>
      </c>
    </row>
    <row r="7429" spans="1:18" x14ac:dyDescent="0.25">
      <c r="A7429">
        <v>6428</v>
      </c>
      <c r="B7429">
        <v>94</v>
      </c>
      <c r="C7429">
        <v>31292920</v>
      </c>
      <c r="D7429" t="s">
        <v>203</v>
      </c>
      <c r="E7429">
        <v>3.798</v>
      </c>
      <c r="F7429" t="s">
        <v>21</v>
      </c>
      <c r="G7429" t="s">
        <v>26</v>
      </c>
      <c r="H7429" t="s">
        <v>21</v>
      </c>
      <c r="I7429" t="s">
        <v>20</v>
      </c>
      <c r="J7429" t="s">
        <v>20</v>
      </c>
      <c r="K7429" t="s">
        <v>41</v>
      </c>
      <c r="L7429" t="s">
        <v>81</v>
      </c>
      <c r="M7429" t="s">
        <v>204</v>
      </c>
      <c r="N7429">
        <v>41.244743999999997</v>
      </c>
      <c r="O7429">
        <v>-112.02002400000001</v>
      </c>
      <c r="P7429">
        <v>4202.5162909999999</v>
      </c>
      <c r="Q7429">
        <v>1349</v>
      </c>
      <c r="R7429">
        <v>0</v>
      </c>
    </row>
    <row r="7430" spans="1:18" x14ac:dyDescent="0.25">
      <c r="A7430">
        <v>6429</v>
      </c>
      <c r="B7430">
        <v>94</v>
      </c>
      <c r="C7430">
        <v>31439038</v>
      </c>
      <c r="D7430" t="s">
        <v>107</v>
      </c>
      <c r="E7430">
        <v>3.8050000000000002</v>
      </c>
      <c r="F7430" t="s">
        <v>21</v>
      </c>
      <c r="G7430" t="s">
        <v>26</v>
      </c>
      <c r="H7430" t="s">
        <v>21</v>
      </c>
      <c r="I7430" t="s">
        <v>20</v>
      </c>
      <c r="J7430" t="s">
        <v>20</v>
      </c>
      <c r="K7430" t="s">
        <v>41</v>
      </c>
      <c r="L7430" t="s">
        <v>81</v>
      </c>
      <c r="M7430" t="s">
        <v>93</v>
      </c>
      <c r="N7430">
        <v>41.247787000000002</v>
      </c>
      <c r="O7430">
        <v>-111.978167</v>
      </c>
      <c r="P7430">
        <v>4225.7661449999996</v>
      </c>
      <c r="Q7430">
        <v>413</v>
      </c>
      <c r="R7430">
        <v>0</v>
      </c>
    </row>
    <row r="7431" spans="1:18" x14ac:dyDescent="0.25">
      <c r="A7431">
        <v>6430</v>
      </c>
      <c r="B7431">
        <v>94</v>
      </c>
      <c r="C7431">
        <v>31630984</v>
      </c>
      <c r="D7431" t="s">
        <v>227</v>
      </c>
      <c r="E7431">
        <v>3.8069999999999999</v>
      </c>
      <c r="F7431" t="s">
        <v>21</v>
      </c>
      <c r="G7431" t="s">
        <v>26</v>
      </c>
      <c r="H7431" t="s">
        <v>21</v>
      </c>
      <c r="I7431" t="s">
        <v>20</v>
      </c>
      <c r="J7431" t="s">
        <v>20</v>
      </c>
      <c r="K7431" t="s">
        <v>27</v>
      </c>
      <c r="L7431" t="s">
        <v>158</v>
      </c>
      <c r="M7431" t="s">
        <v>190</v>
      </c>
      <c r="N7431">
        <v>39.535722999999997</v>
      </c>
      <c r="O7431">
        <v>-110.504868</v>
      </c>
      <c r="P7431">
        <v>5734.3957200000004</v>
      </c>
      <c r="Q7431">
        <v>1407</v>
      </c>
      <c r="R7431">
        <v>0</v>
      </c>
    </row>
    <row r="7432" spans="1:18" x14ac:dyDescent="0.25">
      <c r="A7432">
        <v>6431</v>
      </c>
      <c r="B7432">
        <v>94</v>
      </c>
      <c r="C7432">
        <v>776607</v>
      </c>
      <c r="D7432" t="s">
        <v>68</v>
      </c>
      <c r="E7432">
        <v>3.81</v>
      </c>
      <c r="F7432" t="s">
        <v>21</v>
      </c>
      <c r="G7432" t="s">
        <v>26</v>
      </c>
      <c r="H7432" t="s">
        <v>21</v>
      </c>
      <c r="I7432" t="s">
        <v>20</v>
      </c>
      <c r="J7432" t="s">
        <v>20</v>
      </c>
      <c r="K7432" t="s">
        <v>31</v>
      </c>
      <c r="L7432" t="s">
        <v>69</v>
      </c>
      <c r="M7432" t="s">
        <v>70</v>
      </c>
      <c r="N7432">
        <v>40.674329999999998</v>
      </c>
      <c r="O7432">
        <v>-111.883071</v>
      </c>
      <c r="P7432">
        <v>4219.8469359999999</v>
      </c>
      <c r="Q7432">
        <v>431</v>
      </c>
      <c r="R7432">
        <v>0</v>
      </c>
    </row>
    <row r="7433" spans="1:18" x14ac:dyDescent="0.25">
      <c r="A7433">
        <v>6432</v>
      </c>
      <c r="B7433">
        <v>94</v>
      </c>
      <c r="C7433">
        <v>31255975</v>
      </c>
      <c r="D7433" t="s">
        <v>303</v>
      </c>
      <c r="E7433">
        <v>3.8180000000000001</v>
      </c>
      <c r="F7433" t="s">
        <v>21</v>
      </c>
      <c r="G7433" t="s">
        <v>26</v>
      </c>
      <c r="H7433" t="s">
        <v>21</v>
      </c>
      <c r="I7433" t="s">
        <v>20</v>
      </c>
      <c r="J7433" t="s">
        <v>20</v>
      </c>
      <c r="K7433" t="s">
        <v>27</v>
      </c>
      <c r="L7433" t="s">
        <v>72</v>
      </c>
      <c r="M7433" t="s">
        <v>73</v>
      </c>
      <c r="N7433">
        <v>37.161473000000001</v>
      </c>
      <c r="O7433">
        <v>-113.392422</v>
      </c>
      <c r="P7433">
        <v>2723.122644</v>
      </c>
      <c r="Q7433">
        <v>1326</v>
      </c>
      <c r="R7433">
        <v>0</v>
      </c>
    </row>
    <row r="7434" spans="1:18" x14ac:dyDescent="0.25">
      <c r="A7434">
        <v>6433</v>
      </c>
      <c r="B7434">
        <v>94</v>
      </c>
      <c r="C7434">
        <v>31743372</v>
      </c>
      <c r="D7434" t="s">
        <v>290</v>
      </c>
      <c r="E7434">
        <v>33.820999999999998</v>
      </c>
      <c r="F7434" t="s">
        <v>21</v>
      </c>
      <c r="G7434" t="s">
        <v>20</v>
      </c>
      <c r="H7434" t="s">
        <v>21</v>
      </c>
      <c r="I7434" t="s">
        <v>20</v>
      </c>
      <c r="J7434" t="s">
        <v>20</v>
      </c>
      <c r="K7434" t="s">
        <v>41</v>
      </c>
      <c r="L7434" t="s">
        <v>291</v>
      </c>
      <c r="M7434" t="s">
        <v>238</v>
      </c>
      <c r="N7434">
        <v>41.621420999999998</v>
      </c>
      <c r="O7434">
        <v>-113.561719</v>
      </c>
      <c r="P7434">
        <v>4930.5406599999997</v>
      </c>
      <c r="Q7434">
        <v>1343</v>
      </c>
      <c r="R7434">
        <v>0</v>
      </c>
    </row>
    <row r="7435" spans="1:18" x14ac:dyDescent="0.25">
      <c r="A7435">
        <v>6434</v>
      </c>
      <c r="B7435">
        <v>94</v>
      </c>
      <c r="C7435">
        <v>31575549</v>
      </c>
      <c r="D7435" t="s">
        <v>172</v>
      </c>
      <c r="E7435">
        <v>33.826000000000001</v>
      </c>
      <c r="F7435" t="s">
        <v>21</v>
      </c>
      <c r="G7435" t="s">
        <v>26</v>
      </c>
      <c r="H7435" t="s">
        <v>21</v>
      </c>
      <c r="I7435" t="s">
        <v>20</v>
      </c>
      <c r="J7435" t="s">
        <v>20</v>
      </c>
      <c r="K7435" t="s">
        <v>22</v>
      </c>
      <c r="L7435" t="s">
        <v>155</v>
      </c>
      <c r="M7435" t="s">
        <v>174</v>
      </c>
      <c r="N7435">
        <v>39.710008999999999</v>
      </c>
      <c r="O7435">
        <v>-111.82481900000001</v>
      </c>
      <c r="P7435">
        <v>5114.5700800000004</v>
      </c>
      <c r="Q7435">
        <v>1411</v>
      </c>
      <c r="R7435">
        <v>0</v>
      </c>
    </row>
    <row r="7436" spans="1:18" x14ac:dyDescent="0.25">
      <c r="A7436">
        <v>6435</v>
      </c>
      <c r="B7436">
        <v>94</v>
      </c>
      <c r="C7436">
        <v>31537855</v>
      </c>
      <c r="D7436" t="s">
        <v>244</v>
      </c>
      <c r="E7436">
        <v>33.83</v>
      </c>
      <c r="F7436" t="s">
        <v>21</v>
      </c>
      <c r="G7436" t="s">
        <v>26</v>
      </c>
      <c r="H7436" t="s">
        <v>21</v>
      </c>
      <c r="I7436" t="s">
        <v>20</v>
      </c>
      <c r="J7436" t="s">
        <v>20</v>
      </c>
      <c r="K7436" t="s">
        <v>27</v>
      </c>
      <c r="L7436" t="s">
        <v>266</v>
      </c>
      <c r="M7436" t="s">
        <v>58</v>
      </c>
      <c r="N7436">
        <v>38.546818000000002</v>
      </c>
      <c r="O7436">
        <v>-111.834968</v>
      </c>
      <c r="P7436">
        <v>7129.2654169999996</v>
      </c>
      <c r="Q7436">
        <v>1340</v>
      </c>
      <c r="R7436">
        <v>0</v>
      </c>
    </row>
    <row r="7437" spans="1:18" x14ac:dyDescent="0.25">
      <c r="A7437">
        <v>6436</v>
      </c>
      <c r="B7437">
        <v>94</v>
      </c>
      <c r="C7437">
        <v>27721295</v>
      </c>
      <c r="D7437" t="s">
        <v>217</v>
      </c>
      <c r="E7437">
        <v>33.863999999999997</v>
      </c>
      <c r="F7437" t="s">
        <v>21</v>
      </c>
      <c r="G7437" t="s">
        <v>26</v>
      </c>
      <c r="H7437" t="s">
        <v>21</v>
      </c>
      <c r="I7437" t="s">
        <v>20</v>
      </c>
      <c r="J7437" t="s">
        <v>20</v>
      </c>
      <c r="K7437" t="s">
        <v>27</v>
      </c>
      <c r="L7437" t="s">
        <v>162</v>
      </c>
      <c r="M7437" t="s">
        <v>163</v>
      </c>
      <c r="N7437">
        <v>37.511375999999998</v>
      </c>
      <c r="O7437">
        <v>-113.633523</v>
      </c>
      <c r="P7437">
        <v>5844.8357180000003</v>
      </c>
      <c r="Q7437">
        <v>304</v>
      </c>
      <c r="R7437">
        <v>0</v>
      </c>
    </row>
    <row r="7438" spans="1:18" x14ac:dyDescent="0.25">
      <c r="A7438">
        <v>6437</v>
      </c>
      <c r="B7438">
        <v>94</v>
      </c>
      <c r="C7438">
        <v>28025000</v>
      </c>
      <c r="D7438" t="s">
        <v>59</v>
      </c>
      <c r="E7438">
        <v>3.069</v>
      </c>
      <c r="F7438" t="s">
        <v>19</v>
      </c>
      <c r="G7438" t="s">
        <v>20</v>
      </c>
      <c r="H7438" t="s">
        <v>21</v>
      </c>
      <c r="I7438" t="s">
        <v>20</v>
      </c>
      <c r="J7438" t="s">
        <v>20</v>
      </c>
      <c r="K7438" t="s">
        <v>22</v>
      </c>
      <c r="L7438" t="s">
        <v>60</v>
      </c>
      <c r="M7438" t="s">
        <v>24</v>
      </c>
      <c r="N7438">
        <v>40.311996000000001</v>
      </c>
      <c r="O7438">
        <v>-111.676683</v>
      </c>
      <c r="P7438">
        <v>4783.7073609999998</v>
      </c>
      <c r="Q7438">
        <v>313</v>
      </c>
      <c r="R7438">
        <v>0</v>
      </c>
    </row>
    <row r="7439" spans="1:18" x14ac:dyDescent="0.25">
      <c r="A7439">
        <v>6438</v>
      </c>
      <c r="B7439">
        <v>94</v>
      </c>
      <c r="C7439">
        <v>31750818</v>
      </c>
      <c r="D7439" t="s">
        <v>156</v>
      </c>
      <c r="E7439">
        <v>3.0710000000000002</v>
      </c>
      <c r="F7439" t="s">
        <v>19</v>
      </c>
      <c r="G7439" t="s">
        <v>20</v>
      </c>
      <c r="H7439" t="s">
        <v>21</v>
      </c>
      <c r="I7439" t="s">
        <v>20</v>
      </c>
      <c r="J7439" t="s">
        <v>20</v>
      </c>
      <c r="K7439" t="s">
        <v>41</v>
      </c>
      <c r="L7439" t="s">
        <v>81</v>
      </c>
      <c r="M7439" t="s">
        <v>93</v>
      </c>
      <c r="N7439">
        <v>41.303946000000003</v>
      </c>
      <c r="O7439">
        <v>-111.968785</v>
      </c>
      <c r="P7439">
        <v>4321.8260140000002</v>
      </c>
      <c r="Q7439">
        <v>424</v>
      </c>
      <c r="R7439">
        <v>0</v>
      </c>
    </row>
    <row r="7440" spans="1:18" x14ac:dyDescent="0.25">
      <c r="A7440">
        <v>6439</v>
      </c>
      <c r="B7440">
        <v>94</v>
      </c>
      <c r="C7440" t="s">
        <v>877</v>
      </c>
      <c r="D7440" t="s">
        <v>304</v>
      </c>
      <c r="E7440">
        <v>3.0739999999999998</v>
      </c>
      <c r="F7440" t="s">
        <v>21</v>
      </c>
      <c r="G7440" t="s">
        <v>20</v>
      </c>
      <c r="H7440" t="s">
        <v>21</v>
      </c>
      <c r="I7440" t="s">
        <v>20</v>
      </c>
      <c r="J7440" t="s">
        <v>20</v>
      </c>
      <c r="K7440" t="s">
        <v>41</v>
      </c>
      <c r="L7440" t="s">
        <v>177</v>
      </c>
      <c r="M7440" t="s">
        <v>43</v>
      </c>
      <c r="N7440">
        <v>41.570624000000002</v>
      </c>
      <c r="O7440">
        <v>-112.029123</v>
      </c>
      <c r="P7440">
        <v>4214.2556500000001</v>
      </c>
      <c r="Q7440">
        <v>1348</v>
      </c>
      <c r="R7440">
        <v>0</v>
      </c>
    </row>
    <row r="7441" spans="1:18" x14ac:dyDescent="0.25">
      <c r="A7441">
        <v>6440</v>
      </c>
      <c r="B7441">
        <v>94</v>
      </c>
      <c r="C7441">
        <v>2833851</v>
      </c>
      <c r="D7441" t="s">
        <v>113</v>
      </c>
      <c r="E7441">
        <v>3.0750000000000002</v>
      </c>
      <c r="F7441" t="s">
        <v>21</v>
      </c>
      <c r="G7441" t="s">
        <v>26</v>
      </c>
      <c r="H7441" t="s">
        <v>21</v>
      </c>
      <c r="I7441" t="s">
        <v>20</v>
      </c>
      <c r="J7441" t="s">
        <v>20</v>
      </c>
      <c r="K7441" t="s">
        <v>41</v>
      </c>
      <c r="L7441" t="s">
        <v>87</v>
      </c>
      <c r="M7441" t="s">
        <v>58</v>
      </c>
      <c r="N7441">
        <v>41.146180999999999</v>
      </c>
      <c r="O7441">
        <v>-111.97839</v>
      </c>
      <c r="P7441">
        <v>4376.6439119999995</v>
      </c>
      <c r="Q7441">
        <v>1363</v>
      </c>
      <c r="R7441">
        <v>0</v>
      </c>
    </row>
    <row r="7442" spans="1:18" x14ac:dyDescent="0.25">
      <c r="A7442">
        <v>6441</v>
      </c>
      <c r="B7442">
        <v>94</v>
      </c>
      <c r="C7442">
        <v>31467944</v>
      </c>
      <c r="D7442" t="s">
        <v>264</v>
      </c>
      <c r="E7442">
        <v>3.0750000000000002</v>
      </c>
      <c r="F7442" t="s">
        <v>21</v>
      </c>
      <c r="G7442" t="s">
        <v>26</v>
      </c>
      <c r="H7442" t="s">
        <v>21</v>
      </c>
      <c r="I7442" t="s">
        <v>20</v>
      </c>
      <c r="J7442" t="s">
        <v>20</v>
      </c>
      <c r="K7442" t="s">
        <v>22</v>
      </c>
      <c r="L7442" t="s">
        <v>35</v>
      </c>
      <c r="M7442" t="s">
        <v>36</v>
      </c>
      <c r="N7442">
        <v>40.540956999999999</v>
      </c>
      <c r="O7442">
        <v>-111.484351</v>
      </c>
      <c r="P7442">
        <v>5762.1556549999996</v>
      </c>
      <c r="Q7442">
        <v>420</v>
      </c>
      <c r="R7442">
        <v>0</v>
      </c>
    </row>
    <row r="7443" spans="1:18" x14ac:dyDescent="0.25">
      <c r="A7443">
        <v>6442</v>
      </c>
      <c r="B7443">
        <v>94</v>
      </c>
      <c r="C7443">
        <v>31795569</v>
      </c>
      <c r="D7443" t="s">
        <v>61</v>
      </c>
      <c r="E7443">
        <v>3.0760000000000001</v>
      </c>
      <c r="F7443" t="s">
        <v>19</v>
      </c>
      <c r="G7443" t="s">
        <v>20</v>
      </c>
      <c r="H7443" t="s">
        <v>21</v>
      </c>
      <c r="I7443" t="s">
        <v>20</v>
      </c>
      <c r="J7443" t="s">
        <v>20</v>
      </c>
      <c r="K7443" t="s">
        <v>22</v>
      </c>
      <c r="L7443" t="s">
        <v>23</v>
      </c>
      <c r="M7443" t="s">
        <v>62</v>
      </c>
      <c r="N7443">
        <v>40.250596999999999</v>
      </c>
      <c r="O7443">
        <v>-111.658624</v>
      </c>
      <c r="P7443">
        <v>4541.7412549999999</v>
      </c>
      <c r="Q7443">
        <v>403</v>
      </c>
      <c r="R7443">
        <v>0</v>
      </c>
    </row>
    <row r="7444" spans="1:18" x14ac:dyDescent="0.25">
      <c r="A7444">
        <v>6443</v>
      </c>
      <c r="B7444">
        <v>94</v>
      </c>
      <c r="C7444">
        <v>31603423</v>
      </c>
      <c r="D7444" t="s">
        <v>232</v>
      </c>
      <c r="E7444">
        <v>3.0779999999999998</v>
      </c>
      <c r="F7444" t="s">
        <v>19</v>
      </c>
      <c r="G7444" t="s">
        <v>20</v>
      </c>
      <c r="H7444" t="s">
        <v>21</v>
      </c>
      <c r="I7444" t="s">
        <v>20</v>
      </c>
      <c r="J7444" t="s">
        <v>20</v>
      </c>
      <c r="K7444" t="s">
        <v>31</v>
      </c>
      <c r="L7444" t="s">
        <v>209</v>
      </c>
      <c r="M7444" t="s">
        <v>131</v>
      </c>
      <c r="N7444">
        <v>40.682841000000003</v>
      </c>
      <c r="O7444">
        <v>-111.46331600000001</v>
      </c>
      <c r="P7444">
        <v>6568.4570839999997</v>
      </c>
      <c r="Q7444">
        <v>1279</v>
      </c>
      <c r="R7444">
        <v>0</v>
      </c>
    </row>
    <row r="7445" spans="1:18" x14ac:dyDescent="0.25">
      <c r="A7445">
        <v>6444</v>
      </c>
      <c r="B7445">
        <v>94</v>
      </c>
      <c r="C7445">
        <v>31385534</v>
      </c>
      <c r="D7445" t="s">
        <v>184</v>
      </c>
      <c r="E7445">
        <v>3.0790000000000002</v>
      </c>
      <c r="F7445" t="s">
        <v>21</v>
      </c>
      <c r="G7445" t="s">
        <v>26</v>
      </c>
      <c r="H7445" t="s">
        <v>21</v>
      </c>
      <c r="I7445" t="s">
        <v>20</v>
      </c>
      <c r="J7445" t="s">
        <v>20</v>
      </c>
      <c r="K7445" t="s">
        <v>27</v>
      </c>
      <c r="L7445" t="s">
        <v>54</v>
      </c>
      <c r="M7445" t="s">
        <v>55</v>
      </c>
      <c r="N7445">
        <v>37.689248999999997</v>
      </c>
      <c r="O7445">
        <v>-113.06193399999999</v>
      </c>
      <c r="P7445">
        <v>5713.1088360000003</v>
      </c>
      <c r="Q7445">
        <v>1410</v>
      </c>
      <c r="R7445">
        <v>0</v>
      </c>
    </row>
    <row r="7446" spans="1:18" x14ac:dyDescent="0.25">
      <c r="A7446">
        <v>6445</v>
      </c>
      <c r="B7446">
        <v>94</v>
      </c>
      <c r="C7446">
        <v>558912</v>
      </c>
      <c r="D7446" t="s">
        <v>115</v>
      </c>
      <c r="E7446">
        <v>3.081</v>
      </c>
      <c r="F7446" t="s">
        <v>21</v>
      </c>
      <c r="G7446" t="s">
        <v>26</v>
      </c>
      <c r="H7446" t="s">
        <v>21</v>
      </c>
      <c r="I7446" t="s">
        <v>20</v>
      </c>
      <c r="J7446" t="s">
        <v>20</v>
      </c>
      <c r="K7446" t="s">
        <v>31</v>
      </c>
      <c r="L7446" t="s">
        <v>48</v>
      </c>
      <c r="M7446" t="s">
        <v>70</v>
      </c>
      <c r="N7446">
        <v>40.653038000000002</v>
      </c>
      <c r="O7446">
        <v>-112.01836400000001</v>
      </c>
      <c r="P7446">
        <v>4666.8177489999998</v>
      </c>
      <c r="Q7446">
        <v>1437</v>
      </c>
      <c r="R7446">
        <v>0</v>
      </c>
    </row>
    <row r="7447" spans="1:18" x14ac:dyDescent="0.25">
      <c r="A7447">
        <v>6446</v>
      </c>
      <c r="B7447">
        <v>94</v>
      </c>
      <c r="C7447">
        <v>31388409</v>
      </c>
      <c r="D7447" t="s">
        <v>364</v>
      </c>
      <c r="E7447">
        <v>3.081</v>
      </c>
      <c r="F7447" t="s">
        <v>21</v>
      </c>
      <c r="G7447" t="s">
        <v>26</v>
      </c>
      <c r="H7447" t="s">
        <v>21</v>
      </c>
      <c r="I7447" t="s">
        <v>20</v>
      </c>
      <c r="J7447" t="s">
        <v>20</v>
      </c>
      <c r="K7447" t="s">
        <v>22</v>
      </c>
      <c r="L7447" t="s">
        <v>198</v>
      </c>
      <c r="M7447" t="s">
        <v>85</v>
      </c>
      <c r="N7447">
        <v>40.089278999999998</v>
      </c>
      <c r="O7447">
        <v>-111.730946</v>
      </c>
      <c r="P7447">
        <v>4469.6056189999999</v>
      </c>
      <c r="Q7447">
        <v>1401</v>
      </c>
      <c r="R7447">
        <v>0</v>
      </c>
    </row>
    <row r="7448" spans="1:18" x14ac:dyDescent="0.25">
      <c r="A7448">
        <v>6447</v>
      </c>
      <c r="B7448">
        <v>94</v>
      </c>
      <c r="C7448">
        <v>1139832</v>
      </c>
      <c r="D7448" t="s">
        <v>56</v>
      </c>
      <c r="E7448">
        <v>3.0819999999999999</v>
      </c>
      <c r="F7448" t="s">
        <v>19</v>
      </c>
      <c r="G7448" t="s">
        <v>20</v>
      </c>
      <c r="H7448" t="s">
        <v>19</v>
      </c>
      <c r="I7448">
        <v>108</v>
      </c>
      <c r="J7448" t="s">
        <v>20</v>
      </c>
      <c r="K7448" t="s">
        <v>41</v>
      </c>
      <c r="L7448" t="s">
        <v>57</v>
      </c>
      <c r="M7448" t="s">
        <v>58</v>
      </c>
      <c r="N7448">
        <v>41.161582000000003</v>
      </c>
      <c r="O7448">
        <v>-112.06446099999999</v>
      </c>
      <c r="P7448">
        <v>4251.623568</v>
      </c>
      <c r="Q7448">
        <v>1459</v>
      </c>
      <c r="R7448">
        <v>0</v>
      </c>
    </row>
    <row r="7449" spans="1:18" x14ac:dyDescent="0.25">
      <c r="A7449">
        <v>6448</v>
      </c>
      <c r="B7449">
        <v>94</v>
      </c>
      <c r="C7449">
        <v>1114577</v>
      </c>
      <c r="D7449" t="s">
        <v>101</v>
      </c>
      <c r="E7449">
        <v>3.0819999999999999</v>
      </c>
      <c r="F7449" t="s">
        <v>21</v>
      </c>
      <c r="G7449" t="s">
        <v>26</v>
      </c>
      <c r="H7449" t="s">
        <v>21</v>
      </c>
      <c r="I7449" t="s">
        <v>20</v>
      </c>
      <c r="J7449" t="s">
        <v>20</v>
      </c>
      <c r="K7449" t="s">
        <v>41</v>
      </c>
      <c r="L7449" t="s">
        <v>57</v>
      </c>
      <c r="M7449" t="s">
        <v>58</v>
      </c>
      <c r="N7449">
        <v>41.118091</v>
      </c>
      <c r="O7449">
        <v>-112.053523</v>
      </c>
      <c r="P7449">
        <v>4333.7633900000001</v>
      </c>
      <c r="Q7449">
        <v>328</v>
      </c>
      <c r="R7449">
        <v>0</v>
      </c>
    </row>
    <row r="7450" spans="1:18" x14ac:dyDescent="0.25">
      <c r="A7450">
        <v>6449</v>
      </c>
      <c r="B7450">
        <v>94</v>
      </c>
      <c r="C7450" t="s">
        <v>878</v>
      </c>
      <c r="D7450" t="s">
        <v>199</v>
      </c>
      <c r="E7450">
        <v>3.0830000000000002</v>
      </c>
      <c r="F7450" t="s">
        <v>21</v>
      </c>
      <c r="G7450" t="s">
        <v>20</v>
      </c>
      <c r="H7450" t="s">
        <v>21</v>
      </c>
      <c r="I7450" t="s">
        <v>20</v>
      </c>
      <c r="J7450" t="s">
        <v>20</v>
      </c>
      <c r="K7450" t="s">
        <v>27</v>
      </c>
      <c r="L7450" t="s">
        <v>103</v>
      </c>
      <c r="M7450" t="s">
        <v>200</v>
      </c>
      <c r="N7450">
        <v>38.282156000000001</v>
      </c>
      <c r="O7450">
        <v>-112.588553</v>
      </c>
      <c r="P7450">
        <v>6057.8692330000003</v>
      </c>
      <c r="Q7450">
        <v>341</v>
      </c>
      <c r="R7450">
        <v>0</v>
      </c>
    </row>
    <row r="7451" spans="1:18" x14ac:dyDescent="0.25">
      <c r="A7451">
        <v>6450</v>
      </c>
      <c r="B7451">
        <v>94</v>
      </c>
      <c r="C7451">
        <v>3396064</v>
      </c>
      <c r="D7451" t="s">
        <v>86</v>
      </c>
      <c r="E7451">
        <v>3.0830000000000002</v>
      </c>
      <c r="F7451" t="s">
        <v>21</v>
      </c>
      <c r="G7451" t="s">
        <v>26</v>
      </c>
      <c r="H7451" t="s">
        <v>21</v>
      </c>
      <c r="I7451" t="s">
        <v>20</v>
      </c>
      <c r="J7451" t="s">
        <v>20</v>
      </c>
      <c r="K7451" t="s">
        <v>41</v>
      </c>
      <c r="L7451" t="s">
        <v>87</v>
      </c>
      <c r="M7451" t="s">
        <v>58</v>
      </c>
      <c r="N7451">
        <v>41.038184999999999</v>
      </c>
      <c r="O7451">
        <v>-111.9509</v>
      </c>
      <c r="P7451">
        <v>4256.0901000000003</v>
      </c>
      <c r="Q7451">
        <v>258</v>
      </c>
      <c r="R7451">
        <v>0</v>
      </c>
    </row>
    <row r="7452" spans="1:18" x14ac:dyDescent="0.25">
      <c r="A7452">
        <v>6451</v>
      </c>
      <c r="B7452">
        <v>94</v>
      </c>
      <c r="C7452">
        <v>1739241</v>
      </c>
      <c r="D7452" t="s">
        <v>197</v>
      </c>
      <c r="E7452">
        <v>3.0870000000000002</v>
      </c>
      <c r="F7452" t="s">
        <v>21</v>
      </c>
      <c r="G7452" t="s">
        <v>26</v>
      </c>
      <c r="H7452" t="s">
        <v>21</v>
      </c>
      <c r="I7452" t="s">
        <v>20</v>
      </c>
      <c r="J7452" t="s">
        <v>20</v>
      </c>
      <c r="K7452" t="s">
        <v>22</v>
      </c>
      <c r="L7452" t="s">
        <v>198</v>
      </c>
      <c r="M7452" t="s">
        <v>125</v>
      </c>
      <c r="N7452">
        <v>40.004204000000001</v>
      </c>
      <c r="O7452">
        <v>-111.812477</v>
      </c>
      <c r="P7452">
        <v>4729.5982130000002</v>
      </c>
      <c r="Q7452">
        <v>1416</v>
      </c>
      <c r="R7452">
        <v>0</v>
      </c>
    </row>
    <row r="7453" spans="1:18" x14ac:dyDescent="0.25">
      <c r="A7453">
        <v>6452</v>
      </c>
      <c r="B7453">
        <v>94</v>
      </c>
      <c r="C7453" t="e">
        <f>-IoRWKXpI4mOunr8wGS5mV</f>
        <v>#NAME?</v>
      </c>
      <c r="D7453" t="s">
        <v>272</v>
      </c>
      <c r="E7453">
        <v>330.959</v>
      </c>
      <c r="F7453" t="s">
        <v>21</v>
      </c>
      <c r="G7453" t="s">
        <v>26</v>
      </c>
      <c r="H7453" t="s">
        <v>21</v>
      </c>
      <c r="I7453" t="s">
        <v>20</v>
      </c>
      <c r="J7453" t="s">
        <v>20</v>
      </c>
      <c r="K7453" t="s">
        <v>22</v>
      </c>
      <c r="L7453" t="s">
        <v>23</v>
      </c>
      <c r="M7453" t="s">
        <v>125</v>
      </c>
      <c r="N7453">
        <v>40.200487000000003</v>
      </c>
      <c r="O7453">
        <v>-111.620215</v>
      </c>
      <c r="P7453">
        <v>4502.7082389999996</v>
      </c>
      <c r="Q7453">
        <v>1384</v>
      </c>
      <c r="R7453">
        <v>0</v>
      </c>
    </row>
    <row r="7454" spans="1:18" x14ac:dyDescent="0.25">
      <c r="A7454">
        <v>6453</v>
      </c>
      <c r="B7454">
        <v>94</v>
      </c>
      <c r="C7454" t="s">
        <v>879</v>
      </c>
      <c r="D7454" t="s">
        <v>272</v>
      </c>
      <c r="E7454">
        <v>331.09199999999998</v>
      </c>
      <c r="F7454" t="s">
        <v>21</v>
      </c>
      <c r="G7454" t="s">
        <v>26</v>
      </c>
      <c r="H7454" t="s">
        <v>21</v>
      </c>
      <c r="I7454" t="s">
        <v>20</v>
      </c>
      <c r="J7454" t="s">
        <v>20</v>
      </c>
      <c r="K7454" t="s">
        <v>22</v>
      </c>
      <c r="L7454" t="s">
        <v>23</v>
      </c>
      <c r="M7454" t="s">
        <v>125</v>
      </c>
      <c r="N7454">
        <v>40.201889999999999</v>
      </c>
      <c r="O7454">
        <v>-111.621858</v>
      </c>
      <c r="P7454">
        <v>4507.591109</v>
      </c>
      <c r="Q7454">
        <v>1384</v>
      </c>
      <c r="R7454">
        <v>0</v>
      </c>
    </row>
    <row r="7455" spans="1:18" x14ac:dyDescent="0.25">
      <c r="A7455">
        <v>6454</v>
      </c>
      <c r="B7455">
        <v>94</v>
      </c>
      <c r="C7455" t="e">
        <f>-IoRX8fRHZyAX0JbJzsArF</f>
        <v>#NAME?</v>
      </c>
      <c r="D7455" t="s">
        <v>272</v>
      </c>
      <c r="E7455">
        <v>331.15300000000002</v>
      </c>
      <c r="F7455" t="s">
        <v>21</v>
      </c>
      <c r="G7455" t="s">
        <v>20</v>
      </c>
      <c r="H7455" t="s">
        <v>21</v>
      </c>
      <c r="I7455" t="s">
        <v>20</v>
      </c>
      <c r="J7455" t="s">
        <v>20</v>
      </c>
      <c r="K7455" t="s">
        <v>22</v>
      </c>
      <c r="L7455" t="s">
        <v>23</v>
      </c>
      <c r="M7455" t="s">
        <v>125</v>
      </c>
      <c r="N7455">
        <v>40.202480000000001</v>
      </c>
      <c r="O7455">
        <v>-111.622714</v>
      </c>
      <c r="P7455">
        <v>4502.679819</v>
      </c>
      <c r="Q7455">
        <v>1384</v>
      </c>
      <c r="R7455">
        <v>0</v>
      </c>
    </row>
    <row r="7456" spans="1:18" x14ac:dyDescent="0.25">
      <c r="A7456">
        <v>6455</v>
      </c>
      <c r="B7456">
        <v>94</v>
      </c>
      <c r="C7456" t="e">
        <f>-IoRXI4_GLy2RzGBN2OYAV</f>
        <v>#NAME?</v>
      </c>
      <c r="D7456" t="s">
        <v>272</v>
      </c>
      <c r="E7456">
        <v>331.20699999999999</v>
      </c>
      <c r="F7456" t="s">
        <v>21</v>
      </c>
      <c r="G7456" t="s">
        <v>26</v>
      </c>
      <c r="H7456" t="s">
        <v>21</v>
      </c>
      <c r="I7456" t="s">
        <v>20</v>
      </c>
      <c r="J7456" t="s">
        <v>20</v>
      </c>
      <c r="K7456" t="s">
        <v>22</v>
      </c>
      <c r="L7456" t="s">
        <v>23</v>
      </c>
      <c r="M7456" t="s">
        <v>125</v>
      </c>
      <c r="N7456">
        <v>40.202992000000002</v>
      </c>
      <c r="O7456">
        <v>-111.623457</v>
      </c>
      <c r="P7456">
        <v>4500.2792849999996</v>
      </c>
      <c r="Q7456">
        <v>1384</v>
      </c>
      <c r="R7456">
        <v>0</v>
      </c>
    </row>
    <row r="7457" spans="1:18" x14ac:dyDescent="0.25">
      <c r="A7457">
        <v>6456</v>
      </c>
      <c r="B7457">
        <v>94</v>
      </c>
      <c r="C7457" t="e">
        <f>-IoRXfcfFamJAFLGmxzRCV</f>
        <v>#NAME?</v>
      </c>
      <c r="D7457" t="s">
        <v>272</v>
      </c>
      <c r="E7457">
        <v>331.29899999999998</v>
      </c>
      <c r="F7457" t="s">
        <v>21</v>
      </c>
      <c r="G7457" t="s">
        <v>26</v>
      </c>
      <c r="H7457" t="s">
        <v>21</v>
      </c>
      <c r="I7457" t="s">
        <v>20</v>
      </c>
      <c r="J7457" t="s">
        <v>20</v>
      </c>
      <c r="K7457" t="s">
        <v>22</v>
      </c>
      <c r="L7457" t="s">
        <v>23</v>
      </c>
      <c r="M7457" t="s">
        <v>125</v>
      </c>
      <c r="N7457">
        <v>40.203874999999996</v>
      </c>
      <c r="O7457">
        <v>-111.624741</v>
      </c>
      <c r="P7457">
        <v>4504.5049390000004</v>
      </c>
      <c r="Q7457">
        <v>1384</v>
      </c>
      <c r="R7457">
        <v>0</v>
      </c>
    </row>
    <row r="7458" spans="1:18" x14ac:dyDescent="0.25">
      <c r="A7458">
        <v>6457</v>
      </c>
      <c r="B7458">
        <v>94</v>
      </c>
      <c r="C7458" t="s">
        <v>880</v>
      </c>
      <c r="D7458" t="s">
        <v>272</v>
      </c>
      <c r="E7458">
        <v>331.42</v>
      </c>
      <c r="F7458" t="s">
        <v>21</v>
      </c>
      <c r="G7458" t="s">
        <v>26</v>
      </c>
      <c r="H7458" t="s">
        <v>21</v>
      </c>
      <c r="I7458" t="s">
        <v>20</v>
      </c>
      <c r="J7458" t="s">
        <v>20</v>
      </c>
      <c r="K7458" t="s">
        <v>22</v>
      </c>
      <c r="L7458" t="s">
        <v>23</v>
      </c>
      <c r="M7458" t="s">
        <v>125</v>
      </c>
      <c r="N7458">
        <v>40.205041999999999</v>
      </c>
      <c r="O7458">
        <v>-111.626437</v>
      </c>
      <c r="P7458">
        <v>4510.9676079999999</v>
      </c>
      <c r="Q7458">
        <v>1384</v>
      </c>
      <c r="R7458">
        <v>0</v>
      </c>
    </row>
    <row r="7459" spans="1:18" x14ac:dyDescent="0.25">
      <c r="A7459">
        <v>6458</v>
      </c>
      <c r="B7459">
        <v>94</v>
      </c>
      <c r="C7459" t="e">
        <f>-IoRYtiQGr5zgEfjf9t8TV</f>
        <v>#NAME?</v>
      </c>
      <c r="D7459" t="s">
        <v>272</v>
      </c>
      <c r="E7459">
        <v>331.61700000000002</v>
      </c>
      <c r="F7459" t="s">
        <v>21</v>
      </c>
      <c r="G7459" t="s">
        <v>26</v>
      </c>
      <c r="H7459" t="s">
        <v>21</v>
      </c>
      <c r="I7459" t="s">
        <v>20</v>
      </c>
      <c r="J7459" t="s">
        <v>20</v>
      </c>
      <c r="K7459" t="s">
        <v>22</v>
      </c>
      <c r="L7459" t="s">
        <v>23</v>
      </c>
      <c r="M7459" t="s">
        <v>125</v>
      </c>
      <c r="N7459">
        <v>40.206994999999999</v>
      </c>
      <c r="O7459">
        <v>-111.629036</v>
      </c>
      <c r="P7459">
        <v>4491.1228529999998</v>
      </c>
      <c r="Q7459">
        <v>1384</v>
      </c>
      <c r="R7459">
        <v>0</v>
      </c>
    </row>
    <row r="7460" spans="1:18" x14ac:dyDescent="0.25">
      <c r="A7460">
        <v>6459</v>
      </c>
      <c r="B7460">
        <v>94</v>
      </c>
      <c r="C7460" t="e">
        <f>-IoR_UAvHOHl9sRkLol_7k</f>
        <v>#NAME?</v>
      </c>
      <c r="D7460" t="s">
        <v>272</v>
      </c>
      <c r="E7460">
        <v>331.68700000000001</v>
      </c>
      <c r="F7460" t="s">
        <v>19</v>
      </c>
      <c r="G7460" t="s">
        <v>20</v>
      </c>
      <c r="H7460" t="s">
        <v>21</v>
      </c>
      <c r="I7460" t="s">
        <v>20</v>
      </c>
      <c r="J7460" t="s">
        <v>20</v>
      </c>
      <c r="K7460" t="s">
        <v>22</v>
      </c>
      <c r="L7460" t="s">
        <v>23</v>
      </c>
      <c r="M7460" t="s">
        <v>125</v>
      </c>
      <c r="N7460">
        <v>40.207808</v>
      </c>
      <c r="O7460">
        <v>-111.6298</v>
      </c>
      <c r="P7460">
        <v>4482.2900749999999</v>
      </c>
      <c r="Q7460">
        <v>1384</v>
      </c>
      <c r="R7460">
        <v>0</v>
      </c>
    </row>
    <row r="7461" spans="1:18" x14ac:dyDescent="0.25">
      <c r="A7461">
        <v>6460</v>
      </c>
      <c r="B7461">
        <v>94</v>
      </c>
      <c r="C7461">
        <v>31574719</v>
      </c>
      <c r="D7461" t="s">
        <v>288</v>
      </c>
      <c r="E7461">
        <v>363.78199999999998</v>
      </c>
      <c r="F7461" t="s">
        <v>21</v>
      </c>
      <c r="G7461" t="s">
        <v>26</v>
      </c>
      <c r="H7461" t="s">
        <v>21</v>
      </c>
      <c r="I7461" t="s">
        <v>20</v>
      </c>
      <c r="J7461" t="s">
        <v>20</v>
      </c>
      <c r="K7461" t="s">
        <v>22</v>
      </c>
      <c r="L7461" t="s">
        <v>234</v>
      </c>
      <c r="M7461" t="s">
        <v>98</v>
      </c>
      <c r="N7461">
        <v>40.593013999999997</v>
      </c>
      <c r="O7461">
        <v>-109.467726</v>
      </c>
      <c r="P7461">
        <v>5634.697392</v>
      </c>
      <c r="Q7461">
        <v>350</v>
      </c>
      <c r="R7461">
        <v>0</v>
      </c>
    </row>
    <row r="7462" spans="1:18" x14ac:dyDescent="0.25">
      <c r="A7462">
        <v>6461</v>
      </c>
      <c r="B7462">
        <v>94</v>
      </c>
      <c r="C7462" t="s">
        <v>881</v>
      </c>
      <c r="D7462" t="s">
        <v>272</v>
      </c>
      <c r="E7462">
        <v>363.786</v>
      </c>
      <c r="F7462" t="s">
        <v>19</v>
      </c>
      <c r="G7462" t="s">
        <v>20</v>
      </c>
      <c r="H7462" t="s">
        <v>19</v>
      </c>
      <c r="I7462">
        <v>175</v>
      </c>
      <c r="J7462" t="s">
        <v>20</v>
      </c>
      <c r="K7462" t="s">
        <v>31</v>
      </c>
      <c r="L7462" t="s">
        <v>89</v>
      </c>
      <c r="M7462" t="s">
        <v>49</v>
      </c>
      <c r="N7462">
        <v>40.544311999999998</v>
      </c>
      <c r="O7462">
        <v>-111.891154</v>
      </c>
      <c r="P7462">
        <v>4401.4626029999999</v>
      </c>
      <c r="Q7462">
        <v>1384</v>
      </c>
      <c r="R7462">
        <v>0</v>
      </c>
    </row>
    <row r="7463" spans="1:18" x14ac:dyDescent="0.25">
      <c r="A7463">
        <v>6462</v>
      </c>
      <c r="B7463">
        <v>94</v>
      </c>
      <c r="C7463" t="e">
        <f>-IorRj1sIp54sTabGcLKWV</f>
        <v>#NAME?</v>
      </c>
      <c r="D7463" t="s">
        <v>272</v>
      </c>
      <c r="E7463">
        <v>363.99299999999999</v>
      </c>
      <c r="F7463" t="s">
        <v>19</v>
      </c>
      <c r="G7463" t="s">
        <v>20</v>
      </c>
      <c r="H7463" t="s">
        <v>21</v>
      </c>
      <c r="I7463" t="s">
        <v>20</v>
      </c>
      <c r="J7463" t="s">
        <v>20</v>
      </c>
      <c r="K7463" t="s">
        <v>31</v>
      </c>
      <c r="L7463" t="s">
        <v>89</v>
      </c>
      <c r="M7463" t="s">
        <v>49</v>
      </c>
      <c r="N7463">
        <v>40.547341000000003</v>
      </c>
      <c r="O7463">
        <v>-111.89103299999999</v>
      </c>
      <c r="P7463">
        <v>4388.5475779999997</v>
      </c>
      <c r="Q7463">
        <v>1384</v>
      </c>
      <c r="R7463">
        <v>0</v>
      </c>
    </row>
    <row r="7464" spans="1:18" x14ac:dyDescent="0.25">
      <c r="A7464">
        <v>6463</v>
      </c>
      <c r="B7464">
        <v>94</v>
      </c>
      <c r="C7464">
        <v>875865</v>
      </c>
      <c r="D7464" t="s">
        <v>115</v>
      </c>
      <c r="E7464">
        <v>3.9870000000000001</v>
      </c>
      <c r="F7464" t="s">
        <v>21</v>
      </c>
      <c r="G7464" t="s">
        <v>26</v>
      </c>
      <c r="H7464" t="s">
        <v>21</v>
      </c>
      <c r="I7464" t="s">
        <v>20</v>
      </c>
      <c r="J7464" t="s">
        <v>20</v>
      </c>
      <c r="K7464" t="s">
        <v>31</v>
      </c>
      <c r="L7464" t="s">
        <v>48</v>
      </c>
      <c r="M7464" t="s">
        <v>70</v>
      </c>
      <c r="N7464">
        <v>40.652762000000003</v>
      </c>
      <c r="O7464">
        <v>-112.00118000000001</v>
      </c>
      <c r="P7464">
        <v>4551.5330169999997</v>
      </c>
      <c r="Q7464">
        <v>1437</v>
      </c>
      <c r="R7464">
        <v>0</v>
      </c>
    </row>
    <row r="7465" spans="1:18" x14ac:dyDescent="0.25">
      <c r="A7465">
        <v>6464</v>
      </c>
      <c r="B7465">
        <v>94</v>
      </c>
      <c r="C7465">
        <v>1144658</v>
      </c>
      <c r="D7465" t="s">
        <v>56</v>
      </c>
      <c r="E7465">
        <v>3.9889999999999999</v>
      </c>
      <c r="F7465" t="s">
        <v>21</v>
      </c>
      <c r="G7465" t="s">
        <v>26</v>
      </c>
      <c r="H7465" t="s">
        <v>21</v>
      </c>
      <c r="I7465" t="s">
        <v>20</v>
      </c>
      <c r="J7465" t="s">
        <v>20</v>
      </c>
      <c r="K7465" t="s">
        <v>41</v>
      </c>
      <c r="L7465" t="s">
        <v>57</v>
      </c>
      <c r="M7465" t="s">
        <v>58</v>
      </c>
      <c r="N7465">
        <v>41.161661000000002</v>
      </c>
      <c r="O7465">
        <v>-112.047151</v>
      </c>
      <c r="P7465">
        <v>4334.5950730000004</v>
      </c>
      <c r="Q7465">
        <v>1459</v>
      </c>
      <c r="R7465">
        <v>0</v>
      </c>
    </row>
    <row r="7466" spans="1:18" x14ac:dyDescent="0.25">
      <c r="A7466">
        <v>6465</v>
      </c>
      <c r="B7466">
        <v>94</v>
      </c>
      <c r="C7466">
        <v>542073</v>
      </c>
      <c r="D7466" t="s">
        <v>77</v>
      </c>
      <c r="E7466">
        <v>3.9929999999999999</v>
      </c>
      <c r="F7466" t="s">
        <v>19</v>
      </c>
      <c r="G7466" t="s">
        <v>20</v>
      </c>
      <c r="H7466" t="s">
        <v>19</v>
      </c>
      <c r="I7466">
        <v>171</v>
      </c>
      <c r="J7466" t="s">
        <v>20</v>
      </c>
      <c r="K7466" t="s">
        <v>31</v>
      </c>
      <c r="L7466" t="s">
        <v>78</v>
      </c>
      <c r="M7466" t="s">
        <v>79</v>
      </c>
      <c r="N7466">
        <v>40.696558000000003</v>
      </c>
      <c r="O7466">
        <v>-112.024862</v>
      </c>
      <c r="P7466">
        <v>4236.362341</v>
      </c>
      <c r="Q7466">
        <v>1436</v>
      </c>
      <c r="R7466">
        <v>0</v>
      </c>
    </row>
    <row r="7467" spans="1:18" x14ac:dyDescent="0.25">
      <c r="A7467">
        <v>6466</v>
      </c>
      <c r="B7467">
        <v>94</v>
      </c>
      <c r="C7467" t="s">
        <v>882</v>
      </c>
      <c r="D7467" t="s">
        <v>65</v>
      </c>
      <c r="E7467">
        <v>3.996</v>
      </c>
      <c r="F7467" t="s">
        <v>21</v>
      </c>
      <c r="G7467" t="s">
        <v>20</v>
      </c>
      <c r="H7467" t="s">
        <v>21</v>
      </c>
      <c r="I7467" t="s">
        <v>20</v>
      </c>
      <c r="J7467" t="s">
        <v>20</v>
      </c>
      <c r="K7467" t="s">
        <v>31</v>
      </c>
      <c r="L7467" t="s">
        <v>66</v>
      </c>
      <c r="M7467" t="s">
        <v>67</v>
      </c>
      <c r="N7467">
        <v>40.760347000000003</v>
      </c>
      <c r="O7467">
        <v>-111.862903</v>
      </c>
      <c r="P7467">
        <v>4344.4313499999998</v>
      </c>
      <c r="Q7467">
        <v>402</v>
      </c>
      <c r="R7467">
        <v>0</v>
      </c>
    </row>
    <row r="7468" spans="1:18" x14ac:dyDescent="0.25">
      <c r="A7468">
        <v>6467</v>
      </c>
      <c r="B7468">
        <v>94</v>
      </c>
      <c r="C7468">
        <v>1123825</v>
      </c>
      <c r="D7468" t="s">
        <v>101</v>
      </c>
      <c r="E7468">
        <v>3.9969999999999999</v>
      </c>
      <c r="F7468" t="s">
        <v>21</v>
      </c>
      <c r="G7468" t="s">
        <v>26</v>
      </c>
      <c r="H7468" t="s">
        <v>21</v>
      </c>
      <c r="I7468" t="s">
        <v>20</v>
      </c>
      <c r="J7468" t="s">
        <v>20</v>
      </c>
      <c r="K7468" t="s">
        <v>41</v>
      </c>
      <c r="L7468" t="s">
        <v>57</v>
      </c>
      <c r="M7468" t="s">
        <v>58</v>
      </c>
      <c r="N7468">
        <v>41.118065999999999</v>
      </c>
      <c r="O7468">
        <v>-112.035989</v>
      </c>
      <c r="P7468">
        <v>4421.5409149999996</v>
      </c>
      <c r="Q7468">
        <v>328</v>
      </c>
      <c r="R7468">
        <v>0</v>
      </c>
    </row>
    <row r="7469" spans="1:18" x14ac:dyDescent="0.25">
      <c r="A7469">
        <v>6468</v>
      </c>
      <c r="B7469">
        <v>94</v>
      </c>
      <c r="C7469">
        <v>31520203</v>
      </c>
      <c r="D7469" t="s">
        <v>231</v>
      </c>
      <c r="E7469">
        <v>3.9980000000000002</v>
      </c>
      <c r="F7469" t="s">
        <v>21</v>
      </c>
      <c r="G7469" t="s">
        <v>26</v>
      </c>
      <c r="H7469" t="s">
        <v>21</v>
      </c>
      <c r="I7469" t="s">
        <v>20</v>
      </c>
      <c r="J7469" t="s">
        <v>20</v>
      </c>
      <c r="K7469" t="s">
        <v>41</v>
      </c>
      <c r="L7469" t="s">
        <v>57</v>
      </c>
      <c r="M7469" t="s">
        <v>93</v>
      </c>
      <c r="N7469">
        <v>41.097028999999999</v>
      </c>
      <c r="O7469">
        <v>-112.008875</v>
      </c>
      <c r="P7469">
        <v>4420.4173609999998</v>
      </c>
      <c r="Q7469">
        <v>1409</v>
      </c>
      <c r="R7469">
        <v>0</v>
      </c>
    </row>
    <row r="7470" spans="1:18" x14ac:dyDescent="0.25">
      <c r="A7470">
        <v>6469</v>
      </c>
      <c r="B7470">
        <v>94</v>
      </c>
      <c r="C7470">
        <v>31193593</v>
      </c>
      <c r="D7470" t="s">
        <v>126</v>
      </c>
      <c r="E7470">
        <v>3.9990000000000001</v>
      </c>
      <c r="F7470" t="s">
        <v>21</v>
      </c>
      <c r="G7470" t="s">
        <v>26</v>
      </c>
      <c r="H7470" t="s">
        <v>21</v>
      </c>
      <c r="I7470" t="s">
        <v>20</v>
      </c>
      <c r="J7470" t="s">
        <v>20</v>
      </c>
      <c r="K7470" t="s">
        <v>41</v>
      </c>
      <c r="L7470" t="s">
        <v>57</v>
      </c>
      <c r="M7470" t="s">
        <v>93</v>
      </c>
      <c r="N7470">
        <v>41.248992999999999</v>
      </c>
      <c r="O7470">
        <v>-112.092562</v>
      </c>
      <c r="P7470">
        <v>4180.5758530000003</v>
      </c>
      <c r="Q7470">
        <v>1412</v>
      </c>
      <c r="R7470">
        <v>0</v>
      </c>
    </row>
    <row r="7471" spans="1:18" x14ac:dyDescent="0.25">
      <c r="A7471">
        <v>6470</v>
      </c>
      <c r="B7471">
        <v>94</v>
      </c>
      <c r="C7471" t="e">
        <f>-JO54NflFCy0-PpIstPv_V</f>
        <v>#NAME?</v>
      </c>
      <c r="D7471" t="s">
        <v>217</v>
      </c>
      <c r="E7471">
        <v>30</v>
      </c>
      <c r="F7471" t="s">
        <v>21</v>
      </c>
      <c r="G7471" t="s">
        <v>20</v>
      </c>
      <c r="H7471" t="s">
        <v>21</v>
      </c>
      <c r="I7471" t="s">
        <v>20</v>
      </c>
      <c r="J7471" t="s">
        <v>20</v>
      </c>
      <c r="K7471" t="s">
        <v>27</v>
      </c>
      <c r="L7471" t="s">
        <v>162</v>
      </c>
      <c r="M7471" t="s">
        <v>163</v>
      </c>
      <c r="N7471">
        <v>37.459291</v>
      </c>
      <c r="O7471">
        <v>-113.630112</v>
      </c>
      <c r="P7471">
        <v>5671.3152309999996</v>
      </c>
      <c r="Q7471">
        <v>304</v>
      </c>
      <c r="R7471">
        <v>0</v>
      </c>
    </row>
    <row r="7472" spans="1:18" x14ac:dyDescent="0.25">
      <c r="A7472">
        <v>6471</v>
      </c>
      <c r="B7472">
        <v>94</v>
      </c>
      <c r="C7472">
        <v>31617516</v>
      </c>
      <c r="D7472" t="s">
        <v>50</v>
      </c>
      <c r="E7472">
        <v>30.004999999999999</v>
      </c>
      <c r="F7472" t="s">
        <v>21</v>
      </c>
      <c r="G7472" t="s">
        <v>26</v>
      </c>
      <c r="H7472" t="s">
        <v>21</v>
      </c>
      <c r="I7472" t="s">
        <v>20</v>
      </c>
      <c r="J7472" t="s">
        <v>20</v>
      </c>
      <c r="K7472" t="s">
        <v>27</v>
      </c>
      <c r="L7472" t="s">
        <v>247</v>
      </c>
      <c r="M7472" t="s">
        <v>52</v>
      </c>
      <c r="N7472">
        <v>37.669114999999998</v>
      </c>
      <c r="O7472">
        <v>-112.66871999999999</v>
      </c>
      <c r="P7472">
        <v>8443.5825239999995</v>
      </c>
      <c r="Q7472">
        <v>1418</v>
      </c>
      <c r="R7472">
        <v>0</v>
      </c>
    </row>
    <row r="7473" spans="1:18" x14ac:dyDescent="0.25">
      <c r="A7473">
        <v>6472</v>
      </c>
      <c r="B7473">
        <v>94</v>
      </c>
      <c r="C7473">
        <v>31428416</v>
      </c>
      <c r="D7473" t="s">
        <v>221</v>
      </c>
      <c r="E7473">
        <v>30.006</v>
      </c>
      <c r="F7473" t="s">
        <v>21</v>
      </c>
      <c r="G7473" t="s">
        <v>26</v>
      </c>
      <c r="H7473" t="s">
        <v>21</v>
      </c>
      <c r="I7473" t="s">
        <v>20</v>
      </c>
      <c r="J7473" t="s">
        <v>20</v>
      </c>
      <c r="K7473" t="s">
        <v>22</v>
      </c>
      <c r="L7473" t="s">
        <v>155</v>
      </c>
      <c r="M7473" t="s">
        <v>174</v>
      </c>
      <c r="N7473">
        <v>39.558962000000001</v>
      </c>
      <c r="O7473">
        <v>-111.863226</v>
      </c>
      <c r="P7473">
        <v>5254.5505080000003</v>
      </c>
      <c r="Q7473">
        <v>1342</v>
      </c>
      <c r="R7473">
        <v>0</v>
      </c>
    </row>
    <row r="7474" spans="1:18" x14ac:dyDescent="0.25">
      <c r="A7474">
        <v>6473</v>
      </c>
      <c r="B7474">
        <v>94</v>
      </c>
      <c r="C7474" t="s">
        <v>883</v>
      </c>
      <c r="D7474" t="s">
        <v>241</v>
      </c>
      <c r="E7474">
        <v>30.07</v>
      </c>
      <c r="F7474" t="s">
        <v>21</v>
      </c>
      <c r="G7474" t="s">
        <v>26</v>
      </c>
      <c r="H7474" t="s">
        <v>21</v>
      </c>
      <c r="I7474" t="s">
        <v>20</v>
      </c>
      <c r="J7474" t="s">
        <v>20</v>
      </c>
      <c r="K7474" t="s">
        <v>27</v>
      </c>
      <c r="L7474" t="s">
        <v>111</v>
      </c>
      <c r="M7474" t="s">
        <v>243</v>
      </c>
      <c r="N7474">
        <v>39.128273</v>
      </c>
      <c r="O7474">
        <v>-111.103775</v>
      </c>
      <c r="P7474">
        <v>5964.6978710000003</v>
      </c>
      <c r="Q7474">
        <v>1327</v>
      </c>
      <c r="R7474">
        <v>0</v>
      </c>
    </row>
    <row r="7475" spans="1:18" x14ac:dyDescent="0.25">
      <c r="A7475">
        <v>6474</v>
      </c>
      <c r="B7475">
        <v>94</v>
      </c>
      <c r="C7475">
        <v>31288612</v>
      </c>
      <c r="D7475" t="s">
        <v>278</v>
      </c>
      <c r="E7475">
        <v>30.073</v>
      </c>
      <c r="F7475" t="s">
        <v>21</v>
      </c>
      <c r="G7475" t="s">
        <v>26</v>
      </c>
      <c r="H7475" t="s">
        <v>21</v>
      </c>
      <c r="I7475" t="s">
        <v>20</v>
      </c>
      <c r="J7475" t="s">
        <v>20</v>
      </c>
      <c r="K7475" t="s">
        <v>27</v>
      </c>
      <c r="L7475" t="s">
        <v>279</v>
      </c>
      <c r="M7475" t="s">
        <v>280</v>
      </c>
      <c r="N7475">
        <v>37.522620000000003</v>
      </c>
      <c r="O7475">
        <v>-112.66812899999999</v>
      </c>
      <c r="P7475">
        <v>8366.5051999999996</v>
      </c>
      <c r="Q7475">
        <v>1330</v>
      </c>
      <c r="R7475">
        <v>0</v>
      </c>
    </row>
    <row r="7476" spans="1:18" x14ac:dyDescent="0.25">
      <c r="A7476">
        <v>6475</v>
      </c>
      <c r="B7476">
        <v>94</v>
      </c>
      <c r="C7476">
        <v>31332002</v>
      </c>
      <c r="D7476" t="s">
        <v>303</v>
      </c>
      <c r="E7476">
        <v>30.074000000000002</v>
      </c>
      <c r="F7476" t="s">
        <v>21</v>
      </c>
      <c r="G7476" t="s">
        <v>20</v>
      </c>
      <c r="H7476" t="s">
        <v>21</v>
      </c>
      <c r="I7476" t="s">
        <v>20</v>
      </c>
      <c r="J7476" t="s">
        <v>20</v>
      </c>
      <c r="K7476" t="s">
        <v>27</v>
      </c>
      <c r="L7476" t="s">
        <v>72</v>
      </c>
      <c r="M7476" t="s">
        <v>73</v>
      </c>
      <c r="N7476">
        <v>37.170555999999998</v>
      </c>
      <c r="O7476">
        <v>-113.013457</v>
      </c>
      <c r="P7476">
        <v>3741.1429039999998</v>
      </c>
      <c r="Q7476">
        <v>1326</v>
      </c>
      <c r="R7476">
        <v>0</v>
      </c>
    </row>
    <row r="7477" spans="1:18" x14ac:dyDescent="0.25">
      <c r="A7477">
        <v>6476</v>
      </c>
      <c r="B7477">
        <v>94</v>
      </c>
      <c r="C7477">
        <v>31685405</v>
      </c>
      <c r="D7477" t="s">
        <v>217</v>
      </c>
      <c r="E7477">
        <v>30.087</v>
      </c>
      <c r="F7477" t="s">
        <v>21</v>
      </c>
      <c r="G7477" t="s">
        <v>20</v>
      </c>
      <c r="H7477" t="s">
        <v>21</v>
      </c>
      <c r="I7477" t="s">
        <v>20</v>
      </c>
      <c r="J7477" t="s">
        <v>20</v>
      </c>
      <c r="K7477" t="s">
        <v>27</v>
      </c>
      <c r="L7477" t="s">
        <v>162</v>
      </c>
      <c r="M7477" t="s">
        <v>163</v>
      </c>
      <c r="N7477">
        <v>37.460205000000002</v>
      </c>
      <c r="O7477">
        <v>-113.631193</v>
      </c>
      <c r="P7477">
        <v>5682.4952210000001</v>
      </c>
      <c r="Q7477">
        <v>304</v>
      </c>
      <c r="R7477">
        <v>0</v>
      </c>
    </row>
    <row r="7478" spans="1:18" x14ac:dyDescent="0.25">
      <c r="A7478">
        <v>6477</v>
      </c>
      <c r="B7478">
        <v>94</v>
      </c>
      <c r="C7478" t="e">
        <f>-JP80Wb4GFawoFH58NpiFF</f>
        <v>#NAME?</v>
      </c>
      <c r="D7478" t="s">
        <v>312</v>
      </c>
      <c r="E7478">
        <v>30.099</v>
      </c>
      <c r="F7478" t="s">
        <v>21</v>
      </c>
      <c r="G7478" t="s">
        <v>26</v>
      </c>
      <c r="H7478" t="s">
        <v>21</v>
      </c>
      <c r="I7478" t="s">
        <v>20</v>
      </c>
      <c r="J7478" t="s">
        <v>20</v>
      </c>
      <c r="K7478" t="s">
        <v>27</v>
      </c>
      <c r="L7478" t="s">
        <v>143</v>
      </c>
      <c r="M7478" t="s">
        <v>313</v>
      </c>
      <c r="N7478">
        <v>38.803629000000001</v>
      </c>
      <c r="O7478">
        <v>-112.88530299999999</v>
      </c>
      <c r="P7478">
        <v>4877.6739200000002</v>
      </c>
      <c r="Q7478">
        <v>255</v>
      </c>
      <c r="R7478">
        <v>0</v>
      </c>
    </row>
    <row r="7479" spans="1:18" x14ac:dyDescent="0.25">
      <c r="A7479">
        <v>6478</v>
      </c>
      <c r="B7479">
        <v>94</v>
      </c>
      <c r="C7479">
        <v>31324467</v>
      </c>
      <c r="D7479" t="s">
        <v>278</v>
      </c>
      <c r="E7479">
        <v>33.518000000000001</v>
      </c>
      <c r="F7479" t="s">
        <v>21</v>
      </c>
      <c r="G7479" t="s">
        <v>26</v>
      </c>
      <c r="H7479" t="s">
        <v>21</v>
      </c>
      <c r="I7479" t="s">
        <v>20</v>
      </c>
      <c r="J7479" t="s">
        <v>20</v>
      </c>
      <c r="K7479" t="s">
        <v>27</v>
      </c>
      <c r="L7479" t="s">
        <v>279</v>
      </c>
      <c r="M7479" t="s">
        <v>280</v>
      </c>
      <c r="N7479">
        <v>37.497729999999997</v>
      </c>
      <c r="O7479">
        <v>-112.621323</v>
      </c>
      <c r="P7479">
        <v>8085.4304140000004</v>
      </c>
      <c r="Q7479">
        <v>1330</v>
      </c>
      <c r="R7479">
        <v>0</v>
      </c>
    </row>
    <row r="7480" spans="1:18" x14ac:dyDescent="0.25">
      <c r="A7480">
        <v>6479</v>
      </c>
      <c r="B7480">
        <v>94</v>
      </c>
      <c r="C7480">
        <v>31574848</v>
      </c>
      <c r="D7480" t="s">
        <v>172</v>
      </c>
      <c r="E7480">
        <v>33.526000000000003</v>
      </c>
      <c r="F7480" t="s">
        <v>21</v>
      </c>
      <c r="G7480" t="s">
        <v>26</v>
      </c>
      <c r="H7480" t="s">
        <v>21</v>
      </c>
      <c r="I7480" t="s">
        <v>20</v>
      </c>
      <c r="J7480" t="s">
        <v>20</v>
      </c>
      <c r="K7480" t="s">
        <v>22</v>
      </c>
      <c r="L7480" t="s">
        <v>155</v>
      </c>
      <c r="M7480" t="s">
        <v>174</v>
      </c>
      <c r="N7480">
        <v>39.710006</v>
      </c>
      <c r="O7480">
        <v>-111.83046400000001</v>
      </c>
      <c r="P7480">
        <v>5095.3063599999996</v>
      </c>
      <c r="Q7480">
        <v>1411</v>
      </c>
      <c r="R7480">
        <v>0</v>
      </c>
    </row>
    <row r="7481" spans="1:18" x14ac:dyDescent="0.25">
      <c r="A7481">
        <v>6480</v>
      </c>
      <c r="B7481">
        <v>94</v>
      </c>
      <c r="C7481">
        <v>31415934</v>
      </c>
      <c r="D7481" t="s">
        <v>221</v>
      </c>
      <c r="E7481">
        <v>11.064</v>
      </c>
      <c r="F7481" t="s">
        <v>21</v>
      </c>
      <c r="G7481" t="s">
        <v>20</v>
      </c>
      <c r="H7481" t="s">
        <v>21</v>
      </c>
      <c r="I7481" t="s">
        <v>20</v>
      </c>
      <c r="J7481" t="s">
        <v>20</v>
      </c>
      <c r="K7481" t="s">
        <v>27</v>
      </c>
      <c r="L7481" t="s">
        <v>350</v>
      </c>
      <c r="M7481" t="s">
        <v>174</v>
      </c>
      <c r="N7481">
        <v>39.302045999999997</v>
      </c>
      <c r="O7481">
        <v>-111.89450100000001</v>
      </c>
      <c r="P7481">
        <v>5036.1148860000003</v>
      </c>
      <c r="Q7481">
        <v>1342</v>
      </c>
      <c r="R7481">
        <v>0</v>
      </c>
    </row>
    <row r="7482" spans="1:18" x14ac:dyDescent="0.25">
      <c r="A7482">
        <v>6481</v>
      </c>
      <c r="B7482">
        <v>94</v>
      </c>
      <c r="C7482">
        <v>31391299</v>
      </c>
      <c r="D7482" t="s">
        <v>124</v>
      </c>
      <c r="E7482">
        <v>11.067</v>
      </c>
      <c r="F7482" t="s">
        <v>21</v>
      </c>
      <c r="G7482" t="s">
        <v>26</v>
      </c>
      <c r="H7482" t="s">
        <v>21</v>
      </c>
      <c r="I7482" t="s">
        <v>20</v>
      </c>
      <c r="J7482" t="s">
        <v>20</v>
      </c>
      <c r="K7482" t="s">
        <v>22</v>
      </c>
      <c r="L7482" t="s">
        <v>193</v>
      </c>
      <c r="M7482" t="s">
        <v>194</v>
      </c>
      <c r="N7482">
        <v>40.112627000000003</v>
      </c>
      <c r="O7482">
        <v>-111.95913400000001</v>
      </c>
      <c r="P7482">
        <v>4503.1831419999999</v>
      </c>
      <c r="Q7482">
        <v>1368</v>
      </c>
      <c r="R7482">
        <v>0</v>
      </c>
    </row>
    <row r="7483" spans="1:18" x14ac:dyDescent="0.25">
      <c r="A7483">
        <v>6482</v>
      </c>
      <c r="B7483">
        <v>94</v>
      </c>
      <c r="C7483">
        <v>31586970</v>
      </c>
      <c r="D7483" t="s">
        <v>271</v>
      </c>
      <c r="E7483">
        <v>11.074</v>
      </c>
      <c r="F7483" t="s">
        <v>21</v>
      </c>
      <c r="G7483" t="s">
        <v>20</v>
      </c>
      <c r="H7483" t="s">
        <v>21</v>
      </c>
      <c r="I7483" t="s">
        <v>20</v>
      </c>
      <c r="J7483" t="s">
        <v>20</v>
      </c>
      <c r="K7483" t="s">
        <v>31</v>
      </c>
      <c r="L7483" t="s">
        <v>282</v>
      </c>
      <c r="M7483" t="s">
        <v>24</v>
      </c>
      <c r="N7483">
        <v>40.272241999999999</v>
      </c>
      <c r="O7483">
        <v>-112.246576</v>
      </c>
      <c r="P7483">
        <v>5313.6690239999998</v>
      </c>
      <c r="Q7483">
        <v>1372</v>
      </c>
      <c r="R7483">
        <v>0</v>
      </c>
    </row>
    <row r="7484" spans="1:18" x14ac:dyDescent="0.25">
      <c r="A7484">
        <v>6483</v>
      </c>
      <c r="B7484">
        <v>94</v>
      </c>
      <c r="C7484">
        <v>31517984</v>
      </c>
      <c r="D7484" t="s">
        <v>396</v>
      </c>
      <c r="E7484">
        <v>11.086</v>
      </c>
      <c r="F7484" t="s">
        <v>21</v>
      </c>
      <c r="G7484" t="s">
        <v>26</v>
      </c>
      <c r="H7484" t="s">
        <v>19</v>
      </c>
      <c r="I7484">
        <v>39</v>
      </c>
      <c r="J7484" t="s">
        <v>20</v>
      </c>
      <c r="K7484" t="s">
        <v>41</v>
      </c>
      <c r="L7484" t="s">
        <v>255</v>
      </c>
      <c r="M7484" t="s">
        <v>138</v>
      </c>
      <c r="N7484">
        <v>41.247993000000001</v>
      </c>
      <c r="O7484">
        <v>-111.776449</v>
      </c>
      <c r="P7484">
        <v>4892.4199209999997</v>
      </c>
      <c r="Q7484">
        <v>1434</v>
      </c>
      <c r="R7484">
        <v>0</v>
      </c>
    </row>
    <row r="7485" spans="1:18" x14ac:dyDescent="0.25">
      <c r="A7485">
        <v>6484</v>
      </c>
      <c r="B7485">
        <v>94</v>
      </c>
      <c r="C7485">
        <v>27416511</v>
      </c>
      <c r="D7485" t="s">
        <v>185</v>
      </c>
      <c r="E7485">
        <v>11.09</v>
      </c>
      <c r="F7485" t="s">
        <v>21</v>
      </c>
      <c r="G7485" t="s">
        <v>26</v>
      </c>
      <c r="H7485" t="s">
        <v>21</v>
      </c>
      <c r="I7485" t="s">
        <v>20</v>
      </c>
      <c r="J7485" t="s">
        <v>20</v>
      </c>
      <c r="K7485" t="s">
        <v>41</v>
      </c>
      <c r="L7485" t="s">
        <v>57</v>
      </c>
      <c r="M7485" t="s">
        <v>58</v>
      </c>
      <c r="N7485">
        <v>41.190753999999998</v>
      </c>
      <c r="O7485">
        <v>-112.07254399999999</v>
      </c>
      <c r="P7485">
        <v>4208.0224120000003</v>
      </c>
      <c r="Q7485">
        <v>309</v>
      </c>
      <c r="R7485">
        <v>0</v>
      </c>
    </row>
    <row r="7486" spans="1:18" x14ac:dyDescent="0.25">
      <c r="A7486">
        <v>6485</v>
      </c>
      <c r="B7486">
        <v>94</v>
      </c>
      <c r="C7486">
        <v>31193170</v>
      </c>
      <c r="D7486" t="s">
        <v>310</v>
      </c>
      <c r="E7486">
        <v>11.105</v>
      </c>
      <c r="F7486" t="s">
        <v>21</v>
      </c>
      <c r="G7486" t="s">
        <v>26</v>
      </c>
      <c r="H7486" t="s">
        <v>21</v>
      </c>
      <c r="I7486" t="s">
        <v>20</v>
      </c>
      <c r="J7486" t="s">
        <v>20</v>
      </c>
      <c r="K7486" t="s">
        <v>31</v>
      </c>
      <c r="L7486" t="s">
        <v>285</v>
      </c>
      <c r="M7486" t="s">
        <v>206</v>
      </c>
      <c r="N7486">
        <v>40.599747999999998</v>
      </c>
      <c r="O7486">
        <v>-112.44693700000001</v>
      </c>
      <c r="P7486">
        <v>4233.4857750000001</v>
      </c>
      <c r="Q7486">
        <v>1414</v>
      </c>
      <c r="R7486">
        <v>0</v>
      </c>
    </row>
    <row r="7487" spans="1:18" x14ac:dyDescent="0.25">
      <c r="A7487">
        <v>6486</v>
      </c>
      <c r="B7487">
        <v>94</v>
      </c>
      <c r="C7487">
        <v>28356583</v>
      </c>
      <c r="D7487" t="s">
        <v>323</v>
      </c>
      <c r="E7487">
        <v>11.416</v>
      </c>
      <c r="F7487" t="s">
        <v>21</v>
      </c>
      <c r="G7487" t="s">
        <v>26</v>
      </c>
      <c r="H7487" t="s">
        <v>21</v>
      </c>
      <c r="I7487" t="s">
        <v>20</v>
      </c>
      <c r="J7487" t="s">
        <v>20</v>
      </c>
      <c r="K7487" t="s">
        <v>31</v>
      </c>
      <c r="L7487" t="s">
        <v>130</v>
      </c>
      <c r="M7487" t="s">
        <v>131</v>
      </c>
      <c r="N7487">
        <v>40.625193000000003</v>
      </c>
      <c r="O7487">
        <v>-111.280704</v>
      </c>
      <c r="P7487">
        <v>6469.1542890000001</v>
      </c>
      <c r="Q7487">
        <v>1345</v>
      </c>
      <c r="R7487">
        <v>0</v>
      </c>
    </row>
    <row r="7488" spans="1:18" x14ac:dyDescent="0.25">
      <c r="A7488">
        <v>6487</v>
      </c>
      <c r="B7488">
        <v>94</v>
      </c>
      <c r="C7488" t="e">
        <f>-JOlHNmeG4mtQ6TGDufeJk</f>
        <v>#NAME?</v>
      </c>
      <c r="D7488" t="s">
        <v>245</v>
      </c>
      <c r="E7488">
        <v>11.417999999999999</v>
      </c>
      <c r="F7488" t="s">
        <v>21</v>
      </c>
      <c r="G7488" t="s">
        <v>20</v>
      </c>
      <c r="H7488" t="s">
        <v>21</v>
      </c>
      <c r="I7488" t="s">
        <v>20</v>
      </c>
      <c r="J7488" t="s">
        <v>20</v>
      </c>
      <c r="K7488" t="s">
        <v>22</v>
      </c>
      <c r="L7488" t="s">
        <v>97</v>
      </c>
      <c r="M7488" t="s">
        <v>98</v>
      </c>
      <c r="N7488">
        <v>40.853312000000003</v>
      </c>
      <c r="O7488">
        <v>-109.67656700000001</v>
      </c>
      <c r="P7488">
        <v>7717.0262380000004</v>
      </c>
      <c r="Q7488">
        <v>1353</v>
      </c>
      <c r="R7488">
        <v>0</v>
      </c>
    </row>
    <row r="7489" spans="1:18" x14ac:dyDescent="0.25">
      <c r="A7489">
        <v>6488</v>
      </c>
      <c r="B7489">
        <v>94</v>
      </c>
      <c r="C7489">
        <v>31273838</v>
      </c>
      <c r="D7489" t="s">
        <v>241</v>
      </c>
      <c r="E7489">
        <v>11.445</v>
      </c>
      <c r="F7489" t="s">
        <v>21</v>
      </c>
      <c r="G7489" t="s">
        <v>26</v>
      </c>
      <c r="H7489" t="s">
        <v>21</v>
      </c>
      <c r="I7489" t="s">
        <v>20</v>
      </c>
      <c r="J7489" t="s">
        <v>20</v>
      </c>
      <c r="K7489" t="s">
        <v>27</v>
      </c>
      <c r="L7489" t="s">
        <v>242</v>
      </c>
      <c r="M7489" t="s">
        <v>243</v>
      </c>
      <c r="N7489">
        <v>38.914288999999997</v>
      </c>
      <c r="O7489">
        <v>-111.26542499999999</v>
      </c>
      <c r="P7489">
        <v>6257.8836209999999</v>
      </c>
      <c r="Q7489">
        <v>1327</v>
      </c>
      <c r="R7489">
        <v>0</v>
      </c>
    </row>
    <row r="7490" spans="1:18" x14ac:dyDescent="0.25">
      <c r="A7490">
        <v>6489</v>
      </c>
      <c r="B7490">
        <v>94</v>
      </c>
      <c r="C7490">
        <v>1697520</v>
      </c>
      <c r="D7490" t="s">
        <v>100</v>
      </c>
      <c r="E7490">
        <v>11.448</v>
      </c>
      <c r="F7490" t="s">
        <v>21</v>
      </c>
      <c r="G7490" t="s">
        <v>26</v>
      </c>
      <c r="H7490" t="s">
        <v>21</v>
      </c>
      <c r="I7490" t="s">
        <v>20</v>
      </c>
      <c r="J7490" t="s">
        <v>20</v>
      </c>
      <c r="K7490" t="s">
        <v>41</v>
      </c>
      <c r="L7490" t="s">
        <v>57</v>
      </c>
      <c r="M7490" t="s">
        <v>46</v>
      </c>
      <c r="N7490">
        <v>41.191885999999997</v>
      </c>
      <c r="O7490">
        <v>-112.04700099999999</v>
      </c>
      <c r="P7490">
        <v>4254.8394390000003</v>
      </c>
      <c r="Q7490">
        <v>1396</v>
      </c>
      <c r="R7490">
        <v>0</v>
      </c>
    </row>
    <row r="7491" spans="1:18" x14ac:dyDescent="0.25">
      <c r="A7491">
        <v>6490</v>
      </c>
      <c r="B7491">
        <v>94</v>
      </c>
      <c r="C7491">
        <v>31297184</v>
      </c>
      <c r="D7491" t="s">
        <v>338</v>
      </c>
      <c r="E7491">
        <v>11.45</v>
      </c>
      <c r="F7491" t="s">
        <v>21</v>
      </c>
      <c r="G7491" t="s">
        <v>26</v>
      </c>
      <c r="H7491" t="s">
        <v>21</v>
      </c>
      <c r="I7491" t="s">
        <v>20</v>
      </c>
      <c r="J7491" t="s">
        <v>20</v>
      </c>
      <c r="K7491" t="s">
        <v>27</v>
      </c>
      <c r="L7491" t="s">
        <v>72</v>
      </c>
      <c r="M7491" t="s">
        <v>73</v>
      </c>
      <c r="N7491">
        <v>37.110126000000001</v>
      </c>
      <c r="O7491">
        <v>-113.14582299999999</v>
      </c>
      <c r="P7491">
        <v>4636.5686839999998</v>
      </c>
      <c r="Q7491">
        <v>315</v>
      </c>
      <c r="R7491">
        <v>0</v>
      </c>
    </row>
    <row r="7492" spans="1:18" x14ac:dyDescent="0.25">
      <c r="A7492">
        <v>6491</v>
      </c>
      <c r="B7492">
        <v>94</v>
      </c>
      <c r="C7492">
        <v>31284712</v>
      </c>
      <c r="D7492" t="s">
        <v>126</v>
      </c>
      <c r="E7492">
        <v>11.452</v>
      </c>
      <c r="F7492" t="s">
        <v>21</v>
      </c>
      <c r="G7492" t="s">
        <v>26</v>
      </c>
      <c r="H7492" t="s">
        <v>21</v>
      </c>
      <c r="I7492" t="s">
        <v>20</v>
      </c>
      <c r="J7492" t="s">
        <v>20</v>
      </c>
      <c r="K7492" t="s">
        <v>41</v>
      </c>
      <c r="L7492" t="s">
        <v>57</v>
      </c>
      <c r="M7492" t="s">
        <v>93</v>
      </c>
      <c r="N7492">
        <v>41.306685000000002</v>
      </c>
      <c r="O7492">
        <v>-112.02366000000001</v>
      </c>
      <c r="P7492">
        <v>4217.0813410000001</v>
      </c>
      <c r="Q7492">
        <v>1412</v>
      </c>
      <c r="R7492">
        <v>0</v>
      </c>
    </row>
    <row r="7493" spans="1:18" x14ac:dyDescent="0.25">
      <c r="A7493">
        <v>6492</v>
      </c>
      <c r="B7493">
        <v>94</v>
      </c>
      <c r="C7493">
        <v>1517570</v>
      </c>
      <c r="D7493" t="s">
        <v>88</v>
      </c>
      <c r="E7493">
        <v>11.46</v>
      </c>
      <c r="F7493" t="s">
        <v>19</v>
      </c>
      <c r="G7493" t="s">
        <v>20</v>
      </c>
      <c r="H7493" t="s">
        <v>21</v>
      </c>
      <c r="I7493" t="s">
        <v>20</v>
      </c>
      <c r="J7493" t="s">
        <v>20</v>
      </c>
      <c r="K7493" t="s">
        <v>31</v>
      </c>
      <c r="L7493" t="s">
        <v>32</v>
      </c>
      <c r="M7493" t="s">
        <v>90</v>
      </c>
      <c r="N7493">
        <v>40.605888</v>
      </c>
      <c r="O7493">
        <v>-111.872198</v>
      </c>
      <c r="P7493">
        <v>4430.2293149999996</v>
      </c>
      <c r="Q7493">
        <v>318</v>
      </c>
      <c r="R7493">
        <v>0</v>
      </c>
    </row>
    <row r="7494" spans="1:18" x14ac:dyDescent="0.25">
      <c r="A7494">
        <v>6493</v>
      </c>
      <c r="B7494">
        <v>94</v>
      </c>
      <c r="C7494">
        <v>27833960</v>
      </c>
      <c r="D7494" t="s">
        <v>245</v>
      </c>
      <c r="E7494">
        <v>11.461</v>
      </c>
      <c r="F7494" t="s">
        <v>21</v>
      </c>
      <c r="G7494" t="s">
        <v>26</v>
      </c>
      <c r="H7494" t="s">
        <v>21</v>
      </c>
      <c r="I7494" t="s">
        <v>20</v>
      </c>
      <c r="J7494" t="s">
        <v>20</v>
      </c>
      <c r="K7494" t="s">
        <v>22</v>
      </c>
      <c r="L7494" t="s">
        <v>97</v>
      </c>
      <c r="M7494" t="s">
        <v>98</v>
      </c>
      <c r="N7494">
        <v>40.853732999999998</v>
      </c>
      <c r="O7494">
        <v>-109.677159</v>
      </c>
      <c r="P7494">
        <v>7710.0225950000004</v>
      </c>
      <c r="Q7494">
        <v>1353</v>
      </c>
      <c r="R7494">
        <v>0</v>
      </c>
    </row>
    <row r="7495" spans="1:18" x14ac:dyDescent="0.25">
      <c r="A7495">
        <v>6494</v>
      </c>
      <c r="B7495">
        <v>94</v>
      </c>
      <c r="C7495">
        <v>31652093</v>
      </c>
      <c r="D7495" t="s">
        <v>240</v>
      </c>
      <c r="E7495">
        <v>11.477</v>
      </c>
      <c r="F7495" t="s">
        <v>21</v>
      </c>
      <c r="G7495" t="s">
        <v>20</v>
      </c>
      <c r="H7495" t="s">
        <v>21</v>
      </c>
      <c r="I7495" t="s">
        <v>20</v>
      </c>
      <c r="J7495" t="s">
        <v>20</v>
      </c>
      <c r="K7495" t="s">
        <v>27</v>
      </c>
      <c r="L7495" t="s">
        <v>146</v>
      </c>
      <c r="M7495" t="s">
        <v>147</v>
      </c>
      <c r="N7495">
        <v>38.331121000000003</v>
      </c>
      <c r="O7495">
        <v>-109.220917</v>
      </c>
      <c r="P7495">
        <v>7516.5093939999997</v>
      </c>
      <c r="Q7495">
        <v>1355</v>
      </c>
      <c r="R7495">
        <v>0</v>
      </c>
    </row>
    <row r="7496" spans="1:18" x14ac:dyDescent="0.25">
      <c r="A7496">
        <v>6495</v>
      </c>
      <c r="B7496">
        <v>94</v>
      </c>
      <c r="C7496">
        <v>28131819</v>
      </c>
      <c r="D7496" t="s">
        <v>239</v>
      </c>
      <c r="E7496">
        <v>11.478999999999999</v>
      </c>
      <c r="F7496" t="s">
        <v>21</v>
      </c>
      <c r="G7496" t="s">
        <v>26</v>
      </c>
      <c r="H7496" t="s">
        <v>21</v>
      </c>
      <c r="I7496" t="s">
        <v>20</v>
      </c>
      <c r="J7496" t="s">
        <v>20</v>
      </c>
      <c r="K7496" t="s">
        <v>41</v>
      </c>
      <c r="L7496" t="s">
        <v>181</v>
      </c>
      <c r="M7496" t="s">
        <v>178</v>
      </c>
      <c r="N7496">
        <v>41.709698000000003</v>
      </c>
      <c r="O7496">
        <v>-112.258692</v>
      </c>
      <c r="P7496">
        <v>4269.1003030000002</v>
      </c>
      <c r="Q7496">
        <v>1392</v>
      </c>
      <c r="R7496">
        <v>0</v>
      </c>
    </row>
    <row r="7497" spans="1:18" x14ac:dyDescent="0.25">
      <c r="A7497">
        <v>6496</v>
      </c>
      <c r="B7497">
        <v>94</v>
      </c>
      <c r="C7497">
        <v>31193199</v>
      </c>
      <c r="D7497" t="s">
        <v>310</v>
      </c>
      <c r="E7497">
        <v>11.491</v>
      </c>
      <c r="F7497" t="s">
        <v>21</v>
      </c>
      <c r="G7497" t="s">
        <v>26</v>
      </c>
      <c r="H7497" t="s">
        <v>21</v>
      </c>
      <c r="I7497" t="s">
        <v>20</v>
      </c>
      <c r="J7497" t="s">
        <v>20</v>
      </c>
      <c r="K7497" t="s">
        <v>31</v>
      </c>
      <c r="L7497" t="s">
        <v>285</v>
      </c>
      <c r="M7497" t="s">
        <v>206</v>
      </c>
      <c r="N7497">
        <v>40.599677999999997</v>
      </c>
      <c r="O7497">
        <v>-112.439611</v>
      </c>
      <c r="P7497">
        <v>4233.048581</v>
      </c>
      <c r="Q7497">
        <v>1414</v>
      </c>
      <c r="R7497">
        <v>0</v>
      </c>
    </row>
    <row r="7498" spans="1:18" x14ac:dyDescent="0.25">
      <c r="A7498">
        <v>6497</v>
      </c>
      <c r="B7498">
        <v>94</v>
      </c>
      <c r="C7498">
        <v>31303655</v>
      </c>
      <c r="D7498" t="s">
        <v>203</v>
      </c>
      <c r="E7498">
        <v>11.497999999999999</v>
      </c>
      <c r="F7498" t="s">
        <v>21</v>
      </c>
      <c r="G7498" t="s">
        <v>26</v>
      </c>
      <c r="H7498" t="s">
        <v>21</v>
      </c>
      <c r="I7498" t="s">
        <v>20</v>
      </c>
      <c r="J7498" t="s">
        <v>20</v>
      </c>
      <c r="K7498" t="s">
        <v>41</v>
      </c>
      <c r="L7498" t="s">
        <v>255</v>
      </c>
      <c r="M7498" t="s">
        <v>204</v>
      </c>
      <c r="N7498">
        <v>41.250768999999998</v>
      </c>
      <c r="O7498">
        <v>-111.88205600000001</v>
      </c>
      <c r="P7498">
        <v>4666.9968699999999</v>
      </c>
      <c r="Q7498">
        <v>1349</v>
      </c>
      <c r="R7498">
        <v>0</v>
      </c>
    </row>
    <row r="7499" spans="1:18" x14ac:dyDescent="0.25">
      <c r="A7499">
        <v>6498</v>
      </c>
      <c r="B7499">
        <v>94</v>
      </c>
      <c r="C7499">
        <v>31738567</v>
      </c>
      <c r="D7499" t="s">
        <v>336</v>
      </c>
      <c r="E7499">
        <v>11.504</v>
      </c>
      <c r="F7499" t="s">
        <v>21</v>
      </c>
      <c r="G7499" t="s">
        <v>20</v>
      </c>
      <c r="H7499" t="s">
        <v>21</v>
      </c>
      <c r="I7499" t="s">
        <v>20</v>
      </c>
      <c r="J7499" t="s">
        <v>20</v>
      </c>
      <c r="K7499" t="s">
        <v>31</v>
      </c>
      <c r="L7499" t="s">
        <v>32</v>
      </c>
      <c r="M7499" t="s">
        <v>33</v>
      </c>
      <c r="N7499">
        <v>40.643661000000002</v>
      </c>
      <c r="O7499">
        <v>-111.638751</v>
      </c>
      <c r="P7499">
        <v>7303.1502639999999</v>
      </c>
      <c r="Q7499">
        <v>404</v>
      </c>
      <c r="R7499">
        <v>0</v>
      </c>
    </row>
    <row r="7500" spans="1:18" x14ac:dyDescent="0.25">
      <c r="A7500">
        <v>6499</v>
      </c>
      <c r="B7500">
        <v>94</v>
      </c>
      <c r="C7500" t="e">
        <f>-JZCBgxJFFydYAfiOn37LF</f>
        <v>#NAME?</v>
      </c>
      <c r="D7500" t="s">
        <v>220</v>
      </c>
      <c r="E7500">
        <v>106.437</v>
      </c>
      <c r="F7500" t="s">
        <v>21</v>
      </c>
      <c r="G7500" t="s">
        <v>20</v>
      </c>
      <c r="H7500" t="s">
        <v>21</v>
      </c>
      <c r="I7500" t="s">
        <v>20</v>
      </c>
      <c r="J7500" t="s">
        <v>20</v>
      </c>
      <c r="K7500" t="s">
        <v>27</v>
      </c>
      <c r="L7500" t="s">
        <v>28</v>
      </c>
      <c r="M7500" t="s">
        <v>267</v>
      </c>
      <c r="N7500">
        <v>38.107416999999998</v>
      </c>
      <c r="O7500">
        <v>-111.338015</v>
      </c>
      <c r="P7500">
        <v>8603.6437339999993</v>
      </c>
      <c r="Q7500">
        <v>1328</v>
      </c>
      <c r="R7500">
        <v>0</v>
      </c>
    </row>
    <row r="7501" spans="1:18" x14ac:dyDescent="0.25">
      <c r="A7501">
        <v>6500</v>
      </c>
      <c r="B7501">
        <v>94</v>
      </c>
      <c r="C7501" t="e">
        <f>-Ip-TJw7ISLLMjNdV5B5Pk</f>
        <v>#NAME?</v>
      </c>
      <c r="D7501" t="s">
        <v>118</v>
      </c>
      <c r="E7501">
        <v>106.66200000000001</v>
      </c>
      <c r="F7501" t="s">
        <v>21</v>
      </c>
      <c r="G7501" t="s">
        <v>20</v>
      </c>
      <c r="H7501" t="s">
        <v>21</v>
      </c>
      <c r="I7501" t="s">
        <v>20</v>
      </c>
      <c r="J7501" t="s">
        <v>20</v>
      </c>
      <c r="K7501" t="s">
        <v>22</v>
      </c>
      <c r="L7501" t="s">
        <v>133</v>
      </c>
      <c r="M7501" t="s">
        <v>169</v>
      </c>
      <c r="N7501">
        <v>40.219169000000001</v>
      </c>
      <c r="O7501">
        <v>-110.067376</v>
      </c>
      <c r="P7501">
        <v>5143.4200019999998</v>
      </c>
      <c r="Q7501">
        <v>310</v>
      </c>
      <c r="R7501">
        <v>0</v>
      </c>
    </row>
    <row r="7502" spans="1:18" x14ac:dyDescent="0.25">
      <c r="A7502">
        <v>6501</v>
      </c>
      <c r="B7502">
        <v>94</v>
      </c>
      <c r="C7502">
        <v>592313</v>
      </c>
      <c r="D7502" t="s">
        <v>383</v>
      </c>
      <c r="E7502">
        <v>11.17</v>
      </c>
      <c r="F7502" t="s">
        <v>19</v>
      </c>
      <c r="G7502" t="s">
        <v>20</v>
      </c>
      <c r="H7502" t="s">
        <v>21</v>
      </c>
      <c r="I7502" t="s">
        <v>20</v>
      </c>
      <c r="J7502" t="s">
        <v>20</v>
      </c>
      <c r="K7502" t="s">
        <v>31</v>
      </c>
      <c r="L7502" t="s">
        <v>89</v>
      </c>
      <c r="M7502" t="s">
        <v>384</v>
      </c>
      <c r="N7502">
        <v>40.587727000000001</v>
      </c>
      <c r="O7502">
        <v>-111.910237</v>
      </c>
      <c r="P7502">
        <v>4262.0200000000004</v>
      </c>
      <c r="Q7502">
        <v>414</v>
      </c>
      <c r="R7502">
        <v>0</v>
      </c>
    </row>
    <row r="7503" spans="1:18" x14ac:dyDescent="0.25">
      <c r="A7503">
        <v>6502</v>
      </c>
      <c r="B7503">
        <v>94</v>
      </c>
      <c r="C7503">
        <v>595142</v>
      </c>
      <c r="D7503" t="s">
        <v>383</v>
      </c>
      <c r="E7503">
        <v>11.483000000000001</v>
      </c>
      <c r="F7503" t="s">
        <v>19</v>
      </c>
      <c r="G7503" t="s">
        <v>20</v>
      </c>
      <c r="H7503" t="s">
        <v>21</v>
      </c>
      <c r="I7503" t="s">
        <v>20</v>
      </c>
      <c r="J7503" t="s">
        <v>20</v>
      </c>
      <c r="K7503" t="s">
        <v>31</v>
      </c>
      <c r="L7503" t="s">
        <v>89</v>
      </c>
      <c r="M7503" t="s">
        <v>384</v>
      </c>
      <c r="N7503">
        <v>40.587983000000001</v>
      </c>
      <c r="O7503">
        <v>-111.90425500000001</v>
      </c>
      <c r="P7503">
        <v>4301.5810000000001</v>
      </c>
      <c r="Q7503">
        <v>414</v>
      </c>
      <c r="R7503">
        <v>0</v>
      </c>
    </row>
    <row r="7504" spans="1:18" x14ac:dyDescent="0.25">
      <c r="A7504">
        <v>6503</v>
      </c>
      <c r="B7504">
        <v>94</v>
      </c>
      <c r="C7504">
        <v>599728</v>
      </c>
      <c r="D7504" t="s">
        <v>383</v>
      </c>
      <c r="E7504">
        <v>11.683</v>
      </c>
      <c r="F7504" t="s">
        <v>19</v>
      </c>
      <c r="G7504" t="s">
        <v>20</v>
      </c>
      <c r="H7504" t="s">
        <v>21</v>
      </c>
      <c r="I7504" t="s">
        <v>20</v>
      </c>
      <c r="J7504" t="s">
        <v>20</v>
      </c>
      <c r="K7504" t="s">
        <v>31</v>
      </c>
      <c r="L7504" t="s">
        <v>89</v>
      </c>
      <c r="M7504" t="s">
        <v>384</v>
      </c>
      <c r="N7504">
        <v>40.588006</v>
      </c>
      <c r="O7504">
        <v>-111.900413</v>
      </c>
      <c r="P7504">
        <v>4308.6570000000002</v>
      </c>
      <c r="Q7504">
        <v>414</v>
      </c>
      <c r="R7504">
        <v>0</v>
      </c>
    </row>
    <row r="7505" spans="1:18" x14ac:dyDescent="0.25">
      <c r="A7505">
        <v>6504</v>
      </c>
      <c r="B7505">
        <v>94</v>
      </c>
      <c r="C7505">
        <v>599923</v>
      </c>
      <c r="D7505" t="s">
        <v>383</v>
      </c>
      <c r="E7505">
        <v>11.744999999999999</v>
      </c>
      <c r="F7505" t="s">
        <v>21</v>
      </c>
      <c r="G7505" t="s">
        <v>26</v>
      </c>
      <c r="H7505" t="s">
        <v>21</v>
      </c>
      <c r="I7505" t="s">
        <v>20</v>
      </c>
      <c r="J7505" t="s">
        <v>20</v>
      </c>
      <c r="K7505" t="s">
        <v>31</v>
      </c>
      <c r="L7505" t="s">
        <v>89</v>
      </c>
      <c r="M7505" t="s">
        <v>384</v>
      </c>
      <c r="N7505">
        <v>40.587927999999998</v>
      </c>
      <c r="O7505">
        <v>-111.899227</v>
      </c>
      <c r="P7505">
        <v>4313.9080000000004</v>
      </c>
      <c r="Q7505">
        <v>414</v>
      </c>
      <c r="R7505">
        <v>0</v>
      </c>
    </row>
    <row r="7506" spans="1:18" x14ac:dyDescent="0.25">
      <c r="A7506">
        <v>6505</v>
      </c>
      <c r="B7506">
        <v>94</v>
      </c>
      <c r="C7506">
        <v>1459079</v>
      </c>
      <c r="D7506" t="s">
        <v>109</v>
      </c>
      <c r="E7506">
        <v>7.0330000000000004</v>
      </c>
      <c r="F7506" t="s">
        <v>21</v>
      </c>
      <c r="G7506" t="s">
        <v>26</v>
      </c>
      <c r="H7506" t="s">
        <v>21</v>
      </c>
      <c r="I7506" t="s">
        <v>20</v>
      </c>
      <c r="J7506" t="s">
        <v>20</v>
      </c>
      <c r="K7506" t="s">
        <v>41</v>
      </c>
      <c r="L7506" t="s">
        <v>42</v>
      </c>
      <c r="M7506" t="s">
        <v>73</v>
      </c>
      <c r="N7506">
        <v>41.664121000000002</v>
      </c>
      <c r="O7506">
        <v>-111.833674</v>
      </c>
      <c r="P7506">
        <v>4533.204232</v>
      </c>
      <c r="Q7506">
        <v>345</v>
      </c>
      <c r="R7506">
        <v>0</v>
      </c>
    </row>
    <row r="7507" spans="1:18" x14ac:dyDescent="0.25">
      <c r="A7507">
        <v>6506</v>
      </c>
      <c r="B7507">
        <v>94</v>
      </c>
      <c r="C7507">
        <v>31517973</v>
      </c>
      <c r="D7507" t="s">
        <v>396</v>
      </c>
      <c r="E7507">
        <v>7.0339999999999998</v>
      </c>
      <c r="F7507" t="s">
        <v>21</v>
      </c>
      <c r="G7507" t="s">
        <v>26</v>
      </c>
      <c r="H7507" t="s">
        <v>19</v>
      </c>
      <c r="I7507">
        <v>226</v>
      </c>
      <c r="J7507" t="s">
        <v>20</v>
      </c>
      <c r="K7507" t="s">
        <v>41</v>
      </c>
      <c r="L7507" t="s">
        <v>255</v>
      </c>
      <c r="M7507" t="s">
        <v>138</v>
      </c>
      <c r="N7507">
        <v>41.207152999999998</v>
      </c>
      <c r="O7507">
        <v>-111.81501</v>
      </c>
      <c r="P7507">
        <v>5977.0928430000004</v>
      </c>
      <c r="Q7507">
        <v>1434</v>
      </c>
      <c r="R7507">
        <v>0</v>
      </c>
    </row>
    <row r="7508" spans="1:18" x14ac:dyDescent="0.25">
      <c r="A7508">
        <v>6507</v>
      </c>
      <c r="B7508">
        <v>94</v>
      </c>
      <c r="C7508">
        <v>31301245</v>
      </c>
      <c r="D7508" t="s">
        <v>203</v>
      </c>
      <c r="E7508">
        <v>7.0339999999999998</v>
      </c>
      <c r="F7508" t="s">
        <v>21</v>
      </c>
      <c r="G7508" t="s">
        <v>26</v>
      </c>
      <c r="H7508" t="s">
        <v>21</v>
      </c>
      <c r="I7508" t="s">
        <v>20</v>
      </c>
      <c r="J7508" t="s">
        <v>20</v>
      </c>
      <c r="K7508" t="s">
        <v>41</v>
      </c>
      <c r="L7508" t="s">
        <v>81</v>
      </c>
      <c r="M7508" t="s">
        <v>204</v>
      </c>
      <c r="N7508">
        <v>41.244165000000002</v>
      </c>
      <c r="O7508">
        <v>-111.95766</v>
      </c>
      <c r="P7508">
        <v>4272.7894820000001</v>
      </c>
      <c r="Q7508">
        <v>1349</v>
      </c>
      <c r="R7508">
        <v>0</v>
      </c>
    </row>
    <row r="7509" spans="1:18" x14ac:dyDescent="0.25">
      <c r="A7509">
        <v>6508</v>
      </c>
      <c r="B7509">
        <v>94</v>
      </c>
      <c r="C7509">
        <v>538991</v>
      </c>
      <c r="D7509" t="s">
        <v>44</v>
      </c>
      <c r="E7509">
        <v>7.0339999999999998</v>
      </c>
      <c r="F7509" t="s">
        <v>21</v>
      </c>
      <c r="G7509" t="s">
        <v>26</v>
      </c>
      <c r="H7509" t="s">
        <v>21</v>
      </c>
      <c r="I7509" t="s">
        <v>20</v>
      </c>
      <c r="J7509" t="s">
        <v>20</v>
      </c>
      <c r="K7509" t="s">
        <v>41</v>
      </c>
      <c r="L7509" t="s">
        <v>87</v>
      </c>
      <c r="M7509" t="s">
        <v>46</v>
      </c>
      <c r="N7509">
        <v>40.978845</v>
      </c>
      <c r="O7509">
        <v>-111.88362600000001</v>
      </c>
      <c r="P7509">
        <v>4295.8022609999998</v>
      </c>
      <c r="Q7509">
        <v>1395</v>
      </c>
      <c r="R7509">
        <v>0</v>
      </c>
    </row>
    <row r="7510" spans="1:18" x14ac:dyDescent="0.25">
      <c r="A7510">
        <v>6509</v>
      </c>
      <c r="B7510">
        <v>94</v>
      </c>
      <c r="C7510">
        <v>31354999</v>
      </c>
      <c r="D7510" t="s">
        <v>34</v>
      </c>
      <c r="E7510">
        <v>7.0460000000000003</v>
      </c>
      <c r="F7510" t="s">
        <v>21</v>
      </c>
      <c r="G7510" t="s">
        <v>26</v>
      </c>
      <c r="H7510" t="s">
        <v>21</v>
      </c>
      <c r="I7510" t="s">
        <v>20</v>
      </c>
      <c r="J7510" t="s">
        <v>20</v>
      </c>
      <c r="K7510" t="s">
        <v>22</v>
      </c>
      <c r="L7510" t="s">
        <v>35</v>
      </c>
      <c r="M7510" t="s">
        <v>36</v>
      </c>
      <c r="N7510">
        <v>40.506366</v>
      </c>
      <c r="O7510">
        <v>-111.415273</v>
      </c>
      <c r="P7510">
        <v>5543.8962689999998</v>
      </c>
      <c r="Q7510">
        <v>1400</v>
      </c>
      <c r="R7510">
        <v>0</v>
      </c>
    </row>
    <row r="7511" spans="1:18" x14ac:dyDescent="0.25">
      <c r="A7511">
        <v>6510</v>
      </c>
      <c r="B7511">
        <v>94</v>
      </c>
      <c r="C7511">
        <v>980107</v>
      </c>
      <c r="D7511" t="s">
        <v>65</v>
      </c>
      <c r="E7511">
        <v>4.258</v>
      </c>
      <c r="F7511" t="s">
        <v>19</v>
      </c>
      <c r="G7511" t="s">
        <v>20</v>
      </c>
      <c r="H7511" t="s">
        <v>21</v>
      </c>
      <c r="I7511" t="s">
        <v>20</v>
      </c>
      <c r="J7511" t="s">
        <v>20</v>
      </c>
      <c r="K7511" t="s">
        <v>31</v>
      </c>
      <c r="L7511" t="s">
        <v>66</v>
      </c>
      <c r="M7511" t="s">
        <v>67</v>
      </c>
      <c r="N7511">
        <v>40.758474999999997</v>
      </c>
      <c r="O7511">
        <v>-111.859611</v>
      </c>
      <c r="P7511">
        <v>4438.3932629999999</v>
      </c>
      <c r="Q7511">
        <v>402</v>
      </c>
      <c r="R7511">
        <v>0</v>
      </c>
    </row>
    <row r="7512" spans="1:18" x14ac:dyDescent="0.25">
      <c r="A7512">
        <v>6511</v>
      </c>
      <c r="B7512">
        <v>94</v>
      </c>
      <c r="C7512" t="e">
        <f>-Ip5JjKkIT5SCdqNkRz1PF</f>
        <v>#NAME?</v>
      </c>
      <c r="D7512" t="s">
        <v>208</v>
      </c>
      <c r="E7512">
        <v>4.2590000000000003</v>
      </c>
      <c r="F7512" t="s">
        <v>21</v>
      </c>
      <c r="G7512" t="s">
        <v>26</v>
      </c>
      <c r="H7512" t="s">
        <v>21</v>
      </c>
      <c r="I7512" t="s">
        <v>20</v>
      </c>
      <c r="J7512" t="s">
        <v>20</v>
      </c>
      <c r="K7512" t="s">
        <v>31</v>
      </c>
      <c r="L7512" t="s">
        <v>209</v>
      </c>
      <c r="M7512" t="s">
        <v>131</v>
      </c>
      <c r="N7512">
        <v>40.640120000000003</v>
      </c>
      <c r="O7512">
        <v>-111.493045</v>
      </c>
      <c r="P7512">
        <v>7138.2675129999998</v>
      </c>
      <c r="Q7512">
        <v>357</v>
      </c>
      <c r="R7512">
        <v>0</v>
      </c>
    </row>
    <row r="7513" spans="1:18" x14ac:dyDescent="0.25">
      <c r="A7513">
        <v>6512</v>
      </c>
      <c r="B7513">
        <v>94</v>
      </c>
      <c r="C7513" t="e">
        <f>-IoMYqMnFu1WjnvhJczggF</f>
        <v>#NAME?</v>
      </c>
      <c r="D7513" t="s">
        <v>218</v>
      </c>
      <c r="E7513">
        <v>4.26</v>
      </c>
      <c r="F7513" t="s">
        <v>21</v>
      </c>
      <c r="G7513" t="s">
        <v>26</v>
      </c>
      <c r="H7513" t="s">
        <v>21</v>
      </c>
      <c r="I7513" t="s">
        <v>20</v>
      </c>
      <c r="J7513" t="s">
        <v>20</v>
      </c>
      <c r="K7513" t="s">
        <v>27</v>
      </c>
      <c r="L7513" t="s">
        <v>183</v>
      </c>
      <c r="M7513" t="s">
        <v>76</v>
      </c>
      <c r="N7513">
        <v>39.030253000000002</v>
      </c>
      <c r="O7513">
        <v>-111.84206500000001</v>
      </c>
      <c r="P7513">
        <v>5066.7629720000004</v>
      </c>
      <c r="Q7513">
        <v>360</v>
      </c>
      <c r="R7513">
        <v>0</v>
      </c>
    </row>
    <row r="7514" spans="1:18" x14ac:dyDescent="0.25">
      <c r="A7514">
        <v>6513</v>
      </c>
      <c r="B7514">
        <v>94</v>
      </c>
      <c r="C7514">
        <v>1009606</v>
      </c>
      <c r="D7514" t="s">
        <v>171</v>
      </c>
      <c r="E7514">
        <v>5.3129999999999997</v>
      </c>
      <c r="F7514" t="s">
        <v>19</v>
      </c>
      <c r="G7514" t="s">
        <v>20</v>
      </c>
      <c r="H7514" t="s">
        <v>21</v>
      </c>
      <c r="I7514" t="s">
        <v>20</v>
      </c>
      <c r="J7514" t="s">
        <v>20</v>
      </c>
      <c r="K7514" t="s">
        <v>31</v>
      </c>
      <c r="L7514" t="s">
        <v>78</v>
      </c>
      <c r="M7514" t="s">
        <v>79</v>
      </c>
      <c r="N7514">
        <v>40.69661</v>
      </c>
      <c r="O7514">
        <v>-111.99035499999999</v>
      </c>
      <c r="P7514">
        <v>4213.9998869999999</v>
      </c>
      <c r="Q7514">
        <v>346</v>
      </c>
      <c r="R7514">
        <v>0</v>
      </c>
    </row>
    <row r="7515" spans="1:18" x14ac:dyDescent="0.25">
      <c r="A7515">
        <v>6514</v>
      </c>
      <c r="B7515">
        <v>94</v>
      </c>
      <c r="C7515">
        <v>1373760</v>
      </c>
      <c r="D7515" t="s">
        <v>363</v>
      </c>
      <c r="E7515">
        <v>5.3170000000000002</v>
      </c>
      <c r="F7515" t="s">
        <v>21</v>
      </c>
      <c r="G7515" t="s">
        <v>26</v>
      </c>
      <c r="H7515" t="s">
        <v>21</v>
      </c>
      <c r="I7515" t="s">
        <v>20</v>
      </c>
      <c r="J7515" t="s">
        <v>20</v>
      </c>
      <c r="K7515" t="s">
        <v>41</v>
      </c>
      <c r="L7515" t="s">
        <v>95</v>
      </c>
      <c r="M7515" t="s">
        <v>73</v>
      </c>
      <c r="N7515">
        <v>41.843423999999999</v>
      </c>
      <c r="O7515">
        <v>-111.887456</v>
      </c>
      <c r="P7515">
        <v>4398.4785169999996</v>
      </c>
      <c r="Q7515">
        <v>356</v>
      </c>
      <c r="R7515">
        <v>0</v>
      </c>
    </row>
    <row r="7516" spans="1:18" x14ac:dyDescent="0.25">
      <c r="A7516">
        <v>6515</v>
      </c>
      <c r="B7516">
        <v>94</v>
      </c>
      <c r="C7516">
        <v>31806596</v>
      </c>
      <c r="D7516" t="s">
        <v>61</v>
      </c>
      <c r="E7516">
        <v>5.3179999999999996</v>
      </c>
      <c r="F7516" t="s">
        <v>19</v>
      </c>
      <c r="G7516" t="s">
        <v>20</v>
      </c>
      <c r="H7516" t="s">
        <v>21</v>
      </c>
      <c r="I7516" t="s">
        <v>20</v>
      </c>
      <c r="J7516" t="s">
        <v>20</v>
      </c>
      <c r="K7516" t="s">
        <v>22</v>
      </c>
      <c r="L7516" t="s">
        <v>60</v>
      </c>
      <c r="M7516" t="s">
        <v>62</v>
      </c>
      <c r="N7516">
        <v>40.282843999999997</v>
      </c>
      <c r="O7516">
        <v>-111.658501</v>
      </c>
      <c r="P7516">
        <v>4643.1644539999998</v>
      </c>
      <c r="Q7516">
        <v>403</v>
      </c>
      <c r="R7516">
        <v>0</v>
      </c>
    </row>
    <row r="7517" spans="1:18" x14ac:dyDescent="0.25">
      <c r="A7517">
        <v>6516</v>
      </c>
      <c r="B7517">
        <v>94</v>
      </c>
      <c r="C7517">
        <v>1169599</v>
      </c>
      <c r="D7517" t="s">
        <v>56</v>
      </c>
      <c r="E7517">
        <v>5.32</v>
      </c>
      <c r="F7517" t="s">
        <v>19</v>
      </c>
      <c r="G7517" t="s">
        <v>20</v>
      </c>
      <c r="H7517" t="s">
        <v>21</v>
      </c>
      <c r="I7517" t="s">
        <v>20</v>
      </c>
      <c r="J7517" t="s">
        <v>20</v>
      </c>
      <c r="K7517" t="s">
        <v>41</v>
      </c>
      <c r="L7517" t="s">
        <v>57</v>
      </c>
      <c r="M7517" t="s">
        <v>58</v>
      </c>
      <c r="N7517">
        <v>41.161665999999997</v>
      </c>
      <c r="O7517">
        <v>-112.02177</v>
      </c>
      <c r="P7517">
        <v>4518.1623460000001</v>
      </c>
      <c r="Q7517">
        <v>1459</v>
      </c>
      <c r="R7517">
        <v>0</v>
      </c>
    </row>
    <row r="7518" spans="1:18" x14ac:dyDescent="0.25">
      <c r="A7518">
        <v>6517</v>
      </c>
      <c r="B7518">
        <v>94</v>
      </c>
      <c r="C7518">
        <v>31732706</v>
      </c>
      <c r="D7518" t="s">
        <v>290</v>
      </c>
      <c r="E7518">
        <v>5.3209999999999997</v>
      </c>
      <c r="F7518" t="s">
        <v>21</v>
      </c>
      <c r="G7518" t="s">
        <v>20</v>
      </c>
      <c r="H7518" t="s">
        <v>21</v>
      </c>
      <c r="I7518" t="s">
        <v>20</v>
      </c>
      <c r="J7518" t="s">
        <v>20</v>
      </c>
      <c r="K7518" t="s">
        <v>41</v>
      </c>
      <c r="L7518" t="s">
        <v>291</v>
      </c>
      <c r="M7518" t="s">
        <v>238</v>
      </c>
      <c r="N7518">
        <v>41.401589999999999</v>
      </c>
      <c r="O7518">
        <v>-113.948763</v>
      </c>
      <c r="P7518">
        <v>4554.5070180000002</v>
      </c>
      <c r="Q7518">
        <v>1343</v>
      </c>
      <c r="R7518">
        <v>0</v>
      </c>
    </row>
    <row r="7519" spans="1:18" x14ac:dyDescent="0.25">
      <c r="A7519">
        <v>6518</v>
      </c>
      <c r="B7519">
        <v>94</v>
      </c>
      <c r="C7519" t="e">
        <f>-JXn8WYGIy5pcGRW10Fs5V</f>
        <v>#NAME?</v>
      </c>
      <c r="D7519" t="s">
        <v>203</v>
      </c>
      <c r="E7519">
        <v>23.878</v>
      </c>
      <c r="F7519" t="s">
        <v>21</v>
      </c>
      <c r="G7519" t="s">
        <v>20</v>
      </c>
      <c r="H7519" t="s">
        <v>21</v>
      </c>
      <c r="I7519" t="s">
        <v>20</v>
      </c>
      <c r="J7519" t="s">
        <v>20</v>
      </c>
      <c r="K7519" t="s">
        <v>41</v>
      </c>
      <c r="L7519" t="s">
        <v>255</v>
      </c>
      <c r="M7519" t="s">
        <v>204</v>
      </c>
      <c r="N7519">
        <v>41.267474999999997</v>
      </c>
      <c r="O7519">
        <v>-111.677869</v>
      </c>
      <c r="P7519">
        <v>5132.3332620000001</v>
      </c>
      <c r="Q7519">
        <v>1349</v>
      </c>
      <c r="R7519">
        <v>0</v>
      </c>
    </row>
    <row r="7520" spans="1:18" x14ac:dyDescent="0.25">
      <c r="A7520">
        <v>6519</v>
      </c>
      <c r="B7520">
        <v>94</v>
      </c>
      <c r="C7520">
        <v>28138217</v>
      </c>
      <c r="D7520" t="s">
        <v>220</v>
      </c>
      <c r="E7520">
        <v>21.077000000000002</v>
      </c>
      <c r="F7520" t="s">
        <v>21</v>
      </c>
      <c r="G7520" t="s">
        <v>26</v>
      </c>
      <c r="H7520" t="s">
        <v>21</v>
      </c>
      <c r="I7520" t="s">
        <v>20</v>
      </c>
      <c r="J7520" t="s">
        <v>20</v>
      </c>
      <c r="K7520" t="s">
        <v>27</v>
      </c>
      <c r="L7520" t="s">
        <v>28</v>
      </c>
      <c r="M7520" t="s">
        <v>29</v>
      </c>
      <c r="N7520">
        <v>37.623852999999997</v>
      </c>
      <c r="O7520">
        <v>-112.081771</v>
      </c>
      <c r="P7520">
        <v>6234.8528370000004</v>
      </c>
      <c r="Q7520">
        <v>1328</v>
      </c>
      <c r="R7520">
        <v>0</v>
      </c>
    </row>
    <row r="7521" spans="1:18" x14ac:dyDescent="0.25">
      <c r="A7521">
        <v>6520</v>
      </c>
      <c r="B7521">
        <v>94</v>
      </c>
      <c r="C7521">
        <v>31534498</v>
      </c>
      <c r="D7521" t="s">
        <v>412</v>
      </c>
      <c r="E7521">
        <v>21.077999999999999</v>
      </c>
      <c r="F7521" t="s">
        <v>21</v>
      </c>
      <c r="G7521" t="s">
        <v>26</v>
      </c>
      <c r="H7521" t="s">
        <v>21</v>
      </c>
      <c r="I7521" t="s">
        <v>20</v>
      </c>
      <c r="J7521" t="s">
        <v>20</v>
      </c>
      <c r="K7521" t="s">
        <v>27</v>
      </c>
      <c r="L7521" t="s">
        <v>173</v>
      </c>
      <c r="M7521" t="s">
        <v>267</v>
      </c>
      <c r="N7521">
        <v>39.524807000000003</v>
      </c>
      <c r="O7521">
        <v>-112.27336099999999</v>
      </c>
      <c r="P7521">
        <v>4709.8810709999998</v>
      </c>
      <c r="Q7521">
        <v>1408</v>
      </c>
      <c r="R7521">
        <v>0</v>
      </c>
    </row>
    <row r="7522" spans="1:18" x14ac:dyDescent="0.25">
      <c r="A7522">
        <v>6521</v>
      </c>
      <c r="B7522">
        <v>94</v>
      </c>
      <c r="C7522">
        <v>31305157</v>
      </c>
      <c r="D7522" t="s">
        <v>116</v>
      </c>
      <c r="E7522">
        <v>21.091000000000001</v>
      </c>
      <c r="F7522" t="s">
        <v>21</v>
      </c>
      <c r="G7522" t="s">
        <v>26</v>
      </c>
      <c r="H7522" t="s">
        <v>21</v>
      </c>
      <c r="I7522" t="s">
        <v>20</v>
      </c>
      <c r="J7522" t="s">
        <v>20</v>
      </c>
      <c r="K7522" t="s">
        <v>41</v>
      </c>
      <c r="L7522" t="s">
        <v>42</v>
      </c>
      <c r="M7522" t="s">
        <v>43</v>
      </c>
      <c r="N7522">
        <v>41.666904000000002</v>
      </c>
      <c r="O7522">
        <v>-111.891561</v>
      </c>
      <c r="P7522">
        <v>4442.0168549999999</v>
      </c>
      <c r="Q7522">
        <v>324</v>
      </c>
      <c r="R7522">
        <v>0</v>
      </c>
    </row>
    <row r="7523" spans="1:18" x14ac:dyDescent="0.25">
      <c r="A7523">
        <v>6522</v>
      </c>
      <c r="B7523">
        <v>94</v>
      </c>
      <c r="C7523">
        <v>27714896</v>
      </c>
      <c r="D7523" t="s">
        <v>217</v>
      </c>
      <c r="E7523">
        <v>21.091999999999999</v>
      </c>
      <c r="F7523" t="s">
        <v>21</v>
      </c>
      <c r="G7523" t="s">
        <v>26</v>
      </c>
      <c r="H7523" t="s">
        <v>21</v>
      </c>
      <c r="I7523" t="s">
        <v>20</v>
      </c>
      <c r="J7523" t="s">
        <v>20</v>
      </c>
      <c r="K7523" t="s">
        <v>27</v>
      </c>
      <c r="L7523" t="s">
        <v>162</v>
      </c>
      <c r="M7523" t="s">
        <v>163</v>
      </c>
      <c r="N7523">
        <v>37.350245999999999</v>
      </c>
      <c r="O7523">
        <v>-113.687855</v>
      </c>
      <c r="P7523">
        <v>4581.7285400000001</v>
      </c>
      <c r="Q7523">
        <v>304</v>
      </c>
      <c r="R7523">
        <v>0</v>
      </c>
    </row>
    <row r="7524" spans="1:18" x14ac:dyDescent="0.25">
      <c r="A7524">
        <v>6523</v>
      </c>
      <c r="B7524">
        <v>94</v>
      </c>
      <c r="C7524">
        <v>31434941</v>
      </c>
      <c r="D7524" t="s">
        <v>333</v>
      </c>
      <c r="E7524">
        <v>21.116</v>
      </c>
      <c r="F7524" t="s">
        <v>19</v>
      </c>
      <c r="G7524" t="s">
        <v>20</v>
      </c>
      <c r="H7524" t="s">
        <v>19</v>
      </c>
      <c r="I7524">
        <v>201</v>
      </c>
      <c r="J7524" t="s">
        <v>20</v>
      </c>
      <c r="K7524" t="s">
        <v>31</v>
      </c>
      <c r="L7524" t="s">
        <v>78</v>
      </c>
      <c r="M7524" t="s">
        <v>49</v>
      </c>
      <c r="N7524">
        <v>40.727093000000004</v>
      </c>
      <c r="O7524">
        <v>-111.98637600000001</v>
      </c>
      <c r="P7524">
        <v>4211.4116690000001</v>
      </c>
      <c r="Q7524">
        <v>1426</v>
      </c>
      <c r="R7524">
        <v>0</v>
      </c>
    </row>
    <row r="7525" spans="1:18" x14ac:dyDescent="0.25">
      <c r="A7525">
        <v>6524</v>
      </c>
      <c r="B7525">
        <v>94</v>
      </c>
      <c r="C7525">
        <v>1563749</v>
      </c>
      <c r="D7525" t="s">
        <v>88</v>
      </c>
      <c r="E7525">
        <v>21.161999999999999</v>
      </c>
      <c r="F7525" t="s">
        <v>19</v>
      </c>
      <c r="G7525" t="s">
        <v>20</v>
      </c>
      <c r="H7525" t="s">
        <v>21</v>
      </c>
      <c r="I7525" t="s">
        <v>20</v>
      </c>
      <c r="J7525" t="s">
        <v>20</v>
      </c>
      <c r="K7525" t="s">
        <v>31</v>
      </c>
      <c r="L7525" t="s">
        <v>66</v>
      </c>
      <c r="M7525" t="s">
        <v>90</v>
      </c>
      <c r="N7525">
        <v>40.741660000000003</v>
      </c>
      <c r="O7525">
        <v>-111.871196</v>
      </c>
      <c r="P7525">
        <v>4214.81502</v>
      </c>
      <c r="Q7525">
        <v>318</v>
      </c>
      <c r="R7525">
        <v>0</v>
      </c>
    </row>
    <row r="7526" spans="1:18" x14ac:dyDescent="0.25">
      <c r="A7526">
        <v>6525</v>
      </c>
      <c r="B7526">
        <v>94</v>
      </c>
      <c r="C7526">
        <v>28138228</v>
      </c>
      <c r="D7526" t="s">
        <v>220</v>
      </c>
      <c r="E7526">
        <v>21.167000000000002</v>
      </c>
      <c r="F7526" t="s">
        <v>21</v>
      </c>
      <c r="G7526" t="s">
        <v>26</v>
      </c>
      <c r="H7526" t="s">
        <v>21</v>
      </c>
      <c r="I7526" t="s">
        <v>20</v>
      </c>
      <c r="J7526" t="s">
        <v>20</v>
      </c>
      <c r="K7526" t="s">
        <v>27</v>
      </c>
      <c r="L7526" t="s">
        <v>28</v>
      </c>
      <c r="M7526" t="s">
        <v>29</v>
      </c>
      <c r="N7526">
        <v>37.622565999999999</v>
      </c>
      <c r="O7526">
        <v>-112.081605</v>
      </c>
      <c r="P7526">
        <v>6234.915919</v>
      </c>
      <c r="Q7526">
        <v>1328</v>
      </c>
      <c r="R7526">
        <v>0</v>
      </c>
    </row>
    <row r="7527" spans="1:18" x14ac:dyDescent="0.25">
      <c r="A7527">
        <v>6526</v>
      </c>
      <c r="B7527">
        <v>94</v>
      </c>
      <c r="C7527">
        <v>31419616</v>
      </c>
      <c r="D7527" t="s">
        <v>221</v>
      </c>
      <c r="E7527">
        <v>21.172000000000001</v>
      </c>
      <c r="F7527" t="s">
        <v>21</v>
      </c>
      <c r="G7527" t="s">
        <v>26</v>
      </c>
      <c r="H7527" t="s">
        <v>21</v>
      </c>
      <c r="I7527" t="s">
        <v>20</v>
      </c>
      <c r="J7527" t="s">
        <v>20</v>
      </c>
      <c r="K7527" t="s">
        <v>22</v>
      </c>
      <c r="L7527" t="s">
        <v>155</v>
      </c>
      <c r="M7527" t="s">
        <v>174</v>
      </c>
      <c r="N7527">
        <v>39.440348</v>
      </c>
      <c r="O7527">
        <v>-111.91502</v>
      </c>
      <c r="P7527">
        <v>5312.2949090000002</v>
      </c>
      <c r="Q7527">
        <v>1342</v>
      </c>
      <c r="R7527">
        <v>0</v>
      </c>
    </row>
    <row r="7528" spans="1:18" x14ac:dyDescent="0.25">
      <c r="A7528">
        <v>6527</v>
      </c>
      <c r="B7528">
        <v>94</v>
      </c>
      <c r="C7528" t="s">
        <v>884</v>
      </c>
      <c r="D7528" t="s">
        <v>244</v>
      </c>
      <c r="E7528">
        <v>24.501999999999999</v>
      </c>
      <c r="F7528" t="s">
        <v>21</v>
      </c>
      <c r="G7528" t="s">
        <v>26</v>
      </c>
      <c r="H7528" t="s">
        <v>21</v>
      </c>
      <c r="I7528" t="s">
        <v>20</v>
      </c>
      <c r="J7528" t="s">
        <v>20</v>
      </c>
      <c r="K7528" t="s">
        <v>27</v>
      </c>
      <c r="L7528" t="s">
        <v>266</v>
      </c>
      <c r="M7528" t="s">
        <v>58</v>
      </c>
      <c r="N7528">
        <v>38.675795999999998</v>
      </c>
      <c r="O7528">
        <v>-111.84384900000001</v>
      </c>
      <c r="P7528">
        <v>7072.5117659999996</v>
      </c>
      <c r="Q7528">
        <v>1340</v>
      </c>
      <c r="R7528">
        <v>0</v>
      </c>
    </row>
    <row r="7529" spans="1:18" x14ac:dyDescent="0.25">
      <c r="A7529">
        <v>6528</v>
      </c>
      <c r="B7529">
        <v>94</v>
      </c>
      <c r="C7529" t="s">
        <v>885</v>
      </c>
      <c r="D7529" t="s">
        <v>210</v>
      </c>
      <c r="E7529">
        <v>24.52</v>
      </c>
      <c r="F7529" t="s">
        <v>21</v>
      </c>
      <c r="G7529" t="s">
        <v>26</v>
      </c>
      <c r="H7529" t="s">
        <v>21</v>
      </c>
      <c r="I7529" t="s">
        <v>20</v>
      </c>
      <c r="J7529" t="s">
        <v>20</v>
      </c>
      <c r="K7529" t="s">
        <v>27</v>
      </c>
      <c r="L7529" t="s">
        <v>211</v>
      </c>
      <c r="M7529" t="s">
        <v>212</v>
      </c>
      <c r="N7529">
        <v>37.199388999999996</v>
      </c>
      <c r="O7529">
        <v>-109.152726</v>
      </c>
      <c r="P7529">
        <v>4550.6999580000002</v>
      </c>
      <c r="Q7529">
        <v>344</v>
      </c>
      <c r="R7529">
        <v>0</v>
      </c>
    </row>
    <row r="7530" spans="1:18" x14ac:dyDescent="0.25">
      <c r="A7530">
        <v>6529</v>
      </c>
      <c r="B7530">
        <v>94</v>
      </c>
      <c r="C7530">
        <v>31283796</v>
      </c>
      <c r="D7530" t="s">
        <v>288</v>
      </c>
      <c r="E7530">
        <v>24.542000000000002</v>
      </c>
      <c r="F7530" t="s">
        <v>21</v>
      </c>
      <c r="G7530" t="s">
        <v>26</v>
      </c>
      <c r="H7530" t="s">
        <v>21</v>
      </c>
      <c r="I7530" t="s">
        <v>20</v>
      </c>
      <c r="J7530" t="s">
        <v>20</v>
      </c>
      <c r="K7530" t="s">
        <v>27</v>
      </c>
      <c r="L7530" t="s">
        <v>211</v>
      </c>
      <c r="M7530" t="s">
        <v>318</v>
      </c>
      <c r="N7530">
        <v>37.281430999999998</v>
      </c>
      <c r="O7530">
        <v>-109.569706</v>
      </c>
      <c r="P7530">
        <v>4258.1611709999997</v>
      </c>
      <c r="Q7530">
        <v>350</v>
      </c>
      <c r="R7530">
        <v>0</v>
      </c>
    </row>
    <row r="7531" spans="1:18" x14ac:dyDescent="0.25">
      <c r="A7531">
        <v>6530</v>
      </c>
      <c r="B7531">
        <v>94</v>
      </c>
      <c r="C7531">
        <v>31592700</v>
      </c>
      <c r="D7531" t="s">
        <v>271</v>
      </c>
      <c r="E7531">
        <v>24.582000000000001</v>
      </c>
      <c r="F7531" t="s">
        <v>21</v>
      </c>
      <c r="G7531" t="s">
        <v>26</v>
      </c>
      <c r="H7531" t="s">
        <v>21</v>
      </c>
      <c r="I7531" t="s">
        <v>20</v>
      </c>
      <c r="J7531" t="s">
        <v>20</v>
      </c>
      <c r="K7531" t="s">
        <v>22</v>
      </c>
      <c r="L7531" t="s">
        <v>263</v>
      </c>
      <c r="M7531" t="s">
        <v>24</v>
      </c>
      <c r="N7531">
        <v>40.316707999999998</v>
      </c>
      <c r="O7531">
        <v>-112.102481</v>
      </c>
      <c r="P7531">
        <v>5067.2719809999999</v>
      </c>
      <c r="Q7531">
        <v>1372</v>
      </c>
      <c r="R7531">
        <v>0</v>
      </c>
    </row>
    <row r="7532" spans="1:18" x14ac:dyDescent="0.25">
      <c r="A7532">
        <v>6531</v>
      </c>
      <c r="B7532">
        <v>94</v>
      </c>
      <c r="C7532">
        <v>31284307</v>
      </c>
      <c r="D7532" t="s">
        <v>288</v>
      </c>
      <c r="E7532">
        <v>24.623999999999999</v>
      </c>
      <c r="F7532" t="s">
        <v>21</v>
      </c>
      <c r="G7532" t="s">
        <v>26</v>
      </c>
      <c r="H7532" t="s">
        <v>21</v>
      </c>
      <c r="I7532" t="s">
        <v>20</v>
      </c>
      <c r="J7532" t="s">
        <v>20</v>
      </c>
      <c r="K7532" t="s">
        <v>27</v>
      </c>
      <c r="L7532" t="s">
        <v>211</v>
      </c>
      <c r="M7532" t="s">
        <v>318</v>
      </c>
      <c r="N7532">
        <v>37.281519000000003</v>
      </c>
      <c r="O7532">
        <v>-109.56819900000001</v>
      </c>
      <c r="P7532">
        <v>4259.3617450000002</v>
      </c>
      <c r="Q7532">
        <v>350</v>
      </c>
      <c r="R7532">
        <v>0</v>
      </c>
    </row>
    <row r="7533" spans="1:18" x14ac:dyDescent="0.25">
      <c r="A7533">
        <v>6532</v>
      </c>
      <c r="B7533">
        <v>94</v>
      </c>
      <c r="C7533">
        <v>31512696</v>
      </c>
      <c r="D7533" t="s">
        <v>292</v>
      </c>
      <c r="E7533">
        <v>24.643999999999998</v>
      </c>
      <c r="F7533" t="s">
        <v>21</v>
      </c>
      <c r="G7533" t="s">
        <v>26</v>
      </c>
      <c r="H7533" t="s">
        <v>21</v>
      </c>
      <c r="I7533" t="s">
        <v>20</v>
      </c>
      <c r="J7533" t="s">
        <v>20</v>
      </c>
      <c r="K7533" t="s">
        <v>22</v>
      </c>
      <c r="L7533" t="s">
        <v>253</v>
      </c>
      <c r="M7533" t="s">
        <v>134</v>
      </c>
      <c r="N7533">
        <v>40.323155</v>
      </c>
      <c r="O7533">
        <v>-110.26167</v>
      </c>
      <c r="P7533">
        <v>6072.5142450000003</v>
      </c>
      <c r="Q7533">
        <v>323</v>
      </c>
      <c r="R7533">
        <v>0</v>
      </c>
    </row>
    <row r="7534" spans="1:18" x14ac:dyDescent="0.25">
      <c r="A7534">
        <v>6533</v>
      </c>
      <c r="B7534">
        <v>94</v>
      </c>
      <c r="C7534">
        <v>31306597</v>
      </c>
      <c r="D7534" t="s">
        <v>203</v>
      </c>
      <c r="E7534">
        <v>24.643999999999998</v>
      </c>
      <c r="F7534" t="s">
        <v>21</v>
      </c>
      <c r="G7534" t="s">
        <v>26</v>
      </c>
      <c r="H7534" t="s">
        <v>21</v>
      </c>
      <c r="I7534" t="s">
        <v>20</v>
      </c>
      <c r="J7534" t="s">
        <v>20</v>
      </c>
      <c r="K7534" t="s">
        <v>41</v>
      </c>
      <c r="L7534" t="s">
        <v>255</v>
      </c>
      <c r="M7534" t="s">
        <v>204</v>
      </c>
      <c r="N7534">
        <v>41.271639999999998</v>
      </c>
      <c r="O7534">
        <v>-111.66481400000001</v>
      </c>
      <c r="P7534">
        <v>5166.6576070000001</v>
      </c>
      <c r="Q7534">
        <v>1349</v>
      </c>
      <c r="R7534">
        <v>0</v>
      </c>
    </row>
    <row r="7535" spans="1:18" x14ac:dyDescent="0.25">
      <c r="A7535">
        <v>6534</v>
      </c>
      <c r="B7535">
        <v>94</v>
      </c>
      <c r="C7535">
        <v>28624254</v>
      </c>
      <c r="D7535" t="s">
        <v>142</v>
      </c>
      <c r="E7535">
        <v>24.657</v>
      </c>
      <c r="F7535" t="s">
        <v>21</v>
      </c>
      <c r="G7535" t="s">
        <v>26</v>
      </c>
      <c r="H7535" t="s">
        <v>21</v>
      </c>
      <c r="I7535" t="s">
        <v>20</v>
      </c>
      <c r="J7535" t="s">
        <v>20</v>
      </c>
      <c r="K7535" t="s">
        <v>27</v>
      </c>
      <c r="L7535" t="s">
        <v>143</v>
      </c>
      <c r="M7535" t="s">
        <v>106</v>
      </c>
      <c r="N7535">
        <v>38.633965000000003</v>
      </c>
      <c r="O7535">
        <v>-113.85640100000001</v>
      </c>
      <c r="P7535">
        <v>6049.3318120000004</v>
      </c>
      <c r="Q7535">
        <v>305</v>
      </c>
      <c r="R7535">
        <v>0</v>
      </c>
    </row>
    <row r="7536" spans="1:18" x14ac:dyDescent="0.25">
      <c r="A7536">
        <v>6535</v>
      </c>
      <c r="B7536">
        <v>94</v>
      </c>
      <c r="C7536">
        <v>31401187</v>
      </c>
      <c r="D7536" t="s">
        <v>210</v>
      </c>
      <c r="E7536">
        <v>24.673999999999999</v>
      </c>
      <c r="F7536" t="s">
        <v>21</v>
      </c>
      <c r="G7536" t="s">
        <v>26</v>
      </c>
      <c r="H7536" t="s">
        <v>21</v>
      </c>
      <c r="I7536" t="s">
        <v>20</v>
      </c>
      <c r="J7536" t="s">
        <v>20</v>
      </c>
      <c r="K7536" t="s">
        <v>27</v>
      </c>
      <c r="L7536" t="s">
        <v>211</v>
      </c>
      <c r="M7536" t="s">
        <v>212</v>
      </c>
      <c r="N7536">
        <v>37.197997999999998</v>
      </c>
      <c r="O7536">
        <v>-109.150577</v>
      </c>
      <c r="P7536">
        <v>4569.9034680000004</v>
      </c>
      <c r="Q7536">
        <v>344</v>
      </c>
      <c r="R7536">
        <v>0</v>
      </c>
    </row>
    <row r="7537" spans="1:18" x14ac:dyDescent="0.25">
      <c r="A7537">
        <v>6536</v>
      </c>
      <c r="B7537">
        <v>94</v>
      </c>
      <c r="C7537">
        <v>31532025</v>
      </c>
      <c r="D7537" t="s">
        <v>390</v>
      </c>
      <c r="E7537">
        <v>24.681999999999999</v>
      </c>
      <c r="F7537" t="s">
        <v>21</v>
      </c>
      <c r="G7537" t="s">
        <v>26</v>
      </c>
      <c r="H7537" t="s">
        <v>21</v>
      </c>
      <c r="I7537" t="s">
        <v>20</v>
      </c>
      <c r="J7537" t="s">
        <v>20</v>
      </c>
      <c r="K7537" t="s">
        <v>22</v>
      </c>
      <c r="L7537" t="s">
        <v>60</v>
      </c>
      <c r="M7537" t="s">
        <v>335</v>
      </c>
      <c r="N7537">
        <v>40.393219999999999</v>
      </c>
      <c r="O7537">
        <v>-111.58137499999999</v>
      </c>
      <c r="P7537">
        <v>6127.5756840000004</v>
      </c>
      <c r="Q7537">
        <v>1386</v>
      </c>
      <c r="R7537">
        <v>0</v>
      </c>
    </row>
    <row r="7538" spans="1:18" x14ac:dyDescent="0.25">
      <c r="A7538">
        <v>6537</v>
      </c>
      <c r="B7538">
        <v>94</v>
      </c>
      <c r="C7538">
        <v>31307295</v>
      </c>
      <c r="D7538" t="s">
        <v>268</v>
      </c>
      <c r="E7538">
        <v>24.690999999999999</v>
      </c>
      <c r="F7538" t="s">
        <v>21</v>
      </c>
      <c r="G7538" t="s">
        <v>26</v>
      </c>
      <c r="H7538" t="s">
        <v>21</v>
      </c>
      <c r="I7538" t="s">
        <v>20</v>
      </c>
      <c r="J7538" t="s">
        <v>20</v>
      </c>
      <c r="K7538" t="s">
        <v>41</v>
      </c>
      <c r="L7538" t="s">
        <v>181</v>
      </c>
      <c r="M7538" t="s">
        <v>43</v>
      </c>
      <c r="N7538">
        <v>41.737020999999999</v>
      </c>
      <c r="O7538">
        <v>-112.43409800000001</v>
      </c>
      <c r="P7538">
        <v>4419.877845</v>
      </c>
      <c r="Q7538">
        <v>1380</v>
      </c>
      <c r="R7538">
        <v>0</v>
      </c>
    </row>
    <row r="7539" spans="1:18" x14ac:dyDescent="0.25">
      <c r="A7539">
        <v>6538</v>
      </c>
      <c r="B7539">
        <v>94</v>
      </c>
      <c r="C7539">
        <v>31284318</v>
      </c>
      <c r="D7539" t="s">
        <v>288</v>
      </c>
      <c r="E7539">
        <v>24.704999999999998</v>
      </c>
      <c r="F7539" t="s">
        <v>21</v>
      </c>
      <c r="G7539" t="s">
        <v>26</v>
      </c>
      <c r="H7539" t="s">
        <v>21</v>
      </c>
      <c r="I7539" t="s">
        <v>20</v>
      </c>
      <c r="J7539" t="s">
        <v>20</v>
      </c>
      <c r="K7539" t="s">
        <v>27</v>
      </c>
      <c r="L7539" t="s">
        <v>211</v>
      </c>
      <c r="M7539" t="s">
        <v>318</v>
      </c>
      <c r="N7539">
        <v>37.281604999999999</v>
      </c>
      <c r="O7539">
        <v>-109.566733</v>
      </c>
      <c r="P7539">
        <v>4259.7014310000004</v>
      </c>
      <c r="Q7539">
        <v>350</v>
      </c>
      <c r="R7539">
        <v>0</v>
      </c>
    </row>
    <row r="7540" spans="1:18" x14ac:dyDescent="0.25">
      <c r="A7540">
        <v>6539</v>
      </c>
      <c r="B7540">
        <v>94</v>
      </c>
      <c r="C7540">
        <v>31517843</v>
      </c>
      <c r="D7540" t="s">
        <v>132</v>
      </c>
      <c r="E7540">
        <v>24.72</v>
      </c>
      <c r="F7540" t="s">
        <v>21</v>
      </c>
      <c r="G7540" t="s">
        <v>26</v>
      </c>
      <c r="H7540" t="s">
        <v>21</v>
      </c>
      <c r="I7540" t="s">
        <v>20</v>
      </c>
      <c r="J7540" t="s">
        <v>20</v>
      </c>
      <c r="K7540" t="s">
        <v>22</v>
      </c>
      <c r="L7540" t="s">
        <v>133</v>
      </c>
      <c r="M7540" t="s">
        <v>134</v>
      </c>
      <c r="N7540">
        <v>40.403815999999999</v>
      </c>
      <c r="O7540">
        <v>-109.779349</v>
      </c>
      <c r="P7540">
        <v>5560.2822399999995</v>
      </c>
      <c r="Q7540">
        <v>1405</v>
      </c>
      <c r="R7540">
        <v>0</v>
      </c>
    </row>
    <row r="7541" spans="1:18" x14ac:dyDescent="0.25">
      <c r="A7541">
        <v>6540</v>
      </c>
      <c r="B7541">
        <v>94</v>
      </c>
      <c r="C7541">
        <v>31367095</v>
      </c>
      <c r="D7541" t="s">
        <v>229</v>
      </c>
      <c r="E7541">
        <v>7.4020000000000001</v>
      </c>
      <c r="F7541" t="s">
        <v>21</v>
      </c>
      <c r="G7541" t="s">
        <v>20</v>
      </c>
      <c r="H7541" t="s">
        <v>21</v>
      </c>
      <c r="I7541" t="s">
        <v>20</v>
      </c>
      <c r="J7541" t="s">
        <v>20</v>
      </c>
      <c r="K7541" t="s">
        <v>27</v>
      </c>
      <c r="L7541" t="s">
        <v>230</v>
      </c>
      <c r="M7541" t="s">
        <v>82</v>
      </c>
      <c r="N7541">
        <v>39.481043</v>
      </c>
      <c r="O7541">
        <v>-111.516986</v>
      </c>
      <c r="P7541">
        <v>5656.848446</v>
      </c>
      <c r="Q7541">
        <v>331</v>
      </c>
      <c r="R7541">
        <v>0</v>
      </c>
    </row>
    <row r="7542" spans="1:18" x14ac:dyDescent="0.25">
      <c r="A7542">
        <v>6541</v>
      </c>
      <c r="B7542">
        <v>94</v>
      </c>
      <c r="C7542">
        <v>539911</v>
      </c>
      <c r="D7542" t="s">
        <v>44</v>
      </c>
      <c r="E7542">
        <v>7.4039999999999999</v>
      </c>
      <c r="F7542" t="s">
        <v>21</v>
      </c>
      <c r="G7542" t="s">
        <v>26</v>
      </c>
      <c r="H7542" t="s">
        <v>21</v>
      </c>
      <c r="I7542" t="s">
        <v>20</v>
      </c>
      <c r="J7542" t="s">
        <v>20</v>
      </c>
      <c r="K7542" t="s">
        <v>41</v>
      </c>
      <c r="L7542" t="s">
        <v>87</v>
      </c>
      <c r="M7542" t="s">
        <v>46</v>
      </c>
      <c r="N7542">
        <v>40.982120000000002</v>
      </c>
      <c r="O7542">
        <v>-111.887545</v>
      </c>
      <c r="P7542">
        <v>4244.352809</v>
      </c>
      <c r="Q7542">
        <v>1395</v>
      </c>
      <c r="R7542">
        <v>0</v>
      </c>
    </row>
    <row r="7543" spans="1:18" x14ac:dyDescent="0.25">
      <c r="A7543">
        <v>6542</v>
      </c>
      <c r="B7543">
        <v>94</v>
      </c>
      <c r="C7543">
        <v>31596678</v>
      </c>
      <c r="D7543" t="s">
        <v>145</v>
      </c>
      <c r="E7543">
        <v>7.4039999999999999</v>
      </c>
      <c r="F7543" t="s">
        <v>21</v>
      </c>
      <c r="G7543" t="s">
        <v>26</v>
      </c>
      <c r="H7543" t="s">
        <v>21</v>
      </c>
      <c r="I7543" t="s">
        <v>20</v>
      </c>
      <c r="J7543" t="s">
        <v>20</v>
      </c>
      <c r="K7543" t="s">
        <v>27</v>
      </c>
      <c r="L7543" t="s">
        <v>146</v>
      </c>
      <c r="M7543" t="s">
        <v>147</v>
      </c>
      <c r="N7543">
        <v>37.860408999999997</v>
      </c>
      <c r="O7543">
        <v>-109.20927500000001</v>
      </c>
      <c r="P7543">
        <v>6775.1773439999997</v>
      </c>
      <c r="Q7543">
        <v>1291</v>
      </c>
      <c r="R7543">
        <v>0</v>
      </c>
    </row>
    <row r="7544" spans="1:18" x14ac:dyDescent="0.25">
      <c r="A7544">
        <v>6543</v>
      </c>
      <c r="B7544">
        <v>94</v>
      </c>
      <c r="C7544">
        <v>845664</v>
      </c>
      <c r="D7544" t="s">
        <v>68</v>
      </c>
      <c r="E7544">
        <v>7.4059999999999997</v>
      </c>
      <c r="F7544" t="s">
        <v>19</v>
      </c>
      <c r="G7544" t="s">
        <v>20</v>
      </c>
      <c r="H7544" t="s">
        <v>21</v>
      </c>
      <c r="I7544" t="s">
        <v>20</v>
      </c>
      <c r="J7544" t="s">
        <v>20</v>
      </c>
      <c r="K7544" t="s">
        <v>31</v>
      </c>
      <c r="L7544" t="s">
        <v>32</v>
      </c>
      <c r="M7544" t="s">
        <v>70</v>
      </c>
      <c r="N7544">
        <v>40.6753</v>
      </c>
      <c r="O7544">
        <v>-111.81500800000001</v>
      </c>
      <c r="P7544">
        <v>4575.1831330000005</v>
      </c>
      <c r="Q7544">
        <v>431</v>
      </c>
      <c r="R7544">
        <v>0</v>
      </c>
    </row>
    <row r="7545" spans="1:18" x14ac:dyDescent="0.25">
      <c r="A7545">
        <v>6544</v>
      </c>
      <c r="B7545">
        <v>94</v>
      </c>
      <c r="C7545">
        <v>31524244</v>
      </c>
      <c r="D7545" t="s">
        <v>231</v>
      </c>
      <c r="E7545">
        <v>7.4249999999999998</v>
      </c>
      <c r="F7545" t="s">
        <v>21</v>
      </c>
      <c r="G7545" t="s">
        <v>26</v>
      </c>
      <c r="H7545" t="s">
        <v>21</v>
      </c>
      <c r="I7545" t="s">
        <v>20</v>
      </c>
      <c r="J7545" t="s">
        <v>20</v>
      </c>
      <c r="K7545" t="s">
        <v>41</v>
      </c>
      <c r="L7545" t="s">
        <v>57</v>
      </c>
      <c r="M7545" t="s">
        <v>93</v>
      </c>
      <c r="N7545">
        <v>41.142605000000003</v>
      </c>
      <c r="O7545">
        <v>-112.026061</v>
      </c>
      <c r="P7545">
        <v>4501.3480330000002</v>
      </c>
      <c r="Q7545">
        <v>1409</v>
      </c>
      <c r="R7545">
        <v>0</v>
      </c>
    </row>
    <row r="7546" spans="1:18" x14ac:dyDescent="0.25">
      <c r="A7546">
        <v>6545</v>
      </c>
      <c r="B7546">
        <v>94</v>
      </c>
      <c r="C7546">
        <v>31408481</v>
      </c>
      <c r="D7546" t="s">
        <v>224</v>
      </c>
      <c r="E7546">
        <v>7.4249999999999998</v>
      </c>
      <c r="F7546" t="s">
        <v>21</v>
      </c>
      <c r="G7546" t="s">
        <v>26</v>
      </c>
      <c r="H7546" t="s">
        <v>21</v>
      </c>
      <c r="I7546" t="s">
        <v>20</v>
      </c>
      <c r="J7546" t="s">
        <v>20</v>
      </c>
      <c r="K7546" t="s">
        <v>22</v>
      </c>
      <c r="L7546" t="s">
        <v>198</v>
      </c>
      <c r="M7546" t="s">
        <v>194</v>
      </c>
      <c r="N7546">
        <v>40.048133999999997</v>
      </c>
      <c r="O7546">
        <v>-111.694472</v>
      </c>
      <c r="P7546">
        <v>4525.5188539999999</v>
      </c>
      <c r="Q7546">
        <v>408</v>
      </c>
      <c r="R7546">
        <v>0</v>
      </c>
    </row>
    <row r="7547" spans="1:18" x14ac:dyDescent="0.25">
      <c r="A7547">
        <v>6546</v>
      </c>
      <c r="B7547">
        <v>94</v>
      </c>
      <c r="C7547">
        <v>31411578</v>
      </c>
      <c r="D7547" t="s">
        <v>129</v>
      </c>
      <c r="E7547">
        <v>7.4269999999999996</v>
      </c>
      <c r="F7547" t="s">
        <v>21</v>
      </c>
      <c r="G7547" t="s">
        <v>26</v>
      </c>
      <c r="H7547" t="s">
        <v>21</v>
      </c>
      <c r="I7547" t="s">
        <v>20</v>
      </c>
      <c r="J7547" t="s">
        <v>20</v>
      </c>
      <c r="K7547" t="s">
        <v>31</v>
      </c>
      <c r="L7547" t="s">
        <v>130</v>
      </c>
      <c r="M7547" t="s">
        <v>131</v>
      </c>
      <c r="N7547">
        <v>40.626944999999999</v>
      </c>
      <c r="O7547">
        <v>-111.162223</v>
      </c>
      <c r="P7547">
        <v>7157.739176</v>
      </c>
      <c r="Q7547">
        <v>340</v>
      </c>
      <c r="R7547">
        <v>0</v>
      </c>
    </row>
    <row r="7548" spans="1:18" x14ac:dyDescent="0.25">
      <c r="A7548">
        <v>6547</v>
      </c>
      <c r="B7548">
        <v>94</v>
      </c>
      <c r="C7548">
        <v>27508028</v>
      </c>
      <c r="D7548" t="s">
        <v>96</v>
      </c>
      <c r="E7548">
        <v>7.4269999999999996</v>
      </c>
      <c r="F7548" t="s">
        <v>21</v>
      </c>
      <c r="G7548" t="s">
        <v>26</v>
      </c>
      <c r="H7548" t="s">
        <v>21</v>
      </c>
      <c r="I7548" t="s">
        <v>20</v>
      </c>
      <c r="J7548" t="s">
        <v>20</v>
      </c>
      <c r="K7548" t="s">
        <v>22</v>
      </c>
      <c r="L7548" t="s">
        <v>97</v>
      </c>
      <c r="M7548" t="s">
        <v>98</v>
      </c>
      <c r="N7548">
        <v>40.987974000000001</v>
      </c>
      <c r="O7548">
        <v>-109.732316</v>
      </c>
      <c r="P7548">
        <v>6416.160613</v>
      </c>
      <c r="Q7548">
        <v>311</v>
      </c>
      <c r="R7548">
        <v>0</v>
      </c>
    </row>
    <row r="7549" spans="1:18" x14ac:dyDescent="0.25">
      <c r="A7549">
        <v>6548</v>
      </c>
      <c r="B7549">
        <v>94</v>
      </c>
      <c r="C7549">
        <v>31396122</v>
      </c>
      <c r="D7549" t="s">
        <v>114</v>
      </c>
      <c r="E7549">
        <v>7.4290000000000003</v>
      </c>
      <c r="F7549" t="s">
        <v>21</v>
      </c>
      <c r="G7549" t="s">
        <v>26</v>
      </c>
      <c r="H7549" t="s">
        <v>21</v>
      </c>
      <c r="I7549" t="s">
        <v>20</v>
      </c>
      <c r="J7549" t="s">
        <v>20</v>
      </c>
      <c r="K7549" t="s">
        <v>41</v>
      </c>
      <c r="L7549" t="s">
        <v>87</v>
      </c>
      <c r="M7549" t="s">
        <v>82</v>
      </c>
      <c r="N7549">
        <v>41.103757999999999</v>
      </c>
      <c r="O7549">
        <v>-111.927046</v>
      </c>
      <c r="P7549">
        <v>4815.2618780000003</v>
      </c>
      <c r="Q7549">
        <v>405</v>
      </c>
      <c r="R7549">
        <v>0</v>
      </c>
    </row>
    <row r="7550" spans="1:18" x14ac:dyDescent="0.25">
      <c r="A7550">
        <v>6549</v>
      </c>
      <c r="B7550">
        <v>94</v>
      </c>
      <c r="C7550">
        <v>1440307</v>
      </c>
      <c r="D7550" t="s">
        <v>304</v>
      </c>
      <c r="E7550">
        <v>7.43</v>
      </c>
      <c r="F7550" t="s">
        <v>21</v>
      </c>
      <c r="G7550" t="s">
        <v>26</v>
      </c>
      <c r="H7550" t="s">
        <v>21</v>
      </c>
      <c r="I7550" t="s">
        <v>20</v>
      </c>
      <c r="J7550" t="s">
        <v>20</v>
      </c>
      <c r="K7550" t="s">
        <v>41</v>
      </c>
      <c r="L7550" t="s">
        <v>177</v>
      </c>
      <c r="M7550" t="s">
        <v>43</v>
      </c>
      <c r="N7550">
        <v>41.623417000000003</v>
      </c>
      <c r="O7550">
        <v>-112.072632</v>
      </c>
      <c r="P7550">
        <v>4228.6730070000003</v>
      </c>
      <c r="Q7550">
        <v>1348</v>
      </c>
      <c r="R7550">
        <v>0</v>
      </c>
    </row>
    <row r="7551" spans="1:18" x14ac:dyDescent="0.25">
      <c r="A7551">
        <v>6550</v>
      </c>
      <c r="B7551">
        <v>94</v>
      </c>
      <c r="C7551">
        <v>31389696</v>
      </c>
      <c r="D7551" t="s">
        <v>364</v>
      </c>
      <c r="E7551">
        <v>7.44</v>
      </c>
      <c r="F7551" t="s">
        <v>21</v>
      </c>
      <c r="G7551" t="s">
        <v>26</v>
      </c>
      <c r="H7551" t="s">
        <v>21</v>
      </c>
      <c r="I7551" t="s">
        <v>20</v>
      </c>
      <c r="J7551" t="s">
        <v>20</v>
      </c>
      <c r="K7551" t="s">
        <v>22</v>
      </c>
      <c r="L7551" t="s">
        <v>140</v>
      </c>
      <c r="M7551" t="s">
        <v>85</v>
      </c>
      <c r="N7551">
        <v>40.108018999999999</v>
      </c>
      <c r="O7551">
        <v>-111.670035</v>
      </c>
      <c r="P7551">
        <v>4514.7676170000004</v>
      </c>
      <c r="Q7551">
        <v>1401</v>
      </c>
      <c r="R7551">
        <v>0</v>
      </c>
    </row>
    <row r="7552" spans="1:18" x14ac:dyDescent="0.25">
      <c r="A7552">
        <v>6551</v>
      </c>
      <c r="B7552">
        <v>94</v>
      </c>
      <c r="C7552">
        <v>31813914</v>
      </c>
      <c r="D7552" t="s">
        <v>61</v>
      </c>
      <c r="E7552">
        <v>7.44</v>
      </c>
      <c r="F7552" t="s">
        <v>19</v>
      </c>
      <c r="G7552" t="s">
        <v>20</v>
      </c>
      <c r="H7552" t="s">
        <v>19</v>
      </c>
      <c r="I7552">
        <v>52</v>
      </c>
      <c r="J7552" t="s">
        <v>20</v>
      </c>
      <c r="K7552" t="s">
        <v>22</v>
      </c>
      <c r="L7552" t="s">
        <v>60</v>
      </c>
      <c r="M7552" t="s">
        <v>62</v>
      </c>
      <c r="N7552">
        <v>40.313186000000002</v>
      </c>
      <c r="O7552">
        <v>-111.655357</v>
      </c>
      <c r="P7552">
        <v>4766.4529009999997</v>
      </c>
      <c r="Q7552">
        <v>403</v>
      </c>
      <c r="R7552">
        <v>0</v>
      </c>
    </row>
    <row r="7553" spans="1:18" x14ac:dyDescent="0.25">
      <c r="A7553">
        <v>6552</v>
      </c>
      <c r="B7553">
        <v>94</v>
      </c>
      <c r="C7553">
        <v>31196370</v>
      </c>
      <c r="D7553" t="s">
        <v>305</v>
      </c>
      <c r="E7553">
        <v>7.44</v>
      </c>
      <c r="F7553" t="s">
        <v>21</v>
      </c>
      <c r="G7553" t="s">
        <v>26</v>
      </c>
      <c r="H7553" t="s">
        <v>21</v>
      </c>
      <c r="I7553" t="s">
        <v>20</v>
      </c>
      <c r="J7553" t="s">
        <v>20</v>
      </c>
      <c r="K7553" t="s">
        <v>22</v>
      </c>
      <c r="L7553" t="s">
        <v>133</v>
      </c>
      <c r="M7553" t="s">
        <v>235</v>
      </c>
      <c r="N7553">
        <v>40.188988999999999</v>
      </c>
      <c r="O7553">
        <v>-109.664638</v>
      </c>
      <c r="P7553">
        <v>4753.1840089999996</v>
      </c>
      <c r="Q7553">
        <v>1383</v>
      </c>
      <c r="R7553">
        <v>0</v>
      </c>
    </row>
    <row r="7554" spans="1:18" x14ac:dyDescent="0.25">
      <c r="A7554">
        <v>6553</v>
      </c>
      <c r="B7554">
        <v>94</v>
      </c>
      <c r="C7554">
        <v>2369587</v>
      </c>
      <c r="D7554" t="s">
        <v>113</v>
      </c>
      <c r="E7554">
        <v>7.4409999999999998</v>
      </c>
      <c r="F7554" t="s">
        <v>21</v>
      </c>
      <c r="G7554" t="s">
        <v>26</v>
      </c>
      <c r="H7554" t="s">
        <v>21</v>
      </c>
      <c r="I7554" t="s">
        <v>20</v>
      </c>
      <c r="J7554" t="s">
        <v>20</v>
      </c>
      <c r="K7554" t="s">
        <v>41</v>
      </c>
      <c r="L7554" t="s">
        <v>87</v>
      </c>
      <c r="M7554" t="s">
        <v>58</v>
      </c>
      <c r="N7554">
        <v>41.128463000000004</v>
      </c>
      <c r="O7554">
        <v>-111.906536</v>
      </c>
      <c r="P7554">
        <v>4527.205207</v>
      </c>
      <c r="Q7554">
        <v>1363</v>
      </c>
      <c r="R7554">
        <v>0</v>
      </c>
    </row>
    <row r="7555" spans="1:18" x14ac:dyDescent="0.25">
      <c r="A7555">
        <v>6554</v>
      </c>
      <c r="B7555">
        <v>94</v>
      </c>
      <c r="C7555">
        <v>31780739</v>
      </c>
      <c r="D7555" t="s">
        <v>272</v>
      </c>
      <c r="E7555">
        <v>7.4420000000000002</v>
      </c>
      <c r="F7555" t="s">
        <v>21</v>
      </c>
      <c r="G7555" t="s">
        <v>26</v>
      </c>
      <c r="H7555" t="s">
        <v>21</v>
      </c>
      <c r="I7555" t="s">
        <v>20</v>
      </c>
      <c r="J7555" t="s">
        <v>20</v>
      </c>
      <c r="K7555" t="s">
        <v>27</v>
      </c>
      <c r="L7555" t="s">
        <v>259</v>
      </c>
      <c r="M7555" t="s">
        <v>214</v>
      </c>
      <c r="N7555">
        <v>37.078487000000003</v>
      </c>
      <c r="O7555">
        <v>-111.664832</v>
      </c>
      <c r="P7555">
        <v>4055.6911989999999</v>
      </c>
      <c r="Q7555">
        <v>1384</v>
      </c>
      <c r="R7555">
        <v>0</v>
      </c>
    </row>
    <row r="7556" spans="1:18" x14ac:dyDescent="0.25">
      <c r="A7556">
        <v>6555</v>
      </c>
      <c r="B7556">
        <v>94</v>
      </c>
      <c r="C7556">
        <v>31636474</v>
      </c>
      <c r="D7556" t="s">
        <v>233</v>
      </c>
      <c r="E7556">
        <v>7.444</v>
      </c>
      <c r="F7556" t="s">
        <v>21</v>
      </c>
      <c r="G7556" t="s">
        <v>20</v>
      </c>
      <c r="H7556" t="s">
        <v>21</v>
      </c>
      <c r="I7556" t="s">
        <v>20</v>
      </c>
      <c r="J7556" t="s">
        <v>20</v>
      </c>
      <c r="K7556" t="s">
        <v>22</v>
      </c>
      <c r="L7556" t="s">
        <v>234</v>
      </c>
      <c r="M7556" t="s">
        <v>235</v>
      </c>
      <c r="N7556">
        <v>40.053460000000001</v>
      </c>
      <c r="O7556">
        <v>-109.191946</v>
      </c>
      <c r="P7556">
        <v>5154.771393</v>
      </c>
      <c r="Q7556">
        <v>1354</v>
      </c>
      <c r="R7556">
        <v>0</v>
      </c>
    </row>
    <row r="7557" spans="1:18" x14ac:dyDescent="0.25">
      <c r="A7557">
        <v>6556</v>
      </c>
      <c r="B7557">
        <v>94</v>
      </c>
      <c r="C7557">
        <v>31757393</v>
      </c>
      <c r="D7557" t="s">
        <v>65</v>
      </c>
      <c r="E7557">
        <v>7.4550000000000001</v>
      </c>
      <c r="F7557" t="s">
        <v>21</v>
      </c>
      <c r="G7557" t="s">
        <v>26</v>
      </c>
      <c r="H7557" t="s">
        <v>21</v>
      </c>
      <c r="I7557" t="s">
        <v>20</v>
      </c>
      <c r="J7557" t="s">
        <v>20</v>
      </c>
      <c r="K7557" t="s">
        <v>31</v>
      </c>
      <c r="L7557" t="s">
        <v>188</v>
      </c>
      <c r="M7557" t="s">
        <v>67</v>
      </c>
      <c r="N7557">
        <v>40.732667999999997</v>
      </c>
      <c r="O7557">
        <v>-111.819558</v>
      </c>
      <c r="P7557">
        <v>4689.9748090000003</v>
      </c>
      <c r="Q7557">
        <v>402</v>
      </c>
      <c r="R7557">
        <v>0</v>
      </c>
    </row>
    <row r="7558" spans="1:18" x14ac:dyDescent="0.25">
      <c r="A7558">
        <v>6557</v>
      </c>
      <c r="B7558">
        <v>94</v>
      </c>
      <c r="C7558">
        <v>31629534</v>
      </c>
      <c r="D7558" t="s">
        <v>244</v>
      </c>
      <c r="E7558">
        <v>50.076999999999998</v>
      </c>
      <c r="F7558" t="s">
        <v>21</v>
      </c>
      <c r="G7558" t="s">
        <v>26</v>
      </c>
      <c r="H7558" t="s">
        <v>21</v>
      </c>
      <c r="I7558" t="s">
        <v>20</v>
      </c>
      <c r="J7558" t="s">
        <v>20</v>
      </c>
      <c r="K7558" t="s">
        <v>27</v>
      </c>
      <c r="L7558" t="s">
        <v>266</v>
      </c>
      <c r="M7558" t="s">
        <v>58</v>
      </c>
      <c r="N7558">
        <v>38.420399000000003</v>
      </c>
      <c r="O7558">
        <v>-111.666404</v>
      </c>
      <c r="P7558">
        <v>7132.0060480000002</v>
      </c>
      <c r="Q7558">
        <v>1340</v>
      </c>
      <c r="R7558">
        <v>0</v>
      </c>
    </row>
    <row r="7559" spans="1:18" x14ac:dyDescent="0.25">
      <c r="A7559">
        <v>6558</v>
      </c>
      <c r="B7559">
        <v>94</v>
      </c>
      <c r="C7559" t="e">
        <f>-JYlUyjZICTCY3021XxNKV</f>
        <v>#NAME?</v>
      </c>
      <c r="D7559" t="s">
        <v>129</v>
      </c>
      <c r="E7559">
        <v>50.140999999999998</v>
      </c>
      <c r="F7559" t="s">
        <v>21</v>
      </c>
      <c r="G7559" t="s">
        <v>20</v>
      </c>
      <c r="H7559" t="s">
        <v>21</v>
      </c>
      <c r="I7559" t="s">
        <v>20</v>
      </c>
      <c r="J7559" t="s">
        <v>20</v>
      </c>
      <c r="K7559" t="s">
        <v>31</v>
      </c>
      <c r="L7559" t="s">
        <v>130</v>
      </c>
      <c r="M7559" t="s">
        <v>328</v>
      </c>
      <c r="N7559">
        <v>40.934745999999997</v>
      </c>
      <c r="O7559">
        <v>-110.83457</v>
      </c>
      <c r="P7559">
        <v>8205.3806359999999</v>
      </c>
      <c r="Q7559">
        <v>340</v>
      </c>
      <c r="R7559">
        <v>0</v>
      </c>
    </row>
    <row r="7560" spans="1:18" x14ac:dyDescent="0.25">
      <c r="A7560">
        <v>6559</v>
      </c>
      <c r="B7560">
        <v>94</v>
      </c>
      <c r="C7560">
        <v>31626848</v>
      </c>
      <c r="D7560" t="s">
        <v>50</v>
      </c>
      <c r="E7560">
        <v>50.151000000000003</v>
      </c>
      <c r="F7560" t="s">
        <v>21</v>
      </c>
      <c r="G7560" t="s">
        <v>26</v>
      </c>
      <c r="H7560" t="s">
        <v>21</v>
      </c>
      <c r="I7560" t="s">
        <v>20</v>
      </c>
      <c r="J7560" t="s">
        <v>20</v>
      </c>
      <c r="K7560" t="s">
        <v>27</v>
      </c>
      <c r="L7560" t="s">
        <v>247</v>
      </c>
      <c r="M7560" t="s">
        <v>52</v>
      </c>
      <c r="N7560">
        <v>37.807513999999998</v>
      </c>
      <c r="O7560">
        <v>-112.435377</v>
      </c>
      <c r="P7560">
        <v>6588.7323690000003</v>
      </c>
      <c r="Q7560">
        <v>1418</v>
      </c>
      <c r="R7560">
        <v>0</v>
      </c>
    </row>
    <row r="7561" spans="1:18" x14ac:dyDescent="0.25">
      <c r="A7561">
        <v>6560</v>
      </c>
      <c r="B7561">
        <v>94</v>
      </c>
      <c r="C7561">
        <v>31464343</v>
      </c>
      <c r="D7561" t="s">
        <v>319</v>
      </c>
      <c r="E7561">
        <v>50.183999999999997</v>
      </c>
      <c r="F7561" t="s">
        <v>21</v>
      </c>
      <c r="G7561" t="s">
        <v>20</v>
      </c>
      <c r="H7561" t="s">
        <v>21</v>
      </c>
      <c r="I7561" t="s">
        <v>20</v>
      </c>
      <c r="J7561" t="s">
        <v>20</v>
      </c>
      <c r="K7561" t="s">
        <v>27</v>
      </c>
      <c r="L7561" t="s">
        <v>54</v>
      </c>
      <c r="M7561" t="s">
        <v>55</v>
      </c>
      <c r="N7561">
        <v>37.642037999999999</v>
      </c>
      <c r="O7561">
        <v>-113.252725</v>
      </c>
      <c r="P7561">
        <v>5611.3849499999997</v>
      </c>
      <c r="Q7561">
        <v>314</v>
      </c>
      <c r="R7561">
        <v>0</v>
      </c>
    </row>
    <row r="7562" spans="1:18" x14ac:dyDescent="0.25">
      <c r="A7562">
        <v>6561</v>
      </c>
      <c r="B7562">
        <v>94</v>
      </c>
      <c r="C7562">
        <v>31301821</v>
      </c>
      <c r="D7562" t="s">
        <v>203</v>
      </c>
      <c r="E7562">
        <v>7.5739999999999998</v>
      </c>
      <c r="F7562" t="s">
        <v>21</v>
      </c>
      <c r="G7562" t="s">
        <v>26</v>
      </c>
      <c r="H7562" t="s">
        <v>21</v>
      </c>
      <c r="I7562" t="s">
        <v>20</v>
      </c>
      <c r="J7562" t="s">
        <v>20</v>
      </c>
      <c r="K7562" t="s">
        <v>41</v>
      </c>
      <c r="L7562" t="s">
        <v>81</v>
      </c>
      <c r="M7562" t="s">
        <v>204</v>
      </c>
      <c r="N7562">
        <v>41.243118000000003</v>
      </c>
      <c r="O7562">
        <v>-111.947548</v>
      </c>
      <c r="P7562">
        <v>4298.9493249999996</v>
      </c>
      <c r="Q7562">
        <v>1349</v>
      </c>
      <c r="R7562">
        <v>0</v>
      </c>
    </row>
    <row r="7563" spans="1:18" x14ac:dyDescent="0.25">
      <c r="A7563">
        <v>6562</v>
      </c>
      <c r="B7563">
        <v>94</v>
      </c>
      <c r="C7563">
        <v>31191861</v>
      </c>
      <c r="D7563" t="s">
        <v>414</v>
      </c>
      <c r="E7563">
        <v>7.5789999999999997</v>
      </c>
      <c r="F7563" t="s">
        <v>21</v>
      </c>
      <c r="G7563" t="s">
        <v>26</v>
      </c>
      <c r="H7563" t="s">
        <v>21</v>
      </c>
      <c r="I7563" t="s">
        <v>20</v>
      </c>
      <c r="J7563" t="s">
        <v>20</v>
      </c>
      <c r="K7563" t="s">
        <v>27</v>
      </c>
      <c r="L7563" t="s">
        <v>350</v>
      </c>
      <c r="M7563" t="s">
        <v>58</v>
      </c>
      <c r="N7563">
        <v>39.118941</v>
      </c>
      <c r="O7563">
        <v>-111.71243800000001</v>
      </c>
      <c r="P7563">
        <v>5462.4134800000002</v>
      </c>
      <c r="Q7563">
        <v>336</v>
      </c>
      <c r="R7563">
        <v>0</v>
      </c>
    </row>
    <row r="7564" spans="1:18" x14ac:dyDescent="0.25">
      <c r="A7564">
        <v>6563</v>
      </c>
      <c r="B7564">
        <v>94</v>
      </c>
      <c r="C7564">
        <v>31191894</v>
      </c>
      <c r="D7564" t="s">
        <v>414</v>
      </c>
      <c r="E7564">
        <v>7.58</v>
      </c>
      <c r="F7564" t="s">
        <v>21</v>
      </c>
      <c r="G7564" t="s">
        <v>26</v>
      </c>
      <c r="H7564" t="s">
        <v>21</v>
      </c>
      <c r="I7564" t="s">
        <v>20</v>
      </c>
      <c r="J7564" t="s">
        <v>20</v>
      </c>
      <c r="K7564" t="s">
        <v>27</v>
      </c>
      <c r="L7564" t="s">
        <v>350</v>
      </c>
      <c r="M7564" t="s">
        <v>58</v>
      </c>
      <c r="N7564">
        <v>39.114159999999998</v>
      </c>
      <c r="O7564">
        <v>-111.708772</v>
      </c>
      <c r="P7564">
        <v>5509.7991609999999</v>
      </c>
      <c r="Q7564">
        <v>336</v>
      </c>
      <c r="R7564">
        <v>0</v>
      </c>
    </row>
    <row r="7565" spans="1:18" x14ac:dyDescent="0.25">
      <c r="A7565">
        <v>6564</v>
      </c>
      <c r="B7565">
        <v>94</v>
      </c>
      <c r="C7565">
        <v>31526416</v>
      </c>
      <c r="D7565" t="s">
        <v>390</v>
      </c>
      <c r="E7565">
        <v>7.58</v>
      </c>
      <c r="F7565" t="s">
        <v>21</v>
      </c>
      <c r="G7565" t="s">
        <v>26</v>
      </c>
      <c r="H7565" t="s">
        <v>19</v>
      </c>
      <c r="I7565">
        <v>146</v>
      </c>
      <c r="J7565" t="s">
        <v>20</v>
      </c>
      <c r="K7565" t="s">
        <v>22</v>
      </c>
      <c r="L7565" t="s">
        <v>84</v>
      </c>
      <c r="M7565" t="s">
        <v>335</v>
      </c>
      <c r="N7565">
        <v>40.432215999999997</v>
      </c>
      <c r="O7565">
        <v>-111.751912</v>
      </c>
      <c r="P7565">
        <v>4988.7259270000004</v>
      </c>
      <c r="Q7565">
        <v>1386</v>
      </c>
      <c r="R7565">
        <v>0</v>
      </c>
    </row>
    <row r="7566" spans="1:18" x14ac:dyDescent="0.25">
      <c r="A7566">
        <v>6565</v>
      </c>
      <c r="B7566">
        <v>94</v>
      </c>
      <c r="C7566" t="s">
        <v>886</v>
      </c>
      <c r="D7566" t="s">
        <v>37</v>
      </c>
      <c r="E7566">
        <v>7.5819999999999999</v>
      </c>
      <c r="F7566" t="s">
        <v>21</v>
      </c>
      <c r="G7566" t="s">
        <v>26</v>
      </c>
      <c r="H7566" t="s">
        <v>21</v>
      </c>
      <c r="I7566" t="s">
        <v>20</v>
      </c>
      <c r="J7566" t="s">
        <v>20</v>
      </c>
      <c r="K7566" t="s">
        <v>27</v>
      </c>
      <c r="L7566" t="s">
        <v>38</v>
      </c>
      <c r="M7566" t="s">
        <v>39</v>
      </c>
      <c r="N7566">
        <v>38.649079999999998</v>
      </c>
      <c r="O7566">
        <v>-109.479536</v>
      </c>
      <c r="P7566">
        <v>3943.7660850000002</v>
      </c>
      <c r="Q7566">
        <v>1319</v>
      </c>
      <c r="R7566">
        <v>0</v>
      </c>
    </row>
    <row r="7567" spans="1:18" x14ac:dyDescent="0.25">
      <c r="A7567">
        <v>6566</v>
      </c>
      <c r="B7567">
        <v>94</v>
      </c>
      <c r="C7567">
        <v>1039229</v>
      </c>
      <c r="D7567" t="s">
        <v>171</v>
      </c>
      <c r="E7567">
        <v>7.5819999999999999</v>
      </c>
      <c r="F7567" t="s">
        <v>19</v>
      </c>
      <c r="G7567" t="s">
        <v>20</v>
      </c>
      <c r="H7567" t="s">
        <v>21</v>
      </c>
      <c r="I7567" t="s">
        <v>20</v>
      </c>
      <c r="J7567" t="s">
        <v>20</v>
      </c>
      <c r="K7567" t="s">
        <v>31</v>
      </c>
      <c r="L7567" t="s">
        <v>362</v>
      </c>
      <c r="M7567" t="s">
        <v>79</v>
      </c>
      <c r="N7567">
        <v>40.696679000000003</v>
      </c>
      <c r="O7567">
        <v>-111.947249</v>
      </c>
      <c r="P7567">
        <v>4192.9979430000003</v>
      </c>
      <c r="Q7567">
        <v>346</v>
      </c>
      <c r="R7567">
        <v>0</v>
      </c>
    </row>
    <row r="7568" spans="1:18" x14ac:dyDescent="0.25">
      <c r="A7568">
        <v>6567</v>
      </c>
      <c r="B7568">
        <v>94</v>
      </c>
      <c r="C7568">
        <v>31648124</v>
      </c>
      <c r="D7568" t="s">
        <v>88</v>
      </c>
      <c r="E7568">
        <v>7.585</v>
      </c>
      <c r="F7568" t="s">
        <v>21</v>
      </c>
      <c r="G7568" t="s">
        <v>26</v>
      </c>
      <c r="H7568" t="s">
        <v>21</v>
      </c>
      <c r="I7568" t="s">
        <v>20</v>
      </c>
      <c r="J7568" t="s">
        <v>20</v>
      </c>
      <c r="K7568" t="s">
        <v>31</v>
      </c>
      <c r="L7568" t="s">
        <v>89</v>
      </c>
      <c r="M7568" t="s">
        <v>90</v>
      </c>
      <c r="N7568">
        <v>40.549697999999999</v>
      </c>
      <c r="O7568">
        <v>-111.87227300000001</v>
      </c>
      <c r="P7568">
        <v>4487.6214579999996</v>
      </c>
      <c r="Q7568">
        <v>318</v>
      </c>
      <c r="R7568">
        <v>0</v>
      </c>
    </row>
    <row r="7569" spans="1:18" x14ac:dyDescent="0.25">
      <c r="A7569">
        <v>6568</v>
      </c>
      <c r="B7569">
        <v>94</v>
      </c>
      <c r="C7569">
        <v>31299991</v>
      </c>
      <c r="D7569" t="s">
        <v>203</v>
      </c>
      <c r="E7569">
        <v>6.5330000000000004</v>
      </c>
      <c r="F7569" t="s">
        <v>21</v>
      </c>
      <c r="G7569" t="s">
        <v>26</v>
      </c>
      <c r="H7569" t="s">
        <v>21</v>
      </c>
      <c r="I7569" t="s">
        <v>20</v>
      </c>
      <c r="J7569" t="s">
        <v>20</v>
      </c>
      <c r="K7569" t="s">
        <v>41</v>
      </c>
      <c r="L7569" t="s">
        <v>81</v>
      </c>
      <c r="M7569" t="s">
        <v>204</v>
      </c>
      <c r="N7569">
        <v>41.244278000000001</v>
      </c>
      <c r="O7569">
        <v>-111.96729499999999</v>
      </c>
      <c r="P7569">
        <v>4249.4983970000003</v>
      </c>
      <c r="Q7569">
        <v>1349</v>
      </c>
      <c r="R7569">
        <v>0</v>
      </c>
    </row>
    <row r="7570" spans="1:18" x14ac:dyDescent="0.25">
      <c r="A7570">
        <v>6569</v>
      </c>
      <c r="B7570">
        <v>94</v>
      </c>
      <c r="C7570">
        <v>2563399</v>
      </c>
      <c r="D7570" t="s">
        <v>176</v>
      </c>
      <c r="E7570">
        <v>6.5439999999999996</v>
      </c>
      <c r="F7570" t="s">
        <v>21</v>
      </c>
      <c r="G7570" t="s">
        <v>26</v>
      </c>
      <c r="H7570" t="s">
        <v>21</v>
      </c>
      <c r="I7570" t="s">
        <v>20</v>
      </c>
      <c r="J7570" t="s">
        <v>20</v>
      </c>
      <c r="K7570" t="s">
        <v>41</v>
      </c>
      <c r="L7570" t="s">
        <v>177</v>
      </c>
      <c r="M7570" t="s">
        <v>178</v>
      </c>
      <c r="N7570">
        <v>41.540202000000001</v>
      </c>
      <c r="O7570">
        <v>-112.083625</v>
      </c>
      <c r="P7570">
        <v>4175.9904429999997</v>
      </c>
      <c r="Q7570">
        <v>1329</v>
      </c>
      <c r="R7570">
        <v>0</v>
      </c>
    </row>
    <row r="7571" spans="1:18" x14ac:dyDescent="0.25">
      <c r="A7571">
        <v>6570</v>
      </c>
      <c r="B7571">
        <v>94</v>
      </c>
      <c r="C7571">
        <v>31685438</v>
      </c>
      <c r="D7571" t="s">
        <v>217</v>
      </c>
      <c r="E7571">
        <v>33.549999999999997</v>
      </c>
      <c r="F7571" t="s">
        <v>21</v>
      </c>
      <c r="G7571" t="s">
        <v>20</v>
      </c>
      <c r="H7571" t="s">
        <v>21</v>
      </c>
      <c r="I7571" t="s">
        <v>20</v>
      </c>
      <c r="J7571" t="s">
        <v>20</v>
      </c>
      <c r="K7571" t="s">
        <v>27</v>
      </c>
      <c r="L7571" t="s">
        <v>162</v>
      </c>
      <c r="M7571" t="s">
        <v>163</v>
      </c>
      <c r="N7571">
        <v>37.506838000000002</v>
      </c>
      <c r="O7571">
        <v>-113.632767</v>
      </c>
      <c r="P7571">
        <v>5813.6988469999997</v>
      </c>
      <c r="Q7571">
        <v>304</v>
      </c>
      <c r="R7571">
        <v>0</v>
      </c>
    </row>
    <row r="7572" spans="1:18" x14ac:dyDescent="0.25">
      <c r="A7572">
        <v>6571</v>
      </c>
      <c r="B7572">
        <v>94</v>
      </c>
      <c r="C7572">
        <v>31395841</v>
      </c>
      <c r="D7572" t="s">
        <v>124</v>
      </c>
      <c r="E7572">
        <v>33.564999999999998</v>
      </c>
      <c r="F7572" t="s">
        <v>19</v>
      </c>
      <c r="G7572" t="s">
        <v>20</v>
      </c>
      <c r="H7572" t="s">
        <v>21</v>
      </c>
      <c r="I7572" t="s">
        <v>20</v>
      </c>
      <c r="J7572" t="s">
        <v>20</v>
      </c>
      <c r="K7572" t="s">
        <v>22</v>
      </c>
      <c r="L7572" t="s">
        <v>84</v>
      </c>
      <c r="M7572" t="s">
        <v>125</v>
      </c>
      <c r="N7572">
        <v>40.3994</v>
      </c>
      <c r="O7572">
        <v>-111.919259</v>
      </c>
      <c r="P7572">
        <v>4578.0623640000003</v>
      </c>
      <c r="Q7572">
        <v>1368</v>
      </c>
      <c r="R7572">
        <v>0</v>
      </c>
    </row>
    <row r="7573" spans="1:18" x14ac:dyDescent="0.25">
      <c r="A7573">
        <v>6572</v>
      </c>
      <c r="B7573">
        <v>94</v>
      </c>
      <c r="C7573">
        <v>31382650</v>
      </c>
      <c r="D7573" t="s">
        <v>116</v>
      </c>
      <c r="E7573">
        <v>33.588000000000001</v>
      </c>
      <c r="F7573" t="s">
        <v>21</v>
      </c>
      <c r="G7573" t="s">
        <v>26</v>
      </c>
      <c r="H7573" t="s">
        <v>21</v>
      </c>
      <c r="I7573" t="s">
        <v>20</v>
      </c>
      <c r="J7573" t="s">
        <v>20</v>
      </c>
      <c r="K7573" t="s">
        <v>41</v>
      </c>
      <c r="L7573" t="s">
        <v>95</v>
      </c>
      <c r="M7573" t="s">
        <v>117</v>
      </c>
      <c r="N7573">
        <v>41.832326000000002</v>
      </c>
      <c r="O7573">
        <v>-111.83280600000001</v>
      </c>
      <c r="P7573">
        <v>4545.8951530000004</v>
      </c>
      <c r="Q7573">
        <v>324</v>
      </c>
      <c r="R7573">
        <v>0</v>
      </c>
    </row>
    <row r="7574" spans="1:18" x14ac:dyDescent="0.25">
      <c r="A7574">
        <v>6573</v>
      </c>
      <c r="B7574">
        <v>94</v>
      </c>
      <c r="C7574" t="e">
        <f>-JOZ9zKGGEDPNwUlCh-J0k</f>
        <v>#NAME?</v>
      </c>
      <c r="D7574" t="s">
        <v>241</v>
      </c>
      <c r="E7574">
        <v>33.609000000000002</v>
      </c>
      <c r="F7574" t="s">
        <v>21</v>
      </c>
      <c r="G7574" t="s">
        <v>20</v>
      </c>
      <c r="H7574" t="s">
        <v>21</v>
      </c>
      <c r="I7574" t="s">
        <v>20</v>
      </c>
      <c r="J7574" t="s">
        <v>20</v>
      </c>
      <c r="K7574" t="s">
        <v>27</v>
      </c>
      <c r="L7574" t="s">
        <v>111</v>
      </c>
      <c r="M7574" t="s">
        <v>243</v>
      </c>
      <c r="N7574">
        <v>39.166207</v>
      </c>
      <c r="O7574">
        <v>-111.062757</v>
      </c>
      <c r="P7574">
        <v>5678.8327479999998</v>
      </c>
      <c r="Q7574">
        <v>1327</v>
      </c>
      <c r="R7574">
        <v>0</v>
      </c>
    </row>
    <row r="7575" spans="1:18" x14ac:dyDescent="0.25">
      <c r="A7575">
        <v>6574</v>
      </c>
      <c r="B7575">
        <v>94</v>
      </c>
      <c r="C7575">
        <v>31575527</v>
      </c>
      <c r="D7575" t="s">
        <v>172</v>
      </c>
      <c r="E7575">
        <v>33.627000000000002</v>
      </c>
      <c r="F7575" t="s">
        <v>21</v>
      </c>
      <c r="G7575" t="s">
        <v>26</v>
      </c>
      <c r="H7575" t="s">
        <v>21</v>
      </c>
      <c r="I7575" t="s">
        <v>20</v>
      </c>
      <c r="J7575" t="s">
        <v>20</v>
      </c>
      <c r="K7575" t="s">
        <v>22</v>
      </c>
      <c r="L7575" t="s">
        <v>155</v>
      </c>
      <c r="M7575" t="s">
        <v>174</v>
      </c>
      <c r="N7575">
        <v>39.710014000000001</v>
      </c>
      <c r="O7575">
        <v>-111.828563</v>
      </c>
      <c r="P7575">
        <v>5102.0256239999999</v>
      </c>
      <c r="Q7575">
        <v>1411</v>
      </c>
      <c r="R7575">
        <v>0</v>
      </c>
    </row>
    <row r="7576" spans="1:18" x14ac:dyDescent="0.25">
      <c r="A7576">
        <v>6575</v>
      </c>
      <c r="B7576">
        <v>94</v>
      </c>
      <c r="C7576">
        <v>31621104</v>
      </c>
      <c r="D7576" t="s">
        <v>50</v>
      </c>
      <c r="E7576">
        <v>33.655999999999999</v>
      </c>
      <c r="F7576" t="s">
        <v>21</v>
      </c>
      <c r="G7576" t="s">
        <v>26</v>
      </c>
      <c r="H7576" t="s">
        <v>21</v>
      </c>
      <c r="I7576" t="s">
        <v>20</v>
      </c>
      <c r="J7576" t="s">
        <v>20</v>
      </c>
      <c r="K7576" t="s">
        <v>27</v>
      </c>
      <c r="L7576" t="s">
        <v>247</v>
      </c>
      <c r="M7576" t="s">
        <v>52</v>
      </c>
      <c r="N7576">
        <v>37.705877999999998</v>
      </c>
      <c r="O7576">
        <v>-112.636169</v>
      </c>
      <c r="P7576">
        <v>8171.9691650000004</v>
      </c>
      <c r="Q7576">
        <v>1418</v>
      </c>
      <c r="R7576">
        <v>0</v>
      </c>
    </row>
    <row r="7577" spans="1:18" x14ac:dyDescent="0.25">
      <c r="A7577">
        <v>6576</v>
      </c>
      <c r="B7577">
        <v>94</v>
      </c>
      <c r="C7577" t="s">
        <v>887</v>
      </c>
      <c r="D7577" t="s">
        <v>50</v>
      </c>
      <c r="E7577">
        <v>33.67</v>
      </c>
      <c r="F7577" t="s">
        <v>21</v>
      </c>
      <c r="G7577" t="s">
        <v>20</v>
      </c>
      <c r="H7577" t="s">
        <v>21</v>
      </c>
      <c r="I7577" t="s">
        <v>20</v>
      </c>
      <c r="J7577" t="s">
        <v>20</v>
      </c>
      <c r="K7577" t="s">
        <v>27</v>
      </c>
      <c r="L7577" t="s">
        <v>247</v>
      </c>
      <c r="M7577" t="s">
        <v>52</v>
      </c>
      <c r="N7577">
        <v>37.705928999999998</v>
      </c>
      <c r="O7577">
        <v>-112.63591099999999</v>
      </c>
      <c r="P7577">
        <v>8174.2455259999997</v>
      </c>
      <c r="Q7577">
        <v>1418</v>
      </c>
      <c r="R7577">
        <v>0</v>
      </c>
    </row>
    <row r="7578" spans="1:18" x14ac:dyDescent="0.25">
      <c r="A7578">
        <v>6577</v>
      </c>
      <c r="B7578">
        <v>94</v>
      </c>
      <c r="C7578">
        <v>31396038</v>
      </c>
      <c r="D7578" t="s">
        <v>124</v>
      </c>
      <c r="E7578">
        <v>33.686</v>
      </c>
      <c r="F7578" t="s">
        <v>21</v>
      </c>
      <c r="G7578" t="s">
        <v>26</v>
      </c>
      <c r="H7578" t="s">
        <v>21</v>
      </c>
      <c r="I7578" t="s">
        <v>20</v>
      </c>
      <c r="J7578" t="s">
        <v>20</v>
      </c>
      <c r="K7578" t="s">
        <v>22</v>
      </c>
      <c r="L7578" t="s">
        <v>84</v>
      </c>
      <c r="M7578" t="s">
        <v>125</v>
      </c>
      <c r="N7578">
        <v>40.401096000000003</v>
      </c>
      <c r="O7578">
        <v>-111.91973299999999</v>
      </c>
      <c r="P7578">
        <v>4595.4276179999997</v>
      </c>
      <c r="Q7578">
        <v>1368</v>
      </c>
      <c r="R7578">
        <v>0</v>
      </c>
    </row>
    <row r="7579" spans="1:18" x14ac:dyDescent="0.25">
      <c r="A7579">
        <v>6578</v>
      </c>
      <c r="B7579">
        <v>94</v>
      </c>
      <c r="C7579">
        <v>31575538</v>
      </c>
      <c r="D7579" t="s">
        <v>172</v>
      </c>
      <c r="E7579">
        <v>33.726999999999997</v>
      </c>
      <c r="F7579" t="s">
        <v>21</v>
      </c>
      <c r="G7579" t="s">
        <v>26</v>
      </c>
      <c r="H7579" t="s">
        <v>21</v>
      </c>
      <c r="I7579" t="s">
        <v>20</v>
      </c>
      <c r="J7579" t="s">
        <v>20</v>
      </c>
      <c r="K7579" t="s">
        <v>22</v>
      </c>
      <c r="L7579" t="s">
        <v>155</v>
      </c>
      <c r="M7579" t="s">
        <v>174</v>
      </c>
      <c r="N7579">
        <v>39.710005000000002</v>
      </c>
      <c r="O7579">
        <v>-111.826679</v>
      </c>
      <c r="P7579">
        <v>5108.6089789999996</v>
      </c>
      <c r="Q7579">
        <v>1411</v>
      </c>
      <c r="R7579">
        <v>0</v>
      </c>
    </row>
    <row r="7580" spans="1:18" x14ac:dyDescent="0.25">
      <c r="A7580">
        <v>6579</v>
      </c>
      <c r="B7580">
        <v>94</v>
      </c>
      <c r="C7580">
        <v>31382761</v>
      </c>
      <c r="D7580" t="s">
        <v>116</v>
      </c>
      <c r="E7580">
        <v>33.734000000000002</v>
      </c>
      <c r="F7580" t="s">
        <v>21</v>
      </c>
      <c r="G7580" t="s">
        <v>26</v>
      </c>
      <c r="H7580" t="s">
        <v>21</v>
      </c>
      <c r="I7580" t="s">
        <v>20</v>
      </c>
      <c r="J7580" t="s">
        <v>20</v>
      </c>
      <c r="K7580" t="s">
        <v>41</v>
      </c>
      <c r="L7580" t="s">
        <v>95</v>
      </c>
      <c r="M7580" t="s">
        <v>117</v>
      </c>
      <c r="N7580">
        <v>41.834448000000002</v>
      </c>
      <c r="O7580">
        <v>-111.832748</v>
      </c>
      <c r="P7580">
        <v>4555.1861859999999</v>
      </c>
      <c r="Q7580">
        <v>324</v>
      </c>
      <c r="R7580">
        <v>0</v>
      </c>
    </row>
    <row r="7581" spans="1:18" x14ac:dyDescent="0.25">
      <c r="A7581">
        <v>6580</v>
      </c>
      <c r="B7581">
        <v>94</v>
      </c>
      <c r="C7581" t="e">
        <f>-JOZ9u1jGxy3ZfSPB7e5cF</f>
        <v>#NAME?</v>
      </c>
      <c r="D7581" t="s">
        <v>241</v>
      </c>
      <c r="E7581">
        <v>33.737000000000002</v>
      </c>
      <c r="F7581" t="s">
        <v>21</v>
      </c>
      <c r="G7581" t="s">
        <v>20</v>
      </c>
      <c r="H7581" t="s">
        <v>21</v>
      </c>
      <c r="I7581" t="s">
        <v>20</v>
      </c>
      <c r="J7581" t="s">
        <v>20</v>
      </c>
      <c r="K7581" t="s">
        <v>27</v>
      </c>
      <c r="L7581" t="s">
        <v>111</v>
      </c>
      <c r="M7581" t="s">
        <v>243</v>
      </c>
      <c r="N7581">
        <v>39.167368000000003</v>
      </c>
      <c r="O7581">
        <v>-111.06090500000001</v>
      </c>
      <c r="P7581">
        <v>5675.5221680000004</v>
      </c>
      <c r="Q7581">
        <v>1327</v>
      </c>
      <c r="R7581">
        <v>0</v>
      </c>
    </row>
    <row r="7582" spans="1:18" x14ac:dyDescent="0.25">
      <c r="A7582">
        <v>6581</v>
      </c>
      <c r="B7582">
        <v>94</v>
      </c>
      <c r="C7582">
        <v>28630916</v>
      </c>
      <c r="D7582" t="s">
        <v>142</v>
      </c>
      <c r="E7582">
        <v>33.743000000000002</v>
      </c>
      <c r="F7582" t="s">
        <v>21</v>
      </c>
      <c r="G7582" t="s">
        <v>20</v>
      </c>
      <c r="H7582" t="s">
        <v>21</v>
      </c>
      <c r="I7582" t="s">
        <v>20</v>
      </c>
      <c r="J7582" t="s">
        <v>20</v>
      </c>
      <c r="K7582" t="s">
        <v>27</v>
      </c>
      <c r="L7582" t="s">
        <v>143</v>
      </c>
      <c r="M7582" t="s">
        <v>106</v>
      </c>
      <c r="N7582">
        <v>38.551572999999998</v>
      </c>
      <c r="O7582">
        <v>-113.73396700000001</v>
      </c>
      <c r="P7582">
        <v>5128.6608029999998</v>
      </c>
      <c r="Q7582">
        <v>305</v>
      </c>
      <c r="R7582">
        <v>0</v>
      </c>
    </row>
    <row r="7583" spans="1:18" x14ac:dyDescent="0.25">
      <c r="A7583">
        <v>6582</v>
      </c>
      <c r="B7583">
        <v>94</v>
      </c>
      <c r="C7583">
        <v>31517739</v>
      </c>
      <c r="D7583" t="s">
        <v>292</v>
      </c>
      <c r="E7583">
        <v>33.764000000000003</v>
      </c>
      <c r="F7583" t="s">
        <v>21</v>
      </c>
      <c r="G7583" t="s">
        <v>26</v>
      </c>
      <c r="H7583" t="s">
        <v>21</v>
      </c>
      <c r="I7583" t="s">
        <v>20</v>
      </c>
      <c r="J7583" t="s">
        <v>20</v>
      </c>
      <c r="K7583" t="s">
        <v>22</v>
      </c>
      <c r="L7583" t="s">
        <v>133</v>
      </c>
      <c r="M7583" t="s">
        <v>134</v>
      </c>
      <c r="N7583">
        <v>40.258031000000003</v>
      </c>
      <c r="O7583">
        <v>-110.143271</v>
      </c>
      <c r="P7583">
        <v>5395.8407880000004</v>
      </c>
      <c r="Q7583">
        <v>323</v>
      </c>
      <c r="R7583">
        <v>0</v>
      </c>
    </row>
    <row r="7584" spans="1:18" x14ac:dyDescent="0.25">
      <c r="A7584">
        <v>6583</v>
      </c>
      <c r="B7584">
        <v>94</v>
      </c>
      <c r="C7584">
        <v>31396049</v>
      </c>
      <c r="D7584" t="s">
        <v>124</v>
      </c>
      <c r="E7584">
        <v>33.777000000000001</v>
      </c>
      <c r="F7584" t="s">
        <v>21</v>
      </c>
      <c r="G7584" t="s">
        <v>26</v>
      </c>
      <c r="H7584" t="s">
        <v>21</v>
      </c>
      <c r="I7584" t="s">
        <v>20</v>
      </c>
      <c r="J7584" t="s">
        <v>20</v>
      </c>
      <c r="K7584" t="s">
        <v>22</v>
      </c>
      <c r="L7584" t="s">
        <v>84</v>
      </c>
      <c r="M7584" t="s">
        <v>125</v>
      </c>
      <c r="N7584">
        <v>40.402397999999998</v>
      </c>
      <c r="O7584">
        <v>-111.920114</v>
      </c>
      <c r="P7584">
        <v>4607.3090499999998</v>
      </c>
      <c r="Q7584">
        <v>1368</v>
      </c>
      <c r="R7584">
        <v>0</v>
      </c>
    </row>
    <row r="7585" spans="1:18" x14ac:dyDescent="0.25">
      <c r="A7585">
        <v>6584</v>
      </c>
      <c r="B7585">
        <v>94</v>
      </c>
      <c r="C7585">
        <v>31411920</v>
      </c>
      <c r="D7585" t="s">
        <v>63</v>
      </c>
      <c r="E7585">
        <v>36.798000000000002</v>
      </c>
      <c r="F7585" t="s">
        <v>21</v>
      </c>
      <c r="G7585" t="s">
        <v>26</v>
      </c>
      <c r="H7585" t="s">
        <v>21</v>
      </c>
      <c r="I7585" t="s">
        <v>20</v>
      </c>
      <c r="J7585" t="s">
        <v>20</v>
      </c>
      <c r="K7585" t="s">
        <v>27</v>
      </c>
      <c r="L7585" t="s">
        <v>266</v>
      </c>
      <c r="M7585" t="s">
        <v>29</v>
      </c>
      <c r="N7585">
        <v>38.495072</v>
      </c>
      <c r="O7585">
        <v>-111.88145</v>
      </c>
      <c r="P7585">
        <v>6776.2733049999997</v>
      </c>
      <c r="Q7585">
        <v>1365</v>
      </c>
      <c r="R7585">
        <v>0</v>
      </c>
    </row>
    <row r="7586" spans="1:18" x14ac:dyDescent="0.25">
      <c r="A7586">
        <v>6585</v>
      </c>
      <c r="B7586">
        <v>94</v>
      </c>
      <c r="C7586">
        <v>31646082</v>
      </c>
      <c r="D7586" t="s">
        <v>233</v>
      </c>
      <c r="E7586">
        <v>36.807000000000002</v>
      </c>
      <c r="F7586" t="s">
        <v>21</v>
      </c>
      <c r="G7586" t="s">
        <v>20</v>
      </c>
      <c r="H7586" t="s">
        <v>21</v>
      </c>
      <c r="I7586" t="s">
        <v>20</v>
      </c>
      <c r="J7586" t="s">
        <v>20</v>
      </c>
      <c r="K7586" t="s">
        <v>22</v>
      </c>
      <c r="L7586" t="s">
        <v>234</v>
      </c>
      <c r="M7586" t="s">
        <v>235</v>
      </c>
      <c r="N7586">
        <v>40.367946000000003</v>
      </c>
      <c r="O7586">
        <v>-109.498302</v>
      </c>
      <c r="P7586">
        <v>5302.2367819999999</v>
      </c>
      <c r="Q7586">
        <v>1354</v>
      </c>
      <c r="R7586">
        <v>0</v>
      </c>
    </row>
    <row r="7587" spans="1:18" x14ac:dyDescent="0.25">
      <c r="A7587">
        <v>6586</v>
      </c>
      <c r="B7587">
        <v>94</v>
      </c>
      <c r="C7587">
        <v>31388343</v>
      </c>
      <c r="D7587" t="s">
        <v>284</v>
      </c>
      <c r="E7587">
        <v>36.823</v>
      </c>
      <c r="F7587" t="s">
        <v>21</v>
      </c>
      <c r="G7587" t="s">
        <v>26</v>
      </c>
      <c r="H7587" t="s">
        <v>21</v>
      </c>
      <c r="I7587" t="s">
        <v>20</v>
      </c>
      <c r="J7587" t="s">
        <v>20</v>
      </c>
      <c r="K7587" t="s">
        <v>31</v>
      </c>
      <c r="L7587" t="s">
        <v>285</v>
      </c>
      <c r="M7587" t="s">
        <v>206</v>
      </c>
      <c r="N7587">
        <v>40.745224999999998</v>
      </c>
      <c r="O7587">
        <v>-112.65305600000001</v>
      </c>
      <c r="P7587">
        <v>4165.0821390000001</v>
      </c>
      <c r="Q7587">
        <v>407</v>
      </c>
      <c r="R7587">
        <v>0</v>
      </c>
    </row>
    <row r="7588" spans="1:18" x14ac:dyDescent="0.25">
      <c r="A7588">
        <v>6587</v>
      </c>
      <c r="B7588">
        <v>94</v>
      </c>
      <c r="C7588">
        <v>28191892</v>
      </c>
      <c r="D7588" t="s">
        <v>233</v>
      </c>
      <c r="E7588">
        <v>36.823999999999998</v>
      </c>
      <c r="F7588" t="s">
        <v>21</v>
      </c>
      <c r="G7588" t="s">
        <v>26</v>
      </c>
      <c r="H7588" t="s">
        <v>21</v>
      </c>
      <c r="I7588" t="s">
        <v>20</v>
      </c>
      <c r="J7588" t="s">
        <v>20</v>
      </c>
      <c r="K7588" t="s">
        <v>22</v>
      </c>
      <c r="L7588" t="s">
        <v>234</v>
      </c>
      <c r="M7588" t="s">
        <v>235</v>
      </c>
      <c r="N7588">
        <v>40.368206000000001</v>
      </c>
      <c r="O7588">
        <v>-109.49830300000001</v>
      </c>
      <c r="P7588">
        <v>5302.9154140000001</v>
      </c>
      <c r="Q7588">
        <v>1354</v>
      </c>
      <c r="R7588">
        <v>0</v>
      </c>
    </row>
    <row r="7589" spans="1:18" x14ac:dyDescent="0.25">
      <c r="A7589">
        <v>6588</v>
      </c>
      <c r="B7589">
        <v>94</v>
      </c>
      <c r="C7589">
        <v>31693012</v>
      </c>
      <c r="D7589" t="s">
        <v>96</v>
      </c>
      <c r="E7589">
        <v>3.9329999999999998</v>
      </c>
      <c r="F7589" t="s">
        <v>21</v>
      </c>
      <c r="G7589" t="s">
        <v>20</v>
      </c>
      <c r="H7589" t="s">
        <v>21</v>
      </c>
      <c r="I7589" t="s">
        <v>20</v>
      </c>
      <c r="J7589" t="s">
        <v>20</v>
      </c>
      <c r="K7589" t="s">
        <v>22</v>
      </c>
      <c r="L7589" t="s">
        <v>97</v>
      </c>
      <c r="M7589" t="s">
        <v>98</v>
      </c>
      <c r="N7589">
        <v>40.978440999999997</v>
      </c>
      <c r="O7589">
        <v>-109.79258400000001</v>
      </c>
      <c r="P7589">
        <v>6974.3794589999998</v>
      </c>
      <c r="Q7589">
        <v>311</v>
      </c>
      <c r="R7589">
        <v>0</v>
      </c>
    </row>
    <row r="7590" spans="1:18" x14ac:dyDescent="0.25">
      <c r="A7590">
        <v>6589</v>
      </c>
      <c r="B7590">
        <v>94</v>
      </c>
      <c r="C7590" t="s">
        <v>888</v>
      </c>
      <c r="D7590" t="s">
        <v>345</v>
      </c>
      <c r="E7590">
        <v>3.9329999999999998</v>
      </c>
      <c r="F7590" t="s">
        <v>21</v>
      </c>
      <c r="G7590" t="s">
        <v>20</v>
      </c>
      <c r="H7590" t="s">
        <v>21</v>
      </c>
      <c r="I7590" t="s">
        <v>20</v>
      </c>
      <c r="J7590" t="s">
        <v>20</v>
      </c>
      <c r="K7590" t="s">
        <v>27</v>
      </c>
      <c r="L7590" t="s">
        <v>75</v>
      </c>
      <c r="M7590" t="s">
        <v>76</v>
      </c>
      <c r="N7590">
        <v>38.628883999999999</v>
      </c>
      <c r="O7590">
        <v>-112.15983900000001</v>
      </c>
      <c r="P7590">
        <v>5381.6194189999997</v>
      </c>
      <c r="Q7590">
        <v>1403</v>
      </c>
      <c r="R7590">
        <v>0</v>
      </c>
    </row>
    <row r="7591" spans="1:18" x14ac:dyDescent="0.25">
      <c r="A7591">
        <v>6590</v>
      </c>
      <c r="B7591">
        <v>94</v>
      </c>
      <c r="C7591">
        <v>766022</v>
      </c>
      <c r="D7591" t="s">
        <v>44</v>
      </c>
      <c r="E7591">
        <v>3.9350000000000001</v>
      </c>
      <c r="F7591" t="s">
        <v>21</v>
      </c>
      <c r="G7591" t="s">
        <v>26</v>
      </c>
      <c r="H7591" t="s">
        <v>21</v>
      </c>
      <c r="I7591" t="s">
        <v>20</v>
      </c>
      <c r="J7591" t="s">
        <v>20</v>
      </c>
      <c r="K7591" t="s">
        <v>41</v>
      </c>
      <c r="L7591" t="s">
        <v>45</v>
      </c>
      <c r="M7591" t="s">
        <v>46</v>
      </c>
      <c r="N7591">
        <v>40.934381999999999</v>
      </c>
      <c r="O7591">
        <v>-111.878953</v>
      </c>
      <c r="P7591">
        <v>4249.5084230000002</v>
      </c>
      <c r="Q7591">
        <v>1395</v>
      </c>
      <c r="R7591">
        <v>0</v>
      </c>
    </row>
    <row r="7592" spans="1:18" x14ac:dyDescent="0.25">
      <c r="A7592">
        <v>6591</v>
      </c>
      <c r="B7592">
        <v>94</v>
      </c>
      <c r="C7592" t="s">
        <v>889</v>
      </c>
      <c r="D7592" t="s">
        <v>309</v>
      </c>
      <c r="E7592">
        <v>3.9380000000000002</v>
      </c>
      <c r="F7592" t="s">
        <v>21</v>
      </c>
      <c r="G7592" t="s">
        <v>26</v>
      </c>
      <c r="H7592" t="s">
        <v>21</v>
      </c>
      <c r="I7592" t="s">
        <v>20</v>
      </c>
      <c r="J7592" t="s">
        <v>20</v>
      </c>
      <c r="K7592" t="s">
        <v>22</v>
      </c>
      <c r="L7592" t="s">
        <v>198</v>
      </c>
      <c r="M7592" t="s">
        <v>125</v>
      </c>
      <c r="N7592">
        <v>40.097819000000001</v>
      </c>
      <c r="O7592">
        <v>-111.787554</v>
      </c>
      <c r="P7592">
        <v>4443.4089789999998</v>
      </c>
      <c r="Q7592">
        <v>339</v>
      </c>
      <c r="R7592">
        <v>0</v>
      </c>
    </row>
    <row r="7593" spans="1:18" x14ac:dyDescent="0.25">
      <c r="A7593">
        <v>6592</v>
      </c>
      <c r="B7593">
        <v>94</v>
      </c>
      <c r="C7593">
        <v>28468733</v>
      </c>
      <c r="D7593" t="s">
        <v>99</v>
      </c>
      <c r="E7593">
        <v>3.9390000000000001</v>
      </c>
      <c r="F7593" t="s">
        <v>21</v>
      </c>
      <c r="G7593" t="s">
        <v>20</v>
      </c>
      <c r="H7593" t="s">
        <v>21</v>
      </c>
      <c r="I7593" t="s">
        <v>20</v>
      </c>
      <c r="J7593" t="s">
        <v>20</v>
      </c>
      <c r="K7593" t="s">
        <v>41</v>
      </c>
      <c r="L7593" t="s">
        <v>81</v>
      </c>
      <c r="M7593" t="s">
        <v>82</v>
      </c>
      <c r="N7593">
        <v>41.210175999999997</v>
      </c>
      <c r="O7593">
        <v>-111.966511</v>
      </c>
      <c r="P7593">
        <v>4281.2459090000002</v>
      </c>
      <c r="Q7593">
        <v>1376</v>
      </c>
      <c r="R7593">
        <v>0</v>
      </c>
    </row>
    <row r="7594" spans="1:18" x14ac:dyDescent="0.25">
      <c r="A7594">
        <v>6593</v>
      </c>
      <c r="B7594">
        <v>94</v>
      </c>
      <c r="C7594">
        <v>31191646</v>
      </c>
      <c r="D7594" t="s">
        <v>354</v>
      </c>
      <c r="E7594">
        <v>3.9409999999999998</v>
      </c>
      <c r="F7594" t="s">
        <v>21</v>
      </c>
      <c r="G7594" t="s">
        <v>20</v>
      </c>
      <c r="H7594" t="s">
        <v>21</v>
      </c>
      <c r="I7594" t="s">
        <v>20</v>
      </c>
      <c r="J7594" t="s">
        <v>20</v>
      </c>
      <c r="K7594" t="s">
        <v>27</v>
      </c>
      <c r="L7594" t="s">
        <v>64</v>
      </c>
      <c r="M7594" t="s">
        <v>58</v>
      </c>
      <c r="N7594">
        <v>38.137982000000001</v>
      </c>
      <c r="O7594">
        <v>-111.99766700000001</v>
      </c>
      <c r="P7594">
        <v>6337.8001130000002</v>
      </c>
      <c r="Q7594">
        <v>1338</v>
      </c>
      <c r="R7594">
        <v>0</v>
      </c>
    </row>
    <row r="7595" spans="1:18" x14ac:dyDescent="0.25">
      <c r="A7595">
        <v>6594</v>
      </c>
      <c r="B7595">
        <v>94</v>
      </c>
      <c r="C7595" t="s">
        <v>890</v>
      </c>
      <c r="D7595" t="s">
        <v>65</v>
      </c>
      <c r="E7595">
        <v>3.9489999999999998</v>
      </c>
      <c r="F7595" t="s">
        <v>21</v>
      </c>
      <c r="G7595" t="s">
        <v>26</v>
      </c>
      <c r="H7595" t="s">
        <v>21</v>
      </c>
      <c r="I7595" t="s">
        <v>20</v>
      </c>
      <c r="J7595" t="s">
        <v>20</v>
      </c>
      <c r="K7595" t="s">
        <v>31</v>
      </c>
      <c r="L7595" t="s">
        <v>66</v>
      </c>
      <c r="M7595" t="s">
        <v>67</v>
      </c>
      <c r="N7595">
        <v>40.760559999999998</v>
      </c>
      <c r="O7595">
        <v>-111.863601</v>
      </c>
      <c r="P7595">
        <v>4331.2635049999999</v>
      </c>
      <c r="Q7595">
        <v>402</v>
      </c>
      <c r="R7595">
        <v>0</v>
      </c>
    </row>
    <row r="7596" spans="1:18" x14ac:dyDescent="0.25">
      <c r="A7596">
        <v>6595</v>
      </c>
      <c r="B7596">
        <v>94</v>
      </c>
      <c r="C7596">
        <v>31509580</v>
      </c>
      <c r="D7596" t="s">
        <v>132</v>
      </c>
      <c r="E7596">
        <v>3.95</v>
      </c>
      <c r="F7596" t="s">
        <v>21</v>
      </c>
      <c r="G7596" t="s">
        <v>20</v>
      </c>
      <c r="H7596" t="s">
        <v>21</v>
      </c>
      <c r="I7596" t="s">
        <v>20</v>
      </c>
      <c r="J7596" t="s">
        <v>20</v>
      </c>
      <c r="K7596" t="s">
        <v>22</v>
      </c>
      <c r="L7596" t="s">
        <v>133</v>
      </c>
      <c r="M7596" t="s">
        <v>134</v>
      </c>
      <c r="N7596">
        <v>40.34572</v>
      </c>
      <c r="O7596">
        <v>-110.027472</v>
      </c>
      <c r="P7596">
        <v>5336.3438130000004</v>
      </c>
      <c r="Q7596">
        <v>1405</v>
      </c>
      <c r="R7596">
        <v>0</v>
      </c>
    </row>
    <row r="7597" spans="1:18" x14ac:dyDescent="0.25">
      <c r="A7597">
        <v>6596</v>
      </c>
      <c r="B7597">
        <v>94</v>
      </c>
      <c r="C7597" t="e">
        <f>-Ip53EWPH055V6xu_m5SCV</f>
        <v>#NAME?</v>
      </c>
      <c r="D7597" t="s">
        <v>88</v>
      </c>
      <c r="E7597">
        <v>3.952</v>
      </c>
      <c r="F7597" t="s">
        <v>21</v>
      </c>
      <c r="G7597" t="s">
        <v>26</v>
      </c>
      <c r="H7597" t="s">
        <v>21</v>
      </c>
      <c r="I7597" t="s">
        <v>20</v>
      </c>
      <c r="J7597" t="s">
        <v>20</v>
      </c>
      <c r="K7597" t="s">
        <v>31</v>
      </c>
      <c r="L7597" t="s">
        <v>89</v>
      </c>
      <c r="M7597" t="s">
        <v>49</v>
      </c>
      <c r="N7597">
        <v>40.526896999999998</v>
      </c>
      <c r="O7597">
        <v>-111.910332</v>
      </c>
      <c r="P7597">
        <v>4350.136015</v>
      </c>
      <c r="Q7597">
        <v>318</v>
      </c>
      <c r="R7597">
        <v>0</v>
      </c>
    </row>
    <row r="7598" spans="1:18" x14ac:dyDescent="0.25">
      <c r="A7598">
        <v>6597</v>
      </c>
      <c r="B7598">
        <v>94</v>
      </c>
      <c r="C7598">
        <v>31308531</v>
      </c>
      <c r="D7598" t="s">
        <v>116</v>
      </c>
      <c r="E7598">
        <v>26.617000000000001</v>
      </c>
      <c r="F7598" t="s">
        <v>19</v>
      </c>
      <c r="G7598" t="s">
        <v>20</v>
      </c>
      <c r="H7598" t="s">
        <v>21</v>
      </c>
      <c r="I7598" t="s">
        <v>20</v>
      </c>
      <c r="J7598" t="s">
        <v>20</v>
      </c>
      <c r="K7598" t="s">
        <v>41</v>
      </c>
      <c r="L7598" t="s">
        <v>95</v>
      </c>
      <c r="M7598" t="s">
        <v>43</v>
      </c>
      <c r="N7598">
        <v>41.731366000000001</v>
      </c>
      <c r="O7598">
        <v>-111.83500600000001</v>
      </c>
      <c r="P7598">
        <v>4485.9693319999997</v>
      </c>
      <c r="Q7598">
        <v>324</v>
      </c>
      <c r="R7598">
        <v>0</v>
      </c>
    </row>
    <row r="7599" spans="1:18" x14ac:dyDescent="0.25">
      <c r="A7599">
        <v>6598</v>
      </c>
      <c r="B7599">
        <v>94</v>
      </c>
      <c r="C7599" t="e">
        <f>-JMm0Iy0H65AeTu2gSB0mV</f>
        <v>#NAME?</v>
      </c>
      <c r="D7599" t="s">
        <v>221</v>
      </c>
      <c r="E7599">
        <v>26.637</v>
      </c>
      <c r="F7599" t="s">
        <v>21</v>
      </c>
      <c r="G7599" t="s">
        <v>20</v>
      </c>
      <c r="H7599" t="s">
        <v>21</v>
      </c>
      <c r="I7599" t="s">
        <v>20</v>
      </c>
      <c r="J7599" t="s">
        <v>20</v>
      </c>
      <c r="K7599" t="s">
        <v>22</v>
      </c>
      <c r="L7599" t="s">
        <v>155</v>
      </c>
      <c r="M7599" t="s">
        <v>174</v>
      </c>
      <c r="N7599">
        <v>39.511083999999997</v>
      </c>
      <c r="O7599">
        <v>-111.86910399999999</v>
      </c>
      <c r="P7599">
        <v>5326.1616020000001</v>
      </c>
      <c r="Q7599">
        <v>1342</v>
      </c>
      <c r="R7599">
        <v>0</v>
      </c>
    </row>
    <row r="7600" spans="1:18" x14ac:dyDescent="0.25">
      <c r="A7600">
        <v>6599</v>
      </c>
      <c r="B7600">
        <v>94</v>
      </c>
      <c r="C7600">
        <v>31594588</v>
      </c>
      <c r="D7600" t="s">
        <v>271</v>
      </c>
      <c r="E7600">
        <v>26.689</v>
      </c>
      <c r="F7600" t="s">
        <v>21</v>
      </c>
      <c r="G7600" t="s">
        <v>26</v>
      </c>
      <c r="H7600" t="s">
        <v>21</v>
      </c>
      <c r="I7600" t="s">
        <v>20</v>
      </c>
      <c r="J7600" t="s">
        <v>20</v>
      </c>
      <c r="K7600" t="s">
        <v>22</v>
      </c>
      <c r="L7600" t="s">
        <v>263</v>
      </c>
      <c r="M7600" t="s">
        <v>24</v>
      </c>
      <c r="N7600">
        <v>40.341799999999999</v>
      </c>
      <c r="O7600">
        <v>-112.08679600000001</v>
      </c>
      <c r="P7600">
        <v>5044.1574360000004</v>
      </c>
      <c r="Q7600">
        <v>1372</v>
      </c>
      <c r="R7600">
        <v>0</v>
      </c>
    </row>
    <row r="7601" spans="1:18" x14ac:dyDescent="0.25">
      <c r="A7601">
        <v>6600</v>
      </c>
      <c r="B7601">
        <v>94</v>
      </c>
      <c r="C7601">
        <v>569532</v>
      </c>
      <c r="D7601" t="s">
        <v>115</v>
      </c>
      <c r="E7601">
        <v>7.048</v>
      </c>
      <c r="F7601" t="s">
        <v>19</v>
      </c>
      <c r="G7601" t="s">
        <v>20</v>
      </c>
      <c r="H7601" t="s">
        <v>21</v>
      </c>
      <c r="I7601" t="s">
        <v>20</v>
      </c>
      <c r="J7601" t="s">
        <v>20</v>
      </c>
      <c r="K7601" t="s">
        <v>31</v>
      </c>
      <c r="L7601" t="s">
        <v>48</v>
      </c>
      <c r="M7601" t="s">
        <v>70</v>
      </c>
      <c r="N7601">
        <v>40.653100000000002</v>
      </c>
      <c r="O7601">
        <v>-111.942999</v>
      </c>
      <c r="P7601">
        <v>4284.0918549999997</v>
      </c>
      <c r="Q7601">
        <v>1437</v>
      </c>
      <c r="R7601">
        <v>0</v>
      </c>
    </row>
    <row r="7602" spans="1:18" x14ac:dyDescent="0.25">
      <c r="A7602">
        <v>6601</v>
      </c>
      <c r="B7602">
        <v>94</v>
      </c>
      <c r="C7602">
        <v>31195468</v>
      </c>
      <c r="D7602" t="s">
        <v>395</v>
      </c>
      <c r="E7602">
        <v>7.0490000000000004</v>
      </c>
      <c r="F7602" t="s">
        <v>21</v>
      </c>
      <c r="G7602" t="s">
        <v>26</v>
      </c>
      <c r="H7602" t="s">
        <v>21</v>
      </c>
      <c r="I7602" t="s">
        <v>20</v>
      </c>
      <c r="J7602" t="s">
        <v>20</v>
      </c>
      <c r="K7602" t="s">
        <v>27</v>
      </c>
      <c r="L7602" t="s">
        <v>165</v>
      </c>
      <c r="M7602" t="s">
        <v>166</v>
      </c>
      <c r="N7602">
        <v>38.892892000000003</v>
      </c>
      <c r="O7602">
        <v>-112.411368</v>
      </c>
      <c r="P7602">
        <v>4760.2992940000004</v>
      </c>
      <c r="Q7602">
        <v>335</v>
      </c>
      <c r="R7602">
        <v>0</v>
      </c>
    </row>
    <row r="7603" spans="1:18" x14ac:dyDescent="0.25">
      <c r="A7603">
        <v>6602</v>
      </c>
      <c r="B7603">
        <v>94</v>
      </c>
      <c r="C7603">
        <v>31369779</v>
      </c>
      <c r="D7603" t="s">
        <v>345</v>
      </c>
      <c r="E7603">
        <v>5.665</v>
      </c>
      <c r="F7603" t="s">
        <v>21</v>
      </c>
      <c r="G7603" t="s">
        <v>26</v>
      </c>
      <c r="H7603" t="s">
        <v>21</v>
      </c>
      <c r="I7603" t="s">
        <v>20</v>
      </c>
      <c r="J7603" t="s">
        <v>20</v>
      </c>
      <c r="K7603" t="s">
        <v>27</v>
      </c>
      <c r="L7603" t="s">
        <v>75</v>
      </c>
      <c r="M7603" t="s">
        <v>76</v>
      </c>
      <c r="N7603">
        <v>38.630203999999999</v>
      </c>
      <c r="O7603">
        <v>-112.12799699999999</v>
      </c>
      <c r="P7603">
        <v>5310.2126500000004</v>
      </c>
      <c r="Q7603">
        <v>1403</v>
      </c>
      <c r="R7603">
        <v>0</v>
      </c>
    </row>
    <row r="7604" spans="1:18" x14ac:dyDescent="0.25">
      <c r="A7604">
        <v>6603</v>
      </c>
      <c r="B7604">
        <v>94</v>
      </c>
      <c r="C7604">
        <v>27955108</v>
      </c>
      <c r="D7604" t="s">
        <v>265</v>
      </c>
      <c r="E7604">
        <v>5.6689999999999996</v>
      </c>
      <c r="F7604" t="s">
        <v>21</v>
      </c>
      <c r="G7604" t="s">
        <v>26</v>
      </c>
      <c r="H7604" t="s">
        <v>21</v>
      </c>
      <c r="I7604" t="s">
        <v>20</v>
      </c>
      <c r="J7604" t="s">
        <v>20</v>
      </c>
      <c r="K7604" t="s">
        <v>27</v>
      </c>
      <c r="L7604" t="s">
        <v>266</v>
      </c>
      <c r="M7604" t="s">
        <v>267</v>
      </c>
      <c r="N7604">
        <v>38.462283999999997</v>
      </c>
      <c r="O7604">
        <v>-111.596316</v>
      </c>
      <c r="P7604">
        <v>7211.3097930000004</v>
      </c>
      <c r="Q7604">
        <v>1371</v>
      </c>
      <c r="R7604">
        <v>0</v>
      </c>
    </row>
    <row r="7605" spans="1:18" x14ac:dyDescent="0.25">
      <c r="A7605">
        <v>6604</v>
      </c>
      <c r="B7605">
        <v>94</v>
      </c>
      <c r="C7605" t="e">
        <f>-IpTdzXeGp1iIvp2vfotiF</f>
        <v>#NAME?</v>
      </c>
      <c r="D7605" t="s">
        <v>272</v>
      </c>
      <c r="E7605">
        <v>411.67899999999997</v>
      </c>
      <c r="F7605" t="s">
        <v>19</v>
      </c>
      <c r="G7605" t="s">
        <v>20</v>
      </c>
      <c r="H7605" t="s">
        <v>21</v>
      </c>
      <c r="I7605" t="s">
        <v>20</v>
      </c>
      <c r="J7605" t="s">
        <v>20</v>
      </c>
      <c r="K7605" t="s">
        <v>41</v>
      </c>
      <c r="L7605" t="s">
        <v>81</v>
      </c>
      <c r="M7605" t="s">
        <v>46</v>
      </c>
      <c r="N7605">
        <v>41.190559</v>
      </c>
      <c r="O7605">
        <v>-111.971174</v>
      </c>
      <c r="P7605">
        <v>4402.4128469999996</v>
      </c>
      <c r="Q7605">
        <v>1384</v>
      </c>
      <c r="R7605">
        <v>0</v>
      </c>
    </row>
    <row r="7606" spans="1:18" x14ac:dyDescent="0.25">
      <c r="A7606">
        <v>6605</v>
      </c>
      <c r="B7606">
        <v>94</v>
      </c>
      <c r="C7606" t="e">
        <f>-IpTi5a5FC9VWFsk9QGVVV</f>
        <v>#NAME?</v>
      </c>
      <c r="D7606" t="s">
        <v>272</v>
      </c>
      <c r="E7606">
        <v>411.77199999999999</v>
      </c>
      <c r="F7606" t="s">
        <v>21</v>
      </c>
      <c r="G7606" t="s">
        <v>26</v>
      </c>
      <c r="H7606" t="s">
        <v>21</v>
      </c>
      <c r="I7606" t="s">
        <v>20</v>
      </c>
      <c r="J7606" t="s">
        <v>20</v>
      </c>
      <c r="K7606" t="s">
        <v>41</v>
      </c>
      <c r="L7606" t="s">
        <v>81</v>
      </c>
      <c r="M7606" t="s">
        <v>46</v>
      </c>
      <c r="N7606">
        <v>41.191906000000003</v>
      </c>
      <c r="O7606">
        <v>-111.97114500000001</v>
      </c>
      <c r="P7606">
        <v>4400.9960689999998</v>
      </c>
      <c r="Q7606">
        <v>1384</v>
      </c>
      <c r="R7606">
        <v>0</v>
      </c>
    </row>
    <row r="7607" spans="1:18" x14ac:dyDescent="0.25">
      <c r="A7607">
        <v>6606</v>
      </c>
      <c r="B7607">
        <v>94</v>
      </c>
      <c r="C7607" t="s">
        <v>891</v>
      </c>
      <c r="D7607" t="s">
        <v>272</v>
      </c>
      <c r="E7607">
        <v>411.90800000000002</v>
      </c>
      <c r="F7607" t="s">
        <v>21</v>
      </c>
      <c r="G7607" t="s">
        <v>26</v>
      </c>
      <c r="H7607" t="s">
        <v>21</v>
      </c>
      <c r="I7607" t="s">
        <v>20</v>
      </c>
      <c r="J7607" t="s">
        <v>20</v>
      </c>
      <c r="K7607" t="s">
        <v>41</v>
      </c>
      <c r="L7607" t="s">
        <v>81</v>
      </c>
      <c r="M7607" t="s">
        <v>46</v>
      </c>
      <c r="N7607">
        <v>41.193868000000002</v>
      </c>
      <c r="O7607">
        <v>-111.971097</v>
      </c>
      <c r="P7607">
        <v>4386.9386009999998</v>
      </c>
      <c r="Q7607">
        <v>1384</v>
      </c>
      <c r="R7607">
        <v>0</v>
      </c>
    </row>
    <row r="7608" spans="1:18" x14ac:dyDescent="0.25">
      <c r="A7608">
        <v>6607</v>
      </c>
      <c r="B7608">
        <v>94</v>
      </c>
      <c r="C7608" t="e">
        <f>-IpTjDbMG_L8Zvu5IiIvck</f>
        <v>#NAME?</v>
      </c>
      <c r="D7608" t="s">
        <v>272</v>
      </c>
      <c r="E7608">
        <v>412.04399999999998</v>
      </c>
      <c r="F7608" t="s">
        <v>21</v>
      </c>
      <c r="G7608" t="s">
        <v>26</v>
      </c>
      <c r="H7608" t="s">
        <v>21</v>
      </c>
      <c r="I7608" t="s">
        <v>20</v>
      </c>
      <c r="J7608" t="s">
        <v>20</v>
      </c>
      <c r="K7608" t="s">
        <v>41</v>
      </c>
      <c r="L7608" t="s">
        <v>81</v>
      </c>
      <c r="M7608" t="s">
        <v>46</v>
      </c>
      <c r="N7608">
        <v>41.195833</v>
      </c>
      <c r="O7608">
        <v>-111.971052</v>
      </c>
      <c r="P7608">
        <v>4354.8314810000002</v>
      </c>
      <c r="Q7608">
        <v>1384</v>
      </c>
      <c r="R7608">
        <v>0</v>
      </c>
    </row>
    <row r="7609" spans="1:18" x14ac:dyDescent="0.25">
      <c r="A7609">
        <v>6608</v>
      </c>
      <c r="B7609">
        <v>94</v>
      </c>
      <c r="C7609" t="s">
        <v>892</v>
      </c>
      <c r="D7609" t="s">
        <v>272</v>
      </c>
      <c r="E7609">
        <v>412.18</v>
      </c>
      <c r="F7609" t="s">
        <v>19</v>
      </c>
      <c r="G7609" t="s">
        <v>20</v>
      </c>
      <c r="H7609" t="s">
        <v>21</v>
      </c>
      <c r="I7609" t="s">
        <v>20</v>
      </c>
      <c r="J7609" t="s">
        <v>20</v>
      </c>
      <c r="K7609" t="s">
        <v>41</v>
      </c>
      <c r="L7609" t="s">
        <v>81</v>
      </c>
      <c r="M7609" t="s">
        <v>46</v>
      </c>
      <c r="N7609">
        <v>41.197800999999998</v>
      </c>
      <c r="O7609">
        <v>-111.970994</v>
      </c>
      <c r="P7609">
        <v>4332.0414579999997</v>
      </c>
      <c r="Q7609">
        <v>1384</v>
      </c>
      <c r="R7609">
        <v>0</v>
      </c>
    </row>
    <row r="7610" spans="1:18" x14ac:dyDescent="0.25">
      <c r="A7610">
        <v>6609</v>
      </c>
      <c r="B7610">
        <v>94</v>
      </c>
      <c r="C7610" t="e">
        <f>-IpTmPTHF1iAWfalSyDPtk</f>
        <v>#NAME?</v>
      </c>
      <c r="D7610" t="s">
        <v>272</v>
      </c>
      <c r="E7610">
        <v>412.31599999999997</v>
      </c>
      <c r="F7610" t="s">
        <v>21</v>
      </c>
      <c r="G7610" t="s">
        <v>26</v>
      </c>
      <c r="H7610" t="s">
        <v>21</v>
      </c>
      <c r="I7610" t="s">
        <v>20</v>
      </c>
      <c r="J7610" t="s">
        <v>20</v>
      </c>
      <c r="K7610" t="s">
        <v>41</v>
      </c>
      <c r="L7610" t="s">
        <v>81</v>
      </c>
      <c r="M7610" t="s">
        <v>46</v>
      </c>
      <c r="N7610">
        <v>41.199765999999997</v>
      </c>
      <c r="O7610">
        <v>-111.970951</v>
      </c>
      <c r="P7610">
        <v>4312.2079789999998</v>
      </c>
      <c r="Q7610">
        <v>1384</v>
      </c>
      <c r="R7610">
        <v>0</v>
      </c>
    </row>
    <row r="7611" spans="1:18" x14ac:dyDescent="0.25">
      <c r="A7611">
        <v>6610</v>
      </c>
      <c r="B7611">
        <v>94</v>
      </c>
      <c r="C7611" t="e">
        <f>-IpTl_K9HVeoaa9mmb9Q2k</f>
        <v>#NAME?</v>
      </c>
      <c r="D7611" t="s">
        <v>272</v>
      </c>
      <c r="E7611">
        <v>412.358</v>
      </c>
      <c r="F7611" t="s">
        <v>19</v>
      </c>
      <c r="G7611" t="s">
        <v>20</v>
      </c>
      <c r="H7611" t="s">
        <v>19</v>
      </c>
      <c r="I7611">
        <v>26</v>
      </c>
      <c r="J7611" t="s">
        <v>20</v>
      </c>
      <c r="K7611" t="s">
        <v>41</v>
      </c>
      <c r="L7611" t="s">
        <v>81</v>
      </c>
      <c r="M7611" t="s">
        <v>46</v>
      </c>
      <c r="N7611">
        <v>41.200373999999996</v>
      </c>
      <c r="O7611">
        <v>-111.970932</v>
      </c>
      <c r="P7611">
        <v>4307.3085890000002</v>
      </c>
      <c r="Q7611">
        <v>1384</v>
      </c>
      <c r="R7611">
        <v>0</v>
      </c>
    </row>
    <row r="7612" spans="1:18" x14ac:dyDescent="0.25">
      <c r="A7612">
        <v>6611</v>
      </c>
      <c r="B7612">
        <v>94</v>
      </c>
      <c r="C7612" t="s">
        <v>893</v>
      </c>
      <c r="D7612" t="s">
        <v>272</v>
      </c>
      <c r="E7612">
        <v>412.38900000000001</v>
      </c>
      <c r="F7612" t="s">
        <v>21</v>
      </c>
      <c r="G7612" t="s">
        <v>26</v>
      </c>
      <c r="H7612" t="s">
        <v>21</v>
      </c>
      <c r="I7612" t="s">
        <v>20</v>
      </c>
      <c r="J7612" t="s">
        <v>20</v>
      </c>
      <c r="K7612" t="s">
        <v>41</v>
      </c>
      <c r="L7612" t="s">
        <v>81</v>
      </c>
      <c r="M7612" t="s">
        <v>46</v>
      </c>
      <c r="N7612">
        <v>41.200805000000003</v>
      </c>
      <c r="O7612">
        <v>-111.970918</v>
      </c>
      <c r="P7612">
        <v>4302.9406300000001</v>
      </c>
      <c r="Q7612">
        <v>1384</v>
      </c>
      <c r="R7612">
        <v>0</v>
      </c>
    </row>
    <row r="7613" spans="1:18" x14ac:dyDescent="0.25">
      <c r="A7613">
        <v>6612</v>
      </c>
      <c r="B7613">
        <v>94</v>
      </c>
      <c r="C7613" t="e">
        <f>-IpTpxaBIQi9lY_yvq7J-F</f>
        <v>#NAME?</v>
      </c>
      <c r="D7613" t="s">
        <v>272</v>
      </c>
      <c r="E7613">
        <v>412.46600000000001</v>
      </c>
      <c r="F7613" t="s">
        <v>19</v>
      </c>
      <c r="G7613" t="s">
        <v>20</v>
      </c>
      <c r="H7613" t="s">
        <v>21</v>
      </c>
      <c r="I7613" t="s">
        <v>20</v>
      </c>
      <c r="J7613" t="s">
        <v>20</v>
      </c>
      <c r="K7613" t="s">
        <v>41</v>
      </c>
      <c r="L7613" t="s">
        <v>81</v>
      </c>
      <c r="M7613" t="s">
        <v>46</v>
      </c>
      <c r="N7613">
        <v>41.201897000000002</v>
      </c>
      <c r="O7613">
        <v>-111.970899</v>
      </c>
      <c r="P7613">
        <v>4289.7085980000002</v>
      </c>
      <c r="Q7613">
        <v>1384</v>
      </c>
      <c r="R7613">
        <v>0</v>
      </c>
    </row>
    <row r="7614" spans="1:18" x14ac:dyDescent="0.25">
      <c r="A7614">
        <v>6613</v>
      </c>
      <c r="B7614">
        <v>94</v>
      </c>
      <c r="C7614" t="e">
        <f>-IsSWmlVIl1FA674otuV4F</f>
        <v>#NAME?</v>
      </c>
      <c r="D7614" t="s">
        <v>272</v>
      </c>
      <c r="E7614">
        <v>412.57</v>
      </c>
      <c r="F7614" t="s">
        <v>21</v>
      </c>
      <c r="G7614" t="s">
        <v>26</v>
      </c>
      <c r="H7614" t="s">
        <v>21</v>
      </c>
      <c r="I7614" t="s">
        <v>20</v>
      </c>
      <c r="J7614" t="s">
        <v>20</v>
      </c>
      <c r="K7614" t="s">
        <v>41</v>
      </c>
      <c r="L7614" t="s">
        <v>81</v>
      </c>
      <c r="M7614" t="s">
        <v>46</v>
      </c>
      <c r="N7614">
        <v>41.203356999999997</v>
      </c>
      <c r="O7614">
        <v>-111.970868</v>
      </c>
      <c r="P7614">
        <v>4277.1883809999999</v>
      </c>
      <c r="Q7614">
        <v>1384</v>
      </c>
      <c r="R7614">
        <v>0</v>
      </c>
    </row>
    <row r="7615" spans="1:18" x14ac:dyDescent="0.25">
      <c r="A7615">
        <v>6614</v>
      </c>
      <c r="B7615">
        <v>94</v>
      </c>
      <c r="C7615" t="e">
        <f>-IpYp7KOG7aqU0T0tw4vuF</f>
        <v>#NAME?</v>
      </c>
      <c r="D7615" t="s">
        <v>272</v>
      </c>
      <c r="E7615">
        <v>459.76600000000002</v>
      </c>
      <c r="F7615" t="s">
        <v>19</v>
      </c>
      <c r="G7615" t="s">
        <v>20</v>
      </c>
      <c r="H7615" t="s">
        <v>21</v>
      </c>
      <c r="I7615" t="s">
        <v>20</v>
      </c>
      <c r="J7615" t="s">
        <v>20</v>
      </c>
      <c r="K7615" t="s">
        <v>41</v>
      </c>
      <c r="L7615" t="s">
        <v>95</v>
      </c>
      <c r="M7615" t="s">
        <v>152</v>
      </c>
      <c r="N7615">
        <v>41.738790999999999</v>
      </c>
      <c r="O7615">
        <v>-111.81940899999999</v>
      </c>
      <c r="P7615">
        <v>4592.0907470000002</v>
      </c>
      <c r="Q7615">
        <v>1384</v>
      </c>
      <c r="R7615">
        <v>0</v>
      </c>
    </row>
    <row r="7616" spans="1:18" x14ac:dyDescent="0.25">
      <c r="A7616">
        <v>6615</v>
      </c>
      <c r="B7616">
        <v>94</v>
      </c>
      <c r="C7616" t="s">
        <v>894</v>
      </c>
      <c r="D7616" t="s">
        <v>272</v>
      </c>
      <c r="E7616">
        <v>459.89699999999999</v>
      </c>
      <c r="F7616" t="s">
        <v>21</v>
      </c>
      <c r="G7616" t="s">
        <v>26</v>
      </c>
      <c r="H7616" t="s">
        <v>21</v>
      </c>
      <c r="I7616" t="s">
        <v>20</v>
      </c>
      <c r="J7616" t="s">
        <v>20</v>
      </c>
      <c r="K7616" t="s">
        <v>41</v>
      </c>
      <c r="L7616" t="s">
        <v>95</v>
      </c>
      <c r="M7616" t="s">
        <v>152</v>
      </c>
      <c r="N7616">
        <v>41.738742999999999</v>
      </c>
      <c r="O7616">
        <v>-111.816907</v>
      </c>
      <c r="P7616">
        <v>4654.230485</v>
      </c>
      <c r="Q7616">
        <v>1384</v>
      </c>
      <c r="R7616">
        <v>0</v>
      </c>
    </row>
    <row r="7617" spans="1:18" x14ac:dyDescent="0.25">
      <c r="A7617">
        <v>6616</v>
      </c>
      <c r="B7617">
        <v>94</v>
      </c>
      <c r="C7617">
        <v>31403437</v>
      </c>
      <c r="D7617" t="s">
        <v>124</v>
      </c>
      <c r="E7617">
        <v>46.014000000000003</v>
      </c>
      <c r="F7617" t="s">
        <v>21</v>
      </c>
      <c r="G7617" t="s">
        <v>26</v>
      </c>
      <c r="H7617" t="s">
        <v>21</v>
      </c>
      <c r="I7617" t="s">
        <v>20</v>
      </c>
      <c r="J7617" t="s">
        <v>20</v>
      </c>
      <c r="K7617" t="s">
        <v>31</v>
      </c>
      <c r="L7617" t="s">
        <v>48</v>
      </c>
      <c r="M7617" t="s">
        <v>125</v>
      </c>
      <c r="N7617">
        <v>40.576099999999997</v>
      </c>
      <c r="O7617">
        <v>-111.938692</v>
      </c>
      <c r="P7617">
        <v>4380.2962159999997</v>
      </c>
      <c r="Q7617">
        <v>1368</v>
      </c>
      <c r="R7617">
        <v>0</v>
      </c>
    </row>
    <row r="7618" spans="1:18" x14ac:dyDescent="0.25">
      <c r="A7618">
        <v>6617</v>
      </c>
      <c r="B7618">
        <v>94</v>
      </c>
      <c r="C7618">
        <v>31523757</v>
      </c>
      <c r="D7618" t="s">
        <v>231</v>
      </c>
      <c r="E7618">
        <v>6.7409999999999997</v>
      </c>
      <c r="F7618" t="s">
        <v>21</v>
      </c>
      <c r="G7618" t="s">
        <v>26</v>
      </c>
      <c r="H7618" t="s">
        <v>21</v>
      </c>
      <c r="I7618" t="s">
        <v>20</v>
      </c>
      <c r="J7618" t="s">
        <v>20</v>
      </c>
      <c r="K7618" t="s">
        <v>41</v>
      </c>
      <c r="L7618" t="s">
        <v>57</v>
      </c>
      <c r="M7618" t="s">
        <v>93</v>
      </c>
      <c r="N7618">
        <v>41.132598000000002</v>
      </c>
      <c r="O7618">
        <v>-112.026037</v>
      </c>
      <c r="P7618">
        <v>4516.9260869999998</v>
      </c>
      <c r="Q7618">
        <v>1409</v>
      </c>
      <c r="R7618">
        <v>0</v>
      </c>
    </row>
    <row r="7619" spans="1:18" x14ac:dyDescent="0.25">
      <c r="A7619">
        <v>6618</v>
      </c>
      <c r="B7619">
        <v>94</v>
      </c>
      <c r="C7619" t="s">
        <v>895</v>
      </c>
      <c r="D7619" t="s">
        <v>171</v>
      </c>
      <c r="E7619">
        <v>6.7439999999999998</v>
      </c>
      <c r="F7619" t="s">
        <v>21</v>
      </c>
      <c r="G7619" t="s">
        <v>26</v>
      </c>
      <c r="H7619" t="s">
        <v>21</v>
      </c>
      <c r="I7619" t="s">
        <v>20</v>
      </c>
      <c r="J7619" t="s">
        <v>20</v>
      </c>
      <c r="K7619" t="s">
        <v>31</v>
      </c>
      <c r="L7619" t="s">
        <v>362</v>
      </c>
      <c r="M7619" t="s">
        <v>79</v>
      </c>
      <c r="N7619">
        <v>40.696598000000002</v>
      </c>
      <c r="O7619">
        <v>-111.963162</v>
      </c>
      <c r="P7619">
        <v>4198.0857459999997</v>
      </c>
      <c r="Q7619">
        <v>346</v>
      </c>
      <c r="R7619">
        <v>0</v>
      </c>
    </row>
    <row r="7620" spans="1:18" x14ac:dyDescent="0.25">
      <c r="A7620">
        <v>6619</v>
      </c>
      <c r="B7620">
        <v>94</v>
      </c>
      <c r="C7620">
        <v>1111495</v>
      </c>
      <c r="D7620" t="s">
        <v>101</v>
      </c>
      <c r="E7620">
        <v>2.9180000000000001</v>
      </c>
      <c r="F7620" t="s">
        <v>21</v>
      </c>
      <c r="G7620" t="s">
        <v>26</v>
      </c>
      <c r="H7620" t="s">
        <v>21</v>
      </c>
      <c r="I7620" t="s">
        <v>20</v>
      </c>
      <c r="J7620" t="s">
        <v>20</v>
      </c>
      <c r="K7620" t="s">
        <v>41</v>
      </c>
      <c r="L7620" t="s">
        <v>57</v>
      </c>
      <c r="M7620" t="s">
        <v>58</v>
      </c>
      <c r="N7620">
        <v>41.118093000000002</v>
      </c>
      <c r="O7620">
        <v>-112.05667200000001</v>
      </c>
      <c r="P7620">
        <v>4328.763715</v>
      </c>
      <c r="Q7620">
        <v>328</v>
      </c>
      <c r="R7620">
        <v>0</v>
      </c>
    </row>
    <row r="7621" spans="1:18" x14ac:dyDescent="0.25">
      <c r="A7621">
        <v>6620</v>
      </c>
      <c r="B7621">
        <v>94</v>
      </c>
      <c r="C7621">
        <v>31433282</v>
      </c>
      <c r="D7621" t="s">
        <v>107</v>
      </c>
      <c r="E7621">
        <v>2.919</v>
      </c>
      <c r="F7621" t="s">
        <v>21</v>
      </c>
      <c r="G7621" t="s">
        <v>26</v>
      </c>
      <c r="H7621" t="s">
        <v>21</v>
      </c>
      <c r="I7621" t="s">
        <v>20</v>
      </c>
      <c r="J7621" t="s">
        <v>20</v>
      </c>
      <c r="K7621" t="s">
        <v>41</v>
      </c>
      <c r="L7621" t="s">
        <v>81</v>
      </c>
      <c r="M7621" t="s">
        <v>93</v>
      </c>
      <c r="N7621">
        <v>41.234941999999997</v>
      </c>
      <c r="O7621">
        <v>-111.978556</v>
      </c>
      <c r="P7621">
        <v>4239.1584469999998</v>
      </c>
      <c r="Q7621">
        <v>413</v>
      </c>
      <c r="R7621">
        <v>0</v>
      </c>
    </row>
    <row r="7622" spans="1:18" x14ac:dyDescent="0.25">
      <c r="A7622">
        <v>6621</v>
      </c>
      <c r="B7622">
        <v>94</v>
      </c>
      <c r="C7622">
        <v>1007508</v>
      </c>
      <c r="D7622" t="s">
        <v>171</v>
      </c>
      <c r="E7622">
        <v>2.9209999999999998</v>
      </c>
      <c r="F7622" t="s">
        <v>21</v>
      </c>
      <c r="G7622" t="s">
        <v>26</v>
      </c>
      <c r="H7622" t="s">
        <v>21</v>
      </c>
      <c r="I7622" t="s">
        <v>20</v>
      </c>
      <c r="J7622" t="s">
        <v>20</v>
      </c>
      <c r="K7622" t="s">
        <v>31</v>
      </c>
      <c r="L7622" t="s">
        <v>78</v>
      </c>
      <c r="M7622" t="s">
        <v>79</v>
      </c>
      <c r="N7622">
        <v>40.696542000000001</v>
      </c>
      <c r="O7622">
        <v>-112.036024</v>
      </c>
      <c r="P7622">
        <v>4253.7088899999999</v>
      </c>
      <c r="Q7622">
        <v>346</v>
      </c>
      <c r="R7622">
        <v>0</v>
      </c>
    </row>
    <row r="7623" spans="1:18" x14ac:dyDescent="0.25">
      <c r="A7623">
        <v>6622</v>
      </c>
      <c r="B7623">
        <v>94</v>
      </c>
      <c r="C7623">
        <v>31487984</v>
      </c>
      <c r="D7623" t="s">
        <v>164</v>
      </c>
      <c r="E7623">
        <v>2.9239999999999999</v>
      </c>
      <c r="F7623" t="s">
        <v>21</v>
      </c>
      <c r="G7623" t="s">
        <v>26</v>
      </c>
      <c r="H7623" t="s">
        <v>21</v>
      </c>
      <c r="I7623" t="s">
        <v>20</v>
      </c>
      <c r="J7623" t="s">
        <v>20</v>
      </c>
      <c r="K7623" t="s">
        <v>27</v>
      </c>
      <c r="L7623" t="s">
        <v>165</v>
      </c>
      <c r="M7623" t="s">
        <v>166</v>
      </c>
      <c r="N7623">
        <v>38.975209999999997</v>
      </c>
      <c r="O7623">
        <v>-112.323739</v>
      </c>
      <c r="P7623">
        <v>5025.7516210000003</v>
      </c>
      <c r="Q7623">
        <v>1390</v>
      </c>
      <c r="R7623">
        <v>0</v>
      </c>
    </row>
    <row r="7624" spans="1:18" x14ac:dyDescent="0.25">
      <c r="A7624">
        <v>6623</v>
      </c>
      <c r="B7624">
        <v>94</v>
      </c>
      <c r="C7624">
        <v>31408518</v>
      </c>
      <c r="D7624" t="s">
        <v>74</v>
      </c>
      <c r="E7624">
        <v>2.9260000000000002</v>
      </c>
      <c r="F7624" t="s">
        <v>21</v>
      </c>
      <c r="G7624" t="s">
        <v>26</v>
      </c>
      <c r="H7624" t="s">
        <v>21</v>
      </c>
      <c r="I7624" t="s">
        <v>20</v>
      </c>
      <c r="J7624" t="s">
        <v>20</v>
      </c>
      <c r="K7624" t="s">
        <v>27</v>
      </c>
      <c r="L7624" t="s">
        <v>75</v>
      </c>
      <c r="M7624" t="s">
        <v>76</v>
      </c>
      <c r="N7624">
        <v>38.777023</v>
      </c>
      <c r="O7624">
        <v>-112.084789</v>
      </c>
      <c r="P7624">
        <v>5323.6948430000002</v>
      </c>
      <c r="Q7624">
        <v>332</v>
      </c>
      <c r="R7624">
        <v>0</v>
      </c>
    </row>
    <row r="7625" spans="1:18" x14ac:dyDescent="0.25">
      <c r="A7625">
        <v>6624</v>
      </c>
      <c r="B7625">
        <v>94</v>
      </c>
      <c r="C7625">
        <v>31378581</v>
      </c>
      <c r="D7625" t="s">
        <v>221</v>
      </c>
      <c r="E7625">
        <v>2.927</v>
      </c>
      <c r="F7625" t="s">
        <v>21</v>
      </c>
      <c r="G7625" t="s">
        <v>20</v>
      </c>
      <c r="H7625" t="s">
        <v>21</v>
      </c>
      <c r="I7625" t="s">
        <v>20</v>
      </c>
      <c r="J7625" t="s">
        <v>20</v>
      </c>
      <c r="K7625" t="s">
        <v>27</v>
      </c>
      <c r="L7625" t="s">
        <v>350</v>
      </c>
      <c r="M7625" t="s">
        <v>174</v>
      </c>
      <c r="N7625">
        <v>39.193744000000002</v>
      </c>
      <c r="O7625">
        <v>-111.843817</v>
      </c>
      <c r="P7625">
        <v>5049.8322099999996</v>
      </c>
      <c r="Q7625">
        <v>1342</v>
      </c>
      <c r="R7625">
        <v>0</v>
      </c>
    </row>
    <row r="7626" spans="1:18" x14ac:dyDescent="0.25">
      <c r="A7626">
        <v>6625</v>
      </c>
      <c r="B7626">
        <v>94</v>
      </c>
      <c r="C7626">
        <v>31399231</v>
      </c>
      <c r="D7626" t="s">
        <v>224</v>
      </c>
      <c r="E7626">
        <v>2.931</v>
      </c>
      <c r="F7626" t="s">
        <v>21</v>
      </c>
      <c r="G7626" t="s">
        <v>26</v>
      </c>
      <c r="H7626" t="s">
        <v>21</v>
      </c>
      <c r="I7626" t="s">
        <v>20</v>
      </c>
      <c r="J7626" t="s">
        <v>20</v>
      </c>
      <c r="K7626" t="s">
        <v>22</v>
      </c>
      <c r="L7626" t="s">
        <v>198</v>
      </c>
      <c r="M7626" t="s">
        <v>194</v>
      </c>
      <c r="N7626">
        <v>40.011961999999997</v>
      </c>
      <c r="O7626">
        <v>-111.74547200000001</v>
      </c>
      <c r="P7626">
        <v>4684.4838790000003</v>
      </c>
      <c r="Q7626">
        <v>408</v>
      </c>
      <c r="R7626">
        <v>0</v>
      </c>
    </row>
    <row r="7627" spans="1:18" x14ac:dyDescent="0.25">
      <c r="A7627">
        <v>6626</v>
      </c>
      <c r="B7627">
        <v>94</v>
      </c>
      <c r="C7627">
        <v>485158</v>
      </c>
      <c r="D7627" t="s">
        <v>83</v>
      </c>
      <c r="E7627">
        <v>2.931</v>
      </c>
      <c r="F7627" t="s">
        <v>21</v>
      </c>
      <c r="G7627" t="s">
        <v>26</v>
      </c>
      <c r="H7627" t="s">
        <v>21</v>
      </c>
      <c r="I7627" t="s">
        <v>20</v>
      </c>
      <c r="J7627" t="s">
        <v>20</v>
      </c>
      <c r="K7627" t="s">
        <v>22</v>
      </c>
      <c r="L7627" t="s">
        <v>84</v>
      </c>
      <c r="M7627" t="s">
        <v>85</v>
      </c>
      <c r="N7627">
        <v>40.418059</v>
      </c>
      <c r="O7627">
        <v>-111.787361</v>
      </c>
      <c r="P7627">
        <v>4816.1866</v>
      </c>
      <c r="Q7627">
        <v>319</v>
      </c>
      <c r="R7627">
        <v>0</v>
      </c>
    </row>
    <row r="7628" spans="1:18" x14ac:dyDescent="0.25">
      <c r="A7628">
        <v>6627</v>
      </c>
      <c r="B7628">
        <v>94</v>
      </c>
      <c r="C7628" t="e">
        <f>-JN21rpQHp1jJMNpUrjYOF</f>
        <v>#NAME?</v>
      </c>
      <c r="D7628" t="s">
        <v>68</v>
      </c>
      <c r="E7628">
        <v>2.9340000000000002</v>
      </c>
      <c r="F7628" t="s">
        <v>21</v>
      </c>
      <c r="G7628" t="s">
        <v>26</v>
      </c>
      <c r="H7628" t="s">
        <v>21</v>
      </c>
      <c r="I7628" t="s">
        <v>20</v>
      </c>
      <c r="J7628" t="s">
        <v>20</v>
      </c>
      <c r="K7628" t="s">
        <v>31</v>
      </c>
      <c r="L7628" t="s">
        <v>69</v>
      </c>
      <c r="M7628" t="s">
        <v>70</v>
      </c>
      <c r="N7628">
        <v>40.674568000000001</v>
      </c>
      <c r="O7628">
        <v>-111.89972299999999</v>
      </c>
      <c r="P7628">
        <v>4200.6819409999998</v>
      </c>
      <c r="Q7628">
        <v>431</v>
      </c>
      <c r="R7628">
        <v>0</v>
      </c>
    </row>
    <row r="7629" spans="1:18" x14ac:dyDescent="0.25">
      <c r="A7629">
        <v>6628</v>
      </c>
      <c r="B7629">
        <v>94</v>
      </c>
      <c r="C7629">
        <v>767290</v>
      </c>
      <c r="D7629" t="s">
        <v>68</v>
      </c>
      <c r="E7629">
        <v>2.9340000000000002</v>
      </c>
      <c r="F7629" t="s">
        <v>21</v>
      </c>
      <c r="G7629" t="s">
        <v>26</v>
      </c>
      <c r="H7629" t="s">
        <v>21</v>
      </c>
      <c r="I7629" t="s">
        <v>20</v>
      </c>
      <c r="J7629" t="s">
        <v>20</v>
      </c>
      <c r="K7629" t="s">
        <v>31</v>
      </c>
      <c r="L7629" t="s">
        <v>69</v>
      </c>
      <c r="M7629" t="s">
        <v>70</v>
      </c>
      <c r="N7629">
        <v>40.674582000000001</v>
      </c>
      <c r="O7629">
        <v>-111.89972299999999</v>
      </c>
      <c r="P7629">
        <v>4200.5373890000001</v>
      </c>
      <c r="Q7629">
        <v>431</v>
      </c>
      <c r="R7629">
        <v>0</v>
      </c>
    </row>
    <row r="7630" spans="1:18" x14ac:dyDescent="0.25">
      <c r="A7630">
        <v>6629</v>
      </c>
      <c r="B7630">
        <v>94</v>
      </c>
      <c r="C7630">
        <v>31306933</v>
      </c>
      <c r="D7630" t="s">
        <v>116</v>
      </c>
      <c r="E7630">
        <v>24.75</v>
      </c>
      <c r="F7630" t="s">
        <v>21</v>
      </c>
      <c r="G7630" t="s">
        <v>26</v>
      </c>
      <c r="H7630" t="s">
        <v>21</v>
      </c>
      <c r="I7630" t="s">
        <v>20</v>
      </c>
      <c r="J7630" t="s">
        <v>20</v>
      </c>
      <c r="K7630" t="s">
        <v>41</v>
      </c>
      <c r="L7630" t="s">
        <v>42</v>
      </c>
      <c r="M7630" t="s">
        <v>43</v>
      </c>
      <c r="N7630">
        <v>41.707402000000002</v>
      </c>
      <c r="O7630">
        <v>-111.846065</v>
      </c>
      <c r="P7630">
        <v>4426.303559</v>
      </c>
      <c r="Q7630">
        <v>324</v>
      </c>
      <c r="R7630">
        <v>0</v>
      </c>
    </row>
    <row r="7631" spans="1:18" x14ac:dyDescent="0.25">
      <c r="A7631">
        <v>6630</v>
      </c>
      <c r="B7631">
        <v>94</v>
      </c>
      <c r="C7631">
        <v>1368501</v>
      </c>
      <c r="D7631" t="s">
        <v>100</v>
      </c>
      <c r="E7631">
        <v>2.7280000000000002</v>
      </c>
      <c r="F7631" t="s">
        <v>21</v>
      </c>
      <c r="G7631" t="s">
        <v>26</v>
      </c>
      <c r="H7631" t="s">
        <v>21</v>
      </c>
      <c r="I7631" t="s">
        <v>20</v>
      </c>
      <c r="J7631" t="s">
        <v>20</v>
      </c>
      <c r="K7631" t="s">
        <v>41</v>
      </c>
      <c r="L7631" t="s">
        <v>57</v>
      </c>
      <c r="M7631" t="s">
        <v>46</v>
      </c>
      <c r="N7631">
        <v>41.089149999999997</v>
      </c>
      <c r="O7631">
        <v>-112.04011300000001</v>
      </c>
      <c r="P7631">
        <v>4279.985799</v>
      </c>
      <c r="Q7631">
        <v>1396</v>
      </c>
      <c r="R7631">
        <v>0</v>
      </c>
    </row>
    <row r="7632" spans="1:18" x14ac:dyDescent="0.25">
      <c r="A7632">
        <v>6631</v>
      </c>
      <c r="B7632">
        <v>94</v>
      </c>
      <c r="C7632">
        <v>28564871</v>
      </c>
      <c r="D7632" t="s">
        <v>323</v>
      </c>
      <c r="E7632">
        <v>18.135000000000002</v>
      </c>
      <c r="F7632" t="s">
        <v>21</v>
      </c>
      <c r="G7632" t="s">
        <v>26</v>
      </c>
      <c r="H7632" t="s">
        <v>21</v>
      </c>
      <c r="I7632" t="s">
        <v>20</v>
      </c>
      <c r="J7632" t="s">
        <v>20</v>
      </c>
      <c r="K7632" t="s">
        <v>31</v>
      </c>
      <c r="L7632" t="s">
        <v>130</v>
      </c>
      <c r="M7632" t="s">
        <v>131</v>
      </c>
      <c r="N7632">
        <v>40.714879000000003</v>
      </c>
      <c r="O7632">
        <v>-111.300298</v>
      </c>
      <c r="P7632">
        <v>6383.2172140000002</v>
      </c>
      <c r="Q7632">
        <v>1345</v>
      </c>
      <c r="R7632">
        <v>0</v>
      </c>
    </row>
    <row r="7633" spans="1:18" x14ac:dyDescent="0.25">
      <c r="A7633">
        <v>6632</v>
      </c>
      <c r="B7633">
        <v>94</v>
      </c>
      <c r="C7633">
        <v>27706006</v>
      </c>
      <c r="D7633" t="s">
        <v>217</v>
      </c>
      <c r="E7633">
        <v>18.143000000000001</v>
      </c>
      <c r="F7633" t="s">
        <v>21</v>
      </c>
      <c r="G7633" t="s">
        <v>26</v>
      </c>
      <c r="H7633" t="s">
        <v>21</v>
      </c>
      <c r="I7633" t="s">
        <v>20</v>
      </c>
      <c r="J7633" t="s">
        <v>20</v>
      </c>
      <c r="K7633" t="s">
        <v>27</v>
      </c>
      <c r="L7633" t="s">
        <v>162</v>
      </c>
      <c r="M7633" t="s">
        <v>163</v>
      </c>
      <c r="N7633">
        <v>37.315609000000002</v>
      </c>
      <c r="O7633">
        <v>-113.67788899999999</v>
      </c>
      <c r="P7633">
        <v>4527.2495399999998</v>
      </c>
      <c r="Q7633">
        <v>304</v>
      </c>
      <c r="R7633">
        <v>0</v>
      </c>
    </row>
    <row r="7634" spans="1:18" x14ac:dyDescent="0.25">
      <c r="A7634">
        <v>6633</v>
      </c>
      <c r="B7634">
        <v>94</v>
      </c>
      <c r="C7634">
        <v>28170521</v>
      </c>
      <c r="D7634" t="s">
        <v>233</v>
      </c>
      <c r="E7634">
        <v>18.146000000000001</v>
      </c>
      <c r="F7634" t="s">
        <v>21</v>
      </c>
      <c r="G7634" t="s">
        <v>26</v>
      </c>
      <c r="H7634" t="s">
        <v>21</v>
      </c>
      <c r="I7634" t="s">
        <v>20</v>
      </c>
      <c r="J7634" t="s">
        <v>20</v>
      </c>
      <c r="K7634" t="s">
        <v>22</v>
      </c>
      <c r="L7634" t="s">
        <v>234</v>
      </c>
      <c r="M7634" t="s">
        <v>235</v>
      </c>
      <c r="N7634">
        <v>40.165869999999998</v>
      </c>
      <c r="O7634">
        <v>-109.314652</v>
      </c>
      <c r="P7634">
        <v>5342.5561550000002</v>
      </c>
      <c r="Q7634">
        <v>1354</v>
      </c>
      <c r="R7634">
        <v>0</v>
      </c>
    </row>
    <row r="7635" spans="1:18" x14ac:dyDescent="0.25">
      <c r="A7635">
        <v>6634</v>
      </c>
      <c r="B7635">
        <v>94</v>
      </c>
      <c r="C7635">
        <v>31284352</v>
      </c>
      <c r="D7635" t="s">
        <v>278</v>
      </c>
      <c r="E7635">
        <v>18.172000000000001</v>
      </c>
      <c r="F7635" t="s">
        <v>21</v>
      </c>
      <c r="G7635" t="s">
        <v>26</v>
      </c>
      <c r="H7635" t="s">
        <v>19</v>
      </c>
      <c r="I7635">
        <v>148</v>
      </c>
      <c r="J7635" t="s">
        <v>20</v>
      </c>
      <c r="K7635" t="s">
        <v>27</v>
      </c>
      <c r="L7635" t="s">
        <v>501</v>
      </c>
      <c r="M7635" t="s">
        <v>280</v>
      </c>
      <c r="N7635">
        <v>37.572088999999998</v>
      </c>
      <c r="O7635">
        <v>-112.836167</v>
      </c>
      <c r="P7635">
        <v>9709.8096069999992</v>
      </c>
      <c r="Q7635">
        <v>1330</v>
      </c>
      <c r="R7635">
        <v>0</v>
      </c>
    </row>
    <row r="7636" spans="1:18" x14ac:dyDescent="0.25">
      <c r="A7636">
        <v>6635</v>
      </c>
      <c r="B7636">
        <v>94</v>
      </c>
      <c r="C7636" t="e">
        <f>-Iov7lYLIUHwKDQjFWlduk</f>
        <v>#NAME?</v>
      </c>
      <c r="D7636" t="s">
        <v>176</v>
      </c>
      <c r="E7636">
        <v>18.178999999999998</v>
      </c>
      <c r="F7636" t="s">
        <v>21</v>
      </c>
      <c r="G7636" t="s">
        <v>26</v>
      </c>
      <c r="H7636" t="s">
        <v>21</v>
      </c>
      <c r="I7636" t="s">
        <v>20</v>
      </c>
      <c r="J7636" t="s">
        <v>20</v>
      </c>
      <c r="K7636" t="s">
        <v>41</v>
      </c>
      <c r="L7636" t="s">
        <v>181</v>
      </c>
      <c r="M7636" t="s">
        <v>178</v>
      </c>
      <c r="N7636">
        <v>41.683284999999998</v>
      </c>
      <c r="O7636">
        <v>-112.14130299999999</v>
      </c>
      <c r="P7636">
        <v>4240.2532149999997</v>
      </c>
      <c r="Q7636">
        <v>1329</v>
      </c>
      <c r="R7636">
        <v>0</v>
      </c>
    </row>
    <row r="7637" spans="1:18" x14ac:dyDescent="0.25">
      <c r="A7637">
        <v>6636</v>
      </c>
      <c r="B7637">
        <v>94</v>
      </c>
      <c r="C7637">
        <v>2624665</v>
      </c>
      <c r="D7637" t="s">
        <v>176</v>
      </c>
      <c r="E7637">
        <v>31.355</v>
      </c>
      <c r="F7637" t="s">
        <v>21</v>
      </c>
      <c r="G7637" t="s">
        <v>26</v>
      </c>
      <c r="H7637" t="s">
        <v>21</v>
      </c>
      <c r="I7637" t="s">
        <v>20</v>
      </c>
      <c r="J7637" t="s">
        <v>20</v>
      </c>
      <c r="K7637" t="s">
        <v>41</v>
      </c>
      <c r="L7637" t="s">
        <v>223</v>
      </c>
      <c r="M7637" t="s">
        <v>178</v>
      </c>
      <c r="N7637">
        <v>41.872256</v>
      </c>
      <c r="O7637">
        <v>-112.148342</v>
      </c>
      <c r="P7637">
        <v>4402.0403029999998</v>
      </c>
      <c r="Q7637">
        <v>1329</v>
      </c>
      <c r="R7637">
        <v>0</v>
      </c>
    </row>
    <row r="7638" spans="1:18" x14ac:dyDescent="0.25">
      <c r="A7638">
        <v>6637</v>
      </c>
      <c r="B7638">
        <v>94</v>
      </c>
      <c r="C7638">
        <v>31606304</v>
      </c>
      <c r="D7638" t="s">
        <v>271</v>
      </c>
      <c r="E7638">
        <v>31.399000000000001</v>
      </c>
      <c r="F7638" t="s">
        <v>21</v>
      </c>
      <c r="G7638" t="s">
        <v>26</v>
      </c>
      <c r="H7638" t="s">
        <v>21</v>
      </c>
      <c r="I7638" t="s">
        <v>20</v>
      </c>
      <c r="J7638" t="s">
        <v>20</v>
      </c>
      <c r="K7638" t="s">
        <v>22</v>
      </c>
      <c r="L7638" t="s">
        <v>263</v>
      </c>
      <c r="M7638" t="s">
        <v>24</v>
      </c>
      <c r="N7638">
        <v>40.376232000000002</v>
      </c>
      <c r="O7638">
        <v>-112.01012299999999</v>
      </c>
      <c r="P7638">
        <v>4945.3973050000004</v>
      </c>
      <c r="Q7638">
        <v>1372</v>
      </c>
      <c r="R7638">
        <v>0</v>
      </c>
    </row>
    <row r="7639" spans="1:18" x14ac:dyDescent="0.25">
      <c r="A7639">
        <v>6638</v>
      </c>
      <c r="B7639">
        <v>94</v>
      </c>
      <c r="C7639">
        <v>31410360</v>
      </c>
      <c r="D7639" t="s">
        <v>63</v>
      </c>
      <c r="E7639">
        <v>31.417999999999999</v>
      </c>
      <c r="F7639" t="s">
        <v>21</v>
      </c>
      <c r="G7639" t="s">
        <v>26</v>
      </c>
      <c r="H7639" t="s">
        <v>21</v>
      </c>
      <c r="I7639" t="s">
        <v>20</v>
      </c>
      <c r="J7639" t="s">
        <v>20</v>
      </c>
      <c r="K7639" t="s">
        <v>27</v>
      </c>
      <c r="L7639" t="s">
        <v>266</v>
      </c>
      <c r="M7639" t="s">
        <v>29</v>
      </c>
      <c r="N7639">
        <v>38.426226999999997</v>
      </c>
      <c r="O7639">
        <v>-111.922625</v>
      </c>
      <c r="P7639">
        <v>6771.4140049999996</v>
      </c>
      <c r="Q7639">
        <v>1365</v>
      </c>
      <c r="R7639">
        <v>0</v>
      </c>
    </row>
    <row r="7640" spans="1:18" x14ac:dyDescent="0.25">
      <c r="A7640">
        <v>6639</v>
      </c>
      <c r="B7640">
        <v>94</v>
      </c>
      <c r="C7640">
        <v>31571216</v>
      </c>
      <c r="D7640" t="s">
        <v>172</v>
      </c>
      <c r="E7640">
        <v>31.437999999999999</v>
      </c>
      <c r="F7640" t="s">
        <v>21</v>
      </c>
      <c r="G7640" t="s">
        <v>26</v>
      </c>
      <c r="H7640" t="s">
        <v>21</v>
      </c>
      <c r="I7640" t="s">
        <v>20</v>
      </c>
      <c r="J7640" t="s">
        <v>20</v>
      </c>
      <c r="K7640" t="s">
        <v>22</v>
      </c>
      <c r="L7640" t="s">
        <v>155</v>
      </c>
      <c r="M7640" t="s">
        <v>174</v>
      </c>
      <c r="N7640">
        <v>39.710034999999998</v>
      </c>
      <c r="O7640">
        <v>-111.869677</v>
      </c>
      <c r="P7640">
        <v>4981.62453</v>
      </c>
      <c r="Q7640">
        <v>1411</v>
      </c>
      <c r="R7640">
        <v>0</v>
      </c>
    </row>
    <row r="7641" spans="1:18" x14ac:dyDescent="0.25">
      <c r="A7641">
        <v>6640</v>
      </c>
      <c r="B7641">
        <v>94</v>
      </c>
      <c r="C7641">
        <v>31332651</v>
      </c>
      <c r="D7641" t="s">
        <v>303</v>
      </c>
      <c r="E7641">
        <v>31.443999999999999</v>
      </c>
      <c r="F7641" t="s">
        <v>21</v>
      </c>
      <c r="G7641" t="s">
        <v>26</v>
      </c>
      <c r="H7641" t="s">
        <v>21</v>
      </c>
      <c r="I7641" t="s">
        <v>20</v>
      </c>
      <c r="J7641" t="s">
        <v>20</v>
      </c>
      <c r="K7641" t="s">
        <v>27</v>
      </c>
      <c r="L7641" t="s">
        <v>72</v>
      </c>
      <c r="M7641" t="s">
        <v>73</v>
      </c>
      <c r="N7641">
        <v>37.187494000000001</v>
      </c>
      <c r="O7641">
        <v>-113.00120699999999</v>
      </c>
      <c r="P7641">
        <v>3824.1367789999999</v>
      </c>
      <c r="Q7641">
        <v>1326</v>
      </c>
      <c r="R7641">
        <v>0</v>
      </c>
    </row>
    <row r="7642" spans="1:18" x14ac:dyDescent="0.25">
      <c r="A7642">
        <v>6641</v>
      </c>
      <c r="B7642">
        <v>94</v>
      </c>
      <c r="C7642">
        <v>31283380</v>
      </c>
      <c r="D7642" t="s">
        <v>241</v>
      </c>
      <c r="E7642">
        <v>31.463999999999999</v>
      </c>
      <c r="F7642" t="s">
        <v>21</v>
      </c>
      <c r="G7642" t="s">
        <v>26</v>
      </c>
      <c r="H7642" t="s">
        <v>21</v>
      </c>
      <c r="I7642" t="s">
        <v>20</v>
      </c>
      <c r="J7642" t="s">
        <v>20</v>
      </c>
      <c r="K7642" t="s">
        <v>27</v>
      </c>
      <c r="L7642" t="s">
        <v>111</v>
      </c>
      <c r="M7642" t="s">
        <v>243</v>
      </c>
      <c r="N7642">
        <v>39.146704</v>
      </c>
      <c r="O7642">
        <v>-111.09384300000001</v>
      </c>
      <c r="P7642">
        <v>5794.4933140000003</v>
      </c>
      <c r="Q7642">
        <v>1327</v>
      </c>
      <c r="R7642">
        <v>0</v>
      </c>
    </row>
    <row r="7643" spans="1:18" x14ac:dyDescent="0.25">
      <c r="A7643">
        <v>6642</v>
      </c>
      <c r="B7643">
        <v>94</v>
      </c>
      <c r="C7643">
        <v>31321995</v>
      </c>
      <c r="D7643" t="s">
        <v>278</v>
      </c>
      <c r="E7643">
        <v>31.465</v>
      </c>
      <c r="F7643" t="s">
        <v>21</v>
      </c>
      <c r="G7643" t="s">
        <v>26</v>
      </c>
      <c r="H7643" t="s">
        <v>21</v>
      </c>
      <c r="I7643" t="s">
        <v>20</v>
      </c>
      <c r="J7643" t="s">
        <v>20</v>
      </c>
      <c r="K7643" t="s">
        <v>27</v>
      </c>
      <c r="L7643" t="s">
        <v>279</v>
      </c>
      <c r="M7643" t="s">
        <v>280</v>
      </c>
      <c r="N7643">
        <v>37.517665999999998</v>
      </c>
      <c r="O7643">
        <v>-112.64628399999999</v>
      </c>
      <c r="P7643">
        <v>8417.5499149999996</v>
      </c>
      <c r="Q7643">
        <v>1330</v>
      </c>
      <c r="R7643">
        <v>0</v>
      </c>
    </row>
    <row r="7644" spans="1:18" x14ac:dyDescent="0.25">
      <c r="A7644">
        <v>6643</v>
      </c>
      <c r="B7644">
        <v>94</v>
      </c>
      <c r="C7644">
        <v>31381385</v>
      </c>
      <c r="D7644" t="s">
        <v>116</v>
      </c>
      <c r="E7644">
        <v>31.475000000000001</v>
      </c>
      <c r="F7644" t="s">
        <v>21</v>
      </c>
      <c r="G7644" t="s">
        <v>26</v>
      </c>
      <c r="H7644" t="s">
        <v>21</v>
      </c>
      <c r="I7644" t="s">
        <v>20</v>
      </c>
      <c r="J7644" t="s">
        <v>20</v>
      </c>
      <c r="K7644" t="s">
        <v>41</v>
      </c>
      <c r="L7644" t="s">
        <v>95</v>
      </c>
      <c r="M7644" t="s">
        <v>117</v>
      </c>
      <c r="N7644">
        <v>41.801723000000003</v>
      </c>
      <c r="O7644">
        <v>-111.833454</v>
      </c>
      <c r="P7644">
        <v>4422.4908290000003</v>
      </c>
      <c r="Q7644">
        <v>324</v>
      </c>
      <c r="R7644">
        <v>0</v>
      </c>
    </row>
    <row r="7645" spans="1:18" x14ac:dyDescent="0.25">
      <c r="A7645">
        <v>6644</v>
      </c>
      <c r="B7645">
        <v>94</v>
      </c>
      <c r="C7645">
        <v>31394402</v>
      </c>
      <c r="D7645" t="s">
        <v>124</v>
      </c>
      <c r="E7645">
        <v>31.484000000000002</v>
      </c>
      <c r="F7645" t="s">
        <v>19</v>
      </c>
      <c r="G7645" t="s">
        <v>20</v>
      </c>
      <c r="H7645" t="s">
        <v>21</v>
      </c>
      <c r="I7645" t="s">
        <v>20</v>
      </c>
      <c r="J7645" t="s">
        <v>20</v>
      </c>
      <c r="K7645" t="s">
        <v>22</v>
      </c>
      <c r="L7645" t="s">
        <v>84</v>
      </c>
      <c r="M7645" t="s">
        <v>194</v>
      </c>
      <c r="N7645">
        <v>40.369421000000003</v>
      </c>
      <c r="O7645">
        <v>-111.916383</v>
      </c>
      <c r="P7645">
        <v>4466.9290650000003</v>
      </c>
      <c r="Q7645">
        <v>1368</v>
      </c>
      <c r="R7645">
        <v>0</v>
      </c>
    </row>
    <row r="7646" spans="1:18" x14ac:dyDescent="0.25">
      <c r="A7646">
        <v>6645</v>
      </c>
      <c r="B7646">
        <v>94</v>
      </c>
      <c r="C7646" t="s">
        <v>896</v>
      </c>
      <c r="D7646" t="s">
        <v>272</v>
      </c>
      <c r="E7646">
        <v>341.92700000000002</v>
      </c>
      <c r="F7646" t="s">
        <v>21</v>
      </c>
      <c r="G7646" t="s">
        <v>26</v>
      </c>
      <c r="H7646" t="s">
        <v>21</v>
      </c>
      <c r="I7646" t="s">
        <v>20</v>
      </c>
      <c r="J7646" t="s">
        <v>20</v>
      </c>
      <c r="K7646" t="s">
        <v>22</v>
      </c>
      <c r="L7646" t="s">
        <v>23</v>
      </c>
      <c r="M7646" t="s">
        <v>125</v>
      </c>
      <c r="N7646">
        <v>40.328232</v>
      </c>
      <c r="O7646">
        <v>-111.708996</v>
      </c>
      <c r="P7646">
        <v>4696.9946890000001</v>
      </c>
      <c r="Q7646">
        <v>1384</v>
      </c>
      <c r="R7646">
        <v>0</v>
      </c>
    </row>
    <row r="7647" spans="1:18" x14ac:dyDescent="0.25">
      <c r="A7647">
        <v>6646</v>
      </c>
      <c r="B7647">
        <v>94</v>
      </c>
      <c r="C7647" t="e">
        <f>-IoXhpUrI7mEJyncDzIQWF</f>
        <v>#NAME?</v>
      </c>
      <c r="D7647" t="s">
        <v>272</v>
      </c>
      <c r="E7647">
        <v>341.97899999999998</v>
      </c>
      <c r="F7647" t="s">
        <v>21</v>
      </c>
      <c r="G7647" t="s">
        <v>20</v>
      </c>
      <c r="H7647" t="s">
        <v>21</v>
      </c>
      <c r="I7647" t="s">
        <v>20</v>
      </c>
      <c r="J7647" t="s">
        <v>20</v>
      </c>
      <c r="K7647" t="s">
        <v>22</v>
      </c>
      <c r="L7647" t="s">
        <v>23</v>
      </c>
      <c r="M7647" t="s">
        <v>125</v>
      </c>
      <c r="N7647">
        <v>40.328871999999997</v>
      </c>
      <c r="O7647">
        <v>-111.709521</v>
      </c>
      <c r="P7647">
        <v>4696.1028630000001</v>
      </c>
      <c r="Q7647">
        <v>1384</v>
      </c>
      <c r="R7647">
        <v>0</v>
      </c>
    </row>
    <row r="7648" spans="1:18" x14ac:dyDescent="0.25">
      <c r="A7648">
        <v>6647</v>
      </c>
      <c r="B7648">
        <v>94</v>
      </c>
      <c r="C7648" t="e">
        <f>-Ip98mG7IlTfAw--Wgj0Ak</f>
        <v>#NAME?</v>
      </c>
      <c r="D7648" t="s">
        <v>272</v>
      </c>
      <c r="E7648">
        <v>380.93900000000002</v>
      </c>
      <c r="F7648" t="s">
        <v>21</v>
      </c>
      <c r="G7648" t="s">
        <v>26</v>
      </c>
      <c r="H7648" t="s">
        <v>21</v>
      </c>
      <c r="I7648" t="s">
        <v>20</v>
      </c>
      <c r="J7648" t="s">
        <v>20</v>
      </c>
      <c r="K7648" t="s">
        <v>31</v>
      </c>
      <c r="L7648" t="s">
        <v>66</v>
      </c>
      <c r="M7648" t="s">
        <v>49</v>
      </c>
      <c r="N7648">
        <v>40.785744999999999</v>
      </c>
      <c r="O7648">
        <v>-111.899609</v>
      </c>
      <c r="P7648">
        <v>4195.2307940000001</v>
      </c>
      <c r="Q7648">
        <v>1384</v>
      </c>
      <c r="R7648">
        <v>0</v>
      </c>
    </row>
    <row r="7649" spans="1:18" x14ac:dyDescent="0.25">
      <c r="A7649">
        <v>6648</v>
      </c>
      <c r="B7649">
        <v>94</v>
      </c>
      <c r="C7649" t="e">
        <f>-Ip992xDGVLNqY57-nuLMF</f>
        <v>#NAME?</v>
      </c>
      <c r="D7649" t="s">
        <v>272</v>
      </c>
      <c r="E7649">
        <v>381.00599999999997</v>
      </c>
      <c r="F7649" t="s">
        <v>21</v>
      </c>
      <c r="G7649" t="s">
        <v>26</v>
      </c>
      <c r="H7649" t="s">
        <v>21</v>
      </c>
      <c r="I7649" t="s">
        <v>20</v>
      </c>
      <c r="J7649" t="s">
        <v>20</v>
      </c>
      <c r="K7649" t="s">
        <v>31</v>
      </c>
      <c r="L7649" t="s">
        <v>66</v>
      </c>
      <c r="M7649" t="s">
        <v>49</v>
      </c>
      <c r="N7649">
        <v>40.786723000000002</v>
      </c>
      <c r="O7649">
        <v>-111.899702</v>
      </c>
      <c r="P7649">
        <v>4200.311095</v>
      </c>
      <c r="Q7649">
        <v>1384</v>
      </c>
      <c r="R7649">
        <v>0</v>
      </c>
    </row>
    <row r="7650" spans="1:18" x14ac:dyDescent="0.25">
      <c r="A7650">
        <v>6649</v>
      </c>
      <c r="B7650">
        <v>94</v>
      </c>
      <c r="C7650" t="e">
        <f>-Ip99tcPGRaibsCDsmBo-V</f>
        <v>#NAME?</v>
      </c>
      <c r="D7650" t="s">
        <v>272</v>
      </c>
      <c r="E7650">
        <v>381.25799999999998</v>
      </c>
      <c r="F7650" t="s">
        <v>19</v>
      </c>
      <c r="G7650" t="s">
        <v>20</v>
      </c>
      <c r="H7650" t="s">
        <v>21</v>
      </c>
      <c r="I7650" t="s">
        <v>20</v>
      </c>
      <c r="J7650" t="s">
        <v>20</v>
      </c>
      <c r="K7650" t="s">
        <v>31</v>
      </c>
      <c r="L7650" t="s">
        <v>66</v>
      </c>
      <c r="M7650" t="s">
        <v>49</v>
      </c>
      <c r="N7650">
        <v>40.790146</v>
      </c>
      <c r="O7650">
        <v>-111.90107999999999</v>
      </c>
      <c r="P7650">
        <v>4209.9219080000003</v>
      </c>
      <c r="Q7650">
        <v>1384</v>
      </c>
      <c r="R7650">
        <v>0</v>
      </c>
    </row>
    <row r="7651" spans="1:18" x14ac:dyDescent="0.25">
      <c r="A7651">
        <v>6650</v>
      </c>
      <c r="B7651">
        <v>94</v>
      </c>
      <c r="C7651">
        <v>31589094</v>
      </c>
      <c r="D7651" t="s">
        <v>288</v>
      </c>
      <c r="E7651">
        <v>381.27300000000002</v>
      </c>
      <c r="F7651" t="s">
        <v>21</v>
      </c>
      <c r="G7651" t="s">
        <v>20</v>
      </c>
      <c r="H7651" t="s">
        <v>21</v>
      </c>
      <c r="I7651" t="s">
        <v>20</v>
      </c>
      <c r="J7651" t="s">
        <v>20</v>
      </c>
      <c r="K7651" t="s">
        <v>22</v>
      </c>
      <c r="L7651" t="s">
        <v>234</v>
      </c>
      <c r="M7651" t="s">
        <v>98</v>
      </c>
      <c r="N7651">
        <v>40.789304999999999</v>
      </c>
      <c r="O7651">
        <v>-109.47034499999999</v>
      </c>
      <c r="P7651">
        <v>8114.9856060000002</v>
      </c>
      <c r="Q7651">
        <v>350</v>
      </c>
      <c r="R7651">
        <v>0</v>
      </c>
    </row>
    <row r="7652" spans="1:18" x14ac:dyDescent="0.25">
      <c r="A7652">
        <v>6651</v>
      </c>
      <c r="B7652">
        <v>94</v>
      </c>
      <c r="C7652" t="e">
        <f>-Ip9B_9EHcX98IKGyExYxk</f>
        <v>#NAME?</v>
      </c>
      <c r="D7652" t="s">
        <v>272</v>
      </c>
      <c r="E7652">
        <v>381.54899999999998</v>
      </c>
      <c r="F7652" t="s">
        <v>19</v>
      </c>
      <c r="G7652" t="s">
        <v>20</v>
      </c>
      <c r="H7652" t="s">
        <v>19</v>
      </c>
      <c r="I7652">
        <v>186</v>
      </c>
      <c r="J7652" t="s">
        <v>20</v>
      </c>
      <c r="K7652" t="s">
        <v>31</v>
      </c>
      <c r="L7652" t="s">
        <v>66</v>
      </c>
      <c r="M7652" t="s">
        <v>49</v>
      </c>
      <c r="N7652">
        <v>40.794024</v>
      </c>
      <c r="O7652">
        <v>-111.903291</v>
      </c>
      <c r="P7652">
        <v>4213.9134860000004</v>
      </c>
      <c r="Q7652">
        <v>1384</v>
      </c>
      <c r="R7652">
        <v>0</v>
      </c>
    </row>
    <row r="7653" spans="1:18" x14ac:dyDescent="0.25">
      <c r="A7653">
        <v>6652</v>
      </c>
      <c r="B7653">
        <v>94</v>
      </c>
      <c r="C7653" t="e">
        <f>-Ip9E7ijIay0_zPGbfui8k</f>
        <v>#NAME?</v>
      </c>
      <c r="D7653" t="s">
        <v>272</v>
      </c>
      <c r="E7653">
        <v>381.81799999999998</v>
      </c>
      <c r="F7653" t="s">
        <v>21</v>
      </c>
      <c r="G7653" t="s">
        <v>26</v>
      </c>
      <c r="H7653" t="s">
        <v>21</v>
      </c>
      <c r="I7653" t="s">
        <v>20</v>
      </c>
      <c r="J7653" t="s">
        <v>20</v>
      </c>
      <c r="K7653" t="s">
        <v>31</v>
      </c>
      <c r="L7653" t="s">
        <v>66</v>
      </c>
      <c r="M7653" t="s">
        <v>49</v>
      </c>
      <c r="N7653">
        <v>40.796919000000003</v>
      </c>
      <c r="O7653">
        <v>-111.90674300000001</v>
      </c>
      <c r="P7653">
        <v>4184.9828310000003</v>
      </c>
      <c r="Q7653">
        <v>1384</v>
      </c>
      <c r="R7653">
        <v>0</v>
      </c>
    </row>
    <row r="7654" spans="1:18" x14ac:dyDescent="0.25">
      <c r="A7654">
        <v>6653</v>
      </c>
      <c r="B7654">
        <v>94</v>
      </c>
      <c r="C7654">
        <v>31590005</v>
      </c>
      <c r="D7654" t="s">
        <v>288</v>
      </c>
      <c r="E7654">
        <v>381.83600000000001</v>
      </c>
      <c r="F7654" t="s">
        <v>21</v>
      </c>
      <c r="G7654" t="s">
        <v>26</v>
      </c>
      <c r="H7654" t="s">
        <v>21</v>
      </c>
      <c r="I7654" t="s">
        <v>20</v>
      </c>
      <c r="J7654" t="s">
        <v>20</v>
      </c>
      <c r="K7654" t="s">
        <v>22</v>
      </c>
      <c r="L7654" t="s">
        <v>234</v>
      </c>
      <c r="M7654" t="s">
        <v>98</v>
      </c>
      <c r="N7654">
        <v>40.796792000000003</v>
      </c>
      <c r="O7654">
        <v>-109.466149</v>
      </c>
      <c r="P7654">
        <v>8145.1413480000001</v>
      </c>
      <c r="Q7654">
        <v>350</v>
      </c>
      <c r="R7654">
        <v>0</v>
      </c>
    </row>
    <row r="7655" spans="1:18" x14ac:dyDescent="0.25">
      <c r="A7655">
        <v>6654</v>
      </c>
      <c r="B7655">
        <v>94</v>
      </c>
      <c r="C7655" t="e">
        <f>-Ip9FAXUGlu1PBC2ZEM9LF</f>
        <v>#NAME?</v>
      </c>
      <c r="D7655" t="s">
        <v>272</v>
      </c>
      <c r="E7655">
        <v>382.06400000000002</v>
      </c>
      <c r="F7655" t="s">
        <v>21</v>
      </c>
      <c r="G7655" t="s">
        <v>26</v>
      </c>
      <c r="H7655" t="s">
        <v>21</v>
      </c>
      <c r="I7655" t="s">
        <v>20</v>
      </c>
      <c r="J7655" t="s">
        <v>20</v>
      </c>
      <c r="K7655" t="s">
        <v>31</v>
      </c>
      <c r="L7655" t="s">
        <v>66</v>
      </c>
      <c r="M7655" t="s">
        <v>49</v>
      </c>
      <c r="N7655">
        <v>40.799531000000002</v>
      </c>
      <c r="O7655">
        <v>-111.909953</v>
      </c>
      <c r="P7655">
        <v>4188.0034800000003</v>
      </c>
      <c r="Q7655">
        <v>1384</v>
      </c>
      <c r="R7655">
        <v>0</v>
      </c>
    </row>
    <row r="7656" spans="1:18" x14ac:dyDescent="0.25">
      <c r="A7656">
        <v>6655</v>
      </c>
      <c r="B7656">
        <v>94</v>
      </c>
      <c r="C7656" t="s">
        <v>897</v>
      </c>
      <c r="D7656" t="s">
        <v>272</v>
      </c>
      <c r="E7656">
        <v>382.31599999999997</v>
      </c>
      <c r="F7656" t="s">
        <v>21</v>
      </c>
      <c r="G7656" t="s">
        <v>26</v>
      </c>
      <c r="H7656" t="s">
        <v>21</v>
      </c>
      <c r="I7656" t="s">
        <v>20</v>
      </c>
      <c r="J7656" t="s">
        <v>20</v>
      </c>
      <c r="K7656" t="s">
        <v>31</v>
      </c>
      <c r="L7656" t="s">
        <v>66</v>
      </c>
      <c r="M7656" t="s">
        <v>49</v>
      </c>
      <c r="N7656">
        <v>40.802185999999999</v>
      </c>
      <c r="O7656">
        <v>-111.91325500000001</v>
      </c>
      <c r="P7656">
        <v>4194.0446380000003</v>
      </c>
      <c r="Q7656">
        <v>1384</v>
      </c>
      <c r="R7656">
        <v>0</v>
      </c>
    </row>
    <row r="7657" spans="1:18" x14ac:dyDescent="0.25">
      <c r="A7657">
        <v>6656</v>
      </c>
      <c r="B7657">
        <v>94</v>
      </c>
      <c r="C7657" t="e">
        <f>-JRRpY9pIw1d1xfa_jPZhF</f>
        <v>#NAME?</v>
      </c>
      <c r="D7657" t="s">
        <v>233</v>
      </c>
      <c r="E7657">
        <v>37.421999999999997</v>
      </c>
      <c r="F7657" t="s">
        <v>21</v>
      </c>
      <c r="G7657" t="s">
        <v>20</v>
      </c>
      <c r="H7657" t="s">
        <v>21</v>
      </c>
      <c r="I7657" t="s">
        <v>20</v>
      </c>
      <c r="J7657" t="s">
        <v>20</v>
      </c>
      <c r="K7657" t="s">
        <v>22</v>
      </c>
      <c r="L7657" t="s">
        <v>234</v>
      </c>
      <c r="M7657" t="s">
        <v>235</v>
      </c>
      <c r="N7657">
        <v>40.376857000000001</v>
      </c>
      <c r="O7657">
        <v>-109.498423</v>
      </c>
      <c r="P7657">
        <v>5298.7841719999997</v>
      </c>
      <c r="Q7657">
        <v>1354</v>
      </c>
      <c r="R7657">
        <v>0</v>
      </c>
    </row>
    <row r="7658" spans="1:18" x14ac:dyDescent="0.25">
      <c r="A7658">
        <v>6657</v>
      </c>
      <c r="B7658">
        <v>94</v>
      </c>
      <c r="C7658">
        <v>31798642</v>
      </c>
      <c r="D7658" t="s">
        <v>61</v>
      </c>
      <c r="E7658">
        <v>3.7829999999999999</v>
      </c>
      <c r="F7658" t="s">
        <v>21</v>
      </c>
      <c r="G7658" t="s">
        <v>26</v>
      </c>
      <c r="H7658" t="s">
        <v>21</v>
      </c>
      <c r="I7658" t="s">
        <v>20</v>
      </c>
      <c r="J7658" t="s">
        <v>20</v>
      </c>
      <c r="K7658" t="s">
        <v>22</v>
      </c>
      <c r="L7658" t="s">
        <v>60</v>
      </c>
      <c r="M7658" t="s">
        <v>62</v>
      </c>
      <c r="N7658">
        <v>40.260826000000002</v>
      </c>
      <c r="O7658">
        <v>-111.658601</v>
      </c>
      <c r="P7658">
        <v>4595.9140150000003</v>
      </c>
      <c r="Q7658">
        <v>403</v>
      </c>
      <c r="R7658">
        <v>0</v>
      </c>
    </row>
    <row r="7659" spans="1:18" x14ac:dyDescent="0.25">
      <c r="A7659">
        <v>6658</v>
      </c>
      <c r="B7659">
        <v>94</v>
      </c>
      <c r="C7659">
        <v>1141038</v>
      </c>
      <c r="D7659" t="s">
        <v>56</v>
      </c>
      <c r="E7659">
        <v>3.7850000000000001</v>
      </c>
      <c r="F7659" t="s">
        <v>21</v>
      </c>
      <c r="G7659" t="s">
        <v>26</v>
      </c>
      <c r="H7659" t="s">
        <v>21</v>
      </c>
      <c r="I7659" t="s">
        <v>20</v>
      </c>
      <c r="J7659" t="s">
        <v>20</v>
      </c>
      <c r="K7659" t="s">
        <v>41</v>
      </c>
      <c r="L7659" t="s">
        <v>57</v>
      </c>
      <c r="M7659" t="s">
        <v>58</v>
      </c>
      <c r="N7659">
        <v>41.161658000000003</v>
      </c>
      <c r="O7659">
        <v>-112.05103099999999</v>
      </c>
      <c r="P7659">
        <v>4310.7599620000001</v>
      </c>
      <c r="Q7659">
        <v>1459</v>
      </c>
      <c r="R7659">
        <v>0</v>
      </c>
    </row>
    <row r="7660" spans="1:18" x14ac:dyDescent="0.25">
      <c r="A7660">
        <v>6659</v>
      </c>
      <c r="B7660">
        <v>94</v>
      </c>
      <c r="C7660" t="e">
        <f>-Ip5Tp_aH7DeVrQH-JcIaF</f>
        <v>#NAME?</v>
      </c>
      <c r="D7660" t="s">
        <v>346</v>
      </c>
      <c r="E7660">
        <v>10.625</v>
      </c>
      <c r="F7660" t="s">
        <v>21</v>
      </c>
      <c r="G7660" t="s">
        <v>20</v>
      </c>
      <c r="H7660" t="s">
        <v>21</v>
      </c>
      <c r="I7660" t="s">
        <v>20</v>
      </c>
      <c r="J7660" t="s">
        <v>20</v>
      </c>
      <c r="K7660" t="s">
        <v>27</v>
      </c>
      <c r="L7660" t="s">
        <v>307</v>
      </c>
      <c r="M7660" t="s">
        <v>159</v>
      </c>
      <c r="N7660">
        <v>39.787148000000002</v>
      </c>
      <c r="O7660">
        <v>-111.13229699999999</v>
      </c>
      <c r="P7660">
        <v>7594.8250379999999</v>
      </c>
      <c r="Q7660">
        <v>1389</v>
      </c>
      <c r="R7660">
        <v>0</v>
      </c>
    </row>
    <row r="7661" spans="1:18" x14ac:dyDescent="0.25">
      <c r="A7661">
        <v>6660</v>
      </c>
      <c r="B7661">
        <v>94</v>
      </c>
      <c r="C7661">
        <v>1442117</v>
      </c>
      <c r="D7661" t="s">
        <v>304</v>
      </c>
      <c r="E7661">
        <v>10.625</v>
      </c>
      <c r="F7661" t="s">
        <v>21</v>
      </c>
      <c r="G7661" t="s">
        <v>26</v>
      </c>
      <c r="H7661" t="s">
        <v>21</v>
      </c>
      <c r="I7661" t="s">
        <v>20</v>
      </c>
      <c r="J7661" t="s">
        <v>20</v>
      </c>
      <c r="K7661" t="s">
        <v>41</v>
      </c>
      <c r="L7661" t="s">
        <v>223</v>
      </c>
      <c r="M7661" t="s">
        <v>43</v>
      </c>
      <c r="N7661">
        <v>41.666828000000002</v>
      </c>
      <c r="O7661">
        <v>-112.088667</v>
      </c>
      <c r="P7661">
        <v>4251.9989390000001</v>
      </c>
      <c r="Q7661">
        <v>1348</v>
      </c>
      <c r="R7661">
        <v>0</v>
      </c>
    </row>
    <row r="7662" spans="1:18" x14ac:dyDescent="0.25">
      <c r="A7662">
        <v>6661</v>
      </c>
      <c r="B7662">
        <v>94</v>
      </c>
      <c r="C7662">
        <v>31415923</v>
      </c>
      <c r="D7662" t="s">
        <v>221</v>
      </c>
      <c r="E7662">
        <v>10.625</v>
      </c>
      <c r="F7662" t="s">
        <v>21</v>
      </c>
      <c r="G7662" t="s">
        <v>20</v>
      </c>
      <c r="H7662" t="s">
        <v>21</v>
      </c>
      <c r="I7662" t="s">
        <v>20</v>
      </c>
      <c r="J7662" t="s">
        <v>20</v>
      </c>
      <c r="K7662" t="s">
        <v>27</v>
      </c>
      <c r="L7662" t="s">
        <v>350</v>
      </c>
      <c r="M7662" t="s">
        <v>174</v>
      </c>
      <c r="N7662">
        <v>39.296405999999998</v>
      </c>
      <c r="O7662">
        <v>-111.890693</v>
      </c>
      <c r="P7662">
        <v>5021.094975</v>
      </c>
      <c r="Q7662">
        <v>1342</v>
      </c>
      <c r="R7662">
        <v>0</v>
      </c>
    </row>
    <row r="7663" spans="1:18" x14ac:dyDescent="0.25">
      <c r="A7663">
        <v>6662</v>
      </c>
      <c r="B7663">
        <v>94</v>
      </c>
      <c r="C7663">
        <v>31291740</v>
      </c>
      <c r="D7663" t="s">
        <v>126</v>
      </c>
      <c r="E7663">
        <v>10.638999999999999</v>
      </c>
      <c r="F7663" t="s">
        <v>21</v>
      </c>
      <c r="G7663" t="s">
        <v>26</v>
      </c>
      <c r="H7663" t="s">
        <v>21</v>
      </c>
      <c r="I7663" t="s">
        <v>20</v>
      </c>
      <c r="J7663" t="s">
        <v>20</v>
      </c>
      <c r="K7663" t="s">
        <v>41</v>
      </c>
      <c r="L7663" t="s">
        <v>57</v>
      </c>
      <c r="M7663" t="s">
        <v>93</v>
      </c>
      <c r="N7663">
        <v>41.306719000000001</v>
      </c>
      <c r="O7663">
        <v>-112.039348</v>
      </c>
      <c r="P7663">
        <v>4187.7791470000002</v>
      </c>
      <c r="Q7663">
        <v>1412</v>
      </c>
      <c r="R7663">
        <v>0</v>
      </c>
    </row>
    <row r="7664" spans="1:18" x14ac:dyDescent="0.25">
      <c r="A7664">
        <v>6663</v>
      </c>
      <c r="B7664">
        <v>94</v>
      </c>
      <c r="C7664">
        <v>31495823</v>
      </c>
      <c r="D7664" t="s">
        <v>129</v>
      </c>
      <c r="E7664">
        <v>10.647</v>
      </c>
      <c r="F7664" t="s">
        <v>21</v>
      </c>
      <c r="G7664" t="s">
        <v>26</v>
      </c>
      <c r="H7664" t="s">
        <v>21</v>
      </c>
      <c r="I7664" t="s">
        <v>20</v>
      </c>
      <c r="J7664" t="s">
        <v>20</v>
      </c>
      <c r="K7664" t="s">
        <v>31</v>
      </c>
      <c r="L7664" t="s">
        <v>130</v>
      </c>
      <c r="M7664" t="s">
        <v>131</v>
      </c>
      <c r="N7664">
        <v>40.601964000000002</v>
      </c>
      <c r="O7664">
        <v>-111.11532099999999</v>
      </c>
      <c r="P7664">
        <v>7515.2021629999999</v>
      </c>
      <c r="Q7664">
        <v>340</v>
      </c>
      <c r="R7664">
        <v>0</v>
      </c>
    </row>
    <row r="7665" spans="1:18" x14ac:dyDescent="0.25">
      <c r="A7665">
        <v>6664</v>
      </c>
      <c r="B7665">
        <v>94</v>
      </c>
      <c r="C7665">
        <v>31380620</v>
      </c>
      <c r="D7665" t="s">
        <v>215</v>
      </c>
      <c r="E7665">
        <v>10.657999999999999</v>
      </c>
      <c r="F7665" t="s">
        <v>21</v>
      </c>
      <c r="G7665" t="s">
        <v>26</v>
      </c>
      <c r="H7665" t="s">
        <v>21</v>
      </c>
      <c r="I7665" t="s">
        <v>20</v>
      </c>
      <c r="J7665" t="s">
        <v>20</v>
      </c>
      <c r="K7665" t="s">
        <v>22</v>
      </c>
      <c r="L7665" t="s">
        <v>23</v>
      </c>
      <c r="M7665" t="s">
        <v>85</v>
      </c>
      <c r="N7665">
        <v>40.356095000000003</v>
      </c>
      <c r="O7665">
        <v>-111.740706</v>
      </c>
      <c r="P7665">
        <v>4501.3883230000001</v>
      </c>
      <c r="Q7665">
        <v>330</v>
      </c>
      <c r="R7665">
        <v>0</v>
      </c>
    </row>
    <row r="7666" spans="1:18" x14ac:dyDescent="0.25">
      <c r="A7666">
        <v>6665</v>
      </c>
      <c r="B7666">
        <v>94</v>
      </c>
      <c r="C7666">
        <v>31281743</v>
      </c>
      <c r="D7666" t="s">
        <v>347</v>
      </c>
      <c r="E7666">
        <v>10.663</v>
      </c>
      <c r="F7666" t="s">
        <v>21</v>
      </c>
      <c r="G7666" t="s">
        <v>26</v>
      </c>
      <c r="H7666" t="s">
        <v>21</v>
      </c>
      <c r="I7666" t="s">
        <v>20</v>
      </c>
      <c r="J7666" t="s">
        <v>20</v>
      </c>
      <c r="K7666" t="s">
        <v>41</v>
      </c>
      <c r="L7666" t="s">
        <v>325</v>
      </c>
      <c r="M7666" t="s">
        <v>204</v>
      </c>
      <c r="N7666">
        <v>41.526361999999999</v>
      </c>
      <c r="O7666">
        <v>-111.16289999999999</v>
      </c>
      <c r="P7666">
        <v>6286.791999</v>
      </c>
      <c r="Q7666">
        <v>1334</v>
      </c>
      <c r="R7666">
        <v>0</v>
      </c>
    </row>
    <row r="7667" spans="1:18" x14ac:dyDescent="0.25">
      <c r="A7667">
        <v>6666</v>
      </c>
      <c r="B7667">
        <v>94</v>
      </c>
      <c r="C7667">
        <v>31817095</v>
      </c>
      <c r="D7667" t="s">
        <v>61</v>
      </c>
      <c r="E7667">
        <v>10.679</v>
      </c>
      <c r="F7667" t="s">
        <v>21</v>
      </c>
      <c r="G7667" t="s">
        <v>26</v>
      </c>
      <c r="H7667" t="s">
        <v>21</v>
      </c>
      <c r="I7667" t="s">
        <v>20</v>
      </c>
      <c r="J7667" t="s">
        <v>20</v>
      </c>
      <c r="K7667" t="s">
        <v>22</v>
      </c>
      <c r="L7667" t="s">
        <v>60</v>
      </c>
      <c r="M7667" t="s">
        <v>62</v>
      </c>
      <c r="N7667">
        <v>40.336900999999997</v>
      </c>
      <c r="O7667">
        <v>-111.610924</v>
      </c>
      <c r="P7667">
        <v>5023.2577709999996</v>
      </c>
      <c r="Q7667">
        <v>403</v>
      </c>
      <c r="R7667">
        <v>0</v>
      </c>
    </row>
    <row r="7668" spans="1:18" x14ac:dyDescent="0.25">
      <c r="A7668">
        <v>6667</v>
      </c>
      <c r="B7668">
        <v>94</v>
      </c>
      <c r="C7668">
        <v>27416445</v>
      </c>
      <c r="D7668" t="s">
        <v>185</v>
      </c>
      <c r="E7668">
        <v>10.694000000000001</v>
      </c>
      <c r="F7668" t="s">
        <v>21</v>
      </c>
      <c r="G7668" t="s">
        <v>26</v>
      </c>
      <c r="H7668" t="s">
        <v>21</v>
      </c>
      <c r="I7668" t="s">
        <v>20</v>
      </c>
      <c r="J7668" t="s">
        <v>20</v>
      </c>
      <c r="K7668" t="s">
        <v>41</v>
      </c>
      <c r="L7668" t="s">
        <v>57</v>
      </c>
      <c r="M7668" t="s">
        <v>58</v>
      </c>
      <c r="N7668">
        <v>41.190789000000002</v>
      </c>
      <c r="O7668">
        <v>-112.08015</v>
      </c>
      <c r="P7668">
        <v>4194.9935390000001</v>
      </c>
      <c r="Q7668">
        <v>309</v>
      </c>
      <c r="R7668">
        <v>0</v>
      </c>
    </row>
    <row r="7669" spans="1:18" x14ac:dyDescent="0.25">
      <c r="A7669">
        <v>6668</v>
      </c>
      <c r="B7669">
        <v>94</v>
      </c>
      <c r="C7669">
        <v>1514841</v>
      </c>
      <c r="D7669" t="s">
        <v>88</v>
      </c>
      <c r="E7669">
        <v>10.704000000000001</v>
      </c>
      <c r="F7669" t="s">
        <v>19</v>
      </c>
      <c r="G7669" t="s">
        <v>20</v>
      </c>
      <c r="H7669" t="s">
        <v>21</v>
      </c>
      <c r="I7669" t="s">
        <v>20</v>
      </c>
      <c r="J7669" t="s">
        <v>20</v>
      </c>
      <c r="K7669" t="s">
        <v>31</v>
      </c>
      <c r="L7669" t="s">
        <v>32</v>
      </c>
      <c r="M7669" t="s">
        <v>90</v>
      </c>
      <c r="N7669">
        <v>40.594943000000001</v>
      </c>
      <c r="O7669">
        <v>-111.87218799999999</v>
      </c>
      <c r="P7669">
        <v>4449.8569809999999</v>
      </c>
      <c r="Q7669">
        <v>318</v>
      </c>
      <c r="R7669">
        <v>0</v>
      </c>
    </row>
    <row r="7670" spans="1:18" x14ac:dyDescent="0.25">
      <c r="A7670">
        <v>6669</v>
      </c>
      <c r="B7670">
        <v>94</v>
      </c>
      <c r="C7670">
        <v>28089069</v>
      </c>
      <c r="D7670" t="s">
        <v>220</v>
      </c>
      <c r="E7670">
        <v>10.711</v>
      </c>
      <c r="F7670" t="s">
        <v>21</v>
      </c>
      <c r="G7670" t="s">
        <v>26</v>
      </c>
      <c r="H7670" t="s">
        <v>21</v>
      </c>
      <c r="I7670" t="s">
        <v>20</v>
      </c>
      <c r="J7670" t="s">
        <v>20</v>
      </c>
      <c r="K7670" t="s">
        <v>27</v>
      </c>
      <c r="L7670" t="s">
        <v>28</v>
      </c>
      <c r="M7670" t="s">
        <v>29</v>
      </c>
      <c r="N7670">
        <v>37.704884999999997</v>
      </c>
      <c r="O7670">
        <v>-112.201756</v>
      </c>
      <c r="P7670">
        <v>7608.6543089999996</v>
      </c>
      <c r="Q7670">
        <v>1328</v>
      </c>
      <c r="R7670">
        <v>0</v>
      </c>
    </row>
    <row r="7671" spans="1:18" x14ac:dyDescent="0.25">
      <c r="A7671">
        <v>6670</v>
      </c>
      <c r="B7671">
        <v>94</v>
      </c>
      <c r="C7671">
        <v>31461531</v>
      </c>
      <c r="D7671" t="s">
        <v>331</v>
      </c>
      <c r="E7671">
        <v>10.712</v>
      </c>
      <c r="F7671" t="s">
        <v>21</v>
      </c>
      <c r="G7671" t="s">
        <v>26</v>
      </c>
      <c r="H7671" t="s">
        <v>19</v>
      </c>
      <c r="I7671">
        <v>10</v>
      </c>
      <c r="J7671" t="s">
        <v>20</v>
      </c>
      <c r="K7671" t="s">
        <v>27</v>
      </c>
      <c r="L7671" t="s">
        <v>111</v>
      </c>
      <c r="M7671" t="s">
        <v>112</v>
      </c>
      <c r="N7671">
        <v>39.433031999999997</v>
      </c>
      <c r="O7671">
        <v>-110.867621</v>
      </c>
      <c r="P7671">
        <v>5758.3348299999998</v>
      </c>
      <c r="Q7671">
        <v>1427</v>
      </c>
      <c r="R7671">
        <v>0</v>
      </c>
    </row>
    <row r="7672" spans="1:18" x14ac:dyDescent="0.25">
      <c r="A7672">
        <v>6671</v>
      </c>
      <c r="B7672">
        <v>94</v>
      </c>
      <c r="C7672">
        <v>31380631</v>
      </c>
      <c r="D7672" t="s">
        <v>215</v>
      </c>
      <c r="E7672">
        <v>10.712999999999999</v>
      </c>
      <c r="F7672" t="s">
        <v>21</v>
      </c>
      <c r="G7672" t="s">
        <v>26</v>
      </c>
      <c r="H7672" t="s">
        <v>21</v>
      </c>
      <c r="I7672" t="s">
        <v>20</v>
      </c>
      <c r="J7672" t="s">
        <v>20</v>
      </c>
      <c r="K7672" t="s">
        <v>22</v>
      </c>
      <c r="L7672" t="s">
        <v>23</v>
      </c>
      <c r="M7672" t="s">
        <v>85</v>
      </c>
      <c r="N7672">
        <v>40.356884999999998</v>
      </c>
      <c r="O7672">
        <v>-111.7407</v>
      </c>
      <c r="P7672">
        <v>4505.2424419999998</v>
      </c>
      <c r="Q7672">
        <v>330</v>
      </c>
      <c r="R7672">
        <v>0</v>
      </c>
    </row>
    <row r="7673" spans="1:18" x14ac:dyDescent="0.25">
      <c r="A7673">
        <v>6672</v>
      </c>
      <c r="B7673">
        <v>94</v>
      </c>
      <c r="C7673">
        <v>31534293</v>
      </c>
      <c r="D7673" t="s">
        <v>412</v>
      </c>
      <c r="E7673">
        <v>10.715</v>
      </c>
      <c r="F7673" t="s">
        <v>21</v>
      </c>
      <c r="G7673" t="s">
        <v>20</v>
      </c>
      <c r="H7673" t="s">
        <v>21</v>
      </c>
      <c r="I7673" t="s">
        <v>20</v>
      </c>
      <c r="J7673" t="s">
        <v>20</v>
      </c>
      <c r="K7673" t="s">
        <v>27</v>
      </c>
      <c r="L7673" t="s">
        <v>173</v>
      </c>
      <c r="M7673" t="s">
        <v>267</v>
      </c>
      <c r="N7673">
        <v>39.395622000000003</v>
      </c>
      <c r="O7673">
        <v>-112.335474</v>
      </c>
      <c r="P7673">
        <v>4917.0980639999998</v>
      </c>
      <c r="Q7673">
        <v>1408</v>
      </c>
      <c r="R7673">
        <v>0</v>
      </c>
    </row>
    <row r="7674" spans="1:18" x14ac:dyDescent="0.25">
      <c r="A7674">
        <v>6673</v>
      </c>
      <c r="B7674">
        <v>94</v>
      </c>
      <c r="C7674">
        <v>31306452</v>
      </c>
      <c r="D7674" t="s">
        <v>251</v>
      </c>
      <c r="E7674">
        <v>10.718</v>
      </c>
      <c r="F7674" t="s">
        <v>21</v>
      </c>
      <c r="G7674" t="s">
        <v>26</v>
      </c>
      <c r="H7674" t="s">
        <v>21</v>
      </c>
      <c r="I7674" t="s">
        <v>20</v>
      </c>
      <c r="J7674" t="s">
        <v>20</v>
      </c>
      <c r="K7674" t="s">
        <v>27</v>
      </c>
      <c r="L7674" t="s">
        <v>165</v>
      </c>
      <c r="M7674" t="s">
        <v>166</v>
      </c>
      <c r="N7674">
        <v>39.066553999999996</v>
      </c>
      <c r="O7674">
        <v>-112.409824</v>
      </c>
      <c r="P7674">
        <v>4597.0979829999997</v>
      </c>
      <c r="Q7674">
        <v>326</v>
      </c>
      <c r="R7674">
        <v>0</v>
      </c>
    </row>
    <row r="7675" spans="1:18" x14ac:dyDescent="0.25">
      <c r="A7675">
        <v>6674</v>
      </c>
      <c r="B7675">
        <v>94</v>
      </c>
      <c r="C7675">
        <v>1476110</v>
      </c>
      <c r="D7675" t="s">
        <v>109</v>
      </c>
      <c r="E7675">
        <v>10.718</v>
      </c>
      <c r="F7675" t="s">
        <v>19</v>
      </c>
      <c r="G7675" t="s">
        <v>20</v>
      </c>
      <c r="H7675" t="s">
        <v>19</v>
      </c>
      <c r="I7675">
        <v>91</v>
      </c>
      <c r="J7675" t="s">
        <v>20</v>
      </c>
      <c r="K7675" t="s">
        <v>41</v>
      </c>
      <c r="L7675" t="s">
        <v>42</v>
      </c>
      <c r="M7675" t="s">
        <v>73</v>
      </c>
      <c r="N7675">
        <v>41.71743</v>
      </c>
      <c r="O7675">
        <v>-111.835296</v>
      </c>
      <c r="P7675">
        <v>4453.0961230000003</v>
      </c>
      <c r="Q7675">
        <v>345</v>
      </c>
      <c r="R7675">
        <v>0</v>
      </c>
    </row>
    <row r="7676" spans="1:18" x14ac:dyDescent="0.25">
      <c r="A7676">
        <v>6675</v>
      </c>
      <c r="B7676">
        <v>94</v>
      </c>
      <c r="C7676">
        <v>28356457</v>
      </c>
      <c r="D7676" t="s">
        <v>323</v>
      </c>
      <c r="E7676">
        <v>10.72</v>
      </c>
      <c r="F7676" t="s">
        <v>21</v>
      </c>
      <c r="G7676" t="s">
        <v>26</v>
      </c>
      <c r="H7676" t="s">
        <v>21</v>
      </c>
      <c r="I7676" t="s">
        <v>20</v>
      </c>
      <c r="J7676" t="s">
        <v>20</v>
      </c>
      <c r="K7676" t="s">
        <v>31</v>
      </c>
      <c r="L7676" t="s">
        <v>130</v>
      </c>
      <c r="M7676" t="s">
        <v>131</v>
      </c>
      <c r="N7676">
        <v>40.615084000000003</v>
      </c>
      <c r="O7676">
        <v>-111.28066800000001</v>
      </c>
      <c r="P7676">
        <v>6503.6174940000001</v>
      </c>
      <c r="Q7676">
        <v>1345</v>
      </c>
      <c r="R7676">
        <v>0</v>
      </c>
    </row>
    <row r="7677" spans="1:18" x14ac:dyDescent="0.25">
      <c r="A7677">
        <v>6676</v>
      </c>
      <c r="B7677">
        <v>94</v>
      </c>
      <c r="C7677" t="e">
        <f>-JLeVfvuGaePISisL2ZTGV</f>
        <v>#NAME?</v>
      </c>
      <c r="D7677" t="s">
        <v>126</v>
      </c>
      <c r="E7677">
        <v>10.727</v>
      </c>
      <c r="F7677" t="s">
        <v>21</v>
      </c>
      <c r="G7677" t="s">
        <v>20</v>
      </c>
      <c r="H7677" t="s">
        <v>21</v>
      </c>
      <c r="I7677" t="s">
        <v>20</v>
      </c>
      <c r="J7677" t="s">
        <v>20</v>
      </c>
      <c r="K7677" t="s">
        <v>41</v>
      </c>
      <c r="L7677" t="s">
        <v>57</v>
      </c>
      <c r="M7677" t="s">
        <v>93</v>
      </c>
      <c r="N7677">
        <v>41.306711</v>
      </c>
      <c r="O7677">
        <v>-112.037628</v>
      </c>
      <c r="P7677">
        <v>4188.8424969999996</v>
      </c>
      <c r="Q7677">
        <v>1412</v>
      </c>
      <c r="R7677">
        <v>0</v>
      </c>
    </row>
    <row r="7678" spans="1:18" x14ac:dyDescent="0.25">
      <c r="A7678">
        <v>6677</v>
      </c>
      <c r="B7678">
        <v>94</v>
      </c>
      <c r="C7678">
        <v>1059043</v>
      </c>
      <c r="D7678" t="s">
        <v>171</v>
      </c>
      <c r="E7678">
        <v>10.728</v>
      </c>
      <c r="F7678" t="s">
        <v>19</v>
      </c>
      <c r="G7678" t="s">
        <v>20</v>
      </c>
      <c r="H7678" t="s">
        <v>19</v>
      </c>
      <c r="I7678">
        <v>89</v>
      </c>
      <c r="J7678" t="s">
        <v>20</v>
      </c>
      <c r="K7678" t="s">
        <v>31</v>
      </c>
      <c r="L7678" t="s">
        <v>69</v>
      </c>
      <c r="M7678" t="s">
        <v>79</v>
      </c>
      <c r="N7678">
        <v>40.699796999999997</v>
      </c>
      <c r="O7678">
        <v>-111.888311</v>
      </c>
      <c r="P7678">
        <v>4200.5491810000003</v>
      </c>
      <c r="Q7678">
        <v>346</v>
      </c>
      <c r="R7678">
        <v>0</v>
      </c>
    </row>
    <row r="7679" spans="1:18" x14ac:dyDescent="0.25">
      <c r="A7679">
        <v>6678</v>
      </c>
      <c r="B7679">
        <v>94</v>
      </c>
      <c r="C7679">
        <v>1696223</v>
      </c>
      <c r="D7679" t="s">
        <v>100</v>
      </c>
      <c r="E7679">
        <v>10.728999999999999</v>
      </c>
      <c r="F7679" t="s">
        <v>21</v>
      </c>
      <c r="G7679" t="s">
        <v>26</v>
      </c>
      <c r="H7679" t="s">
        <v>21</v>
      </c>
      <c r="I7679" t="s">
        <v>20</v>
      </c>
      <c r="J7679" t="s">
        <v>20</v>
      </c>
      <c r="K7679" t="s">
        <v>41</v>
      </c>
      <c r="L7679" t="s">
        <v>57</v>
      </c>
      <c r="M7679" t="s">
        <v>46</v>
      </c>
      <c r="N7679">
        <v>41.183996</v>
      </c>
      <c r="O7679">
        <v>-112.05603600000001</v>
      </c>
      <c r="P7679">
        <v>4247.21216</v>
      </c>
      <c r="Q7679">
        <v>1396</v>
      </c>
      <c r="R7679">
        <v>0</v>
      </c>
    </row>
    <row r="7680" spans="1:18" x14ac:dyDescent="0.25">
      <c r="A7680">
        <v>6679</v>
      </c>
      <c r="B7680">
        <v>94</v>
      </c>
      <c r="C7680" t="s">
        <v>898</v>
      </c>
      <c r="D7680" t="s">
        <v>319</v>
      </c>
      <c r="E7680">
        <v>10.736000000000001</v>
      </c>
      <c r="F7680" t="s">
        <v>21</v>
      </c>
      <c r="G7680" t="s">
        <v>26</v>
      </c>
      <c r="H7680" t="s">
        <v>21</v>
      </c>
      <c r="I7680" t="s">
        <v>20</v>
      </c>
      <c r="J7680" t="s">
        <v>20</v>
      </c>
      <c r="K7680" t="s">
        <v>27</v>
      </c>
      <c r="L7680" t="s">
        <v>162</v>
      </c>
      <c r="M7680" t="s">
        <v>55</v>
      </c>
      <c r="N7680">
        <v>37.793495999999998</v>
      </c>
      <c r="O7680">
        <v>-113.896328</v>
      </c>
      <c r="P7680">
        <v>5322.3283590000001</v>
      </c>
      <c r="Q7680">
        <v>314</v>
      </c>
      <c r="R7680">
        <v>0</v>
      </c>
    </row>
    <row r="7681" spans="1:18" x14ac:dyDescent="0.25">
      <c r="A7681">
        <v>6680</v>
      </c>
      <c r="B7681">
        <v>94</v>
      </c>
      <c r="C7681">
        <v>31528625</v>
      </c>
      <c r="D7681" t="s">
        <v>231</v>
      </c>
      <c r="E7681">
        <v>10.736000000000001</v>
      </c>
      <c r="F7681" t="s">
        <v>19</v>
      </c>
      <c r="G7681" t="s">
        <v>20</v>
      </c>
      <c r="H7681" t="s">
        <v>21</v>
      </c>
      <c r="I7681" t="s">
        <v>20</v>
      </c>
      <c r="J7681" t="s">
        <v>20</v>
      </c>
      <c r="K7681" t="s">
        <v>41</v>
      </c>
      <c r="L7681" t="s">
        <v>57</v>
      </c>
      <c r="M7681" t="s">
        <v>93</v>
      </c>
      <c r="N7681">
        <v>41.190742999999998</v>
      </c>
      <c r="O7681">
        <v>-112.025845</v>
      </c>
      <c r="P7681">
        <v>4419.4263790000005</v>
      </c>
      <c r="Q7681">
        <v>1409</v>
      </c>
      <c r="R7681">
        <v>0</v>
      </c>
    </row>
    <row r="7682" spans="1:18" x14ac:dyDescent="0.25">
      <c r="A7682">
        <v>6681</v>
      </c>
      <c r="B7682">
        <v>94</v>
      </c>
      <c r="C7682">
        <v>28593080</v>
      </c>
      <c r="D7682" t="s">
        <v>142</v>
      </c>
      <c r="E7682">
        <v>10.741</v>
      </c>
      <c r="F7682" t="s">
        <v>21</v>
      </c>
      <c r="G7682" t="s">
        <v>26</v>
      </c>
      <c r="H7682" t="s">
        <v>21</v>
      </c>
      <c r="I7682" t="s">
        <v>20</v>
      </c>
      <c r="J7682" t="s">
        <v>20</v>
      </c>
      <c r="K7682" t="s">
        <v>27</v>
      </c>
      <c r="L7682" t="s">
        <v>143</v>
      </c>
      <c r="M7682" t="s">
        <v>106</v>
      </c>
      <c r="N7682">
        <v>38.808827999999998</v>
      </c>
      <c r="O7682">
        <v>-113.980282</v>
      </c>
      <c r="P7682">
        <v>5374.8305630000004</v>
      </c>
      <c r="Q7682">
        <v>305</v>
      </c>
      <c r="R7682">
        <v>0</v>
      </c>
    </row>
    <row r="7683" spans="1:18" x14ac:dyDescent="0.25">
      <c r="A7683">
        <v>6682</v>
      </c>
      <c r="B7683">
        <v>94</v>
      </c>
      <c r="C7683">
        <v>27875591</v>
      </c>
      <c r="D7683" t="s">
        <v>136</v>
      </c>
      <c r="E7683">
        <v>10.750999999999999</v>
      </c>
      <c r="F7683" t="s">
        <v>21</v>
      </c>
      <c r="G7683" t="s">
        <v>26</v>
      </c>
      <c r="H7683" t="s">
        <v>21</v>
      </c>
      <c r="I7683" t="s">
        <v>20</v>
      </c>
      <c r="J7683" t="s">
        <v>20</v>
      </c>
      <c r="K7683" t="s">
        <v>41</v>
      </c>
      <c r="L7683" t="s">
        <v>137</v>
      </c>
      <c r="M7683" t="s">
        <v>138</v>
      </c>
      <c r="N7683">
        <v>41.008268999999999</v>
      </c>
      <c r="O7683">
        <v>-111.676303</v>
      </c>
      <c r="P7683">
        <v>5058.8436030000003</v>
      </c>
      <c r="Q7683">
        <v>317</v>
      </c>
      <c r="R7683">
        <v>0</v>
      </c>
    </row>
    <row r="7684" spans="1:18" x14ac:dyDescent="0.25">
      <c r="A7684">
        <v>6683</v>
      </c>
      <c r="B7684">
        <v>94</v>
      </c>
      <c r="C7684" t="e">
        <f>-Ip5TljPGw9or4ucKMQack</f>
        <v>#NAME?</v>
      </c>
      <c r="D7684" t="s">
        <v>208</v>
      </c>
      <c r="E7684">
        <v>10.752000000000001</v>
      </c>
      <c r="F7684" t="s">
        <v>21</v>
      </c>
      <c r="G7684" t="s">
        <v>26</v>
      </c>
      <c r="H7684" t="s">
        <v>21</v>
      </c>
      <c r="I7684" t="s">
        <v>20</v>
      </c>
      <c r="J7684" t="s">
        <v>20</v>
      </c>
      <c r="K7684" t="s">
        <v>31</v>
      </c>
      <c r="L7684" t="s">
        <v>209</v>
      </c>
      <c r="M7684" t="s">
        <v>131</v>
      </c>
      <c r="N7684">
        <v>40.715969000000001</v>
      </c>
      <c r="O7684">
        <v>-111.544766</v>
      </c>
      <c r="P7684">
        <v>6371.2214979999999</v>
      </c>
      <c r="Q7684">
        <v>357</v>
      </c>
      <c r="R7684">
        <v>0</v>
      </c>
    </row>
    <row r="7685" spans="1:18" x14ac:dyDescent="0.25">
      <c r="A7685">
        <v>6684</v>
      </c>
      <c r="B7685">
        <v>94</v>
      </c>
      <c r="C7685" t="e">
        <f>-JYcyH2uF_iqruKqceNLpk</f>
        <v>#NAME?</v>
      </c>
      <c r="D7685" t="s">
        <v>30</v>
      </c>
      <c r="E7685">
        <v>10.308</v>
      </c>
      <c r="F7685" t="s">
        <v>21</v>
      </c>
      <c r="G7685" t="s">
        <v>26</v>
      </c>
      <c r="H7685" t="s">
        <v>21</v>
      </c>
      <c r="I7685" t="s">
        <v>20</v>
      </c>
      <c r="J7685" t="s">
        <v>20</v>
      </c>
      <c r="K7685" t="s">
        <v>31</v>
      </c>
      <c r="L7685" t="s">
        <v>32</v>
      </c>
      <c r="M7685" t="s">
        <v>33</v>
      </c>
      <c r="N7685">
        <v>40.580342999999999</v>
      </c>
      <c r="O7685">
        <v>-111.664445</v>
      </c>
      <c r="P7685">
        <v>8001.6920099999998</v>
      </c>
      <c r="Q7685">
        <v>415</v>
      </c>
      <c r="R7685">
        <v>0</v>
      </c>
    </row>
    <row r="7686" spans="1:18" x14ac:dyDescent="0.25">
      <c r="A7686">
        <v>6685</v>
      </c>
      <c r="B7686">
        <v>94</v>
      </c>
      <c r="C7686" t="s">
        <v>899</v>
      </c>
      <c r="D7686" t="s">
        <v>312</v>
      </c>
      <c r="E7686">
        <v>10.321999999999999</v>
      </c>
      <c r="F7686" t="s">
        <v>21</v>
      </c>
      <c r="G7686" t="s">
        <v>20</v>
      </c>
      <c r="H7686" t="s">
        <v>21</v>
      </c>
      <c r="I7686" t="s">
        <v>20</v>
      </c>
      <c r="J7686" t="s">
        <v>20</v>
      </c>
      <c r="K7686" t="s">
        <v>27</v>
      </c>
      <c r="L7686" t="s">
        <v>143</v>
      </c>
      <c r="M7686" t="s">
        <v>313</v>
      </c>
      <c r="N7686">
        <v>38.543525000000002</v>
      </c>
      <c r="O7686">
        <v>-112.991207</v>
      </c>
      <c r="P7686">
        <v>4839.5926639999998</v>
      </c>
      <c r="Q7686">
        <v>255</v>
      </c>
      <c r="R7686">
        <v>0</v>
      </c>
    </row>
    <row r="7687" spans="1:18" x14ac:dyDescent="0.25">
      <c r="A7687">
        <v>6686</v>
      </c>
      <c r="B7687">
        <v>94</v>
      </c>
      <c r="C7687">
        <v>31488508</v>
      </c>
      <c r="D7687" t="s">
        <v>244</v>
      </c>
      <c r="E7687">
        <v>10.327</v>
      </c>
      <c r="F7687" t="s">
        <v>21</v>
      </c>
      <c r="G7687" t="s">
        <v>26</v>
      </c>
      <c r="H7687" t="s">
        <v>21</v>
      </c>
      <c r="I7687" t="s">
        <v>20</v>
      </c>
      <c r="J7687" t="s">
        <v>20</v>
      </c>
      <c r="K7687" t="s">
        <v>27</v>
      </c>
      <c r="L7687" t="s">
        <v>75</v>
      </c>
      <c r="M7687" t="s">
        <v>58</v>
      </c>
      <c r="N7687">
        <v>38.834029000000001</v>
      </c>
      <c r="O7687">
        <v>-111.966021</v>
      </c>
      <c r="P7687">
        <v>5168.0939799999996</v>
      </c>
      <c r="Q7687">
        <v>1340</v>
      </c>
      <c r="R7687">
        <v>0</v>
      </c>
    </row>
    <row r="7688" spans="1:18" x14ac:dyDescent="0.25">
      <c r="A7688">
        <v>6687</v>
      </c>
      <c r="B7688">
        <v>94</v>
      </c>
      <c r="C7688" t="e">
        <f>-IowcYw0F39-_f2CTFQjhF</f>
        <v>#NAME?</v>
      </c>
      <c r="D7688" t="s">
        <v>203</v>
      </c>
      <c r="E7688">
        <v>26.696000000000002</v>
      </c>
      <c r="F7688" t="s">
        <v>21</v>
      </c>
      <c r="G7688" t="s">
        <v>26</v>
      </c>
      <c r="H7688" t="s">
        <v>21</v>
      </c>
      <c r="I7688" t="s">
        <v>20</v>
      </c>
      <c r="J7688" t="s">
        <v>20</v>
      </c>
      <c r="K7688" t="s">
        <v>41</v>
      </c>
      <c r="L7688" t="s">
        <v>255</v>
      </c>
      <c r="M7688" t="s">
        <v>204</v>
      </c>
      <c r="N7688">
        <v>41.291012000000002</v>
      </c>
      <c r="O7688">
        <v>-111.63761599999999</v>
      </c>
      <c r="P7688">
        <v>5279.7901599999996</v>
      </c>
      <c r="Q7688">
        <v>1349</v>
      </c>
      <c r="R7688">
        <v>0</v>
      </c>
    </row>
    <row r="7689" spans="1:18" x14ac:dyDescent="0.25">
      <c r="A7689">
        <v>6688</v>
      </c>
      <c r="B7689">
        <v>94</v>
      </c>
      <c r="C7689">
        <v>31568500</v>
      </c>
      <c r="D7689" t="s">
        <v>172</v>
      </c>
      <c r="E7689">
        <v>26.699000000000002</v>
      </c>
      <c r="F7689" t="s">
        <v>21</v>
      </c>
      <c r="G7689" t="s">
        <v>26</v>
      </c>
      <c r="H7689" t="s">
        <v>21</v>
      </c>
      <c r="I7689" t="s">
        <v>20</v>
      </c>
      <c r="J7689" t="s">
        <v>20</v>
      </c>
      <c r="K7689" t="s">
        <v>22</v>
      </c>
      <c r="L7689" t="s">
        <v>155</v>
      </c>
      <c r="M7689" t="s">
        <v>174</v>
      </c>
      <c r="N7689">
        <v>39.697727</v>
      </c>
      <c r="O7689">
        <v>-111.95558</v>
      </c>
      <c r="P7689">
        <v>5465.4386990000003</v>
      </c>
      <c r="Q7689">
        <v>1411</v>
      </c>
      <c r="R7689">
        <v>0</v>
      </c>
    </row>
    <row r="7690" spans="1:18" x14ac:dyDescent="0.25">
      <c r="A7690">
        <v>6689</v>
      </c>
      <c r="B7690">
        <v>94</v>
      </c>
      <c r="C7690">
        <v>31311517</v>
      </c>
      <c r="D7690" t="s">
        <v>268</v>
      </c>
      <c r="E7690">
        <v>26.712</v>
      </c>
      <c r="F7690" t="s">
        <v>21</v>
      </c>
      <c r="G7690" t="s">
        <v>26</v>
      </c>
      <c r="H7690" t="s">
        <v>21</v>
      </c>
      <c r="I7690" t="s">
        <v>20</v>
      </c>
      <c r="J7690" t="s">
        <v>20</v>
      </c>
      <c r="K7690" t="s">
        <v>41</v>
      </c>
      <c r="L7690" t="s">
        <v>181</v>
      </c>
      <c r="M7690" t="s">
        <v>43</v>
      </c>
      <c r="N7690">
        <v>41.766306</v>
      </c>
      <c r="O7690">
        <v>-112.434991</v>
      </c>
      <c r="P7690">
        <v>4441.8493259999996</v>
      </c>
      <c r="Q7690">
        <v>1380</v>
      </c>
      <c r="R7690">
        <v>0</v>
      </c>
    </row>
    <row r="7691" spans="1:18" x14ac:dyDescent="0.25">
      <c r="A7691">
        <v>6690</v>
      </c>
      <c r="B7691">
        <v>94</v>
      </c>
      <c r="C7691">
        <v>31515390</v>
      </c>
      <c r="D7691" t="s">
        <v>292</v>
      </c>
      <c r="E7691">
        <v>26.72</v>
      </c>
      <c r="F7691" t="s">
        <v>21</v>
      </c>
      <c r="G7691" t="s">
        <v>20</v>
      </c>
      <c r="H7691" t="s">
        <v>21</v>
      </c>
      <c r="I7691" t="s">
        <v>20</v>
      </c>
      <c r="J7691" t="s">
        <v>20</v>
      </c>
      <c r="K7691" t="s">
        <v>22</v>
      </c>
      <c r="L7691" t="s">
        <v>253</v>
      </c>
      <c r="M7691" t="s">
        <v>134</v>
      </c>
      <c r="N7691">
        <v>40.299616999999998</v>
      </c>
      <c r="O7691">
        <v>-110.237628</v>
      </c>
      <c r="P7691">
        <v>5871.1637620000001</v>
      </c>
      <c r="Q7691">
        <v>323</v>
      </c>
      <c r="R7691">
        <v>0</v>
      </c>
    </row>
    <row r="7692" spans="1:18" x14ac:dyDescent="0.25">
      <c r="A7692">
        <v>6691</v>
      </c>
      <c r="B7692">
        <v>94</v>
      </c>
      <c r="C7692">
        <v>31765969</v>
      </c>
      <c r="D7692" t="s">
        <v>312</v>
      </c>
      <c r="E7692">
        <v>26.721</v>
      </c>
      <c r="F7692" t="s">
        <v>21</v>
      </c>
      <c r="G7692" t="s">
        <v>26</v>
      </c>
      <c r="H7692" t="s">
        <v>21</v>
      </c>
      <c r="I7692" t="s">
        <v>20</v>
      </c>
      <c r="J7692" t="s">
        <v>20</v>
      </c>
      <c r="K7692" t="s">
        <v>27</v>
      </c>
      <c r="L7692" t="s">
        <v>143</v>
      </c>
      <c r="M7692" t="s">
        <v>313</v>
      </c>
      <c r="N7692">
        <v>38.772187000000002</v>
      </c>
      <c r="O7692">
        <v>-112.93254899999999</v>
      </c>
      <c r="P7692">
        <v>4872.9316609999996</v>
      </c>
      <c r="Q7692">
        <v>255</v>
      </c>
      <c r="R7692">
        <v>0</v>
      </c>
    </row>
    <row r="7693" spans="1:18" x14ac:dyDescent="0.25">
      <c r="A7693">
        <v>6692</v>
      </c>
      <c r="B7693">
        <v>94</v>
      </c>
      <c r="C7693">
        <v>31280897</v>
      </c>
      <c r="D7693" t="s">
        <v>241</v>
      </c>
      <c r="E7693">
        <v>26.731999999999999</v>
      </c>
      <c r="F7693" t="s">
        <v>21</v>
      </c>
      <c r="G7693" t="s">
        <v>26</v>
      </c>
      <c r="H7693" t="s">
        <v>21</v>
      </c>
      <c r="I7693" t="s">
        <v>20</v>
      </c>
      <c r="J7693" t="s">
        <v>20</v>
      </c>
      <c r="K7693" t="s">
        <v>27</v>
      </c>
      <c r="L7693" t="s">
        <v>242</v>
      </c>
      <c r="M7693" t="s">
        <v>243</v>
      </c>
      <c r="N7693">
        <v>39.088340000000002</v>
      </c>
      <c r="O7693">
        <v>-111.13202200000001</v>
      </c>
      <c r="P7693">
        <v>5868.5007459999997</v>
      </c>
      <c r="Q7693">
        <v>1327</v>
      </c>
      <c r="R7693">
        <v>0</v>
      </c>
    </row>
    <row r="7694" spans="1:18" x14ac:dyDescent="0.25">
      <c r="A7694">
        <v>6693</v>
      </c>
      <c r="B7694">
        <v>94</v>
      </c>
      <c r="C7694">
        <v>31308814</v>
      </c>
      <c r="D7694" t="s">
        <v>116</v>
      </c>
      <c r="E7694">
        <v>26.751000000000001</v>
      </c>
      <c r="F7694" t="s">
        <v>19</v>
      </c>
      <c r="G7694" t="s">
        <v>20</v>
      </c>
      <c r="H7694" t="s">
        <v>21</v>
      </c>
      <c r="I7694" t="s">
        <v>20</v>
      </c>
      <c r="J7694" t="s">
        <v>20</v>
      </c>
      <c r="K7694" t="s">
        <v>41</v>
      </c>
      <c r="L7694" t="s">
        <v>95</v>
      </c>
      <c r="M7694" t="s">
        <v>43</v>
      </c>
      <c r="N7694">
        <v>41.733289999999997</v>
      </c>
      <c r="O7694">
        <v>-111.834943</v>
      </c>
      <c r="P7694">
        <v>4483.4578860000001</v>
      </c>
      <c r="Q7694">
        <v>324</v>
      </c>
      <c r="R7694">
        <v>0</v>
      </c>
    </row>
    <row r="7695" spans="1:18" x14ac:dyDescent="0.25">
      <c r="A7695">
        <v>6694</v>
      </c>
      <c r="B7695">
        <v>94</v>
      </c>
      <c r="C7695">
        <v>31499527</v>
      </c>
      <c r="D7695" t="s">
        <v>129</v>
      </c>
      <c r="E7695">
        <v>26.762</v>
      </c>
      <c r="F7695" t="s">
        <v>21</v>
      </c>
      <c r="G7695" t="s">
        <v>26</v>
      </c>
      <c r="H7695" t="s">
        <v>21</v>
      </c>
      <c r="I7695" t="s">
        <v>20</v>
      </c>
      <c r="J7695" t="s">
        <v>20</v>
      </c>
      <c r="K7695" t="s">
        <v>31</v>
      </c>
      <c r="L7695" t="s">
        <v>130</v>
      </c>
      <c r="M7695" t="s">
        <v>328</v>
      </c>
      <c r="N7695">
        <v>40.681745999999997</v>
      </c>
      <c r="O7695">
        <v>-110.934465</v>
      </c>
      <c r="P7695">
        <v>9913.4880959999991</v>
      </c>
      <c r="Q7695">
        <v>340</v>
      </c>
      <c r="R7695">
        <v>0</v>
      </c>
    </row>
    <row r="7696" spans="1:18" x14ac:dyDescent="0.25">
      <c r="A7696">
        <v>6695</v>
      </c>
      <c r="B7696">
        <v>94</v>
      </c>
      <c r="C7696">
        <v>31770534</v>
      </c>
      <c r="D7696" t="s">
        <v>353</v>
      </c>
      <c r="E7696">
        <v>26.774000000000001</v>
      </c>
      <c r="F7696" t="s">
        <v>21</v>
      </c>
      <c r="G7696" t="s">
        <v>26</v>
      </c>
      <c r="H7696" t="s">
        <v>21</v>
      </c>
      <c r="I7696" t="s">
        <v>20</v>
      </c>
      <c r="J7696" t="s">
        <v>20</v>
      </c>
      <c r="K7696" t="s">
        <v>31</v>
      </c>
      <c r="L7696" t="s">
        <v>433</v>
      </c>
      <c r="M7696" t="s">
        <v>138</v>
      </c>
      <c r="N7696">
        <v>41.015867999999998</v>
      </c>
      <c r="O7696">
        <v>-111.511691</v>
      </c>
      <c r="P7696">
        <v>5307.8045300000003</v>
      </c>
      <c r="Q7696">
        <v>1367</v>
      </c>
      <c r="R7696">
        <v>0</v>
      </c>
    </row>
    <row r="7697" spans="1:18" x14ac:dyDescent="0.25">
      <c r="A7697">
        <v>6696</v>
      </c>
      <c r="B7697">
        <v>94</v>
      </c>
      <c r="C7697">
        <v>31511586</v>
      </c>
      <c r="D7697" t="s">
        <v>292</v>
      </c>
      <c r="E7697">
        <v>21.28</v>
      </c>
      <c r="F7697" t="s">
        <v>21</v>
      </c>
      <c r="G7697" t="s">
        <v>26</v>
      </c>
      <c r="H7697" t="s">
        <v>21</v>
      </c>
      <c r="I7697" t="s">
        <v>20</v>
      </c>
      <c r="J7697" t="s">
        <v>20</v>
      </c>
      <c r="K7697" t="s">
        <v>22</v>
      </c>
      <c r="L7697" t="s">
        <v>253</v>
      </c>
      <c r="M7697" t="s">
        <v>134</v>
      </c>
      <c r="N7697">
        <v>40.359276999999999</v>
      </c>
      <c r="O7697">
        <v>-110.28778200000001</v>
      </c>
      <c r="P7697">
        <v>6335.0386859999999</v>
      </c>
      <c r="Q7697">
        <v>323</v>
      </c>
      <c r="R7697">
        <v>0</v>
      </c>
    </row>
    <row r="7698" spans="1:18" x14ac:dyDescent="0.25">
      <c r="A7698">
        <v>6697</v>
      </c>
      <c r="B7698">
        <v>94</v>
      </c>
      <c r="C7698" t="e">
        <f>-JP-kHcvFNTw5LhygMmRiV</f>
        <v>#NAME?</v>
      </c>
      <c r="D7698" t="s">
        <v>245</v>
      </c>
      <c r="E7698">
        <v>21.283999999999999</v>
      </c>
      <c r="F7698" t="s">
        <v>21</v>
      </c>
      <c r="G7698" t="s">
        <v>20</v>
      </c>
      <c r="H7698" t="s">
        <v>21</v>
      </c>
      <c r="I7698" t="s">
        <v>20</v>
      </c>
      <c r="J7698" t="s">
        <v>20</v>
      </c>
      <c r="K7698" t="s">
        <v>22</v>
      </c>
      <c r="L7698" t="s">
        <v>97</v>
      </c>
      <c r="M7698" t="s">
        <v>98</v>
      </c>
      <c r="N7698">
        <v>40.923312000000003</v>
      </c>
      <c r="O7698">
        <v>-109.708698</v>
      </c>
      <c r="P7698">
        <v>6088.9842040000003</v>
      </c>
      <c r="Q7698">
        <v>1353</v>
      </c>
      <c r="R7698">
        <v>0</v>
      </c>
    </row>
    <row r="7699" spans="1:18" x14ac:dyDescent="0.25">
      <c r="A7699">
        <v>6698</v>
      </c>
      <c r="B7699">
        <v>94</v>
      </c>
      <c r="C7699" t="e">
        <f>-IovJgtuFn1ntWCVhOwqyV</f>
        <v>#NAME?</v>
      </c>
      <c r="D7699" t="s">
        <v>315</v>
      </c>
      <c r="E7699">
        <v>21.315000000000001</v>
      </c>
      <c r="F7699" t="s">
        <v>21</v>
      </c>
      <c r="G7699" t="s">
        <v>20</v>
      </c>
      <c r="H7699" t="s">
        <v>21</v>
      </c>
      <c r="I7699" t="s">
        <v>20</v>
      </c>
      <c r="J7699" t="s">
        <v>20</v>
      </c>
      <c r="K7699" t="s">
        <v>27</v>
      </c>
      <c r="L7699" t="s">
        <v>111</v>
      </c>
      <c r="M7699" t="s">
        <v>243</v>
      </c>
      <c r="N7699">
        <v>39.242772000000002</v>
      </c>
      <c r="O7699">
        <v>-110.994995</v>
      </c>
      <c r="P7699">
        <v>5684.1113329999998</v>
      </c>
      <c r="Q7699">
        <v>307</v>
      </c>
      <c r="R7699">
        <v>0</v>
      </c>
    </row>
    <row r="7700" spans="1:18" x14ac:dyDescent="0.25">
      <c r="A7700">
        <v>6699</v>
      </c>
      <c r="B7700">
        <v>94</v>
      </c>
      <c r="C7700" t="e">
        <f>-Ip5dQyEID9qPi0AIiKSTV</f>
        <v>#NAME?</v>
      </c>
      <c r="D7700" t="s">
        <v>40</v>
      </c>
      <c r="E7700">
        <v>21.321000000000002</v>
      </c>
      <c r="F7700" t="s">
        <v>21</v>
      </c>
      <c r="G7700" t="s">
        <v>26</v>
      </c>
      <c r="H7700" t="s">
        <v>21</v>
      </c>
      <c r="I7700" t="s">
        <v>20</v>
      </c>
      <c r="J7700" t="s">
        <v>20</v>
      </c>
      <c r="K7700" t="s">
        <v>41</v>
      </c>
      <c r="L7700" t="s">
        <v>42</v>
      </c>
      <c r="M7700" t="s">
        <v>43</v>
      </c>
      <c r="N7700">
        <v>41.601734</v>
      </c>
      <c r="O7700">
        <v>-111.568039</v>
      </c>
      <c r="P7700">
        <v>5511.560606</v>
      </c>
      <c r="Q7700">
        <v>1391</v>
      </c>
      <c r="R7700">
        <v>0</v>
      </c>
    </row>
    <row r="7701" spans="1:18" x14ac:dyDescent="0.25">
      <c r="A7701">
        <v>6700</v>
      </c>
      <c r="B7701">
        <v>94</v>
      </c>
      <c r="C7701">
        <v>31419638</v>
      </c>
      <c r="D7701" t="s">
        <v>221</v>
      </c>
      <c r="E7701">
        <v>21.324999999999999</v>
      </c>
      <c r="F7701" t="s">
        <v>21</v>
      </c>
      <c r="G7701" t="s">
        <v>20</v>
      </c>
      <c r="H7701" t="s">
        <v>21</v>
      </c>
      <c r="I7701" t="s">
        <v>20</v>
      </c>
      <c r="J7701" t="s">
        <v>20</v>
      </c>
      <c r="K7701" t="s">
        <v>22</v>
      </c>
      <c r="L7701" t="s">
        <v>155</v>
      </c>
      <c r="M7701" t="s">
        <v>174</v>
      </c>
      <c r="N7701">
        <v>39.44247</v>
      </c>
      <c r="O7701">
        <v>-111.91421200000001</v>
      </c>
      <c r="P7701">
        <v>5309.457754</v>
      </c>
      <c r="Q7701">
        <v>1342</v>
      </c>
      <c r="R7701">
        <v>0</v>
      </c>
    </row>
    <row r="7702" spans="1:18" x14ac:dyDescent="0.25">
      <c r="A7702">
        <v>6701</v>
      </c>
      <c r="B7702">
        <v>94</v>
      </c>
      <c r="C7702">
        <v>31535359</v>
      </c>
      <c r="D7702" t="s">
        <v>412</v>
      </c>
      <c r="E7702">
        <v>21.34</v>
      </c>
      <c r="F7702" t="s">
        <v>21</v>
      </c>
      <c r="G7702" t="s">
        <v>26</v>
      </c>
      <c r="H7702" t="s">
        <v>21</v>
      </c>
      <c r="I7702" t="s">
        <v>20</v>
      </c>
      <c r="J7702" t="s">
        <v>20</v>
      </c>
      <c r="K7702" t="s">
        <v>27</v>
      </c>
      <c r="L7702" t="s">
        <v>173</v>
      </c>
      <c r="M7702" t="s">
        <v>267</v>
      </c>
      <c r="N7702">
        <v>39.528607000000001</v>
      </c>
      <c r="O7702">
        <v>-112.273415</v>
      </c>
      <c r="P7702">
        <v>4668.7525450000003</v>
      </c>
      <c r="Q7702">
        <v>1408</v>
      </c>
      <c r="R7702">
        <v>0</v>
      </c>
    </row>
    <row r="7703" spans="1:18" x14ac:dyDescent="0.25">
      <c r="A7703">
        <v>6702</v>
      </c>
      <c r="B7703">
        <v>94</v>
      </c>
      <c r="C7703">
        <v>1566082</v>
      </c>
      <c r="D7703" t="s">
        <v>88</v>
      </c>
      <c r="E7703">
        <v>21.344999999999999</v>
      </c>
      <c r="F7703" t="s">
        <v>21</v>
      </c>
      <c r="G7703" t="s">
        <v>26</v>
      </c>
      <c r="H7703" t="s">
        <v>21</v>
      </c>
      <c r="I7703" t="s">
        <v>20</v>
      </c>
      <c r="J7703" t="s">
        <v>20</v>
      </c>
      <c r="K7703" t="s">
        <v>31</v>
      </c>
      <c r="L7703" t="s">
        <v>66</v>
      </c>
      <c r="M7703" t="s">
        <v>90</v>
      </c>
      <c r="N7703">
        <v>40.744295000000001</v>
      </c>
      <c r="O7703">
        <v>-111.87110699999999</v>
      </c>
      <c r="P7703">
        <v>4219.9497840000004</v>
      </c>
      <c r="Q7703">
        <v>318</v>
      </c>
      <c r="R7703">
        <v>0</v>
      </c>
    </row>
    <row r="7704" spans="1:18" x14ac:dyDescent="0.25">
      <c r="A7704">
        <v>6703</v>
      </c>
      <c r="B7704">
        <v>94</v>
      </c>
      <c r="C7704">
        <v>31548350</v>
      </c>
      <c r="D7704" t="s">
        <v>102</v>
      </c>
      <c r="E7704">
        <v>2.0049999999999999</v>
      </c>
      <c r="F7704" t="s">
        <v>19</v>
      </c>
      <c r="G7704" t="s">
        <v>20</v>
      </c>
      <c r="H7704" t="s">
        <v>19</v>
      </c>
      <c r="I7704">
        <v>21</v>
      </c>
      <c r="J7704" t="s">
        <v>20</v>
      </c>
      <c r="K7704" t="s">
        <v>27</v>
      </c>
      <c r="L7704" t="s">
        <v>103</v>
      </c>
      <c r="M7704" t="s">
        <v>104</v>
      </c>
      <c r="N7704">
        <v>38.274172</v>
      </c>
      <c r="O7704">
        <v>-112.641223</v>
      </c>
      <c r="P7704">
        <v>5822.1784980000002</v>
      </c>
      <c r="Q7704">
        <v>1430</v>
      </c>
      <c r="R7704">
        <v>0</v>
      </c>
    </row>
    <row r="7705" spans="1:18" x14ac:dyDescent="0.25">
      <c r="A7705">
        <v>6704</v>
      </c>
      <c r="B7705">
        <v>94</v>
      </c>
      <c r="C7705">
        <v>505327</v>
      </c>
      <c r="D7705" t="s">
        <v>135</v>
      </c>
      <c r="E7705">
        <v>2.0059999999999998</v>
      </c>
      <c r="F7705" t="s">
        <v>19</v>
      </c>
      <c r="G7705" t="s">
        <v>20</v>
      </c>
      <c r="H7705" t="s">
        <v>19</v>
      </c>
      <c r="I7705">
        <v>68</v>
      </c>
      <c r="J7705" t="s">
        <v>20</v>
      </c>
      <c r="K7705" t="s">
        <v>31</v>
      </c>
      <c r="L7705" t="s">
        <v>48</v>
      </c>
      <c r="M7705" t="s">
        <v>144</v>
      </c>
      <c r="N7705">
        <v>40.562311999999999</v>
      </c>
      <c r="O7705">
        <v>-111.938689</v>
      </c>
      <c r="P7705">
        <v>4422.8692490000003</v>
      </c>
      <c r="Q7705">
        <v>1423</v>
      </c>
      <c r="R7705">
        <v>0</v>
      </c>
    </row>
    <row r="7706" spans="1:18" x14ac:dyDescent="0.25">
      <c r="A7706">
        <v>6705</v>
      </c>
      <c r="B7706">
        <v>94</v>
      </c>
      <c r="C7706">
        <v>1097683</v>
      </c>
      <c r="D7706" t="s">
        <v>195</v>
      </c>
      <c r="E7706">
        <v>2.0059999999999998</v>
      </c>
      <c r="F7706" t="s">
        <v>21</v>
      </c>
      <c r="G7706" t="s">
        <v>26</v>
      </c>
      <c r="H7706" t="s">
        <v>21</v>
      </c>
      <c r="I7706" t="s">
        <v>20</v>
      </c>
      <c r="J7706" t="s">
        <v>20</v>
      </c>
      <c r="K7706" t="s">
        <v>41</v>
      </c>
      <c r="L7706" t="s">
        <v>57</v>
      </c>
      <c r="M7706" t="s">
        <v>190</v>
      </c>
      <c r="N7706">
        <v>41.089202999999998</v>
      </c>
      <c r="O7706">
        <v>-112.07421600000001</v>
      </c>
      <c r="P7706">
        <v>4214.3444069999996</v>
      </c>
      <c r="Q7706">
        <v>334</v>
      </c>
      <c r="R7706">
        <v>0</v>
      </c>
    </row>
    <row r="7707" spans="1:18" x14ac:dyDescent="0.25">
      <c r="A7707">
        <v>6706</v>
      </c>
      <c r="B7707">
        <v>94</v>
      </c>
      <c r="C7707">
        <v>31383841</v>
      </c>
      <c r="D7707" t="s">
        <v>184</v>
      </c>
      <c r="E7707">
        <v>2.0070000000000001</v>
      </c>
      <c r="F7707" t="s">
        <v>19</v>
      </c>
      <c r="G7707" t="s">
        <v>20</v>
      </c>
      <c r="H7707" t="s">
        <v>21</v>
      </c>
      <c r="I7707" t="s">
        <v>20</v>
      </c>
      <c r="J7707" t="s">
        <v>20</v>
      </c>
      <c r="K7707" t="s">
        <v>27</v>
      </c>
      <c r="L7707" t="s">
        <v>54</v>
      </c>
      <c r="M7707" t="s">
        <v>55</v>
      </c>
      <c r="N7707">
        <v>37.673831999999997</v>
      </c>
      <c r="O7707">
        <v>-113.061691</v>
      </c>
      <c r="P7707">
        <v>5815.4871810000004</v>
      </c>
      <c r="Q7707">
        <v>1410</v>
      </c>
      <c r="R7707">
        <v>0</v>
      </c>
    </row>
    <row r="7708" spans="1:18" x14ac:dyDescent="0.25">
      <c r="A7708">
        <v>6707</v>
      </c>
      <c r="B7708">
        <v>94</v>
      </c>
      <c r="C7708">
        <v>31789607</v>
      </c>
      <c r="D7708" t="s">
        <v>61</v>
      </c>
      <c r="E7708">
        <v>2.0070000000000001</v>
      </c>
      <c r="F7708" t="s">
        <v>19</v>
      </c>
      <c r="G7708" t="s">
        <v>20</v>
      </c>
      <c r="H7708" t="s">
        <v>21</v>
      </c>
      <c r="I7708" t="s">
        <v>20</v>
      </c>
      <c r="J7708" t="s">
        <v>20</v>
      </c>
      <c r="K7708" t="s">
        <v>22</v>
      </c>
      <c r="L7708" t="s">
        <v>23</v>
      </c>
      <c r="M7708" t="s">
        <v>62</v>
      </c>
      <c r="N7708">
        <v>40.235112999999998</v>
      </c>
      <c r="O7708">
        <v>-111.658711</v>
      </c>
      <c r="P7708">
        <v>4495.9264640000001</v>
      </c>
      <c r="Q7708">
        <v>403</v>
      </c>
      <c r="R7708">
        <v>0</v>
      </c>
    </row>
    <row r="7709" spans="1:18" x14ac:dyDescent="0.25">
      <c r="A7709">
        <v>6708</v>
      </c>
      <c r="B7709">
        <v>94</v>
      </c>
      <c r="C7709">
        <v>1036419</v>
      </c>
      <c r="D7709" t="s">
        <v>127</v>
      </c>
      <c r="E7709">
        <v>2.008</v>
      </c>
      <c r="F7709" t="s">
        <v>21</v>
      </c>
      <c r="G7709" t="s">
        <v>26</v>
      </c>
      <c r="H7709" t="s">
        <v>21</v>
      </c>
      <c r="I7709" t="s">
        <v>20</v>
      </c>
      <c r="J7709" t="s">
        <v>20</v>
      </c>
      <c r="K7709" t="s">
        <v>41</v>
      </c>
      <c r="L7709" t="s">
        <v>95</v>
      </c>
      <c r="M7709" t="s">
        <v>73</v>
      </c>
      <c r="N7709">
        <v>41.975450000000002</v>
      </c>
      <c r="O7709">
        <v>-111.91518000000001</v>
      </c>
      <c r="P7709">
        <v>4448.8282920000001</v>
      </c>
      <c r="Q7709">
        <v>1364</v>
      </c>
      <c r="R7709">
        <v>0</v>
      </c>
    </row>
    <row r="7710" spans="1:18" x14ac:dyDescent="0.25">
      <c r="A7710">
        <v>6709</v>
      </c>
      <c r="B7710">
        <v>94</v>
      </c>
      <c r="C7710">
        <v>31192574</v>
      </c>
      <c r="D7710" t="s">
        <v>126</v>
      </c>
      <c r="E7710">
        <v>2.008</v>
      </c>
      <c r="F7710" t="s">
        <v>21</v>
      </c>
      <c r="G7710" t="s">
        <v>26</v>
      </c>
      <c r="H7710" t="s">
        <v>21</v>
      </c>
      <c r="I7710" t="s">
        <v>20</v>
      </c>
      <c r="J7710" t="s">
        <v>20</v>
      </c>
      <c r="K7710" t="s">
        <v>41</v>
      </c>
      <c r="L7710" t="s">
        <v>57</v>
      </c>
      <c r="M7710" t="s">
        <v>93</v>
      </c>
      <c r="N7710">
        <v>41.220004000000003</v>
      </c>
      <c r="O7710">
        <v>-112.09287399999999</v>
      </c>
      <c r="P7710">
        <v>4174.5388290000001</v>
      </c>
      <c r="Q7710">
        <v>1412</v>
      </c>
      <c r="R7710">
        <v>0</v>
      </c>
    </row>
    <row r="7711" spans="1:18" x14ac:dyDescent="0.25">
      <c r="A7711">
        <v>6710</v>
      </c>
      <c r="B7711">
        <v>94</v>
      </c>
      <c r="C7711">
        <v>27579813</v>
      </c>
      <c r="D7711" t="s">
        <v>201</v>
      </c>
      <c r="E7711">
        <v>2.0089999999999999</v>
      </c>
      <c r="F7711" t="s">
        <v>21</v>
      </c>
      <c r="G7711" t="s">
        <v>26</v>
      </c>
      <c r="H7711" t="s">
        <v>19</v>
      </c>
      <c r="I7711">
        <v>50</v>
      </c>
      <c r="J7711" t="s">
        <v>20</v>
      </c>
      <c r="K7711" t="s">
        <v>27</v>
      </c>
      <c r="L7711" t="s">
        <v>202</v>
      </c>
      <c r="M7711" t="s">
        <v>104</v>
      </c>
      <c r="N7711">
        <v>39.107993</v>
      </c>
      <c r="O7711">
        <v>-112.269414</v>
      </c>
      <c r="P7711">
        <v>5069.8038029999998</v>
      </c>
      <c r="Q7711">
        <v>1366</v>
      </c>
      <c r="R7711">
        <v>0</v>
      </c>
    </row>
    <row r="7712" spans="1:18" x14ac:dyDescent="0.25">
      <c r="A7712">
        <v>6711</v>
      </c>
      <c r="B7712">
        <v>94</v>
      </c>
      <c r="C7712">
        <v>519330</v>
      </c>
      <c r="D7712" t="s">
        <v>44</v>
      </c>
      <c r="E7712">
        <v>2.012</v>
      </c>
      <c r="F7712" t="s">
        <v>19</v>
      </c>
      <c r="G7712" t="s">
        <v>20</v>
      </c>
      <c r="H7712" t="s">
        <v>21</v>
      </c>
      <c r="I7712" t="s">
        <v>20</v>
      </c>
      <c r="J7712" t="s">
        <v>20</v>
      </c>
      <c r="K7712" t="s">
        <v>41</v>
      </c>
      <c r="L7712" t="s">
        <v>45</v>
      </c>
      <c r="M7712" t="s">
        <v>46</v>
      </c>
      <c r="N7712">
        <v>40.906567000000003</v>
      </c>
      <c r="O7712">
        <v>-111.879018</v>
      </c>
      <c r="P7712">
        <v>4242.6709700000001</v>
      </c>
      <c r="Q7712">
        <v>1395</v>
      </c>
      <c r="R7712">
        <v>0</v>
      </c>
    </row>
    <row r="7713" spans="1:18" x14ac:dyDescent="0.25">
      <c r="A7713">
        <v>6712</v>
      </c>
      <c r="B7713">
        <v>94</v>
      </c>
      <c r="C7713">
        <v>31677290</v>
      </c>
      <c r="D7713" t="s">
        <v>258</v>
      </c>
      <c r="E7713">
        <v>2.0129999999999999</v>
      </c>
      <c r="F7713" t="s">
        <v>21</v>
      </c>
      <c r="G7713" t="s">
        <v>26</v>
      </c>
      <c r="H7713" t="s">
        <v>21</v>
      </c>
      <c r="I7713" t="s">
        <v>20</v>
      </c>
      <c r="J7713" t="s">
        <v>20</v>
      </c>
      <c r="K7713" t="s">
        <v>27</v>
      </c>
      <c r="L7713" t="s">
        <v>259</v>
      </c>
      <c r="M7713" t="s">
        <v>29</v>
      </c>
      <c r="N7713">
        <v>37.029401999999997</v>
      </c>
      <c r="O7713">
        <v>-112.52483700000001</v>
      </c>
      <c r="P7713">
        <v>4829.4017670000003</v>
      </c>
      <c r="Q7713">
        <v>301</v>
      </c>
      <c r="R7713">
        <v>0</v>
      </c>
    </row>
    <row r="7714" spans="1:18" x14ac:dyDescent="0.25">
      <c r="A7714">
        <v>6713</v>
      </c>
      <c r="B7714">
        <v>94</v>
      </c>
      <c r="C7714">
        <v>31659612</v>
      </c>
      <c r="D7714" t="s">
        <v>187</v>
      </c>
      <c r="E7714">
        <v>2.0139999999999998</v>
      </c>
      <c r="F7714" t="s">
        <v>19</v>
      </c>
      <c r="G7714" t="s">
        <v>20</v>
      </c>
      <c r="H7714" t="s">
        <v>21</v>
      </c>
      <c r="I7714" t="s">
        <v>20</v>
      </c>
      <c r="J7714" t="s">
        <v>20</v>
      </c>
      <c r="K7714" t="s">
        <v>31</v>
      </c>
      <c r="L7714" t="s">
        <v>188</v>
      </c>
      <c r="M7714" t="s">
        <v>90</v>
      </c>
      <c r="N7714">
        <v>40.769950000000001</v>
      </c>
      <c r="O7714">
        <v>-111.838955</v>
      </c>
      <c r="P7714">
        <v>4832.2348149999998</v>
      </c>
      <c r="Q7714">
        <v>435</v>
      </c>
      <c r="R7714">
        <v>0</v>
      </c>
    </row>
    <row r="7715" spans="1:18" x14ac:dyDescent="0.25">
      <c r="A7715">
        <v>6714</v>
      </c>
      <c r="B7715">
        <v>94</v>
      </c>
      <c r="C7715">
        <v>31911726</v>
      </c>
      <c r="D7715" t="s">
        <v>272</v>
      </c>
      <c r="E7715">
        <v>131.19399999999999</v>
      </c>
      <c r="F7715" t="s">
        <v>21</v>
      </c>
      <c r="G7715" t="s">
        <v>26</v>
      </c>
      <c r="H7715" t="s">
        <v>21</v>
      </c>
      <c r="I7715" t="s">
        <v>20</v>
      </c>
      <c r="J7715" t="s">
        <v>20</v>
      </c>
      <c r="K7715" t="s">
        <v>27</v>
      </c>
      <c r="L7715" t="s">
        <v>247</v>
      </c>
      <c r="M7715" t="s">
        <v>214</v>
      </c>
      <c r="N7715">
        <v>37.824294999999999</v>
      </c>
      <c r="O7715">
        <v>-112.435678</v>
      </c>
      <c r="P7715">
        <v>6553.6306480000003</v>
      </c>
      <c r="Q7715">
        <v>1384</v>
      </c>
      <c r="R7715">
        <v>0</v>
      </c>
    </row>
    <row r="7716" spans="1:18" x14ac:dyDescent="0.25">
      <c r="A7716">
        <v>6715</v>
      </c>
      <c r="B7716">
        <v>94</v>
      </c>
      <c r="C7716">
        <v>31536778</v>
      </c>
      <c r="D7716" t="s">
        <v>320</v>
      </c>
      <c r="E7716">
        <v>131.27000000000001</v>
      </c>
      <c r="F7716" t="s">
        <v>21</v>
      </c>
      <c r="G7716" t="s">
        <v>26</v>
      </c>
      <c r="H7716" t="s">
        <v>21</v>
      </c>
      <c r="I7716" t="s">
        <v>20</v>
      </c>
      <c r="J7716" t="s">
        <v>20</v>
      </c>
      <c r="K7716" t="s">
        <v>27</v>
      </c>
      <c r="L7716" t="s">
        <v>202</v>
      </c>
      <c r="M7716" t="s">
        <v>76</v>
      </c>
      <c r="N7716">
        <v>39.240160000000003</v>
      </c>
      <c r="O7716">
        <v>-112.103882</v>
      </c>
      <c r="P7716">
        <v>5255.6728110000004</v>
      </c>
      <c r="Q7716">
        <v>1356</v>
      </c>
      <c r="R7716">
        <v>0</v>
      </c>
    </row>
    <row r="7717" spans="1:18" x14ac:dyDescent="0.25">
      <c r="A7717">
        <v>6716</v>
      </c>
      <c r="B7717">
        <v>94</v>
      </c>
      <c r="C7717">
        <v>31911737</v>
      </c>
      <c r="D7717" t="s">
        <v>272</v>
      </c>
      <c r="E7717">
        <v>131.30099999999999</v>
      </c>
      <c r="F7717" t="s">
        <v>21</v>
      </c>
      <c r="G7717" t="s">
        <v>26</v>
      </c>
      <c r="H7717" t="s">
        <v>21</v>
      </c>
      <c r="I7717" t="s">
        <v>20</v>
      </c>
      <c r="J7717" t="s">
        <v>20</v>
      </c>
      <c r="K7717" t="s">
        <v>27</v>
      </c>
      <c r="L7717" t="s">
        <v>247</v>
      </c>
      <c r="M7717" t="s">
        <v>214</v>
      </c>
      <c r="N7717">
        <v>37.825834</v>
      </c>
      <c r="O7717">
        <v>-112.435694</v>
      </c>
      <c r="P7717">
        <v>6548.5781200000001</v>
      </c>
      <c r="Q7717">
        <v>1384</v>
      </c>
      <c r="R7717">
        <v>0</v>
      </c>
    </row>
    <row r="7718" spans="1:18" x14ac:dyDescent="0.25">
      <c r="A7718">
        <v>6717</v>
      </c>
      <c r="B7718">
        <v>94</v>
      </c>
      <c r="C7718" t="e">
        <f>-JP_TNFpGNaQWS5gd8rdeF</f>
        <v>#NAME?</v>
      </c>
      <c r="D7718" t="s">
        <v>68</v>
      </c>
      <c r="E7718">
        <v>2.9340000000000002</v>
      </c>
      <c r="F7718" t="s">
        <v>21</v>
      </c>
      <c r="G7718" t="s">
        <v>26</v>
      </c>
      <c r="H7718" t="s">
        <v>21</v>
      </c>
      <c r="I7718" t="s">
        <v>20</v>
      </c>
      <c r="J7718" t="s">
        <v>20</v>
      </c>
      <c r="K7718" t="s">
        <v>31</v>
      </c>
      <c r="L7718" t="s">
        <v>69</v>
      </c>
      <c r="M7718" t="s">
        <v>70</v>
      </c>
      <c r="N7718">
        <v>40.674382000000001</v>
      </c>
      <c r="O7718">
        <v>-111.899714</v>
      </c>
      <c r="P7718">
        <v>4200.5849760000001</v>
      </c>
      <c r="Q7718">
        <v>431</v>
      </c>
      <c r="R7718">
        <v>0</v>
      </c>
    </row>
    <row r="7719" spans="1:18" x14ac:dyDescent="0.25">
      <c r="A7719">
        <v>6718</v>
      </c>
      <c r="B7719">
        <v>94</v>
      </c>
      <c r="C7719">
        <v>31366463</v>
      </c>
      <c r="D7719" t="s">
        <v>229</v>
      </c>
      <c r="E7719">
        <v>2.3730000000000002</v>
      </c>
      <c r="F7719" t="s">
        <v>21</v>
      </c>
      <c r="G7719" t="s">
        <v>26</v>
      </c>
      <c r="H7719" t="s">
        <v>21</v>
      </c>
      <c r="I7719" t="s">
        <v>20</v>
      </c>
      <c r="J7719" t="s">
        <v>20</v>
      </c>
      <c r="K7719" t="s">
        <v>27</v>
      </c>
      <c r="L7719" t="s">
        <v>230</v>
      </c>
      <c r="M7719" t="s">
        <v>82</v>
      </c>
      <c r="N7719">
        <v>39.475521000000001</v>
      </c>
      <c r="O7719">
        <v>-111.610287</v>
      </c>
      <c r="P7719">
        <v>5438.2119259999999</v>
      </c>
      <c r="Q7719">
        <v>331</v>
      </c>
      <c r="R7719">
        <v>0</v>
      </c>
    </row>
    <row r="7720" spans="1:18" x14ac:dyDescent="0.25">
      <c r="A7720">
        <v>6719</v>
      </c>
      <c r="B7720">
        <v>94</v>
      </c>
      <c r="C7720">
        <v>31429037</v>
      </c>
      <c r="D7720" t="s">
        <v>107</v>
      </c>
      <c r="E7720">
        <v>2.3740000000000001</v>
      </c>
      <c r="F7720" t="s">
        <v>21</v>
      </c>
      <c r="G7720" t="s">
        <v>26</v>
      </c>
      <c r="H7720" t="s">
        <v>21</v>
      </c>
      <c r="I7720" t="s">
        <v>20</v>
      </c>
      <c r="J7720" t="s">
        <v>20</v>
      </c>
      <c r="K7720" t="s">
        <v>41</v>
      </c>
      <c r="L7720" t="s">
        <v>81</v>
      </c>
      <c r="M7720" t="s">
        <v>93</v>
      </c>
      <c r="N7720">
        <v>41.227060000000002</v>
      </c>
      <c r="O7720">
        <v>-111.978752</v>
      </c>
      <c r="P7720">
        <v>4238.4350109999996</v>
      </c>
      <c r="Q7720">
        <v>413</v>
      </c>
      <c r="R7720">
        <v>0</v>
      </c>
    </row>
    <row r="7721" spans="1:18" x14ac:dyDescent="0.25">
      <c r="A7721">
        <v>6720</v>
      </c>
      <c r="B7721">
        <v>94</v>
      </c>
      <c r="C7721">
        <v>1415751</v>
      </c>
      <c r="D7721" t="s">
        <v>88</v>
      </c>
      <c r="E7721">
        <v>2.3759999999999999</v>
      </c>
      <c r="F7721" t="s">
        <v>19</v>
      </c>
      <c r="G7721" t="s">
        <v>20</v>
      </c>
      <c r="H7721" t="s">
        <v>19</v>
      </c>
      <c r="I7721">
        <v>68</v>
      </c>
      <c r="J7721" t="s">
        <v>20</v>
      </c>
      <c r="K7721" t="s">
        <v>31</v>
      </c>
      <c r="L7721" t="s">
        <v>89</v>
      </c>
      <c r="M7721" t="s">
        <v>90</v>
      </c>
      <c r="N7721">
        <v>40.522292999999998</v>
      </c>
      <c r="O7721">
        <v>-111.938784</v>
      </c>
      <c r="P7721">
        <v>4380.469795</v>
      </c>
      <c r="Q7721">
        <v>318</v>
      </c>
      <c r="R7721">
        <v>0</v>
      </c>
    </row>
    <row r="7722" spans="1:18" x14ac:dyDescent="0.25">
      <c r="A7722">
        <v>6721</v>
      </c>
      <c r="B7722">
        <v>94</v>
      </c>
      <c r="C7722">
        <v>31466412</v>
      </c>
      <c r="D7722" t="s">
        <v>218</v>
      </c>
      <c r="E7722">
        <v>2.3780000000000001</v>
      </c>
      <c r="F7722" t="s">
        <v>21</v>
      </c>
      <c r="G7722" t="s">
        <v>26</v>
      </c>
      <c r="H7722" t="s">
        <v>21</v>
      </c>
      <c r="I7722" t="s">
        <v>20</v>
      </c>
      <c r="J7722" t="s">
        <v>20</v>
      </c>
      <c r="K7722" t="s">
        <v>27</v>
      </c>
      <c r="L7722" t="s">
        <v>183</v>
      </c>
      <c r="M7722" t="s">
        <v>76</v>
      </c>
      <c r="N7722">
        <v>39.007370000000002</v>
      </c>
      <c r="O7722">
        <v>-111.860298</v>
      </c>
      <c r="P7722">
        <v>5043.0281100000002</v>
      </c>
      <c r="Q7722">
        <v>360</v>
      </c>
      <c r="R7722">
        <v>0</v>
      </c>
    </row>
    <row r="7723" spans="1:18" x14ac:dyDescent="0.25">
      <c r="A7723">
        <v>6722</v>
      </c>
      <c r="B7723">
        <v>94</v>
      </c>
      <c r="C7723">
        <v>537754</v>
      </c>
      <c r="D7723" t="s">
        <v>77</v>
      </c>
      <c r="E7723">
        <v>2.3780000000000001</v>
      </c>
      <c r="F7723" t="s">
        <v>21</v>
      </c>
      <c r="G7723" t="s">
        <v>26</v>
      </c>
      <c r="H7723" t="s">
        <v>21</v>
      </c>
      <c r="I7723" t="s">
        <v>20</v>
      </c>
      <c r="J7723" t="s">
        <v>20</v>
      </c>
      <c r="K7723" t="s">
        <v>31</v>
      </c>
      <c r="L7723" t="s">
        <v>78</v>
      </c>
      <c r="M7723" t="s">
        <v>79</v>
      </c>
      <c r="N7723">
        <v>40.673133999999997</v>
      </c>
      <c r="O7723">
        <v>-112.024719</v>
      </c>
      <c r="P7723">
        <v>4488.0252870000004</v>
      </c>
      <c r="Q7723">
        <v>1436</v>
      </c>
      <c r="R7723">
        <v>0</v>
      </c>
    </row>
    <row r="7724" spans="1:18" x14ac:dyDescent="0.25">
      <c r="A7724">
        <v>6723</v>
      </c>
      <c r="B7724">
        <v>94</v>
      </c>
      <c r="C7724">
        <v>31501684</v>
      </c>
      <c r="D7724" t="s">
        <v>37</v>
      </c>
      <c r="E7724">
        <v>20.155000000000001</v>
      </c>
      <c r="F7724" t="s">
        <v>21</v>
      </c>
      <c r="G7724" t="s">
        <v>26</v>
      </c>
      <c r="H7724" t="s">
        <v>21</v>
      </c>
      <c r="I7724" t="s">
        <v>20</v>
      </c>
      <c r="J7724" t="s">
        <v>20</v>
      </c>
      <c r="K7724" t="s">
        <v>27</v>
      </c>
      <c r="L7724" t="s">
        <v>38</v>
      </c>
      <c r="M7724" t="s">
        <v>39</v>
      </c>
      <c r="N7724">
        <v>38.724111000000001</v>
      </c>
      <c r="O7724">
        <v>-109.355666</v>
      </c>
      <c r="P7724">
        <v>4149.3725430000004</v>
      </c>
      <c r="Q7724">
        <v>1319</v>
      </c>
      <c r="R7724">
        <v>0</v>
      </c>
    </row>
    <row r="7725" spans="1:18" x14ac:dyDescent="0.25">
      <c r="A7725">
        <v>6724</v>
      </c>
      <c r="B7725">
        <v>94</v>
      </c>
      <c r="C7725">
        <v>1561709</v>
      </c>
      <c r="D7725" t="s">
        <v>88</v>
      </c>
      <c r="E7725">
        <v>20.190000000000001</v>
      </c>
      <c r="F7725" t="s">
        <v>21</v>
      </c>
      <c r="G7725" t="s">
        <v>26</v>
      </c>
      <c r="H7725" t="s">
        <v>21</v>
      </c>
      <c r="I7725" t="s">
        <v>20</v>
      </c>
      <c r="J7725" t="s">
        <v>20</v>
      </c>
      <c r="K7725" t="s">
        <v>31</v>
      </c>
      <c r="L7725" t="s">
        <v>66</v>
      </c>
      <c r="M7725" t="s">
        <v>90</v>
      </c>
      <c r="N7725">
        <v>40.727587999999997</v>
      </c>
      <c r="O7725">
        <v>-111.87122100000001</v>
      </c>
      <c r="P7725">
        <v>4249.6122599999999</v>
      </c>
      <c r="Q7725">
        <v>318</v>
      </c>
      <c r="R7725">
        <v>0</v>
      </c>
    </row>
    <row r="7726" spans="1:18" x14ac:dyDescent="0.25">
      <c r="A7726">
        <v>6725</v>
      </c>
      <c r="B7726">
        <v>94</v>
      </c>
      <c r="C7726">
        <v>1561716</v>
      </c>
      <c r="D7726" t="s">
        <v>88</v>
      </c>
      <c r="E7726">
        <v>20.206</v>
      </c>
      <c r="F7726" t="s">
        <v>21</v>
      </c>
      <c r="G7726" t="s">
        <v>26</v>
      </c>
      <c r="H7726" t="s">
        <v>21</v>
      </c>
      <c r="I7726" t="s">
        <v>20</v>
      </c>
      <c r="J7726" t="s">
        <v>20</v>
      </c>
      <c r="K7726" t="s">
        <v>31</v>
      </c>
      <c r="L7726" t="s">
        <v>66</v>
      </c>
      <c r="M7726" t="s">
        <v>90</v>
      </c>
      <c r="N7726">
        <v>40.727820000000001</v>
      </c>
      <c r="O7726">
        <v>-111.8712</v>
      </c>
      <c r="P7726">
        <v>4249.5774000000001</v>
      </c>
      <c r="Q7726">
        <v>318</v>
      </c>
      <c r="R7726">
        <v>0</v>
      </c>
    </row>
    <row r="7727" spans="1:18" x14ac:dyDescent="0.25">
      <c r="A7727">
        <v>6726</v>
      </c>
      <c r="B7727">
        <v>94</v>
      </c>
      <c r="C7727" t="s">
        <v>900</v>
      </c>
      <c r="D7727" t="s">
        <v>494</v>
      </c>
      <c r="E7727">
        <v>20.216000000000001</v>
      </c>
      <c r="F7727" t="s">
        <v>21</v>
      </c>
      <c r="G7727" t="s">
        <v>20</v>
      </c>
      <c r="H7727" t="s">
        <v>21</v>
      </c>
      <c r="I7727" t="s">
        <v>20</v>
      </c>
      <c r="J7727" t="s">
        <v>20</v>
      </c>
      <c r="K7727" t="s">
        <v>27</v>
      </c>
      <c r="L7727" t="s">
        <v>38</v>
      </c>
      <c r="M7727" t="s">
        <v>152</v>
      </c>
      <c r="N7727">
        <v>38.652728000000003</v>
      </c>
      <c r="O7727">
        <v>-109.719948</v>
      </c>
      <c r="P7727">
        <v>4524.7908029999999</v>
      </c>
      <c r="Q7727">
        <v>1289</v>
      </c>
      <c r="R7727">
        <v>0</v>
      </c>
    </row>
    <row r="7728" spans="1:18" x14ac:dyDescent="0.25">
      <c r="A7728">
        <v>6727</v>
      </c>
      <c r="B7728">
        <v>94</v>
      </c>
      <c r="C7728">
        <v>31641567</v>
      </c>
      <c r="D7728" t="s">
        <v>233</v>
      </c>
      <c r="E7728">
        <v>20.234000000000002</v>
      </c>
      <c r="F7728" t="s">
        <v>21</v>
      </c>
      <c r="G7728" t="s">
        <v>20</v>
      </c>
      <c r="H7728" t="s">
        <v>21</v>
      </c>
      <c r="I7728" t="s">
        <v>20</v>
      </c>
      <c r="J7728" t="s">
        <v>20</v>
      </c>
      <c r="K7728" t="s">
        <v>22</v>
      </c>
      <c r="L7728" t="s">
        <v>234</v>
      </c>
      <c r="M7728" t="s">
        <v>235</v>
      </c>
      <c r="N7728">
        <v>40.192334000000002</v>
      </c>
      <c r="O7728">
        <v>-109.33123000000001</v>
      </c>
      <c r="P7728">
        <v>5554.6773629999998</v>
      </c>
      <c r="Q7728">
        <v>1354</v>
      </c>
      <c r="R7728">
        <v>0</v>
      </c>
    </row>
    <row r="7729" spans="1:18" x14ac:dyDescent="0.25">
      <c r="A7729">
        <v>6728</v>
      </c>
      <c r="B7729">
        <v>94</v>
      </c>
      <c r="C7729">
        <v>31284363</v>
      </c>
      <c r="D7729" t="s">
        <v>278</v>
      </c>
      <c r="E7729">
        <v>20.239999999999998</v>
      </c>
      <c r="F7729" t="s">
        <v>21</v>
      </c>
      <c r="G7729" t="s">
        <v>26</v>
      </c>
      <c r="H7729" t="s">
        <v>21</v>
      </c>
      <c r="I7729" t="s">
        <v>20</v>
      </c>
      <c r="J7729" t="s">
        <v>20</v>
      </c>
      <c r="K7729" t="s">
        <v>27</v>
      </c>
      <c r="L7729" t="s">
        <v>501</v>
      </c>
      <c r="M7729" t="s">
        <v>280</v>
      </c>
      <c r="N7729">
        <v>37.570242</v>
      </c>
      <c r="O7729">
        <v>-112.800471</v>
      </c>
      <c r="P7729">
        <v>9565.3193780000001</v>
      </c>
      <c r="Q7729">
        <v>1330</v>
      </c>
      <c r="R7729">
        <v>0</v>
      </c>
    </row>
    <row r="7730" spans="1:18" x14ac:dyDescent="0.25">
      <c r="A7730">
        <v>6729</v>
      </c>
      <c r="B7730">
        <v>94</v>
      </c>
      <c r="C7730" t="e">
        <f>-IovITjNFnasD0F40diyrV</f>
        <v>#NAME?</v>
      </c>
      <c r="D7730" t="s">
        <v>315</v>
      </c>
      <c r="E7730">
        <v>20.248999999999999</v>
      </c>
      <c r="F7730" t="s">
        <v>21</v>
      </c>
      <c r="G7730" t="s">
        <v>26</v>
      </c>
      <c r="H7730" t="s">
        <v>21</v>
      </c>
      <c r="I7730" t="s">
        <v>20</v>
      </c>
      <c r="J7730" t="s">
        <v>20</v>
      </c>
      <c r="K7730" t="s">
        <v>27</v>
      </c>
      <c r="L7730" t="s">
        <v>111</v>
      </c>
      <c r="M7730" t="s">
        <v>243</v>
      </c>
      <c r="N7730">
        <v>39.233870000000003</v>
      </c>
      <c r="O7730">
        <v>-111.01137199999999</v>
      </c>
      <c r="P7730">
        <v>5740.3447779999997</v>
      </c>
      <c r="Q7730">
        <v>307</v>
      </c>
      <c r="R7730">
        <v>0</v>
      </c>
    </row>
    <row r="7731" spans="1:18" x14ac:dyDescent="0.25">
      <c r="A7731">
        <v>6730</v>
      </c>
      <c r="B7731">
        <v>94</v>
      </c>
      <c r="C7731">
        <v>31756418</v>
      </c>
      <c r="D7731" t="s">
        <v>88</v>
      </c>
      <c r="E7731">
        <v>20.254000000000001</v>
      </c>
      <c r="F7731" t="s">
        <v>21</v>
      </c>
      <c r="G7731" t="s">
        <v>26</v>
      </c>
      <c r="H7731" t="s">
        <v>21</v>
      </c>
      <c r="I7731" t="s">
        <v>20</v>
      </c>
      <c r="J7731" t="s">
        <v>20</v>
      </c>
      <c r="K7731" t="s">
        <v>31</v>
      </c>
      <c r="L7731" t="s">
        <v>66</v>
      </c>
      <c r="M7731" t="s">
        <v>49</v>
      </c>
      <c r="N7731">
        <v>40.728529000000002</v>
      </c>
      <c r="O7731">
        <v>-111.87130000000001</v>
      </c>
      <c r="P7731">
        <v>4245.5597200000002</v>
      </c>
      <c r="Q7731">
        <v>318</v>
      </c>
      <c r="R7731">
        <v>0</v>
      </c>
    </row>
    <row r="7732" spans="1:18" x14ac:dyDescent="0.25">
      <c r="A7732">
        <v>6731</v>
      </c>
      <c r="B7732">
        <v>94</v>
      </c>
      <c r="C7732">
        <v>31510792</v>
      </c>
      <c r="D7732" t="s">
        <v>292</v>
      </c>
      <c r="E7732">
        <v>20.257999999999999</v>
      </c>
      <c r="F7732" t="s">
        <v>21</v>
      </c>
      <c r="G7732" t="s">
        <v>26</v>
      </c>
      <c r="H7732" t="s">
        <v>21</v>
      </c>
      <c r="I7732" t="s">
        <v>20</v>
      </c>
      <c r="J7732" t="s">
        <v>20</v>
      </c>
      <c r="K7732" t="s">
        <v>22</v>
      </c>
      <c r="L7732" t="s">
        <v>253</v>
      </c>
      <c r="M7732" t="s">
        <v>134</v>
      </c>
      <c r="N7732">
        <v>40.359074</v>
      </c>
      <c r="O7732">
        <v>-110.307123</v>
      </c>
      <c r="P7732">
        <v>6375.2475629999999</v>
      </c>
      <c r="Q7732">
        <v>323</v>
      </c>
      <c r="R7732">
        <v>0</v>
      </c>
    </row>
    <row r="7733" spans="1:18" x14ac:dyDescent="0.25">
      <c r="A7733">
        <v>6732</v>
      </c>
      <c r="B7733">
        <v>94</v>
      </c>
      <c r="C7733">
        <v>28565917</v>
      </c>
      <c r="D7733" t="s">
        <v>323</v>
      </c>
      <c r="E7733">
        <v>20.257999999999999</v>
      </c>
      <c r="F7733" t="s">
        <v>21</v>
      </c>
      <c r="G7733" t="s">
        <v>26</v>
      </c>
      <c r="H7733" t="s">
        <v>21</v>
      </c>
      <c r="I7733" t="s">
        <v>20</v>
      </c>
      <c r="J7733" t="s">
        <v>20</v>
      </c>
      <c r="K7733" t="s">
        <v>31</v>
      </c>
      <c r="L7733" t="s">
        <v>130</v>
      </c>
      <c r="M7733" t="s">
        <v>131</v>
      </c>
      <c r="N7733">
        <v>40.725152999999999</v>
      </c>
      <c r="O7733">
        <v>-111.32933</v>
      </c>
      <c r="P7733">
        <v>6247.3599379999996</v>
      </c>
      <c r="Q7733">
        <v>1345</v>
      </c>
      <c r="R7733">
        <v>0</v>
      </c>
    </row>
    <row r="7734" spans="1:18" x14ac:dyDescent="0.25">
      <c r="A7734">
        <v>6733</v>
      </c>
      <c r="B7734">
        <v>94</v>
      </c>
      <c r="C7734">
        <v>31316128</v>
      </c>
      <c r="D7734" t="s">
        <v>347</v>
      </c>
      <c r="E7734">
        <v>20.286000000000001</v>
      </c>
      <c r="F7734" t="s">
        <v>21</v>
      </c>
      <c r="G7734" t="s">
        <v>26</v>
      </c>
      <c r="H7734" t="s">
        <v>21</v>
      </c>
      <c r="I7734" t="s">
        <v>20</v>
      </c>
      <c r="J7734" t="s">
        <v>20</v>
      </c>
      <c r="K7734" t="s">
        <v>41</v>
      </c>
      <c r="L7734" t="s">
        <v>325</v>
      </c>
      <c r="M7734" t="s">
        <v>204</v>
      </c>
      <c r="N7734">
        <v>41.659205</v>
      </c>
      <c r="O7734">
        <v>-111.184901</v>
      </c>
      <c r="P7734">
        <v>6230.5262739999998</v>
      </c>
      <c r="Q7734">
        <v>1334</v>
      </c>
      <c r="R7734">
        <v>0</v>
      </c>
    </row>
    <row r="7735" spans="1:18" x14ac:dyDescent="0.25">
      <c r="A7735">
        <v>6734</v>
      </c>
      <c r="B7735">
        <v>94</v>
      </c>
      <c r="C7735">
        <v>31756046</v>
      </c>
      <c r="D7735" t="s">
        <v>88</v>
      </c>
      <c r="E7735">
        <v>20.318999999999999</v>
      </c>
      <c r="F7735" t="s">
        <v>21</v>
      </c>
      <c r="G7735" t="s">
        <v>26</v>
      </c>
      <c r="H7735" t="s">
        <v>21</v>
      </c>
      <c r="I7735" t="s">
        <v>20</v>
      </c>
      <c r="J7735" t="s">
        <v>20</v>
      </c>
      <c r="K7735" t="s">
        <v>31</v>
      </c>
      <c r="L7735" t="s">
        <v>66</v>
      </c>
      <c r="M7735" t="s">
        <v>49</v>
      </c>
      <c r="N7735">
        <v>40.729470999999997</v>
      </c>
      <c r="O7735">
        <v>-111.87129400000001</v>
      </c>
      <c r="P7735">
        <v>4242.9455099999996</v>
      </c>
      <c r="Q7735">
        <v>318</v>
      </c>
      <c r="R7735">
        <v>0</v>
      </c>
    </row>
    <row r="7736" spans="1:18" x14ac:dyDescent="0.25">
      <c r="A7736">
        <v>6735</v>
      </c>
      <c r="B7736">
        <v>94</v>
      </c>
      <c r="C7736" t="s">
        <v>901</v>
      </c>
      <c r="D7736" t="s">
        <v>203</v>
      </c>
      <c r="E7736">
        <v>20.326000000000001</v>
      </c>
      <c r="F7736" t="s">
        <v>21</v>
      </c>
      <c r="G7736" t="s">
        <v>26</v>
      </c>
      <c r="H7736" t="s">
        <v>21</v>
      </c>
      <c r="I7736" t="s">
        <v>20</v>
      </c>
      <c r="J7736" t="s">
        <v>20</v>
      </c>
      <c r="K7736" t="s">
        <v>41</v>
      </c>
      <c r="L7736" t="s">
        <v>255</v>
      </c>
      <c r="M7736" t="s">
        <v>204</v>
      </c>
      <c r="N7736">
        <v>41.262084000000002</v>
      </c>
      <c r="O7736">
        <v>-111.742121</v>
      </c>
      <c r="P7736">
        <v>4919.8418700000002</v>
      </c>
      <c r="Q7736">
        <v>1349</v>
      </c>
      <c r="R7736">
        <v>0</v>
      </c>
    </row>
    <row r="7737" spans="1:18" x14ac:dyDescent="0.25">
      <c r="A7737">
        <v>6736</v>
      </c>
      <c r="B7737">
        <v>94</v>
      </c>
      <c r="C7737">
        <v>31431622</v>
      </c>
      <c r="D7737" t="s">
        <v>345</v>
      </c>
      <c r="E7737">
        <v>18.102</v>
      </c>
      <c r="F7737" t="s">
        <v>21</v>
      </c>
      <c r="G7737" t="s">
        <v>26</v>
      </c>
      <c r="H7737" t="s">
        <v>21</v>
      </c>
      <c r="I7737" t="s">
        <v>20</v>
      </c>
      <c r="J7737" t="s">
        <v>20</v>
      </c>
      <c r="K7737" t="s">
        <v>27</v>
      </c>
      <c r="L7737" t="s">
        <v>75</v>
      </c>
      <c r="M7737" t="s">
        <v>76</v>
      </c>
      <c r="N7737">
        <v>38.797725</v>
      </c>
      <c r="O7737">
        <v>-112.03410599999999</v>
      </c>
      <c r="P7737">
        <v>5220.8089209999998</v>
      </c>
      <c r="Q7737">
        <v>1403</v>
      </c>
      <c r="R7737">
        <v>0</v>
      </c>
    </row>
    <row r="7738" spans="1:18" x14ac:dyDescent="0.25">
      <c r="A7738">
        <v>6737</v>
      </c>
      <c r="B7738">
        <v>94</v>
      </c>
      <c r="C7738" t="e">
        <f>-JNLKTwWICPJ5LT0zmPHXV</f>
        <v>#NAME?</v>
      </c>
      <c r="D7738" t="s">
        <v>124</v>
      </c>
      <c r="E7738">
        <v>18.109000000000002</v>
      </c>
      <c r="F7738" t="s">
        <v>21</v>
      </c>
      <c r="G7738" t="s">
        <v>20</v>
      </c>
      <c r="H7738" t="s">
        <v>21</v>
      </c>
      <c r="I7738" t="s">
        <v>20</v>
      </c>
      <c r="J7738" t="s">
        <v>20</v>
      </c>
      <c r="K7738" t="s">
        <v>22</v>
      </c>
      <c r="L7738" t="s">
        <v>193</v>
      </c>
      <c r="M7738" t="s">
        <v>194</v>
      </c>
      <c r="N7738">
        <v>40.196280000000002</v>
      </c>
      <c r="O7738">
        <v>-111.90401300000001</v>
      </c>
      <c r="P7738">
        <v>4575.2630410000002</v>
      </c>
      <c r="Q7738">
        <v>1368</v>
      </c>
      <c r="R7738">
        <v>0</v>
      </c>
    </row>
    <row r="7739" spans="1:18" x14ac:dyDescent="0.25">
      <c r="A7739">
        <v>6738</v>
      </c>
      <c r="B7739">
        <v>94</v>
      </c>
      <c r="C7739">
        <v>1544394</v>
      </c>
      <c r="D7739" t="s">
        <v>88</v>
      </c>
      <c r="E7739">
        <v>18.11</v>
      </c>
      <c r="F7739" t="s">
        <v>21</v>
      </c>
      <c r="G7739" t="s">
        <v>26</v>
      </c>
      <c r="H7739" t="s">
        <v>21</v>
      </c>
      <c r="I7739" t="s">
        <v>20</v>
      </c>
      <c r="J7739" t="s">
        <v>20</v>
      </c>
      <c r="K7739" t="s">
        <v>31</v>
      </c>
      <c r="L7739" t="s">
        <v>69</v>
      </c>
      <c r="M7739" t="s">
        <v>90</v>
      </c>
      <c r="N7739">
        <v>40.697463999999997</v>
      </c>
      <c r="O7739">
        <v>-111.871342</v>
      </c>
      <c r="P7739">
        <v>4214.2852650000004</v>
      </c>
      <c r="Q7739">
        <v>318</v>
      </c>
      <c r="R7739">
        <v>0</v>
      </c>
    </row>
    <row r="7740" spans="1:18" x14ac:dyDescent="0.25">
      <c r="A7740">
        <v>6739</v>
      </c>
      <c r="B7740">
        <v>94</v>
      </c>
      <c r="C7740">
        <v>1544718</v>
      </c>
      <c r="D7740" t="s">
        <v>88</v>
      </c>
      <c r="E7740">
        <v>18.131</v>
      </c>
      <c r="F7740" t="s">
        <v>21</v>
      </c>
      <c r="G7740" t="s">
        <v>20</v>
      </c>
      <c r="H7740" t="s">
        <v>21</v>
      </c>
      <c r="I7740" t="s">
        <v>20</v>
      </c>
      <c r="J7740" t="s">
        <v>20</v>
      </c>
      <c r="K7740" t="s">
        <v>31</v>
      </c>
      <c r="L7740" t="s">
        <v>69</v>
      </c>
      <c r="M7740" t="s">
        <v>90</v>
      </c>
      <c r="N7740">
        <v>40.697771000000003</v>
      </c>
      <c r="O7740">
        <v>-111.87134500000001</v>
      </c>
      <c r="P7740">
        <v>4213.5118839999996</v>
      </c>
      <c r="Q7740">
        <v>318</v>
      </c>
      <c r="R7740">
        <v>0</v>
      </c>
    </row>
    <row r="7741" spans="1:18" x14ac:dyDescent="0.25">
      <c r="A7741">
        <v>6740</v>
      </c>
      <c r="B7741">
        <v>94</v>
      </c>
      <c r="C7741">
        <v>1472034</v>
      </c>
      <c r="D7741" t="s">
        <v>304</v>
      </c>
      <c r="E7741">
        <v>18.131</v>
      </c>
      <c r="F7741" t="s">
        <v>21</v>
      </c>
      <c r="G7741" t="s">
        <v>26</v>
      </c>
      <c r="H7741" t="s">
        <v>21</v>
      </c>
      <c r="I7741" t="s">
        <v>20</v>
      </c>
      <c r="J7741" t="s">
        <v>20</v>
      </c>
      <c r="K7741" t="s">
        <v>41</v>
      </c>
      <c r="L7741" t="s">
        <v>223</v>
      </c>
      <c r="M7741" t="s">
        <v>43</v>
      </c>
      <c r="N7741">
        <v>41.774102999999997</v>
      </c>
      <c r="O7741">
        <v>-112.09559</v>
      </c>
      <c r="P7741">
        <v>4372.0936760000004</v>
      </c>
      <c r="Q7741">
        <v>1348</v>
      </c>
      <c r="R7741">
        <v>0</v>
      </c>
    </row>
    <row r="7742" spans="1:18" x14ac:dyDescent="0.25">
      <c r="A7742">
        <v>6741</v>
      </c>
      <c r="B7742">
        <v>94</v>
      </c>
      <c r="C7742" t="e">
        <f>-IoXTgEsHLDVrZYJjjQkDV</f>
        <v>#NAME?</v>
      </c>
      <c r="D7742" t="s">
        <v>272</v>
      </c>
      <c r="E7742">
        <v>340.952</v>
      </c>
      <c r="F7742" t="s">
        <v>21</v>
      </c>
      <c r="G7742" t="s">
        <v>26</v>
      </c>
      <c r="H7742" t="s">
        <v>21</v>
      </c>
      <c r="I7742" t="s">
        <v>20</v>
      </c>
      <c r="J7742" t="s">
        <v>20</v>
      </c>
      <c r="K7742" t="s">
        <v>22</v>
      </c>
      <c r="L7742" t="s">
        <v>23</v>
      </c>
      <c r="M7742" t="s">
        <v>125</v>
      </c>
      <c r="N7742">
        <v>40.315137</v>
      </c>
      <c r="O7742">
        <v>-111.702895</v>
      </c>
      <c r="P7742">
        <v>4716.1017229999998</v>
      </c>
      <c r="Q7742">
        <v>1384</v>
      </c>
      <c r="R7742">
        <v>0</v>
      </c>
    </row>
    <row r="7743" spans="1:18" x14ac:dyDescent="0.25">
      <c r="A7743">
        <v>6742</v>
      </c>
      <c r="B7743">
        <v>94</v>
      </c>
      <c r="C7743" t="e">
        <f>-IoXU0U9F3muhu43uAGgwV</f>
        <v>#NAME?</v>
      </c>
      <c r="D7743" t="s">
        <v>272</v>
      </c>
      <c r="E7743">
        <v>341.08199999999999</v>
      </c>
      <c r="F7743" t="s">
        <v>21</v>
      </c>
      <c r="G7743" t="s">
        <v>26</v>
      </c>
      <c r="H7743" t="s">
        <v>21</v>
      </c>
      <c r="I7743" t="s">
        <v>20</v>
      </c>
      <c r="J7743" t="s">
        <v>20</v>
      </c>
      <c r="K7743" t="s">
        <v>22</v>
      </c>
      <c r="L7743" t="s">
        <v>23</v>
      </c>
      <c r="M7743" t="s">
        <v>125</v>
      </c>
      <c r="N7743">
        <v>40.316916999999997</v>
      </c>
      <c r="O7743">
        <v>-111.70363999999999</v>
      </c>
      <c r="P7743">
        <v>4713.3650740000003</v>
      </c>
      <c r="Q7743">
        <v>1384</v>
      </c>
      <c r="R7743">
        <v>0</v>
      </c>
    </row>
    <row r="7744" spans="1:18" x14ac:dyDescent="0.25">
      <c r="A7744">
        <v>6743</v>
      </c>
      <c r="B7744">
        <v>94</v>
      </c>
      <c r="C7744" t="e">
        <f>-IoXUhB0G41oL43VdMyf7V</f>
        <v>#NAME?</v>
      </c>
      <c r="D7744" t="s">
        <v>272</v>
      </c>
      <c r="E7744">
        <v>341.25799999999998</v>
      </c>
      <c r="F7744" t="s">
        <v>19</v>
      </c>
      <c r="G7744" t="s">
        <v>20</v>
      </c>
      <c r="H7744" t="s">
        <v>21</v>
      </c>
      <c r="I7744" t="s">
        <v>20</v>
      </c>
      <c r="J7744" t="s">
        <v>20</v>
      </c>
      <c r="K7744" t="s">
        <v>22</v>
      </c>
      <c r="L7744" t="s">
        <v>23</v>
      </c>
      <c r="M7744" t="s">
        <v>125</v>
      </c>
      <c r="N7744">
        <v>40.319284000000003</v>
      </c>
      <c r="O7744">
        <v>-111.704712</v>
      </c>
      <c r="P7744">
        <v>4710.2924110000004</v>
      </c>
      <c r="Q7744">
        <v>1384</v>
      </c>
      <c r="R7744">
        <v>0</v>
      </c>
    </row>
    <row r="7745" spans="1:18" x14ac:dyDescent="0.25">
      <c r="A7745">
        <v>6744</v>
      </c>
      <c r="B7745">
        <v>94</v>
      </c>
      <c r="C7745" t="e">
        <f>-IoXYy9HG9uZxGvq1rmonF</f>
        <v>#NAME?</v>
      </c>
      <c r="D7745" t="s">
        <v>272</v>
      </c>
      <c r="E7745">
        <v>341.32499999999999</v>
      </c>
      <c r="F7745" t="s">
        <v>21</v>
      </c>
      <c r="G7745" t="s">
        <v>26</v>
      </c>
      <c r="H7745" t="s">
        <v>21</v>
      </c>
      <c r="I7745" t="s">
        <v>20</v>
      </c>
      <c r="J7745" t="s">
        <v>20</v>
      </c>
      <c r="K7745" t="s">
        <v>22</v>
      </c>
      <c r="L7745" t="s">
        <v>23</v>
      </c>
      <c r="M7745" t="s">
        <v>125</v>
      </c>
      <c r="N7745">
        <v>40.320189999999997</v>
      </c>
      <c r="O7745">
        <v>-111.705123</v>
      </c>
      <c r="P7745">
        <v>4708.7697760000001</v>
      </c>
      <c r="Q7745">
        <v>1384</v>
      </c>
      <c r="R7745">
        <v>0</v>
      </c>
    </row>
    <row r="7746" spans="1:18" x14ac:dyDescent="0.25">
      <c r="A7746">
        <v>6745</v>
      </c>
      <c r="B7746">
        <v>94</v>
      </c>
      <c r="C7746" t="e">
        <f>-IoX_2NxIWq_y_GWfL7Yak</f>
        <v>#NAME?</v>
      </c>
      <c r="D7746" t="s">
        <v>272</v>
      </c>
      <c r="E7746">
        <v>341.47800000000001</v>
      </c>
      <c r="F7746" t="s">
        <v>21</v>
      </c>
      <c r="G7746" t="s">
        <v>26</v>
      </c>
      <c r="H7746" t="s">
        <v>21</v>
      </c>
      <c r="I7746" t="s">
        <v>20</v>
      </c>
      <c r="J7746" t="s">
        <v>20</v>
      </c>
      <c r="K7746" t="s">
        <v>22</v>
      </c>
      <c r="L7746" t="s">
        <v>23</v>
      </c>
      <c r="M7746" t="s">
        <v>125</v>
      </c>
      <c r="N7746">
        <v>40.322254000000001</v>
      </c>
      <c r="O7746">
        <v>-111.706029</v>
      </c>
      <c r="P7746">
        <v>4706.4871300000004</v>
      </c>
      <c r="Q7746">
        <v>1384</v>
      </c>
      <c r="R7746">
        <v>0</v>
      </c>
    </row>
    <row r="7747" spans="1:18" x14ac:dyDescent="0.25">
      <c r="A7747">
        <v>6746</v>
      </c>
      <c r="B7747">
        <v>94</v>
      </c>
      <c r="C7747" t="s">
        <v>902</v>
      </c>
      <c r="D7747" t="s">
        <v>124</v>
      </c>
      <c r="E7747">
        <v>37.47</v>
      </c>
      <c r="F7747" t="s">
        <v>21</v>
      </c>
      <c r="G7747" t="s">
        <v>20</v>
      </c>
      <c r="H7747" t="s">
        <v>21</v>
      </c>
      <c r="I7747" t="s">
        <v>20</v>
      </c>
      <c r="J7747" t="s">
        <v>20</v>
      </c>
      <c r="K7747" t="s">
        <v>31</v>
      </c>
      <c r="L7747" t="s">
        <v>89</v>
      </c>
      <c r="M7747" t="s">
        <v>125</v>
      </c>
      <c r="N7747">
        <v>40.453941999999998</v>
      </c>
      <c r="O7747">
        <v>-111.938765</v>
      </c>
      <c r="P7747">
        <v>4640.944555</v>
      </c>
      <c r="Q7747">
        <v>1368</v>
      </c>
      <c r="R7747">
        <v>0</v>
      </c>
    </row>
    <row r="7748" spans="1:18" x14ac:dyDescent="0.25">
      <c r="A7748">
        <v>6747</v>
      </c>
      <c r="B7748">
        <v>94</v>
      </c>
      <c r="C7748">
        <v>31324317</v>
      </c>
      <c r="D7748" t="s">
        <v>288</v>
      </c>
      <c r="E7748">
        <v>37.470999999999997</v>
      </c>
      <c r="F7748" t="s">
        <v>21</v>
      </c>
      <c r="G7748" t="s">
        <v>26</v>
      </c>
      <c r="H7748" t="s">
        <v>21</v>
      </c>
      <c r="I7748" t="s">
        <v>20</v>
      </c>
      <c r="J7748" t="s">
        <v>20</v>
      </c>
      <c r="K7748" t="s">
        <v>27</v>
      </c>
      <c r="L7748" t="s">
        <v>327</v>
      </c>
      <c r="M7748" t="s">
        <v>212</v>
      </c>
      <c r="N7748">
        <v>37.437710000000003</v>
      </c>
      <c r="O7748">
        <v>-109.470551</v>
      </c>
      <c r="P7748">
        <v>5209.6030639999999</v>
      </c>
      <c r="Q7748">
        <v>350</v>
      </c>
      <c r="R7748">
        <v>0</v>
      </c>
    </row>
    <row r="7749" spans="1:18" x14ac:dyDescent="0.25">
      <c r="A7749">
        <v>6748</v>
      </c>
      <c r="B7749">
        <v>94</v>
      </c>
      <c r="C7749">
        <v>31326644</v>
      </c>
      <c r="D7749" t="s">
        <v>278</v>
      </c>
      <c r="E7749">
        <v>37.484999999999999</v>
      </c>
      <c r="F7749" t="s">
        <v>21</v>
      </c>
      <c r="G7749" t="s">
        <v>26</v>
      </c>
      <c r="H7749" t="s">
        <v>21</v>
      </c>
      <c r="I7749" t="s">
        <v>20</v>
      </c>
      <c r="J7749" t="s">
        <v>20</v>
      </c>
      <c r="K7749" t="s">
        <v>27</v>
      </c>
      <c r="L7749" t="s">
        <v>279</v>
      </c>
      <c r="M7749" t="s">
        <v>280</v>
      </c>
      <c r="N7749">
        <v>37.491869999999999</v>
      </c>
      <c r="O7749">
        <v>-112.56321199999999</v>
      </c>
      <c r="P7749">
        <v>7772.1510509999998</v>
      </c>
      <c r="Q7749">
        <v>1330</v>
      </c>
      <c r="R7749">
        <v>0</v>
      </c>
    </row>
    <row r="7750" spans="1:18" x14ac:dyDescent="0.25">
      <c r="A7750">
        <v>6749</v>
      </c>
      <c r="B7750">
        <v>94</v>
      </c>
      <c r="C7750">
        <v>31383540</v>
      </c>
      <c r="D7750" t="s">
        <v>116</v>
      </c>
      <c r="E7750">
        <v>37.594000000000001</v>
      </c>
      <c r="F7750" t="s">
        <v>21</v>
      </c>
      <c r="G7750" t="s">
        <v>26</v>
      </c>
      <c r="H7750" t="s">
        <v>21</v>
      </c>
      <c r="I7750" t="s">
        <v>20</v>
      </c>
      <c r="J7750" t="s">
        <v>20</v>
      </c>
      <c r="K7750" t="s">
        <v>41</v>
      </c>
      <c r="L7750" t="s">
        <v>95</v>
      </c>
      <c r="M7750" t="s">
        <v>117</v>
      </c>
      <c r="N7750">
        <v>41.888010999999999</v>
      </c>
      <c r="O7750">
        <v>-111.816305</v>
      </c>
      <c r="P7750">
        <v>4555.0433149999999</v>
      </c>
      <c r="Q7750">
        <v>324</v>
      </c>
      <c r="R7750">
        <v>0</v>
      </c>
    </row>
    <row r="7751" spans="1:18" x14ac:dyDescent="0.25">
      <c r="A7751">
        <v>6750</v>
      </c>
      <c r="B7751">
        <v>94</v>
      </c>
      <c r="C7751">
        <v>31412003</v>
      </c>
      <c r="D7751" t="s">
        <v>63</v>
      </c>
      <c r="E7751">
        <v>37.606000000000002</v>
      </c>
      <c r="F7751" t="s">
        <v>21</v>
      </c>
      <c r="G7751" t="s">
        <v>26</v>
      </c>
      <c r="H7751" t="s">
        <v>21</v>
      </c>
      <c r="I7751" t="s">
        <v>20</v>
      </c>
      <c r="J7751" t="s">
        <v>20</v>
      </c>
      <c r="K7751" t="s">
        <v>27</v>
      </c>
      <c r="L7751" t="s">
        <v>266</v>
      </c>
      <c r="M7751" t="s">
        <v>29</v>
      </c>
      <c r="N7751">
        <v>38.506793999999999</v>
      </c>
      <c r="O7751">
        <v>-111.881349</v>
      </c>
      <c r="P7751">
        <v>6838.2668739999999</v>
      </c>
      <c r="Q7751">
        <v>1365</v>
      </c>
      <c r="R7751">
        <v>0</v>
      </c>
    </row>
    <row r="7752" spans="1:18" x14ac:dyDescent="0.25">
      <c r="A7752">
        <v>6751</v>
      </c>
      <c r="B7752">
        <v>94</v>
      </c>
      <c r="C7752">
        <v>31430687</v>
      </c>
      <c r="D7752" t="s">
        <v>221</v>
      </c>
      <c r="E7752">
        <v>37.619999999999997</v>
      </c>
      <c r="F7752" t="s">
        <v>21</v>
      </c>
      <c r="G7752" t="s">
        <v>26</v>
      </c>
      <c r="H7752" t="s">
        <v>21</v>
      </c>
      <c r="I7752" t="s">
        <v>20</v>
      </c>
      <c r="J7752" t="s">
        <v>20</v>
      </c>
      <c r="K7752" t="s">
        <v>22</v>
      </c>
      <c r="L7752" t="s">
        <v>155</v>
      </c>
      <c r="M7752" t="s">
        <v>174</v>
      </c>
      <c r="N7752">
        <v>39.667738</v>
      </c>
      <c r="O7752">
        <v>-111.850956</v>
      </c>
      <c r="P7752">
        <v>5104.0585849999998</v>
      </c>
      <c r="Q7752">
        <v>1342</v>
      </c>
      <c r="R7752">
        <v>0</v>
      </c>
    </row>
    <row r="7753" spans="1:18" x14ac:dyDescent="0.25">
      <c r="A7753">
        <v>6752</v>
      </c>
      <c r="B7753">
        <v>94</v>
      </c>
      <c r="C7753">
        <v>31324328</v>
      </c>
      <c r="D7753" t="s">
        <v>288</v>
      </c>
      <c r="E7753">
        <v>37.643000000000001</v>
      </c>
      <c r="F7753" t="s">
        <v>21</v>
      </c>
      <c r="G7753" t="s">
        <v>20</v>
      </c>
      <c r="H7753" t="s">
        <v>21</v>
      </c>
      <c r="I7753" t="s">
        <v>20</v>
      </c>
      <c r="J7753" t="s">
        <v>20</v>
      </c>
      <c r="K7753" t="s">
        <v>27</v>
      </c>
      <c r="L7753" t="s">
        <v>327</v>
      </c>
      <c r="M7753" t="s">
        <v>212</v>
      </c>
      <c r="N7753">
        <v>37.440032000000002</v>
      </c>
      <c r="O7753">
        <v>-109.469421</v>
      </c>
      <c r="P7753">
        <v>5209.7781990000003</v>
      </c>
      <c r="Q7753">
        <v>350</v>
      </c>
      <c r="R7753">
        <v>0</v>
      </c>
    </row>
    <row r="7754" spans="1:18" x14ac:dyDescent="0.25">
      <c r="A7754">
        <v>6753</v>
      </c>
      <c r="B7754">
        <v>94</v>
      </c>
      <c r="C7754">
        <v>31376107</v>
      </c>
      <c r="D7754" t="s">
        <v>142</v>
      </c>
      <c r="E7754">
        <v>102.086</v>
      </c>
      <c r="F7754" t="s">
        <v>21</v>
      </c>
      <c r="G7754" t="s">
        <v>20</v>
      </c>
      <c r="H7754" t="s">
        <v>21</v>
      </c>
      <c r="I7754" t="s">
        <v>20</v>
      </c>
      <c r="J7754" t="s">
        <v>20</v>
      </c>
      <c r="K7754" t="s">
        <v>27</v>
      </c>
      <c r="L7754" t="s">
        <v>103</v>
      </c>
      <c r="M7754" t="s">
        <v>106</v>
      </c>
      <c r="N7754">
        <v>38.265652000000003</v>
      </c>
      <c r="O7754">
        <v>-112.739029</v>
      </c>
      <c r="P7754">
        <v>5609.9965469999997</v>
      </c>
      <c r="Q7754">
        <v>305</v>
      </c>
      <c r="R7754">
        <v>0</v>
      </c>
    </row>
    <row r="7755" spans="1:18" x14ac:dyDescent="0.25">
      <c r="A7755">
        <v>6754</v>
      </c>
      <c r="B7755">
        <v>94</v>
      </c>
      <c r="C7755">
        <v>31902436</v>
      </c>
      <c r="D7755" t="s">
        <v>272</v>
      </c>
      <c r="E7755">
        <v>102.096</v>
      </c>
      <c r="F7755" t="s">
        <v>21</v>
      </c>
      <c r="G7755" t="s">
        <v>26</v>
      </c>
      <c r="H7755" t="s">
        <v>21</v>
      </c>
      <c r="I7755" t="s">
        <v>20</v>
      </c>
      <c r="J7755" t="s">
        <v>20</v>
      </c>
      <c r="K7755" t="s">
        <v>27</v>
      </c>
      <c r="L7755" t="s">
        <v>279</v>
      </c>
      <c r="M7755" t="s">
        <v>214</v>
      </c>
      <c r="N7755">
        <v>37.466788999999999</v>
      </c>
      <c r="O7755">
        <v>-112.517809</v>
      </c>
      <c r="P7755">
        <v>7115.9484490000004</v>
      </c>
      <c r="Q7755">
        <v>1384</v>
      </c>
      <c r="R7755">
        <v>0</v>
      </c>
    </row>
    <row r="7756" spans="1:18" x14ac:dyDescent="0.25">
      <c r="A7756">
        <v>6755</v>
      </c>
      <c r="B7756">
        <v>94</v>
      </c>
      <c r="C7756">
        <v>31778636</v>
      </c>
      <c r="D7756" t="s">
        <v>290</v>
      </c>
      <c r="E7756">
        <v>102.36</v>
      </c>
      <c r="F7756" t="s">
        <v>21</v>
      </c>
      <c r="G7756" t="s">
        <v>26</v>
      </c>
      <c r="H7756" t="s">
        <v>19</v>
      </c>
      <c r="I7756">
        <v>23</v>
      </c>
      <c r="J7756" t="s">
        <v>20</v>
      </c>
      <c r="K7756" t="s">
        <v>41</v>
      </c>
      <c r="L7756" t="s">
        <v>95</v>
      </c>
      <c r="M7756" t="s">
        <v>152</v>
      </c>
      <c r="N7756">
        <v>41.750748000000002</v>
      </c>
      <c r="O7756">
        <v>-111.979432</v>
      </c>
      <c r="P7756">
        <v>4446.0045319999999</v>
      </c>
      <c r="Q7756">
        <v>1343</v>
      </c>
      <c r="R7756">
        <v>0</v>
      </c>
    </row>
    <row r="7757" spans="1:18" x14ac:dyDescent="0.25">
      <c r="A7757">
        <v>6756</v>
      </c>
      <c r="B7757">
        <v>94</v>
      </c>
      <c r="C7757">
        <v>31561700</v>
      </c>
      <c r="D7757" t="s">
        <v>213</v>
      </c>
      <c r="E7757">
        <v>102.36199999999999</v>
      </c>
      <c r="F7757" t="s">
        <v>21</v>
      </c>
      <c r="G7757" t="s">
        <v>26</v>
      </c>
      <c r="H7757" t="s">
        <v>21</v>
      </c>
      <c r="I7757" t="s">
        <v>20</v>
      </c>
      <c r="J7757" t="s">
        <v>20</v>
      </c>
      <c r="K7757" t="s">
        <v>27</v>
      </c>
      <c r="L7757" t="s">
        <v>173</v>
      </c>
      <c r="M7757" t="s">
        <v>214</v>
      </c>
      <c r="N7757">
        <v>39.491371999999998</v>
      </c>
      <c r="O7757">
        <v>-112.401774</v>
      </c>
      <c r="P7757">
        <v>4727.7878469999996</v>
      </c>
      <c r="Q7757">
        <v>1332</v>
      </c>
      <c r="R7757">
        <v>0</v>
      </c>
    </row>
    <row r="7758" spans="1:18" x14ac:dyDescent="0.25">
      <c r="A7758">
        <v>6757</v>
      </c>
      <c r="B7758">
        <v>94</v>
      </c>
      <c r="C7758">
        <v>31790504</v>
      </c>
      <c r="D7758" t="s">
        <v>118</v>
      </c>
      <c r="E7758">
        <v>102.437</v>
      </c>
      <c r="F7758" t="s">
        <v>21</v>
      </c>
      <c r="G7758" t="s">
        <v>26</v>
      </c>
      <c r="H7758" t="s">
        <v>21</v>
      </c>
      <c r="I7758" t="s">
        <v>20</v>
      </c>
      <c r="J7758" t="s">
        <v>20</v>
      </c>
      <c r="K7758" t="s">
        <v>22</v>
      </c>
      <c r="L7758" t="s">
        <v>133</v>
      </c>
      <c r="M7758" t="s">
        <v>169</v>
      </c>
      <c r="N7758">
        <v>40.179448000000001</v>
      </c>
      <c r="O7758">
        <v>-110.114239</v>
      </c>
      <c r="P7758">
        <v>5100.6563660000002</v>
      </c>
      <c r="Q7758">
        <v>310</v>
      </c>
      <c r="R7758">
        <v>0</v>
      </c>
    </row>
    <row r="7759" spans="1:18" x14ac:dyDescent="0.25">
      <c r="A7759">
        <v>6758</v>
      </c>
      <c r="B7759">
        <v>94</v>
      </c>
      <c r="C7759">
        <v>31562811</v>
      </c>
      <c r="D7759" t="s">
        <v>213</v>
      </c>
      <c r="E7759">
        <v>102.736</v>
      </c>
      <c r="F7759" t="s">
        <v>21</v>
      </c>
      <c r="G7759" t="s">
        <v>26</v>
      </c>
      <c r="H7759" t="s">
        <v>21</v>
      </c>
      <c r="I7759" t="s">
        <v>20</v>
      </c>
      <c r="J7759" t="s">
        <v>20</v>
      </c>
      <c r="K7759" t="s">
        <v>27</v>
      </c>
      <c r="L7759" t="s">
        <v>173</v>
      </c>
      <c r="M7759" t="s">
        <v>214</v>
      </c>
      <c r="N7759">
        <v>39.495569000000003</v>
      </c>
      <c r="O7759">
        <v>-112.39731399999999</v>
      </c>
      <c r="P7759">
        <v>4717.8755359999996</v>
      </c>
      <c r="Q7759">
        <v>1332</v>
      </c>
      <c r="R7759">
        <v>0</v>
      </c>
    </row>
    <row r="7760" spans="1:18" x14ac:dyDescent="0.25">
      <c r="A7760">
        <v>6759</v>
      </c>
      <c r="B7760">
        <v>94</v>
      </c>
      <c r="C7760" t="e">
        <f>-IpUmi6wGaHErvJfaBiOAF</f>
        <v>#NAME?</v>
      </c>
      <c r="D7760" t="s">
        <v>288</v>
      </c>
      <c r="E7760">
        <v>102.761</v>
      </c>
      <c r="F7760" t="s">
        <v>21</v>
      </c>
      <c r="G7760" t="s">
        <v>26</v>
      </c>
      <c r="H7760" t="s">
        <v>21</v>
      </c>
      <c r="I7760" t="s">
        <v>20</v>
      </c>
      <c r="J7760" t="s">
        <v>20</v>
      </c>
      <c r="K7760" t="s">
        <v>27</v>
      </c>
      <c r="L7760" t="s">
        <v>146</v>
      </c>
      <c r="M7760" t="s">
        <v>152</v>
      </c>
      <c r="N7760">
        <v>38.301769999999998</v>
      </c>
      <c r="O7760">
        <v>-109.394808</v>
      </c>
      <c r="P7760">
        <v>5889.6168070000003</v>
      </c>
      <c r="Q7760">
        <v>350</v>
      </c>
      <c r="R7760">
        <v>0</v>
      </c>
    </row>
    <row r="7761" spans="1:18" x14ac:dyDescent="0.25">
      <c r="A7761">
        <v>6760</v>
      </c>
      <c r="B7761">
        <v>94</v>
      </c>
      <c r="C7761">
        <v>31376118</v>
      </c>
      <c r="D7761" t="s">
        <v>142</v>
      </c>
      <c r="E7761">
        <v>102.765</v>
      </c>
      <c r="F7761" t="s">
        <v>21</v>
      </c>
      <c r="G7761" t="s">
        <v>26</v>
      </c>
      <c r="H7761" t="s">
        <v>21</v>
      </c>
      <c r="I7761" t="s">
        <v>20</v>
      </c>
      <c r="J7761" t="s">
        <v>20</v>
      </c>
      <c r="K7761" t="s">
        <v>27</v>
      </c>
      <c r="L7761" t="s">
        <v>103</v>
      </c>
      <c r="M7761" t="s">
        <v>106</v>
      </c>
      <c r="N7761">
        <v>38.271900000000002</v>
      </c>
      <c r="O7761">
        <v>-112.72946899999999</v>
      </c>
      <c r="P7761">
        <v>5657.744635</v>
      </c>
      <c r="Q7761">
        <v>305</v>
      </c>
      <c r="R7761">
        <v>0</v>
      </c>
    </row>
    <row r="7762" spans="1:18" x14ac:dyDescent="0.25">
      <c r="A7762">
        <v>6761</v>
      </c>
      <c r="B7762">
        <v>94</v>
      </c>
      <c r="C7762">
        <v>31734949</v>
      </c>
      <c r="D7762" t="s">
        <v>244</v>
      </c>
      <c r="E7762">
        <v>105.453</v>
      </c>
      <c r="F7762" t="s">
        <v>21</v>
      </c>
      <c r="G7762" t="s">
        <v>26</v>
      </c>
      <c r="H7762" t="s">
        <v>21</v>
      </c>
      <c r="I7762" t="s">
        <v>20</v>
      </c>
      <c r="J7762" t="s">
        <v>20</v>
      </c>
      <c r="K7762" t="s">
        <v>27</v>
      </c>
      <c r="L7762" t="s">
        <v>122</v>
      </c>
      <c r="M7762" t="s">
        <v>270</v>
      </c>
      <c r="N7762">
        <v>38.367001000000002</v>
      </c>
      <c r="O7762">
        <v>-110.892168</v>
      </c>
      <c r="P7762">
        <v>4557.6923980000001</v>
      </c>
      <c r="Q7762">
        <v>1340</v>
      </c>
      <c r="R7762">
        <v>0</v>
      </c>
    </row>
    <row r="7763" spans="1:18" x14ac:dyDescent="0.25">
      <c r="A7763">
        <v>6762</v>
      </c>
      <c r="B7763">
        <v>94</v>
      </c>
      <c r="C7763">
        <v>31792525</v>
      </c>
      <c r="D7763" t="s">
        <v>118</v>
      </c>
      <c r="E7763">
        <v>105.589</v>
      </c>
      <c r="F7763" t="s">
        <v>21</v>
      </c>
      <c r="G7763" t="s">
        <v>20</v>
      </c>
      <c r="H7763" t="s">
        <v>21</v>
      </c>
      <c r="I7763" t="s">
        <v>20</v>
      </c>
      <c r="J7763" t="s">
        <v>20</v>
      </c>
      <c r="K7763" t="s">
        <v>22</v>
      </c>
      <c r="L7763" t="s">
        <v>133</v>
      </c>
      <c r="M7763" t="s">
        <v>169</v>
      </c>
      <c r="N7763">
        <v>40.203570999999997</v>
      </c>
      <c r="O7763">
        <v>-110.06750099999999</v>
      </c>
      <c r="P7763">
        <v>5023.5623130000004</v>
      </c>
      <c r="Q7763">
        <v>310</v>
      </c>
      <c r="R7763">
        <v>0</v>
      </c>
    </row>
    <row r="7764" spans="1:18" x14ac:dyDescent="0.25">
      <c r="A7764">
        <v>6763</v>
      </c>
      <c r="B7764">
        <v>94</v>
      </c>
      <c r="C7764">
        <v>28274087</v>
      </c>
      <c r="D7764" t="s">
        <v>220</v>
      </c>
      <c r="E7764">
        <v>105.83499999999999</v>
      </c>
      <c r="F7764" t="s">
        <v>21</v>
      </c>
      <c r="G7764" t="s">
        <v>26</v>
      </c>
      <c r="H7764" t="s">
        <v>21</v>
      </c>
      <c r="I7764" t="s">
        <v>20</v>
      </c>
      <c r="J7764" t="s">
        <v>20</v>
      </c>
      <c r="K7764" t="s">
        <v>27</v>
      </c>
      <c r="L7764" t="s">
        <v>28</v>
      </c>
      <c r="M7764" t="s">
        <v>366</v>
      </c>
      <c r="N7764">
        <v>38.100051999999998</v>
      </c>
      <c r="O7764">
        <v>-111.33756200000001</v>
      </c>
      <c r="P7764">
        <v>8562.8829270000006</v>
      </c>
      <c r="Q7764">
        <v>1328</v>
      </c>
      <c r="R7764">
        <v>0</v>
      </c>
    </row>
    <row r="7765" spans="1:18" x14ac:dyDescent="0.25">
      <c r="A7765">
        <v>6764</v>
      </c>
      <c r="B7765">
        <v>94</v>
      </c>
      <c r="C7765">
        <v>31376728</v>
      </c>
      <c r="D7765" t="s">
        <v>142</v>
      </c>
      <c r="E7765">
        <v>105.843</v>
      </c>
      <c r="F7765" t="s">
        <v>21</v>
      </c>
      <c r="G7765" t="s">
        <v>26</v>
      </c>
      <c r="H7765" t="s">
        <v>21</v>
      </c>
      <c r="I7765" t="s">
        <v>20</v>
      </c>
      <c r="J7765" t="s">
        <v>20</v>
      </c>
      <c r="K7765" t="s">
        <v>27</v>
      </c>
      <c r="L7765" t="s">
        <v>103</v>
      </c>
      <c r="M7765" t="s">
        <v>106</v>
      </c>
      <c r="N7765">
        <v>38.273874999999997</v>
      </c>
      <c r="O7765">
        <v>-112.673248</v>
      </c>
      <c r="P7765">
        <v>5749.2669679999999</v>
      </c>
      <c r="Q7765">
        <v>305</v>
      </c>
      <c r="R7765">
        <v>0</v>
      </c>
    </row>
    <row r="7766" spans="1:18" x14ac:dyDescent="0.25">
      <c r="A7766">
        <v>6765</v>
      </c>
      <c r="B7766">
        <v>94</v>
      </c>
      <c r="C7766">
        <v>31787587</v>
      </c>
      <c r="D7766" t="s">
        <v>290</v>
      </c>
      <c r="E7766">
        <v>105.93</v>
      </c>
      <c r="F7766" t="s">
        <v>21</v>
      </c>
      <c r="G7766" t="s">
        <v>26</v>
      </c>
      <c r="H7766" t="s">
        <v>21</v>
      </c>
      <c r="I7766" t="s">
        <v>20</v>
      </c>
      <c r="J7766" t="s">
        <v>20</v>
      </c>
      <c r="K7766" t="s">
        <v>41</v>
      </c>
      <c r="L7766" t="s">
        <v>95</v>
      </c>
      <c r="M7766" t="s">
        <v>152</v>
      </c>
      <c r="N7766">
        <v>41.741630000000001</v>
      </c>
      <c r="O7766">
        <v>-111.911608</v>
      </c>
      <c r="P7766">
        <v>4372.1171340000001</v>
      </c>
      <c r="Q7766">
        <v>1343</v>
      </c>
      <c r="R7766">
        <v>0</v>
      </c>
    </row>
    <row r="7767" spans="1:18" x14ac:dyDescent="0.25">
      <c r="A7767">
        <v>6766</v>
      </c>
      <c r="B7767">
        <v>94</v>
      </c>
      <c r="C7767">
        <v>31792536</v>
      </c>
      <c r="D7767" t="s">
        <v>118</v>
      </c>
      <c r="E7767">
        <v>106.126</v>
      </c>
      <c r="F7767" t="s">
        <v>21</v>
      </c>
      <c r="G7767" t="s">
        <v>26</v>
      </c>
      <c r="H7767" t="s">
        <v>21</v>
      </c>
      <c r="I7767" t="s">
        <v>20</v>
      </c>
      <c r="J7767" t="s">
        <v>20</v>
      </c>
      <c r="K7767" t="s">
        <v>22</v>
      </c>
      <c r="L7767" t="s">
        <v>133</v>
      </c>
      <c r="M7767" t="s">
        <v>169</v>
      </c>
      <c r="N7767">
        <v>40.211384000000002</v>
      </c>
      <c r="O7767">
        <v>-110.067481</v>
      </c>
      <c r="P7767">
        <v>5046.5579820000003</v>
      </c>
      <c r="Q7767">
        <v>310</v>
      </c>
      <c r="R7767">
        <v>0</v>
      </c>
    </row>
    <row r="7768" spans="1:18" x14ac:dyDescent="0.25">
      <c r="A7768">
        <v>6767</v>
      </c>
      <c r="B7768">
        <v>94</v>
      </c>
      <c r="C7768">
        <v>31564710</v>
      </c>
      <c r="D7768" t="s">
        <v>213</v>
      </c>
      <c r="E7768">
        <v>106.30200000000001</v>
      </c>
      <c r="F7768" t="s">
        <v>21</v>
      </c>
      <c r="G7768" t="s">
        <v>26</v>
      </c>
      <c r="H7768" t="s">
        <v>21</v>
      </c>
      <c r="I7768" t="s">
        <v>20</v>
      </c>
      <c r="J7768" t="s">
        <v>20</v>
      </c>
      <c r="K7768" t="s">
        <v>27</v>
      </c>
      <c r="L7768" t="s">
        <v>173</v>
      </c>
      <c r="M7768" t="s">
        <v>214</v>
      </c>
      <c r="N7768">
        <v>39.538096000000003</v>
      </c>
      <c r="O7768">
        <v>-112.36466299999999</v>
      </c>
      <c r="P7768">
        <v>4732.2127170000003</v>
      </c>
      <c r="Q7768">
        <v>1332</v>
      </c>
      <c r="R7768">
        <v>0</v>
      </c>
    </row>
    <row r="7769" spans="1:18" x14ac:dyDescent="0.25">
      <c r="A7769">
        <v>6768</v>
      </c>
      <c r="B7769">
        <v>94</v>
      </c>
      <c r="C7769">
        <v>31376739</v>
      </c>
      <c r="D7769" t="s">
        <v>142</v>
      </c>
      <c r="E7769">
        <v>106.36199999999999</v>
      </c>
      <c r="F7769" t="s">
        <v>21</v>
      </c>
      <c r="G7769" t="s">
        <v>26</v>
      </c>
      <c r="H7769" t="s">
        <v>21</v>
      </c>
      <c r="I7769" t="s">
        <v>20</v>
      </c>
      <c r="J7769" t="s">
        <v>20</v>
      </c>
      <c r="K7769" t="s">
        <v>27</v>
      </c>
      <c r="L7769" t="s">
        <v>103</v>
      </c>
      <c r="M7769" t="s">
        <v>106</v>
      </c>
      <c r="N7769">
        <v>38.273975999999998</v>
      </c>
      <c r="O7769">
        <v>-112.66368300000001</v>
      </c>
      <c r="P7769">
        <v>5769.4723919999997</v>
      </c>
      <c r="Q7769">
        <v>305</v>
      </c>
      <c r="R7769">
        <v>0</v>
      </c>
    </row>
    <row r="7770" spans="1:18" x14ac:dyDescent="0.25">
      <c r="A7770">
        <v>6769</v>
      </c>
      <c r="B7770">
        <v>94</v>
      </c>
      <c r="C7770">
        <v>27866030</v>
      </c>
      <c r="D7770" t="s">
        <v>91</v>
      </c>
      <c r="E7770">
        <v>1.9950000000000001</v>
      </c>
      <c r="F7770" t="s">
        <v>21</v>
      </c>
      <c r="G7770" t="s">
        <v>26</v>
      </c>
      <c r="H7770" t="s">
        <v>21</v>
      </c>
      <c r="I7770" t="s">
        <v>20</v>
      </c>
      <c r="J7770" t="s">
        <v>20</v>
      </c>
      <c r="K7770" t="s">
        <v>41</v>
      </c>
      <c r="L7770" t="s">
        <v>42</v>
      </c>
      <c r="M7770" t="s">
        <v>73</v>
      </c>
      <c r="N7770">
        <v>41.645015000000001</v>
      </c>
      <c r="O7770">
        <v>-111.934173</v>
      </c>
      <c r="P7770">
        <v>4478.6635999999999</v>
      </c>
      <c r="Q7770">
        <v>1339</v>
      </c>
      <c r="R7770">
        <v>0</v>
      </c>
    </row>
    <row r="7771" spans="1:18" x14ac:dyDescent="0.25">
      <c r="A7771">
        <v>6770</v>
      </c>
      <c r="B7771">
        <v>94</v>
      </c>
      <c r="C7771" t="e">
        <f>-JPu0naLGMeKtUAw1TMCNV</f>
        <v>#NAME?</v>
      </c>
      <c r="D7771" t="s">
        <v>167</v>
      </c>
      <c r="E7771">
        <v>1.9950000000000001</v>
      </c>
      <c r="F7771" t="s">
        <v>21</v>
      </c>
      <c r="G7771" t="s">
        <v>20</v>
      </c>
      <c r="H7771" t="s">
        <v>21</v>
      </c>
      <c r="I7771" t="s">
        <v>20</v>
      </c>
      <c r="J7771" t="s">
        <v>20</v>
      </c>
      <c r="K7771" t="s">
        <v>22</v>
      </c>
      <c r="L7771" t="s">
        <v>168</v>
      </c>
      <c r="M7771" t="s">
        <v>169</v>
      </c>
      <c r="N7771">
        <v>40.233415999999998</v>
      </c>
      <c r="O7771">
        <v>-110.718318</v>
      </c>
      <c r="P7771">
        <v>6559.4556839999996</v>
      </c>
      <c r="Q7771">
        <v>354</v>
      </c>
      <c r="R7771">
        <v>0</v>
      </c>
    </row>
    <row r="7772" spans="1:18" x14ac:dyDescent="0.25">
      <c r="A7772">
        <v>6771</v>
      </c>
      <c r="B7772">
        <v>94</v>
      </c>
      <c r="C7772">
        <v>31501446</v>
      </c>
      <c r="D7772" t="s">
        <v>292</v>
      </c>
      <c r="E7772">
        <v>1.9950000000000001</v>
      </c>
      <c r="F7772" t="s">
        <v>21</v>
      </c>
      <c r="G7772" t="s">
        <v>20</v>
      </c>
      <c r="H7772" t="s">
        <v>21</v>
      </c>
      <c r="I7772" t="s">
        <v>20</v>
      </c>
      <c r="J7772" t="s">
        <v>20</v>
      </c>
      <c r="K7772" t="s">
        <v>22</v>
      </c>
      <c r="L7772" t="s">
        <v>253</v>
      </c>
      <c r="M7772" t="s">
        <v>134</v>
      </c>
      <c r="N7772">
        <v>40.191386000000001</v>
      </c>
      <c r="O7772">
        <v>-110.393507</v>
      </c>
      <c r="P7772">
        <v>5713.5899209999998</v>
      </c>
      <c r="Q7772">
        <v>323</v>
      </c>
      <c r="R7772">
        <v>0</v>
      </c>
    </row>
    <row r="7773" spans="1:18" x14ac:dyDescent="0.25">
      <c r="A7773">
        <v>6772</v>
      </c>
      <c r="B7773">
        <v>94</v>
      </c>
      <c r="C7773">
        <v>536787</v>
      </c>
      <c r="D7773" t="s">
        <v>77</v>
      </c>
      <c r="E7773">
        <v>1.996</v>
      </c>
      <c r="F7773" t="s">
        <v>19</v>
      </c>
      <c r="G7773" t="s">
        <v>20</v>
      </c>
      <c r="H7773" t="s">
        <v>21</v>
      </c>
      <c r="I7773" t="s">
        <v>20</v>
      </c>
      <c r="J7773" t="s">
        <v>20</v>
      </c>
      <c r="K7773" t="s">
        <v>31</v>
      </c>
      <c r="L7773" t="s">
        <v>78</v>
      </c>
      <c r="M7773" t="s">
        <v>79</v>
      </c>
      <c r="N7773">
        <v>40.667594000000001</v>
      </c>
      <c r="O7773">
        <v>-112.024676</v>
      </c>
      <c r="P7773">
        <v>4552.8964329999999</v>
      </c>
      <c r="Q7773">
        <v>1436</v>
      </c>
      <c r="R7773">
        <v>0</v>
      </c>
    </row>
    <row r="7774" spans="1:18" x14ac:dyDescent="0.25">
      <c r="A7774">
        <v>6773</v>
      </c>
      <c r="B7774">
        <v>94</v>
      </c>
      <c r="C7774">
        <v>1405670</v>
      </c>
      <c r="D7774" t="s">
        <v>88</v>
      </c>
      <c r="E7774">
        <v>1.9970000000000001</v>
      </c>
      <c r="F7774" t="s">
        <v>21</v>
      </c>
      <c r="G7774" t="s">
        <v>26</v>
      </c>
      <c r="H7774" t="s">
        <v>21</v>
      </c>
      <c r="I7774" t="s">
        <v>20</v>
      </c>
      <c r="J7774" t="s">
        <v>20</v>
      </c>
      <c r="K7774" t="s">
        <v>31</v>
      </c>
      <c r="L7774" t="s">
        <v>89</v>
      </c>
      <c r="M7774" t="s">
        <v>90</v>
      </c>
      <c r="N7774">
        <v>40.522312999999997</v>
      </c>
      <c r="O7774">
        <v>-111.945975</v>
      </c>
      <c r="P7774">
        <v>4404.5343069999999</v>
      </c>
      <c r="Q7774">
        <v>318</v>
      </c>
      <c r="R7774">
        <v>0</v>
      </c>
    </row>
    <row r="7775" spans="1:18" x14ac:dyDescent="0.25">
      <c r="A7775">
        <v>6774</v>
      </c>
      <c r="B7775">
        <v>94</v>
      </c>
      <c r="C7775">
        <v>1548462</v>
      </c>
      <c r="D7775" t="s">
        <v>92</v>
      </c>
      <c r="E7775">
        <v>1.998</v>
      </c>
      <c r="F7775" t="s">
        <v>21</v>
      </c>
      <c r="G7775" t="s">
        <v>20</v>
      </c>
      <c r="H7775" t="s">
        <v>21</v>
      </c>
      <c r="I7775" t="s">
        <v>20</v>
      </c>
      <c r="J7775" t="s">
        <v>20</v>
      </c>
      <c r="K7775" t="s">
        <v>41</v>
      </c>
      <c r="L7775" t="s">
        <v>87</v>
      </c>
      <c r="M7775" t="s">
        <v>93</v>
      </c>
      <c r="N7775">
        <v>41.099601999999997</v>
      </c>
      <c r="O7775">
        <v>-111.973409</v>
      </c>
      <c r="P7775">
        <v>4617.6019919999999</v>
      </c>
      <c r="Q7775">
        <v>252</v>
      </c>
      <c r="R7775">
        <v>0</v>
      </c>
    </row>
    <row r="7776" spans="1:18" x14ac:dyDescent="0.25">
      <c r="A7776">
        <v>6775</v>
      </c>
      <c r="B7776">
        <v>94</v>
      </c>
      <c r="C7776">
        <v>1368487</v>
      </c>
      <c r="D7776" t="s">
        <v>100</v>
      </c>
      <c r="E7776">
        <v>2</v>
      </c>
      <c r="F7776" t="s">
        <v>19</v>
      </c>
      <c r="G7776" t="s">
        <v>20</v>
      </c>
      <c r="H7776" t="s">
        <v>21</v>
      </c>
      <c r="I7776" t="s">
        <v>20</v>
      </c>
      <c r="J7776" t="s">
        <v>20</v>
      </c>
      <c r="K7776" t="s">
        <v>41</v>
      </c>
      <c r="L7776" t="s">
        <v>57</v>
      </c>
      <c r="M7776" t="s">
        <v>46</v>
      </c>
      <c r="N7776">
        <v>41.089210999999999</v>
      </c>
      <c r="O7776">
        <v>-112.026167</v>
      </c>
      <c r="P7776">
        <v>4329.4119389999996</v>
      </c>
      <c r="Q7776">
        <v>1396</v>
      </c>
      <c r="R7776">
        <v>0</v>
      </c>
    </row>
    <row r="7777" spans="1:18" x14ac:dyDescent="0.25">
      <c r="A7777">
        <v>6776</v>
      </c>
      <c r="B7777">
        <v>94</v>
      </c>
      <c r="C7777">
        <v>31390605</v>
      </c>
      <c r="D7777" t="s">
        <v>184</v>
      </c>
      <c r="E7777">
        <v>10.342000000000001</v>
      </c>
      <c r="F7777" t="s">
        <v>21</v>
      </c>
      <c r="G7777" t="s">
        <v>20</v>
      </c>
      <c r="H7777" t="s">
        <v>21</v>
      </c>
      <c r="I7777" t="s">
        <v>20</v>
      </c>
      <c r="J7777" t="s">
        <v>20</v>
      </c>
      <c r="K7777" t="s">
        <v>27</v>
      </c>
      <c r="L7777" t="s">
        <v>54</v>
      </c>
      <c r="M7777" t="s">
        <v>55</v>
      </c>
      <c r="N7777">
        <v>37.786437999999997</v>
      </c>
      <c r="O7777">
        <v>-113.05077900000001</v>
      </c>
      <c r="P7777">
        <v>5391.1959159999997</v>
      </c>
      <c r="Q7777">
        <v>1410</v>
      </c>
      <c r="R7777">
        <v>0</v>
      </c>
    </row>
    <row r="7778" spans="1:18" x14ac:dyDescent="0.25">
      <c r="A7778">
        <v>6777</v>
      </c>
      <c r="B7778">
        <v>94</v>
      </c>
      <c r="C7778">
        <v>31281721</v>
      </c>
      <c r="D7778" t="s">
        <v>347</v>
      </c>
      <c r="E7778">
        <v>10.348000000000001</v>
      </c>
      <c r="F7778" t="s">
        <v>21</v>
      </c>
      <c r="G7778" t="s">
        <v>26</v>
      </c>
      <c r="H7778" t="s">
        <v>21</v>
      </c>
      <c r="I7778" t="s">
        <v>20</v>
      </c>
      <c r="J7778" t="s">
        <v>20</v>
      </c>
      <c r="K7778" t="s">
        <v>41</v>
      </c>
      <c r="L7778" t="s">
        <v>325</v>
      </c>
      <c r="M7778" t="s">
        <v>204</v>
      </c>
      <c r="N7778">
        <v>41.521852000000003</v>
      </c>
      <c r="O7778">
        <v>-111.16292300000001</v>
      </c>
      <c r="P7778">
        <v>6291.6303889999999</v>
      </c>
      <c r="Q7778">
        <v>1334</v>
      </c>
      <c r="R7778">
        <v>0</v>
      </c>
    </row>
    <row r="7779" spans="1:18" x14ac:dyDescent="0.25">
      <c r="A7779">
        <v>6778</v>
      </c>
      <c r="B7779">
        <v>94</v>
      </c>
      <c r="C7779">
        <v>1513364</v>
      </c>
      <c r="D7779" t="s">
        <v>88</v>
      </c>
      <c r="E7779">
        <v>10.351000000000001</v>
      </c>
      <c r="F7779" t="s">
        <v>21</v>
      </c>
      <c r="G7779" t="s">
        <v>26</v>
      </c>
      <c r="H7779" t="s">
        <v>21</v>
      </c>
      <c r="I7779" t="s">
        <v>20</v>
      </c>
      <c r="J7779" t="s">
        <v>20</v>
      </c>
      <c r="K7779" t="s">
        <v>31</v>
      </c>
      <c r="L7779" t="s">
        <v>32</v>
      </c>
      <c r="M7779" t="s">
        <v>90</v>
      </c>
      <c r="N7779">
        <v>40.589818999999999</v>
      </c>
      <c r="O7779">
        <v>-111.87220000000001</v>
      </c>
      <c r="P7779">
        <v>4456.7396559999997</v>
      </c>
      <c r="Q7779">
        <v>318</v>
      </c>
      <c r="R7779">
        <v>0</v>
      </c>
    </row>
    <row r="7780" spans="1:18" x14ac:dyDescent="0.25">
      <c r="A7780">
        <v>6779</v>
      </c>
      <c r="B7780">
        <v>94</v>
      </c>
      <c r="C7780">
        <v>31738556</v>
      </c>
      <c r="D7780" t="s">
        <v>336</v>
      </c>
      <c r="E7780">
        <v>10.355</v>
      </c>
      <c r="F7780" t="s">
        <v>21</v>
      </c>
      <c r="G7780" t="s">
        <v>20</v>
      </c>
      <c r="H7780" t="s">
        <v>21</v>
      </c>
      <c r="I7780" t="s">
        <v>20</v>
      </c>
      <c r="J7780" t="s">
        <v>20</v>
      </c>
      <c r="K7780" t="s">
        <v>31</v>
      </c>
      <c r="L7780" t="s">
        <v>32</v>
      </c>
      <c r="M7780" t="s">
        <v>33</v>
      </c>
      <c r="N7780">
        <v>40.651122000000001</v>
      </c>
      <c r="O7780">
        <v>-111.656897</v>
      </c>
      <c r="P7780">
        <v>7147.5695340000002</v>
      </c>
      <c r="Q7780">
        <v>404</v>
      </c>
      <c r="R7780">
        <v>0</v>
      </c>
    </row>
    <row r="7781" spans="1:18" x14ac:dyDescent="0.25">
      <c r="A7781">
        <v>6780</v>
      </c>
      <c r="B7781">
        <v>94</v>
      </c>
      <c r="C7781">
        <v>31192611</v>
      </c>
      <c r="D7781" t="s">
        <v>310</v>
      </c>
      <c r="E7781">
        <v>10.384</v>
      </c>
      <c r="F7781" t="s">
        <v>21</v>
      </c>
      <c r="G7781" t="s">
        <v>26</v>
      </c>
      <c r="H7781" t="s">
        <v>21</v>
      </c>
      <c r="I7781" t="s">
        <v>20</v>
      </c>
      <c r="J7781" t="s">
        <v>20</v>
      </c>
      <c r="K7781" t="s">
        <v>31</v>
      </c>
      <c r="L7781" t="s">
        <v>285</v>
      </c>
      <c r="M7781" t="s">
        <v>206</v>
      </c>
      <c r="N7781">
        <v>40.599860999999997</v>
      </c>
      <c r="O7781">
        <v>-112.460634</v>
      </c>
      <c r="P7781">
        <v>4243.5347140000003</v>
      </c>
      <c r="Q7781">
        <v>1414</v>
      </c>
      <c r="R7781">
        <v>0</v>
      </c>
    </row>
    <row r="7782" spans="1:18" x14ac:dyDescent="0.25">
      <c r="A7782">
        <v>6781</v>
      </c>
      <c r="B7782">
        <v>94</v>
      </c>
      <c r="C7782">
        <v>31335045</v>
      </c>
      <c r="D7782" t="s">
        <v>333</v>
      </c>
      <c r="E7782">
        <v>10.385999999999999</v>
      </c>
      <c r="F7782" t="s">
        <v>19</v>
      </c>
      <c r="G7782" t="s">
        <v>20</v>
      </c>
      <c r="H7782" t="s">
        <v>21</v>
      </c>
      <c r="I7782" t="s">
        <v>20</v>
      </c>
      <c r="J7782" t="s">
        <v>20</v>
      </c>
      <c r="K7782" t="s">
        <v>31</v>
      </c>
      <c r="L7782" t="s">
        <v>48</v>
      </c>
      <c r="M7782" t="s">
        <v>49</v>
      </c>
      <c r="N7782">
        <v>40.573262999999997</v>
      </c>
      <c r="O7782">
        <v>-111.977161</v>
      </c>
      <c r="P7782">
        <v>4563.6624259999999</v>
      </c>
      <c r="Q7782">
        <v>1426</v>
      </c>
      <c r="R7782">
        <v>0</v>
      </c>
    </row>
    <row r="7783" spans="1:18" x14ac:dyDescent="0.25">
      <c r="A7783">
        <v>6782</v>
      </c>
      <c r="B7783">
        <v>94</v>
      </c>
      <c r="C7783" t="s">
        <v>903</v>
      </c>
      <c r="D7783" t="s">
        <v>339</v>
      </c>
      <c r="E7783">
        <v>10.398999999999999</v>
      </c>
      <c r="F7783" t="s">
        <v>21</v>
      </c>
      <c r="G7783" t="s">
        <v>20</v>
      </c>
      <c r="H7783" t="s">
        <v>21</v>
      </c>
      <c r="I7783" t="s">
        <v>20</v>
      </c>
      <c r="J7783" t="s">
        <v>20</v>
      </c>
      <c r="K7783" t="s">
        <v>41</v>
      </c>
      <c r="L7783" t="s">
        <v>95</v>
      </c>
      <c r="M7783" t="s">
        <v>73</v>
      </c>
      <c r="N7783">
        <v>41.917473999999999</v>
      </c>
      <c r="O7783">
        <v>-111.940821</v>
      </c>
      <c r="P7783">
        <v>4406.9156830000002</v>
      </c>
      <c r="Q7783">
        <v>1417</v>
      </c>
      <c r="R7783">
        <v>0</v>
      </c>
    </row>
    <row r="7784" spans="1:18" x14ac:dyDescent="0.25">
      <c r="A7784">
        <v>6783</v>
      </c>
      <c r="B7784">
        <v>94</v>
      </c>
      <c r="C7784">
        <v>31635459</v>
      </c>
      <c r="D7784" t="s">
        <v>227</v>
      </c>
      <c r="E7784">
        <v>10.401999999999999</v>
      </c>
      <c r="F7784" t="s">
        <v>21</v>
      </c>
      <c r="G7784" t="s">
        <v>26</v>
      </c>
      <c r="H7784" t="s">
        <v>21</v>
      </c>
      <c r="I7784" t="s">
        <v>20</v>
      </c>
      <c r="J7784" t="s">
        <v>20</v>
      </c>
      <c r="K7784" t="s">
        <v>27</v>
      </c>
      <c r="L7784" t="s">
        <v>158</v>
      </c>
      <c r="M7784" t="s">
        <v>190</v>
      </c>
      <c r="N7784">
        <v>39.551144000000001</v>
      </c>
      <c r="O7784">
        <v>-110.38567500000001</v>
      </c>
      <c r="P7784">
        <v>6467.744068</v>
      </c>
      <c r="Q7784">
        <v>1407</v>
      </c>
      <c r="R7784">
        <v>0</v>
      </c>
    </row>
    <row r="7785" spans="1:18" x14ac:dyDescent="0.25">
      <c r="A7785">
        <v>6784</v>
      </c>
      <c r="B7785">
        <v>94</v>
      </c>
      <c r="C7785">
        <v>28356089</v>
      </c>
      <c r="D7785" t="s">
        <v>323</v>
      </c>
      <c r="E7785">
        <v>10.404</v>
      </c>
      <c r="F7785" t="s">
        <v>19</v>
      </c>
      <c r="G7785" t="s">
        <v>26</v>
      </c>
      <c r="H7785" t="s">
        <v>19</v>
      </c>
      <c r="I7785">
        <v>35</v>
      </c>
      <c r="J7785" t="s">
        <v>20</v>
      </c>
      <c r="K7785" t="s">
        <v>31</v>
      </c>
      <c r="L7785" t="s">
        <v>130</v>
      </c>
      <c r="M7785" t="s">
        <v>131</v>
      </c>
      <c r="N7785">
        <v>40.610501999999997</v>
      </c>
      <c r="O7785">
        <v>-111.280681</v>
      </c>
      <c r="P7785">
        <v>6512.4763210000001</v>
      </c>
      <c r="Q7785">
        <v>1345</v>
      </c>
      <c r="R7785">
        <v>0</v>
      </c>
    </row>
    <row r="7786" spans="1:18" x14ac:dyDescent="0.25">
      <c r="A7786">
        <v>6785</v>
      </c>
      <c r="B7786">
        <v>94</v>
      </c>
      <c r="C7786" t="s">
        <v>904</v>
      </c>
      <c r="D7786" t="s">
        <v>124</v>
      </c>
      <c r="E7786">
        <v>10.404</v>
      </c>
      <c r="F7786" t="s">
        <v>21</v>
      </c>
      <c r="G7786" t="s">
        <v>26</v>
      </c>
      <c r="H7786" t="s">
        <v>21</v>
      </c>
      <c r="I7786" t="s">
        <v>20</v>
      </c>
      <c r="J7786" t="s">
        <v>20</v>
      </c>
      <c r="K7786" t="s">
        <v>22</v>
      </c>
      <c r="L7786" t="s">
        <v>193</v>
      </c>
      <c r="M7786" t="s">
        <v>194</v>
      </c>
      <c r="N7786">
        <v>40.103001999999996</v>
      </c>
      <c r="O7786">
        <v>-111.959098</v>
      </c>
      <c r="P7786">
        <v>4512.1713950000003</v>
      </c>
      <c r="Q7786">
        <v>1368</v>
      </c>
      <c r="R7786">
        <v>0</v>
      </c>
    </row>
    <row r="7787" spans="1:18" x14ac:dyDescent="0.25">
      <c r="A7787">
        <v>6786</v>
      </c>
      <c r="B7787">
        <v>94</v>
      </c>
      <c r="C7787" t="e">
        <f>-JMIqwOxF7md04FMJvQJkV</f>
        <v>#NAME?</v>
      </c>
      <c r="D7787" t="s">
        <v>338</v>
      </c>
      <c r="E7787">
        <v>10.412000000000001</v>
      </c>
      <c r="F7787" t="s">
        <v>21</v>
      </c>
      <c r="G7787" t="s">
        <v>20</v>
      </c>
      <c r="H7787" t="s">
        <v>21</v>
      </c>
      <c r="I7787" t="s">
        <v>20</v>
      </c>
      <c r="J7787" t="s">
        <v>20</v>
      </c>
      <c r="K7787" t="s">
        <v>27</v>
      </c>
      <c r="L7787" t="s">
        <v>72</v>
      </c>
      <c r="M7787" t="s">
        <v>73</v>
      </c>
      <c r="N7787">
        <v>37.101281</v>
      </c>
      <c r="O7787">
        <v>-113.130567</v>
      </c>
      <c r="P7787">
        <v>4678.1812540000001</v>
      </c>
      <c r="Q7787">
        <v>315</v>
      </c>
      <c r="R7787">
        <v>0</v>
      </c>
    </row>
    <row r="7788" spans="1:18" x14ac:dyDescent="0.25">
      <c r="A7788">
        <v>6787</v>
      </c>
      <c r="B7788">
        <v>94</v>
      </c>
      <c r="C7788" t="e">
        <f>-JXD7nh5IumBcgdLYVmmcF</f>
        <v>#NAME?</v>
      </c>
      <c r="D7788" t="s">
        <v>220</v>
      </c>
      <c r="E7788">
        <v>10.429</v>
      </c>
      <c r="F7788" t="s">
        <v>21</v>
      </c>
      <c r="G7788" t="s">
        <v>26</v>
      </c>
      <c r="H7788" t="s">
        <v>21</v>
      </c>
      <c r="I7788" t="s">
        <v>20</v>
      </c>
      <c r="J7788" t="s">
        <v>20</v>
      </c>
      <c r="K7788" t="s">
        <v>27</v>
      </c>
      <c r="L7788" t="s">
        <v>28</v>
      </c>
      <c r="M7788" t="s">
        <v>29</v>
      </c>
      <c r="N7788">
        <v>37.707574999999999</v>
      </c>
      <c r="O7788">
        <v>-112.20563900000001</v>
      </c>
      <c r="P7788">
        <v>7632.4647969999996</v>
      </c>
      <c r="Q7788">
        <v>1328</v>
      </c>
      <c r="R7788">
        <v>0</v>
      </c>
    </row>
    <row r="7789" spans="1:18" x14ac:dyDescent="0.25">
      <c r="A7789">
        <v>6788</v>
      </c>
      <c r="B7789">
        <v>94</v>
      </c>
      <c r="C7789">
        <v>1056331</v>
      </c>
      <c r="D7789" t="s">
        <v>171</v>
      </c>
      <c r="E7789">
        <v>10.430999999999999</v>
      </c>
      <c r="F7789" t="s">
        <v>19</v>
      </c>
      <c r="G7789" t="s">
        <v>20</v>
      </c>
      <c r="H7789" t="s">
        <v>21</v>
      </c>
      <c r="I7789" t="s">
        <v>20</v>
      </c>
      <c r="J7789" t="s">
        <v>20</v>
      </c>
      <c r="K7789" t="s">
        <v>31</v>
      </c>
      <c r="L7789" t="s">
        <v>69</v>
      </c>
      <c r="M7789" t="s">
        <v>79</v>
      </c>
      <c r="N7789">
        <v>40.699738000000004</v>
      </c>
      <c r="O7789">
        <v>-111.893968</v>
      </c>
      <c r="P7789">
        <v>4194.7844180000002</v>
      </c>
      <c r="Q7789">
        <v>346</v>
      </c>
      <c r="R7789">
        <v>0</v>
      </c>
    </row>
    <row r="7790" spans="1:18" x14ac:dyDescent="0.25">
      <c r="A7790">
        <v>6789</v>
      </c>
      <c r="B7790">
        <v>94</v>
      </c>
      <c r="C7790">
        <v>31297173</v>
      </c>
      <c r="D7790" t="s">
        <v>338</v>
      </c>
      <c r="E7790">
        <v>10.430999999999999</v>
      </c>
      <c r="F7790" t="s">
        <v>21</v>
      </c>
      <c r="G7790" t="s">
        <v>26</v>
      </c>
      <c r="H7790" t="s">
        <v>21</v>
      </c>
      <c r="I7790" t="s">
        <v>20</v>
      </c>
      <c r="J7790" t="s">
        <v>20</v>
      </c>
      <c r="K7790" t="s">
        <v>27</v>
      </c>
      <c r="L7790" t="s">
        <v>72</v>
      </c>
      <c r="M7790" t="s">
        <v>73</v>
      </c>
      <c r="N7790">
        <v>37.101436</v>
      </c>
      <c r="O7790">
        <v>-113.130843</v>
      </c>
      <c r="P7790">
        <v>4677.696261</v>
      </c>
      <c r="Q7790">
        <v>315</v>
      </c>
      <c r="R7790">
        <v>0</v>
      </c>
    </row>
    <row r="7791" spans="1:18" x14ac:dyDescent="0.25">
      <c r="A7791">
        <v>6790</v>
      </c>
      <c r="B7791">
        <v>94</v>
      </c>
      <c r="C7791">
        <v>1442012</v>
      </c>
      <c r="D7791" t="s">
        <v>304</v>
      </c>
      <c r="E7791">
        <v>10.433999999999999</v>
      </c>
      <c r="F7791" t="s">
        <v>21</v>
      </c>
      <c r="G7791" t="s">
        <v>20</v>
      </c>
      <c r="H7791" t="s">
        <v>21</v>
      </c>
      <c r="I7791" t="s">
        <v>20</v>
      </c>
      <c r="J7791" t="s">
        <v>20</v>
      </c>
      <c r="K7791" t="s">
        <v>41</v>
      </c>
      <c r="L7791" t="s">
        <v>223</v>
      </c>
      <c r="M7791" t="s">
        <v>43</v>
      </c>
      <c r="N7791">
        <v>41.664068</v>
      </c>
      <c r="O7791">
        <v>-112.088356</v>
      </c>
      <c r="P7791">
        <v>4252.7062749999996</v>
      </c>
      <c r="Q7791">
        <v>1348</v>
      </c>
      <c r="R7791">
        <v>0</v>
      </c>
    </row>
    <row r="7792" spans="1:18" x14ac:dyDescent="0.25">
      <c r="A7792">
        <v>6791</v>
      </c>
      <c r="B7792">
        <v>94</v>
      </c>
      <c r="C7792">
        <v>31274518</v>
      </c>
      <c r="D7792" t="s">
        <v>303</v>
      </c>
      <c r="E7792">
        <v>10.449</v>
      </c>
      <c r="F7792" t="s">
        <v>21</v>
      </c>
      <c r="G7792" t="s">
        <v>26</v>
      </c>
      <c r="H7792" t="s">
        <v>21</v>
      </c>
      <c r="I7792" t="s">
        <v>20</v>
      </c>
      <c r="J7792" t="s">
        <v>20</v>
      </c>
      <c r="K7792" t="s">
        <v>27</v>
      </c>
      <c r="L7792" t="s">
        <v>72</v>
      </c>
      <c r="M7792" t="s">
        <v>73</v>
      </c>
      <c r="N7792">
        <v>37.183501999999997</v>
      </c>
      <c r="O7792">
        <v>-113.282369</v>
      </c>
      <c r="P7792">
        <v>3183.906618</v>
      </c>
      <c r="Q7792">
        <v>1326</v>
      </c>
      <c r="R7792">
        <v>0</v>
      </c>
    </row>
    <row r="7793" spans="1:18" x14ac:dyDescent="0.25">
      <c r="A7793">
        <v>6792</v>
      </c>
      <c r="B7793">
        <v>94</v>
      </c>
      <c r="C7793">
        <v>31371676</v>
      </c>
      <c r="D7793" t="s">
        <v>199</v>
      </c>
      <c r="E7793">
        <v>10.465</v>
      </c>
      <c r="F7793" t="s">
        <v>21</v>
      </c>
      <c r="G7793" t="s">
        <v>26</v>
      </c>
      <c r="H7793" t="s">
        <v>21</v>
      </c>
      <c r="I7793" t="s">
        <v>20</v>
      </c>
      <c r="J7793" t="s">
        <v>20</v>
      </c>
      <c r="K7793" t="s">
        <v>27</v>
      </c>
      <c r="L7793" t="s">
        <v>103</v>
      </c>
      <c r="M7793" t="s">
        <v>200</v>
      </c>
      <c r="N7793">
        <v>38.267189000000002</v>
      </c>
      <c r="O7793">
        <v>-112.48347</v>
      </c>
      <c r="P7793">
        <v>7182.8881119999996</v>
      </c>
      <c r="Q7793">
        <v>341</v>
      </c>
      <c r="R7793">
        <v>0</v>
      </c>
    </row>
    <row r="7794" spans="1:18" x14ac:dyDescent="0.25">
      <c r="A7794">
        <v>6793</v>
      </c>
      <c r="B7794">
        <v>94</v>
      </c>
      <c r="C7794" t="e">
        <f>-JPjzeIVHwaiwatjTd8a0k</f>
        <v>#NAME?</v>
      </c>
      <c r="D7794" t="s">
        <v>227</v>
      </c>
      <c r="E7794">
        <v>10.465999999999999</v>
      </c>
      <c r="F7794" t="s">
        <v>21</v>
      </c>
      <c r="G7794" t="s">
        <v>26</v>
      </c>
      <c r="H7794" t="s">
        <v>21</v>
      </c>
      <c r="I7794" t="s">
        <v>20</v>
      </c>
      <c r="J7794" t="s">
        <v>20</v>
      </c>
      <c r="K7794" t="s">
        <v>27</v>
      </c>
      <c r="L7794" t="s">
        <v>158</v>
      </c>
      <c r="M7794" t="s">
        <v>190</v>
      </c>
      <c r="N7794">
        <v>39.551591999999999</v>
      </c>
      <c r="O7794">
        <v>-110.384642</v>
      </c>
      <c r="P7794">
        <v>6478.0320330000004</v>
      </c>
      <c r="Q7794">
        <v>1407</v>
      </c>
      <c r="R7794">
        <v>0</v>
      </c>
    </row>
    <row r="7795" spans="1:18" x14ac:dyDescent="0.25">
      <c r="A7795">
        <v>6794</v>
      </c>
      <c r="B7795">
        <v>94</v>
      </c>
      <c r="C7795">
        <v>28130321</v>
      </c>
      <c r="D7795" t="s">
        <v>239</v>
      </c>
      <c r="E7795">
        <v>10.471</v>
      </c>
      <c r="F7795" t="s">
        <v>21</v>
      </c>
      <c r="G7795" t="s">
        <v>26</v>
      </c>
      <c r="H7795" t="s">
        <v>21</v>
      </c>
      <c r="I7795" t="s">
        <v>20</v>
      </c>
      <c r="J7795" t="s">
        <v>20</v>
      </c>
      <c r="K7795" t="s">
        <v>41</v>
      </c>
      <c r="L7795" t="s">
        <v>181</v>
      </c>
      <c r="M7795" t="s">
        <v>178</v>
      </c>
      <c r="N7795">
        <v>41.709372000000002</v>
      </c>
      <c r="O7795">
        <v>-112.278173</v>
      </c>
      <c r="P7795">
        <v>4273.8356460000005</v>
      </c>
      <c r="Q7795">
        <v>1392</v>
      </c>
      <c r="R7795">
        <v>0</v>
      </c>
    </row>
    <row r="7796" spans="1:18" x14ac:dyDescent="0.25">
      <c r="A7796">
        <v>6795</v>
      </c>
      <c r="B7796">
        <v>94</v>
      </c>
      <c r="C7796">
        <v>1513396</v>
      </c>
      <c r="D7796" t="s">
        <v>88</v>
      </c>
      <c r="E7796">
        <v>10.476000000000001</v>
      </c>
      <c r="F7796" t="s">
        <v>21</v>
      </c>
      <c r="G7796" t="s">
        <v>26</v>
      </c>
      <c r="H7796" t="s">
        <v>21</v>
      </c>
      <c r="I7796" t="s">
        <v>20</v>
      </c>
      <c r="J7796" t="s">
        <v>20</v>
      </c>
      <c r="K7796" t="s">
        <v>31</v>
      </c>
      <c r="L7796" t="s">
        <v>32</v>
      </c>
      <c r="M7796" t="s">
        <v>90</v>
      </c>
      <c r="N7796">
        <v>40.591631</v>
      </c>
      <c r="O7796">
        <v>-111.872204</v>
      </c>
      <c r="P7796">
        <v>4456.3204610000003</v>
      </c>
      <c r="Q7796">
        <v>318</v>
      </c>
      <c r="R7796">
        <v>0</v>
      </c>
    </row>
    <row r="7797" spans="1:18" x14ac:dyDescent="0.25">
      <c r="A7797">
        <v>6796</v>
      </c>
      <c r="B7797">
        <v>94</v>
      </c>
      <c r="C7797" t="e">
        <f>-JRqQOH3F-PC1cZMPiydCk</f>
        <v>#NAME?</v>
      </c>
      <c r="D7797" t="s">
        <v>132</v>
      </c>
      <c r="E7797">
        <v>10.488</v>
      </c>
      <c r="F7797" t="s">
        <v>21</v>
      </c>
      <c r="G7797" t="s">
        <v>20</v>
      </c>
      <c r="H7797" t="s">
        <v>21</v>
      </c>
      <c r="I7797" t="s">
        <v>20</v>
      </c>
      <c r="J7797" t="s">
        <v>20</v>
      </c>
      <c r="K7797" t="s">
        <v>22</v>
      </c>
      <c r="L7797" t="s">
        <v>133</v>
      </c>
      <c r="M7797" t="s">
        <v>134</v>
      </c>
      <c r="N7797">
        <v>40.432982000000003</v>
      </c>
      <c r="O7797">
        <v>-110.02078299999999</v>
      </c>
      <c r="P7797">
        <v>5959.5460220000004</v>
      </c>
      <c r="Q7797">
        <v>1405</v>
      </c>
      <c r="R7797">
        <v>0</v>
      </c>
    </row>
    <row r="7798" spans="1:18" x14ac:dyDescent="0.25">
      <c r="A7798">
        <v>6797</v>
      </c>
      <c r="B7798">
        <v>94</v>
      </c>
      <c r="C7798" t="e">
        <f>-JRa4yDTGjL-PP5U29p5Ck</f>
        <v>#NAME?</v>
      </c>
      <c r="D7798" t="s">
        <v>233</v>
      </c>
      <c r="E7798">
        <v>10.49</v>
      </c>
      <c r="F7798" t="s">
        <v>21</v>
      </c>
      <c r="G7798" t="s">
        <v>26</v>
      </c>
      <c r="H7798" t="s">
        <v>21</v>
      </c>
      <c r="I7798" t="s">
        <v>20</v>
      </c>
      <c r="J7798" t="s">
        <v>20</v>
      </c>
      <c r="K7798" t="s">
        <v>22</v>
      </c>
      <c r="L7798" t="s">
        <v>234</v>
      </c>
      <c r="M7798" t="s">
        <v>235</v>
      </c>
      <c r="N7798">
        <v>40.090449999999997</v>
      </c>
      <c r="O7798">
        <v>-109.22250200000001</v>
      </c>
      <c r="P7798">
        <v>5124.3046759999997</v>
      </c>
      <c r="Q7798">
        <v>1354</v>
      </c>
      <c r="R7798">
        <v>0</v>
      </c>
    </row>
    <row r="7799" spans="1:18" x14ac:dyDescent="0.25">
      <c r="A7799">
        <v>6798</v>
      </c>
      <c r="B7799">
        <v>94</v>
      </c>
      <c r="C7799">
        <v>31635481</v>
      </c>
      <c r="D7799" t="s">
        <v>227</v>
      </c>
      <c r="E7799">
        <v>10.492000000000001</v>
      </c>
      <c r="F7799" t="s">
        <v>21</v>
      </c>
      <c r="G7799" t="s">
        <v>26</v>
      </c>
      <c r="H7799" t="s">
        <v>21</v>
      </c>
      <c r="I7799" t="s">
        <v>20</v>
      </c>
      <c r="J7799" t="s">
        <v>20</v>
      </c>
      <c r="K7799" t="s">
        <v>27</v>
      </c>
      <c r="L7799" t="s">
        <v>158</v>
      </c>
      <c r="M7799" t="s">
        <v>190</v>
      </c>
      <c r="N7799">
        <v>39.551848</v>
      </c>
      <c r="O7799">
        <v>-110.38428500000001</v>
      </c>
      <c r="P7799">
        <v>6483.018341</v>
      </c>
      <c r="Q7799">
        <v>1407</v>
      </c>
      <c r="R7799">
        <v>0</v>
      </c>
    </row>
    <row r="7800" spans="1:18" x14ac:dyDescent="0.25">
      <c r="A7800">
        <v>6799</v>
      </c>
      <c r="B7800">
        <v>94</v>
      </c>
      <c r="C7800" t="e">
        <f>-IovfjZ7HS9yikKC3SX54F</f>
        <v>#NAME?</v>
      </c>
      <c r="D7800" t="s">
        <v>272</v>
      </c>
      <c r="E7800">
        <v>368.64499999999998</v>
      </c>
      <c r="F7800" t="s">
        <v>19</v>
      </c>
      <c r="G7800" t="s">
        <v>20</v>
      </c>
      <c r="H7800" t="s">
        <v>21</v>
      </c>
      <c r="I7800" t="s">
        <v>20</v>
      </c>
      <c r="J7800" t="s">
        <v>20</v>
      </c>
      <c r="K7800" t="s">
        <v>31</v>
      </c>
      <c r="L7800" t="s">
        <v>69</v>
      </c>
      <c r="M7800" t="s">
        <v>49</v>
      </c>
      <c r="N7800">
        <v>40.615116</v>
      </c>
      <c r="O7800">
        <v>-111.890663</v>
      </c>
      <c r="P7800">
        <v>4332.5959970000004</v>
      </c>
      <c r="Q7800">
        <v>1384</v>
      </c>
      <c r="R7800">
        <v>0</v>
      </c>
    </row>
    <row r="7801" spans="1:18" x14ac:dyDescent="0.25">
      <c r="A7801">
        <v>6800</v>
      </c>
      <c r="B7801">
        <v>94</v>
      </c>
      <c r="C7801" t="e">
        <f>-IovsMi0FM5PAsVToAJhNk</f>
        <v>#NAME?</v>
      </c>
      <c r="D7801" t="s">
        <v>272</v>
      </c>
      <c r="E7801">
        <v>368.82900000000001</v>
      </c>
      <c r="F7801" t="s">
        <v>21</v>
      </c>
      <c r="G7801" t="s">
        <v>26</v>
      </c>
      <c r="H7801" t="s">
        <v>21</v>
      </c>
      <c r="I7801" t="s">
        <v>20</v>
      </c>
      <c r="J7801" t="s">
        <v>20</v>
      </c>
      <c r="K7801" t="s">
        <v>31</v>
      </c>
      <c r="L7801" t="s">
        <v>69</v>
      </c>
      <c r="M7801" t="s">
        <v>49</v>
      </c>
      <c r="N7801">
        <v>40.617807999999997</v>
      </c>
      <c r="O7801">
        <v>-111.89062800000001</v>
      </c>
      <c r="P7801">
        <v>4329.1094489999996</v>
      </c>
      <c r="Q7801">
        <v>1384</v>
      </c>
      <c r="R7801">
        <v>0</v>
      </c>
    </row>
    <row r="7802" spans="1:18" x14ac:dyDescent="0.25">
      <c r="A7802">
        <v>6801</v>
      </c>
      <c r="B7802">
        <v>94</v>
      </c>
      <c r="C7802" t="e">
        <f>-IovscZtHAamuR3bFasaSF</f>
        <v>#NAME?</v>
      </c>
      <c r="D7802" t="s">
        <v>272</v>
      </c>
      <c r="E7802">
        <v>368.94499999999999</v>
      </c>
      <c r="F7802" t="s">
        <v>21</v>
      </c>
      <c r="G7802" t="s">
        <v>26</v>
      </c>
      <c r="H7802" t="s">
        <v>21</v>
      </c>
      <c r="I7802" t="s">
        <v>20</v>
      </c>
      <c r="J7802" t="s">
        <v>20</v>
      </c>
      <c r="K7802" t="s">
        <v>31</v>
      </c>
      <c r="L7802" t="s">
        <v>69</v>
      </c>
      <c r="M7802" t="s">
        <v>49</v>
      </c>
      <c r="N7802">
        <v>40.619508000000003</v>
      </c>
      <c r="O7802">
        <v>-111.89057699999999</v>
      </c>
      <c r="P7802">
        <v>4326.4079000000002</v>
      </c>
      <c r="Q7802">
        <v>1384</v>
      </c>
      <c r="R7802">
        <v>0</v>
      </c>
    </row>
    <row r="7803" spans="1:18" x14ac:dyDescent="0.25">
      <c r="A7803">
        <v>6802</v>
      </c>
      <c r="B7803">
        <v>94</v>
      </c>
      <c r="C7803" t="e">
        <f>-Iovt93pHvmUVhm9lS3lNF</f>
        <v>#NAME?</v>
      </c>
      <c r="D7803" t="s">
        <v>272</v>
      </c>
      <c r="E7803">
        <v>369.036</v>
      </c>
      <c r="F7803" t="s">
        <v>19</v>
      </c>
      <c r="G7803" t="s">
        <v>20</v>
      </c>
      <c r="H7803" t="s">
        <v>19</v>
      </c>
      <c r="I7803">
        <v>48</v>
      </c>
      <c r="J7803" t="s">
        <v>20</v>
      </c>
      <c r="K7803" t="s">
        <v>31</v>
      </c>
      <c r="L7803" t="s">
        <v>69</v>
      </c>
      <c r="M7803" t="s">
        <v>49</v>
      </c>
      <c r="N7803">
        <v>40.620812999999998</v>
      </c>
      <c r="O7803">
        <v>-111.89058</v>
      </c>
      <c r="P7803">
        <v>4324.000027</v>
      </c>
      <c r="Q7803">
        <v>1384</v>
      </c>
      <c r="R7803">
        <v>0</v>
      </c>
    </row>
    <row r="7804" spans="1:18" x14ac:dyDescent="0.25">
      <c r="A7804">
        <v>6803</v>
      </c>
      <c r="B7804">
        <v>94</v>
      </c>
      <c r="C7804" t="s">
        <v>905</v>
      </c>
      <c r="D7804" t="s">
        <v>272</v>
      </c>
      <c r="E7804">
        <v>369.13200000000001</v>
      </c>
      <c r="F7804" t="s">
        <v>21</v>
      </c>
      <c r="G7804" t="s">
        <v>26</v>
      </c>
      <c r="H7804" t="s">
        <v>21</v>
      </c>
      <c r="I7804" t="s">
        <v>20</v>
      </c>
      <c r="J7804" t="s">
        <v>20</v>
      </c>
      <c r="K7804" t="s">
        <v>31</v>
      </c>
      <c r="L7804" t="s">
        <v>69</v>
      </c>
      <c r="M7804" t="s">
        <v>49</v>
      </c>
      <c r="N7804">
        <v>40.622204000000004</v>
      </c>
      <c r="O7804">
        <v>-111.890449</v>
      </c>
      <c r="P7804">
        <v>4320.7820339999998</v>
      </c>
      <c r="Q7804">
        <v>1384</v>
      </c>
      <c r="R7804">
        <v>0</v>
      </c>
    </row>
    <row r="7805" spans="1:18" x14ac:dyDescent="0.25">
      <c r="A7805">
        <v>6804</v>
      </c>
      <c r="B7805">
        <v>94</v>
      </c>
      <c r="C7805">
        <v>27948872</v>
      </c>
      <c r="D7805" t="s">
        <v>265</v>
      </c>
      <c r="E7805">
        <v>4.53</v>
      </c>
      <c r="F7805" t="s">
        <v>21</v>
      </c>
      <c r="G7805" t="s">
        <v>26</v>
      </c>
      <c r="H7805" t="s">
        <v>21</v>
      </c>
      <c r="I7805" t="s">
        <v>20</v>
      </c>
      <c r="J7805" t="s">
        <v>20</v>
      </c>
      <c r="K7805" t="s">
        <v>27</v>
      </c>
      <c r="L7805" t="s">
        <v>266</v>
      </c>
      <c r="M7805" t="s">
        <v>267</v>
      </c>
      <c r="N7805">
        <v>38.458818999999998</v>
      </c>
      <c r="O7805">
        <v>-111.615764</v>
      </c>
      <c r="P7805">
        <v>7158.9127410000001</v>
      </c>
      <c r="Q7805">
        <v>1371</v>
      </c>
      <c r="R7805">
        <v>0</v>
      </c>
    </row>
    <row r="7806" spans="1:18" x14ac:dyDescent="0.25">
      <c r="A7806">
        <v>6805</v>
      </c>
      <c r="B7806">
        <v>94</v>
      </c>
      <c r="C7806">
        <v>31911748</v>
      </c>
      <c r="D7806" t="s">
        <v>272</v>
      </c>
      <c r="E7806">
        <v>131.405</v>
      </c>
      <c r="F7806" t="s">
        <v>21</v>
      </c>
      <c r="G7806" t="s">
        <v>26</v>
      </c>
      <c r="H7806" t="s">
        <v>21</v>
      </c>
      <c r="I7806" t="s">
        <v>20</v>
      </c>
      <c r="J7806" t="s">
        <v>20</v>
      </c>
      <c r="K7806" t="s">
        <v>27</v>
      </c>
      <c r="L7806" t="s">
        <v>247</v>
      </c>
      <c r="M7806" t="s">
        <v>214</v>
      </c>
      <c r="N7806">
        <v>37.827361000000003</v>
      </c>
      <c r="O7806">
        <v>-112.435711</v>
      </c>
      <c r="P7806">
        <v>6542.876679</v>
      </c>
      <c r="Q7806">
        <v>1384</v>
      </c>
      <c r="R7806">
        <v>0</v>
      </c>
    </row>
    <row r="7807" spans="1:18" x14ac:dyDescent="0.25">
      <c r="A7807">
        <v>6806</v>
      </c>
      <c r="B7807">
        <v>94</v>
      </c>
      <c r="C7807">
        <v>31912209</v>
      </c>
      <c r="D7807" t="s">
        <v>272</v>
      </c>
      <c r="E7807">
        <v>131.511</v>
      </c>
      <c r="F7807" t="s">
        <v>21</v>
      </c>
      <c r="G7807" t="s">
        <v>26</v>
      </c>
      <c r="H7807" t="s">
        <v>21</v>
      </c>
      <c r="I7807" t="s">
        <v>20</v>
      </c>
      <c r="J7807" t="s">
        <v>20</v>
      </c>
      <c r="K7807" t="s">
        <v>27</v>
      </c>
      <c r="L7807" t="s">
        <v>247</v>
      </c>
      <c r="M7807" t="s">
        <v>214</v>
      </c>
      <c r="N7807">
        <v>37.828896999999998</v>
      </c>
      <c r="O7807">
        <v>-112.435728</v>
      </c>
      <c r="P7807">
        <v>6535.8971110000002</v>
      </c>
      <c r="Q7807">
        <v>1384</v>
      </c>
      <c r="R7807">
        <v>0</v>
      </c>
    </row>
    <row r="7808" spans="1:18" x14ac:dyDescent="0.25">
      <c r="A7808">
        <v>6807</v>
      </c>
      <c r="B7808">
        <v>94</v>
      </c>
      <c r="C7808">
        <v>1135169</v>
      </c>
      <c r="D7808" t="s">
        <v>171</v>
      </c>
      <c r="E7808">
        <v>15.657</v>
      </c>
      <c r="F7808" t="s">
        <v>19</v>
      </c>
      <c r="G7808" t="s">
        <v>20</v>
      </c>
      <c r="H7808" t="s">
        <v>21</v>
      </c>
      <c r="I7808" t="s">
        <v>20</v>
      </c>
      <c r="J7808" t="s">
        <v>20</v>
      </c>
      <c r="K7808" t="s">
        <v>31</v>
      </c>
      <c r="L7808" t="s">
        <v>188</v>
      </c>
      <c r="M7808" t="s">
        <v>79</v>
      </c>
      <c r="N7808">
        <v>40.699848000000003</v>
      </c>
      <c r="O7808">
        <v>-111.794669</v>
      </c>
      <c r="P7808">
        <v>4898.0493230000002</v>
      </c>
      <c r="Q7808">
        <v>346</v>
      </c>
      <c r="R7808">
        <v>0</v>
      </c>
    </row>
    <row r="7809" spans="1:18" x14ac:dyDescent="0.25">
      <c r="A7809">
        <v>6808</v>
      </c>
      <c r="B7809">
        <v>94</v>
      </c>
      <c r="C7809">
        <v>31522628</v>
      </c>
      <c r="D7809" t="s">
        <v>309</v>
      </c>
      <c r="E7809">
        <v>15.657</v>
      </c>
      <c r="F7809" t="s">
        <v>21</v>
      </c>
      <c r="G7809" t="s">
        <v>26</v>
      </c>
      <c r="H7809" t="s">
        <v>21</v>
      </c>
      <c r="I7809" t="s">
        <v>20</v>
      </c>
      <c r="J7809" t="s">
        <v>20</v>
      </c>
      <c r="K7809" t="s">
        <v>22</v>
      </c>
      <c r="L7809" t="s">
        <v>140</v>
      </c>
      <c r="M7809" t="s">
        <v>125</v>
      </c>
      <c r="N7809">
        <v>40.115724999999998</v>
      </c>
      <c r="O7809">
        <v>-111.588121</v>
      </c>
      <c r="P7809">
        <v>4655.9257660000003</v>
      </c>
      <c r="Q7809">
        <v>339</v>
      </c>
      <c r="R7809">
        <v>0</v>
      </c>
    </row>
    <row r="7810" spans="1:18" x14ac:dyDescent="0.25">
      <c r="A7810">
        <v>6809</v>
      </c>
      <c r="B7810">
        <v>94</v>
      </c>
      <c r="C7810">
        <v>28154559</v>
      </c>
      <c r="D7810" t="s">
        <v>239</v>
      </c>
      <c r="E7810">
        <v>15.67</v>
      </c>
      <c r="F7810" t="s">
        <v>21</v>
      </c>
      <c r="G7810" t="s">
        <v>26</v>
      </c>
      <c r="H7810" t="s">
        <v>21</v>
      </c>
      <c r="I7810" t="s">
        <v>20</v>
      </c>
      <c r="J7810" t="s">
        <v>20</v>
      </c>
      <c r="K7810" t="s">
        <v>41</v>
      </c>
      <c r="L7810" t="s">
        <v>181</v>
      </c>
      <c r="M7810" t="s">
        <v>178</v>
      </c>
      <c r="N7810">
        <v>41.711415000000002</v>
      </c>
      <c r="O7810">
        <v>-112.177651</v>
      </c>
      <c r="P7810">
        <v>4271.4901110000001</v>
      </c>
      <c r="Q7810">
        <v>1392</v>
      </c>
      <c r="R7810">
        <v>0</v>
      </c>
    </row>
    <row r="7811" spans="1:18" x14ac:dyDescent="0.25">
      <c r="A7811">
        <v>6810</v>
      </c>
      <c r="B7811">
        <v>94</v>
      </c>
      <c r="C7811">
        <v>31765749</v>
      </c>
      <c r="D7811" t="s">
        <v>346</v>
      </c>
      <c r="E7811">
        <v>15.672000000000001</v>
      </c>
      <c r="F7811" t="s">
        <v>21</v>
      </c>
      <c r="G7811" t="s">
        <v>20</v>
      </c>
      <c r="H7811" t="s">
        <v>21</v>
      </c>
      <c r="I7811" t="s">
        <v>20</v>
      </c>
      <c r="J7811" t="s">
        <v>20</v>
      </c>
      <c r="K7811" t="s">
        <v>27</v>
      </c>
      <c r="L7811" t="s">
        <v>307</v>
      </c>
      <c r="M7811" t="s">
        <v>159</v>
      </c>
      <c r="N7811">
        <v>39.838149000000001</v>
      </c>
      <c r="O7811">
        <v>-111.129414</v>
      </c>
      <c r="P7811">
        <v>7797.6166469999998</v>
      </c>
      <c r="Q7811">
        <v>1389</v>
      </c>
      <c r="R7811">
        <v>0</v>
      </c>
    </row>
    <row r="7812" spans="1:18" x14ac:dyDescent="0.25">
      <c r="A7812">
        <v>6811</v>
      </c>
      <c r="B7812">
        <v>94</v>
      </c>
      <c r="C7812">
        <v>31587416</v>
      </c>
      <c r="D7812" t="s">
        <v>409</v>
      </c>
      <c r="E7812">
        <v>15.682</v>
      </c>
      <c r="F7812" t="s">
        <v>21</v>
      </c>
      <c r="G7812" t="s">
        <v>20</v>
      </c>
      <c r="H7812" t="s">
        <v>21</v>
      </c>
      <c r="I7812" t="s">
        <v>20</v>
      </c>
      <c r="J7812" t="s">
        <v>20</v>
      </c>
      <c r="K7812" t="s">
        <v>27</v>
      </c>
      <c r="L7812" t="s">
        <v>247</v>
      </c>
      <c r="M7812" t="s">
        <v>117</v>
      </c>
      <c r="N7812">
        <v>37.981140000000003</v>
      </c>
      <c r="O7812">
        <v>-112.486011</v>
      </c>
      <c r="P7812">
        <v>6858.7326810000004</v>
      </c>
      <c r="Q7812">
        <v>1337</v>
      </c>
      <c r="R7812">
        <v>0</v>
      </c>
    </row>
    <row r="7813" spans="1:18" x14ac:dyDescent="0.25">
      <c r="A7813">
        <v>6812</v>
      </c>
      <c r="B7813">
        <v>94</v>
      </c>
      <c r="C7813">
        <v>31470812</v>
      </c>
      <c r="D7813" t="s">
        <v>303</v>
      </c>
      <c r="E7813">
        <v>15.69</v>
      </c>
      <c r="F7813" t="s">
        <v>21</v>
      </c>
      <c r="G7813" t="s">
        <v>20</v>
      </c>
      <c r="H7813" t="s">
        <v>21</v>
      </c>
      <c r="I7813" t="s">
        <v>20</v>
      </c>
      <c r="J7813" t="s">
        <v>20</v>
      </c>
      <c r="K7813" t="s">
        <v>27</v>
      </c>
      <c r="L7813" t="s">
        <v>72</v>
      </c>
      <c r="M7813" t="s">
        <v>73</v>
      </c>
      <c r="N7813">
        <v>37.210185000000003</v>
      </c>
      <c r="O7813">
        <v>-113.240234</v>
      </c>
      <c r="P7813">
        <v>3578.2330449999999</v>
      </c>
      <c r="Q7813">
        <v>1326</v>
      </c>
      <c r="R7813">
        <v>0</v>
      </c>
    </row>
    <row r="7814" spans="1:18" x14ac:dyDescent="0.25">
      <c r="A7814">
        <v>6813</v>
      </c>
      <c r="B7814">
        <v>94</v>
      </c>
      <c r="C7814">
        <v>31639590</v>
      </c>
      <c r="D7814" t="s">
        <v>233</v>
      </c>
      <c r="E7814">
        <v>15.707000000000001</v>
      </c>
      <c r="F7814" t="s">
        <v>21</v>
      </c>
      <c r="G7814" t="s">
        <v>20</v>
      </c>
      <c r="H7814" t="s">
        <v>21</v>
      </c>
      <c r="I7814" t="s">
        <v>20</v>
      </c>
      <c r="J7814" t="s">
        <v>20</v>
      </c>
      <c r="K7814" t="s">
        <v>22</v>
      </c>
      <c r="L7814" t="s">
        <v>234</v>
      </c>
      <c r="M7814" t="s">
        <v>235</v>
      </c>
      <c r="N7814">
        <v>40.142465999999999</v>
      </c>
      <c r="O7814">
        <v>-109.28157400000001</v>
      </c>
      <c r="P7814">
        <v>5354.2206349999997</v>
      </c>
      <c r="Q7814">
        <v>1354</v>
      </c>
      <c r="R7814">
        <v>0</v>
      </c>
    </row>
    <row r="7815" spans="1:18" x14ac:dyDescent="0.25">
      <c r="A7815">
        <v>6814</v>
      </c>
      <c r="B7815">
        <v>94</v>
      </c>
      <c r="C7815">
        <v>8165554</v>
      </c>
      <c r="D7815" t="s">
        <v>88</v>
      </c>
      <c r="E7815">
        <v>15.708</v>
      </c>
      <c r="F7815" t="s">
        <v>19</v>
      </c>
      <c r="G7815" t="s">
        <v>20</v>
      </c>
      <c r="H7815" t="s">
        <v>19</v>
      </c>
      <c r="I7815">
        <v>152</v>
      </c>
      <c r="J7815" t="s">
        <v>20</v>
      </c>
      <c r="K7815" t="s">
        <v>31</v>
      </c>
      <c r="L7815" t="s">
        <v>32</v>
      </c>
      <c r="M7815" t="s">
        <v>90</v>
      </c>
      <c r="N7815">
        <v>40.665705000000003</v>
      </c>
      <c r="O7815">
        <v>-111.864851</v>
      </c>
      <c r="P7815">
        <v>4241.3307359999999</v>
      </c>
      <c r="Q7815">
        <v>318</v>
      </c>
      <c r="R7815">
        <v>0</v>
      </c>
    </row>
    <row r="7816" spans="1:18" x14ac:dyDescent="0.25">
      <c r="A7816">
        <v>6815</v>
      </c>
      <c r="B7816">
        <v>94</v>
      </c>
      <c r="C7816">
        <v>31508564</v>
      </c>
      <c r="D7816" t="s">
        <v>224</v>
      </c>
      <c r="E7816">
        <v>15.711</v>
      </c>
      <c r="F7816" t="s">
        <v>19</v>
      </c>
      <c r="G7816" t="s">
        <v>20</v>
      </c>
      <c r="H7816" t="s">
        <v>19</v>
      </c>
      <c r="I7816">
        <v>6</v>
      </c>
      <c r="J7816" t="s">
        <v>20</v>
      </c>
      <c r="K7816" t="s">
        <v>22</v>
      </c>
      <c r="L7816" t="s">
        <v>140</v>
      </c>
      <c r="M7816" t="s">
        <v>194</v>
      </c>
      <c r="N7816">
        <v>40.090240999999999</v>
      </c>
      <c r="O7816">
        <v>-111.595505</v>
      </c>
      <c r="P7816">
        <v>4717.3718580000004</v>
      </c>
      <c r="Q7816">
        <v>408</v>
      </c>
      <c r="R7816">
        <v>0</v>
      </c>
    </row>
    <row r="7817" spans="1:18" x14ac:dyDescent="0.25">
      <c r="A7817">
        <v>6816</v>
      </c>
      <c r="B7817">
        <v>94</v>
      </c>
      <c r="C7817">
        <v>31407000</v>
      </c>
      <c r="D7817" t="s">
        <v>63</v>
      </c>
      <c r="E7817">
        <v>15.715999999999999</v>
      </c>
      <c r="F7817" t="s">
        <v>21</v>
      </c>
      <c r="G7817" t="s">
        <v>26</v>
      </c>
      <c r="H7817" t="s">
        <v>21</v>
      </c>
      <c r="I7817" t="s">
        <v>20</v>
      </c>
      <c r="J7817" t="s">
        <v>20</v>
      </c>
      <c r="K7817" t="s">
        <v>27</v>
      </c>
      <c r="L7817" t="s">
        <v>64</v>
      </c>
      <c r="M7817" t="s">
        <v>29</v>
      </c>
      <c r="N7817">
        <v>38.210529000000001</v>
      </c>
      <c r="O7817">
        <v>-112.00393</v>
      </c>
      <c r="P7817">
        <v>6441.4948100000001</v>
      </c>
      <c r="Q7817">
        <v>1365</v>
      </c>
      <c r="R7817">
        <v>0</v>
      </c>
    </row>
    <row r="7818" spans="1:18" x14ac:dyDescent="0.25">
      <c r="A7818">
        <v>6817</v>
      </c>
      <c r="B7818">
        <v>94</v>
      </c>
      <c r="C7818">
        <v>31496128</v>
      </c>
      <c r="D7818" t="s">
        <v>129</v>
      </c>
      <c r="E7818">
        <v>15.731999999999999</v>
      </c>
      <c r="F7818" t="s">
        <v>21</v>
      </c>
      <c r="G7818" t="s">
        <v>26</v>
      </c>
      <c r="H7818" t="s">
        <v>21</v>
      </c>
      <c r="I7818" t="s">
        <v>20</v>
      </c>
      <c r="J7818" t="s">
        <v>20</v>
      </c>
      <c r="K7818" t="s">
        <v>31</v>
      </c>
      <c r="L7818" t="s">
        <v>130</v>
      </c>
      <c r="M7818" t="s">
        <v>131</v>
      </c>
      <c r="N7818">
        <v>40.579113</v>
      </c>
      <c r="O7818">
        <v>-111.02842699999999</v>
      </c>
      <c r="P7818">
        <v>7846.3762980000001</v>
      </c>
      <c r="Q7818">
        <v>340</v>
      </c>
      <c r="R7818">
        <v>0</v>
      </c>
    </row>
    <row r="7819" spans="1:18" x14ac:dyDescent="0.25">
      <c r="A7819">
        <v>6818</v>
      </c>
      <c r="B7819">
        <v>94</v>
      </c>
      <c r="C7819">
        <v>31742899</v>
      </c>
      <c r="D7819" t="s">
        <v>336</v>
      </c>
      <c r="E7819">
        <v>15.737</v>
      </c>
      <c r="F7819" t="s">
        <v>21</v>
      </c>
      <c r="G7819" t="s">
        <v>26</v>
      </c>
      <c r="H7819" t="s">
        <v>21</v>
      </c>
      <c r="I7819" t="s">
        <v>20</v>
      </c>
      <c r="J7819" t="s">
        <v>20</v>
      </c>
      <c r="K7819" t="s">
        <v>31</v>
      </c>
      <c r="L7819" t="s">
        <v>32</v>
      </c>
      <c r="M7819" t="s">
        <v>33</v>
      </c>
      <c r="N7819">
        <v>40.607830999999997</v>
      </c>
      <c r="O7819">
        <v>-111.579784</v>
      </c>
      <c r="P7819">
        <v>8574.3365259999991</v>
      </c>
      <c r="Q7819">
        <v>404</v>
      </c>
      <c r="R7819">
        <v>0</v>
      </c>
    </row>
    <row r="7820" spans="1:18" x14ac:dyDescent="0.25">
      <c r="A7820">
        <v>6819</v>
      </c>
      <c r="B7820">
        <v>94</v>
      </c>
      <c r="C7820">
        <v>28154570</v>
      </c>
      <c r="D7820" t="s">
        <v>239</v>
      </c>
      <c r="E7820">
        <v>15.749000000000001</v>
      </c>
      <c r="F7820" t="s">
        <v>21</v>
      </c>
      <c r="G7820" t="s">
        <v>26</v>
      </c>
      <c r="H7820" t="s">
        <v>21</v>
      </c>
      <c r="I7820" t="s">
        <v>20</v>
      </c>
      <c r="J7820" t="s">
        <v>20</v>
      </c>
      <c r="K7820" t="s">
        <v>41</v>
      </c>
      <c r="L7820" t="s">
        <v>181</v>
      </c>
      <c r="M7820" t="s">
        <v>178</v>
      </c>
      <c r="N7820">
        <v>41.711461</v>
      </c>
      <c r="O7820">
        <v>-112.176109</v>
      </c>
      <c r="P7820">
        <v>4271.1177120000002</v>
      </c>
      <c r="Q7820">
        <v>1392</v>
      </c>
      <c r="R7820">
        <v>0</v>
      </c>
    </row>
    <row r="7821" spans="1:18" x14ac:dyDescent="0.25">
      <c r="A7821">
        <v>6820</v>
      </c>
      <c r="B7821">
        <v>94</v>
      </c>
      <c r="C7821">
        <v>31752891</v>
      </c>
      <c r="D7821" t="s">
        <v>231</v>
      </c>
      <c r="E7821">
        <v>15.756</v>
      </c>
      <c r="F7821" t="s">
        <v>21</v>
      </c>
      <c r="G7821" t="s">
        <v>26</v>
      </c>
      <c r="H7821" t="s">
        <v>21</v>
      </c>
      <c r="I7821" t="s">
        <v>20</v>
      </c>
      <c r="J7821" t="s">
        <v>20</v>
      </c>
      <c r="K7821" t="s">
        <v>41</v>
      </c>
      <c r="L7821" t="s">
        <v>57</v>
      </c>
      <c r="M7821" t="s">
        <v>93</v>
      </c>
      <c r="N7821">
        <v>41.263689999999997</v>
      </c>
      <c r="O7821">
        <v>-112.026568</v>
      </c>
      <c r="P7821">
        <v>4190.6362719999997</v>
      </c>
      <c r="Q7821">
        <v>1409</v>
      </c>
      <c r="R7821">
        <v>0</v>
      </c>
    </row>
    <row r="7822" spans="1:18" x14ac:dyDescent="0.25">
      <c r="A7822">
        <v>6821</v>
      </c>
      <c r="B7822">
        <v>94</v>
      </c>
      <c r="C7822">
        <v>27974604</v>
      </c>
      <c r="D7822" t="s">
        <v>265</v>
      </c>
      <c r="E7822">
        <v>15.779</v>
      </c>
      <c r="F7822" t="s">
        <v>21</v>
      </c>
      <c r="G7822" t="s">
        <v>20</v>
      </c>
      <c r="H7822" t="s">
        <v>21</v>
      </c>
      <c r="I7822" t="s">
        <v>20</v>
      </c>
      <c r="J7822" t="s">
        <v>20</v>
      </c>
      <c r="K7822" t="s">
        <v>27</v>
      </c>
      <c r="L7822" t="s">
        <v>266</v>
      </c>
      <c r="M7822" t="s">
        <v>267</v>
      </c>
      <c r="N7822">
        <v>38.569471999999998</v>
      </c>
      <c r="O7822">
        <v>-111.49955799999999</v>
      </c>
      <c r="P7822">
        <v>8702.893763</v>
      </c>
      <c r="Q7822">
        <v>1371</v>
      </c>
      <c r="R7822">
        <v>0</v>
      </c>
    </row>
    <row r="7823" spans="1:18" x14ac:dyDescent="0.25">
      <c r="A7823">
        <v>6822</v>
      </c>
      <c r="B7823">
        <v>94</v>
      </c>
      <c r="C7823">
        <v>31315423</v>
      </c>
      <c r="D7823" t="s">
        <v>347</v>
      </c>
      <c r="E7823">
        <v>14.314</v>
      </c>
      <c r="F7823" t="s">
        <v>21</v>
      </c>
      <c r="G7823" t="s">
        <v>26</v>
      </c>
      <c r="H7823" t="s">
        <v>21</v>
      </c>
      <c r="I7823" t="s">
        <v>20</v>
      </c>
      <c r="J7823" t="s">
        <v>20</v>
      </c>
      <c r="K7823" t="s">
        <v>41</v>
      </c>
      <c r="L7823" t="s">
        <v>325</v>
      </c>
      <c r="M7823" t="s">
        <v>204</v>
      </c>
      <c r="N7823">
        <v>41.576442</v>
      </c>
      <c r="O7823">
        <v>-111.16372200000001</v>
      </c>
      <c r="P7823">
        <v>6247.6989800000001</v>
      </c>
      <c r="Q7823">
        <v>1334</v>
      </c>
      <c r="R7823">
        <v>0</v>
      </c>
    </row>
    <row r="7824" spans="1:18" x14ac:dyDescent="0.25">
      <c r="A7824">
        <v>6823</v>
      </c>
      <c r="B7824">
        <v>94</v>
      </c>
      <c r="C7824">
        <v>31817600</v>
      </c>
      <c r="D7824" t="s">
        <v>61</v>
      </c>
      <c r="E7824">
        <v>14.329000000000001</v>
      </c>
      <c r="F7824" t="s">
        <v>21</v>
      </c>
      <c r="G7824" t="s">
        <v>26</v>
      </c>
      <c r="H7824" t="s">
        <v>21</v>
      </c>
      <c r="I7824" t="s">
        <v>20</v>
      </c>
      <c r="J7824" t="s">
        <v>20</v>
      </c>
      <c r="K7824" t="s">
        <v>22</v>
      </c>
      <c r="L7824" t="s">
        <v>60</v>
      </c>
      <c r="M7824" t="s">
        <v>62</v>
      </c>
      <c r="N7824">
        <v>40.365631999999998</v>
      </c>
      <c r="O7824">
        <v>-111.55564800000001</v>
      </c>
      <c r="P7824">
        <v>5175.9198889999998</v>
      </c>
      <c r="Q7824">
        <v>403</v>
      </c>
      <c r="R7824">
        <v>0</v>
      </c>
    </row>
    <row r="7825" spans="1:18" x14ac:dyDescent="0.25">
      <c r="A7825">
        <v>6824</v>
      </c>
      <c r="B7825">
        <v>94</v>
      </c>
      <c r="C7825" t="s">
        <v>906</v>
      </c>
      <c r="D7825" t="s">
        <v>239</v>
      </c>
      <c r="E7825">
        <v>14.334</v>
      </c>
      <c r="F7825" t="s">
        <v>21</v>
      </c>
      <c r="G7825" t="s">
        <v>26</v>
      </c>
      <c r="H7825" t="s">
        <v>21</v>
      </c>
      <c r="I7825" t="s">
        <v>20</v>
      </c>
      <c r="J7825" t="s">
        <v>20</v>
      </c>
      <c r="K7825" t="s">
        <v>41</v>
      </c>
      <c r="L7825" t="s">
        <v>181</v>
      </c>
      <c r="M7825" t="s">
        <v>178</v>
      </c>
      <c r="N7825">
        <v>41.710844000000002</v>
      </c>
      <c r="O7825">
        <v>-112.203425</v>
      </c>
      <c r="P7825">
        <v>4280.7599799999998</v>
      </c>
      <c r="Q7825">
        <v>1392</v>
      </c>
      <c r="R7825">
        <v>0</v>
      </c>
    </row>
    <row r="7826" spans="1:18" x14ac:dyDescent="0.25">
      <c r="A7826">
        <v>6825</v>
      </c>
      <c r="B7826">
        <v>94</v>
      </c>
      <c r="C7826">
        <v>31604885</v>
      </c>
      <c r="D7826" t="s">
        <v>50</v>
      </c>
      <c r="E7826">
        <v>14.335000000000001</v>
      </c>
      <c r="F7826" t="s">
        <v>21</v>
      </c>
      <c r="G7826" t="s">
        <v>26</v>
      </c>
      <c r="H7826" t="s">
        <v>21</v>
      </c>
      <c r="I7826" t="s">
        <v>20</v>
      </c>
      <c r="J7826" t="s">
        <v>20</v>
      </c>
      <c r="K7826" t="s">
        <v>27</v>
      </c>
      <c r="L7826" t="s">
        <v>51</v>
      </c>
      <c r="M7826" t="s">
        <v>52</v>
      </c>
      <c r="N7826">
        <v>37.706592999999998</v>
      </c>
      <c r="O7826">
        <v>-112.85050099999999</v>
      </c>
      <c r="P7826">
        <v>9509.5179150000004</v>
      </c>
      <c r="Q7826">
        <v>1418</v>
      </c>
      <c r="R7826">
        <v>0</v>
      </c>
    </row>
    <row r="7827" spans="1:18" x14ac:dyDescent="0.25">
      <c r="A7827">
        <v>6826</v>
      </c>
      <c r="B7827">
        <v>94</v>
      </c>
      <c r="C7827">
        <v>31504921</v>
      </c>
      <c r="D7827" t="s">
        <v>224</v>
      </c>
      <c r="E7827">
        <v>14.343999999999999</v>
      </c>
      <c r="F7827" t="s">
        <v>21</v>
      </c>
      <c r="G7827" t="s">
        <v>26</v>
      </c>
      <c r="H7827" t="s">
        <v>21</v>
      </c>
      <c r="I7827" t="s">
        <v>20</v>
      </c>
      <c r="J7827" t="s">
        <v>20</v>
      </c>
      <c r="K7827" t="s">
        <v>22</v>
      </c>
      <c r="L7827" t="s">
        <v>140</v>
      </c>
      <c r="M7827" t="s">
        <v>194</v>
      </c>
      <c r="N7827">
        <v>40.097036000000003</v>
      </c>
      <c r="O7827">
        <v>-111.61962</v>
      </c>
      <c r="P7827">
        <v>4678.4777020000001</v>
      </c>
      <c r="Q7827">
        <v>408</v>
      </c>
      <c r="R7827">
        <v>0</v>
      </c>
    </row>
    <row r="7828" spans="1:18" x14ac:dyDescent="0.25">
      <c r="A7828">
        <v>6827</v>
      </c>
      <c r="B7828">
        <v>94</v>
      </c>
      <c r="C7828">
        <v>27859590</v>
      </c>
      <c r="D7828" t="s">
        <v>136</v>
      </c>
      <c r="E7828">
        <v>14.346</v>
      </c>
      <c r="F7828" t="s">
        <v>21</v>
      </c>
      <c r="G7828" t="s">
        <v>26</v>
      </c>
      <c r="H7828" t="s">
        <v>21</v>
      </c>
      <c r="I7828" t="s">
        <v>20</v>
      </c>
      <c r="J7828" t="s">
        <v>20</v>
      </c>
      <c r="K7828" t="s">
        <v>41</v>
      </c>
      <c r="L7828" t="s">
        <v>137</v>
      </c>
      <c r="M7828" t="s">
        <v>138</v>
      </c>
      <c r="N7828">
        <v>41.041969999999999</v>
      </c>
      <c r="O7828">
        <v>-111.665646</v>
      </c>
      <c r="P7828">
        <v>5013.3013760000003</v>
      </c>
      <c r="Q7828">
        <v>317</v>
      </c>
      <c r="R7828">
        <v>0</v>
      </c>
    </row>
    <row r="7829" spans="1:18" x14ac:dyDescent="0.25">
      <c r="A7829">
        <v>6828</v>
      </c>
      <c r="B7829">
        <v>94</v>
      </c>
      <c r="C7829">
        <v>31870347</v>
      </c>
      <c r="D7829" t="s">
        <v>118</v>
      </c>
      <c r="E7829">
        <v>157.50299999999999</v>
      </c>
      <c r="F7829" t="s">
        <v>21</v>
      </c>
      <c r="G7829" t="s">
        <v>26</v>
      </c>
      <c r="H7829" t="s">
        <v>21</v>
      </c>
      <c r="I7829" t="s">
        <v>20</v>
      </c>
      <c r="J7829" t="s">
        <v>20</v>
      </c>
      <c r="K7829" t="s">
        <v>22</v>
      </c>
      <c r="L7829" t="s">
        <v>234</v>
      </c>
      <c r="M7829" t="s">
        <v>169</v>
      </c>
      <c r="N7829">
        <v>40.369798000000003</v>
      </c>
      <c r="O7829">
        <v>-109.338088</v>
      </c>
      <c r="P7829">
        <v>4689.1035279999996</v>
      </c>
      <c r="Q7829">
        <v>310</v>
      </c>
      <c r="R7829">
        <v>0</v>
      </c>
    </row>
    <row r="7830" spans="1:18" x14ac:dyDescent="0.25">
      <c r="A7830">
        <v>6829</v>
      </c>
      <c r="B7830">
        <v>94</v>
      </c>
      <c r="C7830">
        <v>31588256</v>
      </c>
      <c r="D7830" t="s">
        <v>213</v>
      </c>
      <c r="E7830">
        <v>157.54900000000001</v>
      </c>
      <c r="F7830" t="s">
        <v>21</v>
      </c>
      <c r="G7830" t="s">
        <v>26</v>
      </c>
      <c r="H7830" t="s">
        <v>21</v>
      </c>
      <c r="I7830" t="s">
        <v>20</v>
      </c>
      <c r="J7830" t="s">
        <v>20</v>
      </c>
      <c r="K7830" t="s">
        <v>22</v>
      </c>
      <c r="L7830" t="s">
        <v>198</v>
      </c>
      <c r="M7830" t="s">
        <v>214</v>
      </c>
      <c r="N7830">
        <v>39.983863999999997</v>
      </c>
      <c r="O7830">
        <v>-111.824093</v>
      </c>
      <c r="P7830">
        <v>4707.9414200000001</v>
      </c>
      <c r="Q7830">
        <v>1332</v>
      </c>
      <c r="R7830">
        <v>0</v>
      </c>
    </row>
    <row r="7831" spans="1:18" x14ac:dyDescent="0.25">
      <c r="A7831">
        <v>6830</v>
      </c>
      <c r="B7831">
        <v>94</v>
      </c>
      <c r="C7831" t="s">
        <v>907</v>
      </c>
      <c r="D7831" t="s">
        <v>272</v>
      </c>
      <c r="E7831">
        <v>157.55699999999999</v>
      </c>
      <c r="F7831" t="s">
        <v>21</v>
      </c>
      <c r="G7831" t="s">
        <v>26</v>
      </c>
      <c r="H7831" t="s">
        <v>21</v>
      </c>
      <c r="I7831" t="s">
        <v>20</v>
      </c>
      <c r="J7831" t="s">
        <v>20</v>
      </c>
      <c r="K7831" t="s">
        <v>27</v>
      </c>
      <c r="L7831" t="s">
        <v>64</v>
      </c>
      <c r="M7831" t="s">
        <v>214</v>
      </c>
      <c r="N7831">
        <v>38.164388000000002</v>
      </c>
      <c r="O7831">
        <v>-112.279562</v>
      </c>
      <c r="P7831">
        <v>6022.2638159999997</v>
      </c>
      <c r="Q7831">
        <v>1384</v>
      </c>
      <c r="R7831">
        <v>0</v>
      </c>
    </row>
    <row r="7832" spans="1:18" x14ac:dyDescent="0.25">
      <c r="A7832">
        <v>6831</v>
      </c>
      <c r="B7832">
        <v>94</v>
      </c>
      <c r="C7832">
        <v>31870558</v>
      </c>
      <c r="D7832" t="s">
        <v>118</v>
      </c>
      <c r="E7832">
        <v>157.57599999999999</v>
      </c>
      <c r="F7832" t="s">
        <v>21</v>
      </c>
      <c r="G7832" t="s">
        <v>20</v>
      </c>
      <c r="H7832" t="s">
        <v>21</v>
      </c>
      <c r="I7832" t="s">
        <v>20</v>
      </c>
      <c r="J7832" t="s">
        <v>20</v>
      </c>
      <c r="K7832" t="s">
        <v>22</v>
      </c>
      <c r="L7832" t="s">
        <v>234</v>
      </c>
      <c r="M7832" t="s">
        <v>169</v>
      </c>
      <c r="N7832">
        <v>40.369756000000002</v>
      </c>
      <c r="O7832">
        <v>-109.336707</v>
      </c>
      <c r="P7832">
        <v>4686.4750370000002</v>
      </c>
      <c r="Q7832">
        <v>310</v>
      </c>
      <c r="R7832">
        <v>0</v>
      </c>
    </row>
    <row r="7833" spans="1:18" x14ac:dyDescent="0.25">
      <c r="A7833">
        <v>6832</v>
      </c>
      <c r="B7833">
        <v>94</v>
      </c>
      <c r="C7833">
        <v>31428427</v>
      </c>
      <c r="D7833" t="s">
        <v>221</v>
      </c>
      <c r="E7833">
        <v>30.111000000000001</v>
      </c>
      <c r="F7833" t="s">
        <v>21</v>
      </c>
      <c r="G7833" t="s">
        <v>26</v>
      </c>
      <c r="H7833" t="s">
        <v>21</v>
      </c>
      <c r="I7833" t="s">
        <v>20</v>
      </c>
      <c r="J7833" t="s">
        <v>20</v>
      </c>
      <c r="K7833" t="s">
        <v>22</v>
      </c>
      <c r="L7833" t="s">
        <v>155</v>
      </c>
      <c r="M7833" t="s">
        <v>174</v>
      </c>
      <c r="N7833">
        <v>39.560087000000003</v>
      </c>
      <c r="O7833">
        <v>-111.861993</v>
      </c>
      <c r="P7833">
        <v>5258.3083280000001</v>
      </c>
      <c r="Q7833">
        <v>1342</v>
      </c>
      <c r="R7833">
        <v>0</v>
      </c>
    </row>
    <row r="7834" spans="1:18" x14ac:dyDescent="0.25">
      <c r="A7834">
        <v>6833</v>
      </c>
      <c r="B7834">
        <v>94</v>
      </c>
      <c r="C7834">
        <v>31428438</v>
      </c>
      <c r="D7834" t="s">
        <v>221</v>
      </c>
      <c r="E7834">
        <v>30.129000000000001</v>
      </c>
      <c r="F7834" t="s">
        <v>21</v>
      </c>
      <c r="G7834" t="s">
        <v>26</v>
      </c>
      <c r="H7834" t="s">
        <v>21</v>
      </c>
      <c r="I7834" t="s">
        <v>20</v>
      </c>
      <c r="J7834" t="s">
        <v>20</v>
      </c>
      <c r="K7834" t="s">
        <v>22</v>
      </c>
      <c r="L7834" t="s">
        <v>155</v>
      </c>
      <c r="M7834" t="s">
        <v>174</v>
      </c>
      <c r="N7834">
        <v>39.560339999999997</v>
      </c>
      <c r="O7834">
        <v>-111.86193</v>
      </c>
      <c r="P7834">
        <v>5258.4303639999998</v>
      </c>
      <c r="Q7834">
        <v>1342</v>
      </c>
      <c r="R7834">
        <v>0</v>
      </c>
    </row>
    <row r="7835" spans="1:18" x14ac:dyDescent="0.25">
      <c r="A7835">
        <v>6834</v>
      </c>
      <c r="B7835">
        <v>94</v>
      </c>
      <c r="C7835">
        <v>31332013</v>
      </c>
      <c r="D7835" t="s">
        <v>303</v>
      </c>
      <c r="E7835">
        <v>30.132000000000001</v>
      </c>
      <c r="F7835" t="s">
        <v>21</v>
      </c>
      <c r="G7835" t="s">
        <v>20</v>
      </c>
      <c r="H7835" t="s">
        <v>21</v>
      </c>
      <c r="I7835" t="s">
        <v>20</v>
      </c>
      <c r="J7835" t="s">
        <v>20</v>
      </c>
      <c r="K7835" t="s">
        <v>27</v>
      </c>
      <c r="L7835" t="s">
        <v>72</v>
      </c>
      <c r="M7835" t="s">
        <v>73</v>
      </c>
      <c r="N7835">
        <v>37.171396000000001</v>
      </c>
      <c r="O7835">
        <v>-113.013423</v>
      </c>
      <c r="P7835">
        <v>3740.4202930000001</v>
      </c>
      <c r="Q7835">
        <v>1326</v>
      </c>
      <c r="R7835">
        <v>0</v>
      </c>
    </row>
    <row r="7836" spans="1:18" x14ac:dyDescent="0.25">
      <c r="A7836">
        <v>6835</v>
      </c>
      <c r="B7836">
        <v>94</v>
      </c>
      <c r="C7836" t="e">
        <f>-IoXaxpqGlTTHCnQ_YfoWF</f>
        <v>#NAME?</v>
      </c>
      <c r="D7836" t="s">
        <v>272</v>
      </c>
      <c r="E7836">
        <v>341.52600000000001</v>
      </c>
      <c r="F7836" t="s">
        <v>21</v>
      </c>
      <c r="G7836" t="s">
        <v>26</v>
      </c>
      <c r="H7836" t="s">
        <v>21</v>
      </c>
      <c r="I7836" t="s">
        <v>20</v>
      </c>
      <c r="J7836" t="s">
        <v>20</v>
      </c>
      <c r="K7836" t="s">
        <v>22</v>
      </c>
      <c r="L7836" t="s">
        <v>23</v>
      </c>
      <c r="M7836" t="s">
        <v>125</v>
      </c>
      <c r="N7836">
        <v>40.322909000000003</v>
      </c>
      <c r="O7836">
        <v>-111.70631400000001</v>
      </c>
      <c r="P7836">
        <v>4705.933215</v>
      </c>
      <c r="Q7836">
        <v>1384</v>
      </c>
      <c r="R7836">
        <v>0</v>
      </c>
    </row>
    <row r="7837" spans="1:18" x14ac:dyDescent="0.25">
      <c r="A7837">
        <v>6836</v>
      </c>
      <c r="B7837">
        <v>94</v>
      </c>
      <c r="C7837" t="e">
        <f>-IoXbsNkIfm5NBEqN4j7kV</f>
        <v>#NAME?</v>
      </c>
      <c r="D7837" t="s">
        <v>272</v>
      </c>
      <c r="E7837">
        <v>341.654</v>
      </c>
      <c r="F7837" t="s">
        <v>21</v>
      </c>
      <c r="G7837" t="s">
        <v>26</v>
      </c>
      <c r="H7837" t="s">
        <v>21</v>
      </c>
      <c r="I7837" t="s">
        <v>20</v>
      </c>
      <c r="J7837" t="s">
        <v>20</v>
      </c>
      <c r="K7837" t="s">
        <v>22</v>
      </c>
      <c r="L7837" t="s">
        <v>23</v>
      </c>
      <c r="M7837" t="s">
        <v>125</v>
      </c>
      <c r="N7837">
        <v>40.324646999999999</v>
      </c>
      <c r="O7837">
        <v>-111.707075</v>
      </c>
      <c r="P7837">
        <v>4703.8508659999998</v>
      </c>
      <c r="Q7837">
        <v>1384</v>
      </c>
      <c r="R7837">
        <v>0</v>
      </c>
    </row>
    <row r="7838" spans="1:18" x14ac:dyDescent="0.25">
      <c r="A7838">
        <v>6837</v>
      </c>
      <c r="B7838">
        <v>94</v>
      </c>
      <c r="C7838" t="e">
        <f>-IoXcQ-yGg5s6fSc3k4ZpF</f>
        <v>#NAME?</v>
      </c>
      <c r="D7838" t="s">
        <v>272</v>
      </c>
      <c r="E7838">
        <v>341.68400000000003</v>
      </c>
      <c r="F7838" t="s">
        <v>21</v>
      </c>
      <c r="G7838" t="s">
        <v>26</v>
      </c>
      <c r="H7838" t="s">
        <v>21</v>
      </c>
      <c r="I7838" t="s">
        <v>20</v>
      </c>
      <c r="J7838" t="s">
        <v>20</v>
      </c>
      <c r="K7838" t="s">
        <v>22</v>
      </c>
      <c r="L7838" t="s">
        <v>23</v>
      </c>
      <c r="M7838" t="s">
        <v>125</v>
      </c>
      <c r="N7838">
        <v>40.325051000000002</v>
      </c>
      <c r="O7838">
        <v>-111.707251</v>
      </c>
      <c r="P7838">
        <v>4703.1987779999999</v>
      </c>
      <c r="Q7838">
        <v>1384</v>
      </c>
      <c r="R7838">
        <v>0</v>
      </c>
    </row>
    <row r="7839" spans="1:18" x14ac:dyDescent="0.25">
      <c r="A7839">
        <v>6838</v>
      </c>
      <c r="B7839">
        <v>94</v>
      </c>
      <c r="C7839" t="s">
        <v>908</v>
      </c>
      <c r="D7839" t="s">
        <v>272</v>
      </c>
      <c r="E7839">
        <v>341.70600000000002</v>
      </c>
      <c r="F7839" t="s">
        <v>21</v>
      </c>
      <c r="G7839" t="s">
        <v>20</v>
      </c>
      <c r="H7839" t="s">
        <v>21</v>
      </c>
      <c r="I7839" t="s">
        <v>20</v>
      </c>
      <c r="J7839" t="s">
        <v>20</v>
      </c>
      <c r="K7839" t="s">
        <v>22</v>
      </c>
      <c r="L7839" t="s">
        <v>23</v>
      </c>
      <c r="M7839" t="s">
        <v>125</v>
      </c>
      <c r="N7839">
        <v>40.325347999999998</v>
      </c>
      <c r="O7839">
        <v>-111.70738299999999</v>
      </c>
      <c r="P7839">
        <v>4702.4716619999999</v>
      </c>
      <c r="Q7839">
        <v>1384</v>
      </c>
      <c r="R7839">
        <v>0</v>
      </c>
    </row>
    <row r="7840" spans="1:18" x14ac:dyDescent="0.25">
      <c r="A7840">
        <v>6839</v>
      </c>
      <c r="B7840">
        <v>94</v>
      </c>
      <c r="C7840" t="e">
        <f>-IoXdHAHHPmETTgyysg5hF</f>
        <v>#NAME?</v>
      </c>
      <c r="D7840" t="s">
        <v>272</v>
      </c>
      <c r="E7840">
        <v>341.79199999999997</v>
      </c>
      <c r="F7840" t="s">
        <v>19</v>
      </c>
      <c r="G7840" t="s">
        <v>20</v>
      </c>
      <c r="H7840" t="s">
        <v>21</v>
      </c>
      <c r="I7840" t="s">
        <v>20</v>
      </c>
      <c r="J7840" t="s">
        <v>20</v>
      </c>
      <c r="K7840" t="s">
        <v>22</v>
      </c>
      <c r="L7840" t="s">
        <v>23</v>
      </c>
      <c r="M7840" t="s">
        <v>125</v>
      </c>
      <c r="N7840">
        <v>40.326521</v>
      </c>
      <c r="O7840">
        <v>-111.70786699999999</v>
      </c>
      <c r="P7840">
        <v>4701.1598279999998</v>
      </c>
      <c r="Q7840">
        <v>1384</v>
      </c>
      <c r="R7840">
        <v>0</v>
      </c>
    </row>
    <row r="7841" spans="1:18" x14ac:dyDescent="0.25">
      <c r="A7841">
        <v>6840</v>
      </c>
      <c r="B7841">
        <v>94</v>
      </c>
      <c r="C7841" t="e">
        <f>-Ip-scXlHK1r0lbTgN2r3k</f>
        <v>#NAME?</v>
      </c>
      <c r="D7841" t="s">
        <v>272</v>
      </c>
      <c r="E7841">
        <v>373.32499999999999</v>
      </c>
      <c r="F7841" t="s">
        <v>21</v>
      </c>
      <c r="G7841" t="s">
        <v>26</v>
      </c>
      <c r="H7841" t="s">
        <v>21</v>
      </c>
      <c r="I7841" t="s">
        <v>20</v>
      </c>
      <c r="J7841" t="s">
        <v>20</v>
      </c>
      <c r="K7841" t="s">
        <v>31</v>
      </c>
      <c r="L7841" t="s">
        <v>69</v>
      </c>
      <c r="M7841" t="s">
        <v>49</v>
      </c>
      <c r="N7841">
        <v>40.683159000000003</v>
      </c>
      <c r="O7841">
        <v>-111.88830400000001</v>
      </c>
      <c r="P7841">
        <v>4207.5103310000004</v>
      </c>
      <c r="Q7841">
        <v>1384</v>
      </c>
      <c r="R7841">
        <v>0</v>
      </c>
    </row>
    <row r="7842" spans="1:18" x14ac:dyDescent="0.25">
      <c r="A7842">
        <v>6841</v>
      </c>
      <c r="B7842">
        <v>94</v>
      </c>
      <c r="C7842" t="e">
        <f>-Ip-tBYAIIevJxZEmEHc2k</f>
        <v>#NAME?</v>
      </c>
      <c r="D7842" t="s">
        <v>272</v>
      </c>
      <c r="E7842">
        <v>373.35599999999999</v>
      </c>
      <c r="F7842" t="s">
        <v>21</v>
      </c>
      <c r="G7842" t="s">
        <v>26</v>
      </c>
      <c r="H7842" t="s">
        <v>21</v>
      </c>
      <c r="I7842" t="s">
        <v>20</v>
      </c>
      <c r="J7842" t="s">
        <v>20</v>
      </c>
      <c r="K7842" t="s">
        <v>31</v>
      </c>
      <c r="L7842" t="s">
        <v>69</v>
      </c>
      <c r="M7842" t="s">
        <v>49</v>
      </c>
      <c r="N7842">
        <v>40.683608</v>
      </c>
      <c r="O7842">
        <v>-111.88825199999999</v>
      </c>
      <c r="P7842">
        <v>4208.2343389999996</v>
      </c>
      <c r="Q7842">
        <v>1384</v>
      </c>
      <c r="R7842">
        <v>0</v>
      </c>
    </row>
    <row r="7843" spans="1:18" x14ac:dyDescent="0.25">
      <c r="A7843">
        <v>6842</v>
      </c>
      <c r="B7843">
        <v>94</v>
      </c>
      <c r="C7843" t="e">
        <f>-Ip-tW8vISikgSRBLbO6Ak</f>
        <v>#NAME?</v>
      </c>
      <c r="D7843" t="s">
        <v>272</v>
      </c>
      <c r="E7843">
        <v>373.59</v>
      </c>
      <c r="F7843" t="s">
        <v>19</v>
      </c>
      <c r="G7843" t="s">
        <v>20</v>
      </c>
      <c r="H7843" t="s">
        <v>21</v>
      </c>
      <c r="I7843" t="s">
        <v>20</v>
      </c>
      <c r="J7843" t="s">
        <v>20</v>
      </c>
      <c r="K7843" t="s">
        <v>31</v>
      </c>
      <c r="L7843" t="s">
        <v>69</v>
      </c>
      <c r="M7843" t="s">
        <v>49</v>
      </c>
      <c r="N7843">
        <v>40.687021999999999</v>
      </c>
      <c r="O7843">
        <v>-111.888262</v>
      </c>
      <c r="P7843">
        <v>4212.1583099999998</v>
      </c>
      <c r="Q7843">
        <v>1384</v>
      </c>
      <c r="R7843">
        <v>0</v>
      </c>
    </row>
    <row r="7844" spans="1:18" x14ac:dyDescent="0.25">
      <c r="A7844">
        <v>6843</v>
      </c>
      <c r="B7844">
        <v>94</v>
      </c>
      <c r="C7844" t="e">
        <f>-Ioqpf8FHkulaRImvvPcEF</f>
        <v>#NAME?</v>
      </c>
      <c r="D7844" t="s">
        <v>272</v>
      </c>
      <c r="E7844">
        <v>352.54199999999997</v>
      </c>
      <c r="F7844" t="s">
        <v>21</v>
      </c>
      <c r="G7844" t="s">
        <v>26</v>
      </c>
      <c r="H7844" t="s">
        <v>21</v>
      </c>
      <c r="I7844" t="s">
        <v>20</v>
      </c>
      <c r="J7844" t="s">
        <v>20</v>
      </c>
      <c r="K7844" t="s">
        <v>22</v>
      </c>
      <c r="L7844" t="s">
        <v>84</v>
      </c>
      <c r="M7844" t="s">
        <v>125</v>
      </c>
      <c r="N7844">
        <v>40.409188999999998</v>
      </c>
      <c r="O7844">
        <v>-111.864217</v>
      </c>
      <c r="P7844">
        <v>4518.2677210000002</v>
      </c>
      <c r="Q7844">
        <v>1384</v>
      </c>
      <c r="R7844">
        <v>0</v>
      </c>
    </row>
    <row r="7845" spans="1:18" x14ac:dyDescent="0.25">
      <c r="A7845">
        <v>6844</v>
      </c>
      <c r="B7845">
        <v>94</v>
      </c>
      <c r="C7845" t="e">
        <f>-JScY3f_F6Dvnh_6oCRTiF</f>
        <v>#NAME?</v>
      </c>
      <c r="D7845" t="s">
        <v>288</v>
      </c>
      <c r="E7845">
        <v>352.61599999999999</v>
      </c>
      <c r="F7845" t="s">
        <v>19</v>
      </c>
      <c r="G7845" t="s">
        <v>20</v>
      </c>
      <c r="H7845" t="s">
        <v>19</v>
      </c>
      <c r="I7845">
        <v>40</v>
      </c>
      <c r="J7845" t="s">
        <v>20</v>
      </c>
      <c r="K7845" t="s">
        <v>22</v>
      </c>
      <c r="L7845" t="s">
        <v>253</v>
      </c>
      <c r="M7845" t="s">
        <v>98</v>
      </c>
      <c r="N7845">
        <v>40.455720999999997</v>
      </c>
      <c r="O7845">
        <v>-109.528549</v>
      </c>
      <c r="P7845">
        <v>5274.9462119999998</v>
      </c>
      <c r="Q7845">
        <v>350</v>
      </c>
      <c r="R7845">
        <v>0</v>
      </c>
    </row>
    <row r="7846" spans="1:18" x14ac:dyDescent="0.25">
      <c r="A7846">
        <v>6845</v>
      </c>
      <c r="B7846">
        <v>94</v>
      </c>
      <c r="C7846" t="e">
        <f>-IoqpuZQHZ9OzbMZEGqCYF</f>
        <v>#NAME?</v>
      </c>
      <c r="D7846" t="s">
        <v>272</v>
      </c>
      <c r="E7846">
        <v>352.64699999999999</v>
      </c>
      <c r="F7846" t="s">
        <v>21</v>
      </c>
      <c r="G7846" t="s">
        <v>26</v>
      </c>
      <c r="H7846" t="s">
        <v>21</v>
      </c>
      <c r="I7846" t="s">
        <v>20</v>
      </c>
      <c r="J7846" t="s">
        <v>20</v>
      </c>
      <c r="K7846" t="s">
        <v>22</v>
      </c>
      <c r="L7846" t="s">
        <v>84</v>
      </c>
      <c r="M7846" t="s">
        <v>125</v>
      </c>
      <c r="N7846">
        <v>40.410235</v>
      </c>
      <c r="O7846">
        <v>-111.86559</v>
      </c>
      <c r="P7846">
        <v>4516.2849409999999</v>
      </c>
      <c r="Q7846">
        <v>1384</v>
      </c>
      <c r="R7846">
        <v>0</v>
      </c>
    </row>
    <row r="7847" spans="1:18" x14ac:dyDescent="0.25">
      <c r="A7847">
        <v>6846</v>
      </c>
      <c r="B7847">
        <v>94</v>
      </c>
      <c r="C7847">
        <v>31563685</v>
      </c>
      <c r="D7847" t="s">
        <v>288</v>
      </c>
      <c r="E7847">
        <v>352.71100000000001</v>
      </c>
      <c r="F7847" t="s">
        <v>19</v>
      </c>
      <c r="G7847" t="s">
        <v>20</v>
      </c>
      <c r="H7847" t="s">
        <v>21</v>
      </c>
      <c r="I7847" t="s">
        <v>20</v>
      </c>
      <c r="J7847" t="s">
        <v>20</v>
      </c>
      <c r="K7847" t="s">
        <v>22</v>
      </c>
      <c r="L7847" t="s">
        <v>234</v>
      </c>
      <c r="M7847" t="s">
        <v>98</v>
      </c>
      <c r="N7847">
        <v>40.457161999999997</v>
      </c>
      <c r="O7847">
        <v>-109.528583</v>
      </c>
      <c r="P7847">
        <v>5277.7621760000002</v>
      </c>
      <c r="Q7847">
        <v>350</v>
      </c>
      <c r="R7847">
        <v>0</v>
      </c>
    </row>
    <row r="7848" spans="1:18" x14ac:dyDescent="0.25">
      <c r="A7848">
        <v>6847</v>
      </c>
      <c r="B7848">
        <v>94</v>
      </c>
      <c r="C7848" t="e">
        <f>-Ioqq8qGFNe3pd4KONRT-F</f>
        <v>#NAME?</v>
      </c>
      <c r="D7848" t="s">
        <v>272</v>
      </c>
      <c r="E7848">
        <v>352.745</v>
      </c>
      <c r="F7848" t="s">
        <v>21</v>
      </c>
      <c r="G7848" t="s">
        <v>26</v>
      </c>
      <c r="H7848" t="s">
        <v>21</v>
      </c>
      <c r="I7848" t="s">
        <v>20</v>
      </c>
      <c r="J7848" t="s">
        <v>20</v>
      </c>
      <c r="K7848" t="s">
        <v>22</v>
      </c>
      <c r="L7848" t="s">
        <v>84</v>
      </c>
      <c r="M7848" t="s">
        <v>125</v>
      </c>
      <c r="N7848">
        <v>40.411237</v>
      </c>
      <c r="O7848">
        <v>-111.866894</v>
      </c>
      <c r="P7848">
        <v>4514.9215089999998</v>
      </c>
      <c r="Q7848">
        <v>1384</v>
      </c>
      <c r="R7848">
        <v>0</v>
      </c>
    </row>
    <row r="7849" spans="1:18" x14ac:dyDescent="0.25">
      <c r="A7849">
        <v>6848</v>
      </c>
      <c r="B7849">
        <v>94</v>
      </c>
      <c r="C7849">
        <v>31565625</v>
      </c>
      <c r="D7849" t="s">
        <v>288</v>
      </c>
      <c r="E7849">
        <v>352.80599999999998</v>
      </c>
      <c r="F7849" t="s">
        <v>21</v>
      </c>
      <c r="G7849" t="s">
        <v>26</v>
      </c>
      <c r="H7849" t="s">
        <v>21</v>
      </c>
      <c r="I7849" t="s">
        <v>20</v>
      </c>
      <c r="J7849" t="s">
        <v>20</v>
      </c>
      <c r="K7849" t="s">
        <v>22</v>
      </c>
      <c r="L7849" t="s">
        <v>234</v>
      </c>
      <c r="M7849" t="s">
        <v>98</v>
      </c>
      <c r="N7849">
        <v>40.458556999999999</v>
      </c>
      <c r="O7849">
        <v>-109.528592</v>
      </c>
      <c r="P7849">
        <v>5269.7035370000003</v>
      </c>
      <c r="Q7849">
        <v>350</v>
      </c>
      <c r="R7849">
        <v>0</v>
      </c>
    </row>
    <row r="7850" spans="1:18" x14ac:dyDescent="0.25">
      <c r="A7850">
        <v>6849</v>
      </c>
      <c r="B7850">
        <v>94</v>
      </c>
      <c r="C7850">
        <v>31565636</v>
      </c>
      <c r="D7850" t="s">
        <v>288</v>
      </c>
      <c r="E7850">
        <v>352.911</v>
      </c>
      <c r="F7850" t="s">
        <v>21</v>
      </c>
      <c r="G7850" t="s">
        <v>26</v>
      </c>
      <c r="H7850" t="s">
        <v>21</v>
      </c>
      <c r="I7850" t="s">
        <v>20</v>
      </c>
      <c r="J7850" t="s">
        <v>20</v>
      </c>
      <c r="K7850" t="s">
        <v>22</v>
      </c>
      <c r="L7850" t="s">
        <v>234</v>
      </c>
      <c r="M7850" t="s">
        <v>98</v>
      </c>
      <c r="N7850">
        <v>40.460076999999998</v>
      </c>
      <c r="O7850">
        <v>-109.528644</v>
      </c>
      <c r="P7850">
        <v>5266.5247609999997</v>
      </c>
      <c r="Q7850">
        <v>350</v>
      </c>
      <c r="R7850">
        <v>0</v>
      </c>
    </row>
    <row r="7851" spans="1:18" x14ac:dyDescent="0.25">
      <c r="A7851">
        <v>6850</v>
      </c>
      <c r="B7851">
        <v>94</v>
      </c>
      <c r="C7851">
        <v>31565647</v>
      </c>
      <c r="D7851" t="s">
        <v>288</v>
      </c>
      <c r="E7851">
        <v>353.01600000000002</v>
      </c>
      <c r="F7851" t="s">
        <v>21</v>
      </c>
      <c r="G7851" t="s">
        <v>26</v>
      </c>
      <c r="H7851" t="s">
        <v>21</v>
      </c>
      <c r="I7851" t="s">
        <v>20</v>
      </c>
      <c r="J7851" t="s">
        <v>20</v>
      </c>
      <c r="K7851" t="s">
        <v>22</v>
      </c>
      <c r="L7851" t="s">
        <v>234</v>
      </c>
      <c r="M7851" t="s">
        <v>98</v>
      </c>
      <c r="N7851">
        <v>40.461616999999997</v>
      </c>
      <c r="O7851">
        <v>-109.528678</v>
      </c>
      <c r="P7851">
        <v>5260.8824889999996</v>
      </c>
      <c r="Q7851">
        <v>350</v>
      </c>
      <c r="R7851">
        <v>0</v>
      </c>
    </row>
    <row r="7852" spans="1:18" x14ac:dyDescent="0.25">
      <c r="A7852">
        <v>6851</v>
      </c>
      <c r="B7852">
        <v>94</v>
      </c>
      <c r="C7852">
        <v>31566608</v>
      </c>
      <c r="D7852" t="s">
        <v>288</v>
      </c>
      <c r="E7852">
        <v>353.036</v>
      </c>
      <c r="F7852" t="s">
        <v>21</v>
      </c>
      <c r="G7852" t="s">
        <v>26</v>
      </c>
      <c r="H7852" t="s">
        <v>21</v>
      </c>
      <c r="I7852" t="s">
        <v>20</v>
      </c>
      <c r="J7852" t="s">
        <v>20</v>
      </c>
      <c r="K7852" t="s">
        <v>22</v>
      </c>
      <c r="L7852" t="s">
        <v>234</v>
      </c>
      <c r="M7852" t="s">
        <v>98</v>
      </c>
      <c r="N7852">
        <v>40.461908999999999</v>
      </c>
      <c r="O7852">
        <v>-109.528666</v>
      </c>
      <c r="P7852">
        <v>5260.076137</v>
      </c>
      <c r="Q7852">
        <v>350</v>
      </c>
      <c r="R7852">
        <v>0</v>
      </c>
    </row>
    <row r="7853" spans="1:18" x14ac:dyDescent="0.25">
      <c r="A7853">
        <v>6852</v>
      </c>
      <c r="B7853">
        <v>94</v>
      </c>
      <c r="C7853" t="s">
        <v>909</v>
      </c>
      <c r="D7853" t="s">
        <v>272</v>
      </c>
      <c r="E7853">
        <v>353.05200000000002</v>
      </c>
      <c r="F7853" t="s">
        <v>19</v>
      </c>
      <c r="G7853" t="s">
        <v>20</v>
      </c>
      <c r="H7853" t="s">
        <v>19</v>
      </c>
      <c r="I7853">
        <v>85</v>
      </c>
      <c r="J7853" t="s">
        <v>20</v>
      </c>
      <c r="K7853" t="s">
        <v>22</v>
      </c>
      <c r="L7853" t="s">
        <v>84</v>
      </c>
      <c r="M7853" t="s">
        <v>125</v>
      </c>
      <c r="N7853">
        <v>40.412933000000002</v>
      </c>
      <c r="O7853">
        <v>-111.87255</v>
      </c>
      <c r="P7853">
        <v>4503.1134979999997</v>
      </c>
      <c r="Q7853">
        <v>1384</v>
      </c>
      <c r="R7853">
        <v>0</v>
      </c>
    </row>
    <row r="7854" spans="1:18" x14ac:dyDescent="0.25">
      <c r="A7854">
        <v>6853</v>
      </c>
      <c r="B7854">
        <v>94</v>
      </c>
      <c r="C7854">
        <v>31729744</v>
      </c>
      <c r="D7854" t="s">
        <v>244</v>
      </c>
      <c r="E7854">
        <v>106.691</v>
      </c>
      <c r="F7854" t="s">
        <v>21</v>
      </c>
      <c r="G7854" t="s">
        <v>26</v>
      </c>
      <c r="H7854" t="s">
        <v>21</v>
      </c>
      <c r="I7854" t="s">
        <v>20</v>
      </c>
      <c r="J7854" t="s">
        <v>20</v>
      </c>
      <c r="K7854" t="s">
        <v>27</v>
      </c>
      <c r="L7854" t="s">
        <v>122</v>
      </c>
      <c r="M7854" t="s">
        <v>270</v>
      </c>
      <c r="N7854">
        <v>38.359191000000003</v>
      </c>
      <c r="O7854">
        <v>-110.874121</v>
      </c>
      <c r="P7854">
        <v>4380.6697530000001</v>
      </c>
      <c r="Q7854">
        <v>1340</v>
      </c>
      <c r="R7854">
        <v>0</v>
      </c>
    </row>
    <row r="7855" spans="1:18" x14ac:dyDescent="0.25">
      <c r="A7855">
        <v>6854</v>
      </c>
      <c r="B7855">
        <v>94</v>
      </c>
      <c r="C7855">
        <v>31787598</v>
      </c>
      <c r="D7855" t="s">
        <v>290</v>
      </c>
      <c r="E7855">
        <v>106.717</v>
      </c>
      <c r="F7855" t="s">
        <v>21</v>
      </c>
      <c r="G7855" t="s">
        <v>20</v>
      </c>
      <c r="H7855" t="s">
        <v>21</v>
      </c>
      <c r="I7855" t="s">
        <v>20</v>
      </c>
      <c r="J7855" t="s">
        <v>20</v>
      </c>
      <c r="K7855" t="s">
        <v>41</v>
      </c>
      <c r="L7855" t="s">
        <v>95</v>
      </c>
      <c r="M7855" t="s">
        <v>152</v>
      </c>
      <c r="N7855">
        <v>41.73809</v>
      </c>
      <c r="O7855">
        <v>-111.89702200000001</v>
      </c>
      <c r="P7855">
        <v>4379.1184800000001</v>
      </c>
      <c r="Q7855">
        <v>1343</v>
      </c>
      <c r="R7855">
        <v>0</v>
      </c>
    </row>
    <row r="7856" spans="1:18" x14ac:dyDescent="0.25">
      <c r="A7856">
        <v>6855</v>
      </c>
      <c r="B7856">
        <v>94</v>
      </c>
      <c r="C7856" t="e">
        <f>-IpUoutKF4eT4ycso_h8Kk</f>
        <v>#NAME?</v>
      </c>
      <c r="D7856" t="s">
        <v>288</v>
      </c>
      <c r="E7856">
        <v>106.724</v>
      </c>
      <c r="F7856" t="s">
        <v>21</v>
      </c>
      <c r="G7856" t="s">
        <v>20</v>
      </c>
      <c r="H7856" t="s">
        <v>21</v>
      </c>
      <c r="I7856" t="s">
        <v>20</v>
      </c>
      <c r="J7856" t="s">
        <v>20</v>
      </c>
      <c r="K7856" t="s">
        <v>27</v>
      </c>
      <c r="L7856" t="s">
        <v>38</v>
      </c>
      <c r="M7856" t="s">
        <v>152</v>
      </c>
      <c r="N7856">
        <v>38.346879999999999</v>
      </c>
      <c r="O7856">
        <v>-109.434652</v>
      </c>
      <c r="P7856">
        <v>5527.8316150000001</v>
      </c>
      <c r="Q7856">
        <v>350</v>
      </c>
      <c r="R7856">
        <v>0</v>
      </c>
    </row>
    <row r="7857" spans="1:18" x14ac:dyDescent="0.25">
      <c r="A7857">
        <v>6856</v>
      </c>
      <c r="B7857">
        <v>94</v>
      </c>
      <c r="C7857" t="s">
        <v>910</v>
      </c>
      <c r="D7857" t="s">
        <v>220</v>
      </c>
      <c r="E7857">
        <v>106.75700000000001</v>
      </c>
      <c r="F7857" t="s">
        <v>21</v>
      </c>
      <c r="G7857" t="s">
        <v>26</v>
      </c>
      <c r="H7857" t="s">
        <v>21</v>
      </c>
      <c r="I7857" t="s">
        <v>20</v>
      </c>
      <c r="J7857" t="s">
        <v>20</v>
      </c>
      <c r="K7857" t="s">
        <v>27</v>
      </c>
      <c r="L7857" t="s">
        <v>28</v>
      </c>
      <c r="M7857" t="s">
        <v>267</v>
      </c>
      <c r="N7857">
        <v>38.110028</v>
      </c>
      <c r="O7857">
        <v>-111.333364</v>
      </c>
      <c r="P7857">
        <v>8580.8224200000004</v>
      </c>
      <c r="Q7857">
        <v>1328</v>
      </c>
      <c r="R7857">
        <v>0</v>
      </c>
    </row>
    <row r="7858" spans="1:18" x14ac:dyDescent="0.25">
      <c r="A7858">
        <v>6857</v>
      </c>
      <c r="B7858">
        <v>94</v>
      </c>
      <c r="C7858">
        <v>31904019</v>
      </c>
      <c r="D7858" t="s">
        <v>272</v>
      </c>
      <c r="E7858">
        <v>106.813</v>
      </c>
      <c r="F7858" t="s">
        <v>21</v>
      </c>
      <c r="G7858" t="s">
        <v>26</v>
      </c>
      <c r="H7858" t="s">
        <v>21</v>
      </c>
      <c r="I7858" t="s">
        <v>20</v>
      </c>
      <c r="J7858" t="s">
        <v>20</v>
      </c>
      <c r="K7858" t="s">
        <v>27</v>
      </c>
      <c r="L7858" t="s">
        <v>279</v>
      </c>
      <c r="M7858" t="s">
        <v>214</v>
      </c>
      <c r="N7858">
        <v>37.528798999999999</v>
      </c>
      <c r="O7858">
        <v>-112.488715</v>
      </c>
      <c r="P7858">
        <v>7131.7245599999997</v>
      </c>
      <c r="Q7858">
        <v>1384</v>
      </c>
      <c r="R7858">
        <v>0</v>
      </c>
    </row>
    <row r="7859" spans="1:18" x14ac:dyDescent="0.25">
      <c r="A7859">
        <v>6858</v>
      </c>
      <c r="B7859">
        <v>94</v>
      </c>
      <c r="C7859">
        <v>31376750</v>
      </c>
      <c r="D7859" t="s">
        <v>142</v>
      </c>
      <c r="E7859">
        <v>107.054</v>
      </c>
      <c r="F7859" t="s">
        <v>21</v>
      </c>
      <c r="G7859" t="s">
        <v>26</v>
      </c>
      <c r="H7859" t="s">
        <v>21</v>
      </c>
      <c r="I7859" t="s">
        <v>20</v>
      </c>
      <c r="J7859" t="s">
        <v>20</v>
      </c>
      <c r="K7859" t="s">
        <v>27</v>
      </c>
      <c r="L7859" t="s">
        <v>103</v>
      </c>
      <c r="M7859" t="s">
        <v>106</v>
      </c>
      <c r="N7859">
        <v>38.274126000000003</v>
      </c>
      <c r="O7859">
        <v>-112.650958</v>
      </c>
      <c r="P7859">
        <v>5791.3147470000004</v>
      </c>
      <c r="Q7859">
        <v>305</v>
      </c>
      <c r="R7859">
        <v>0</v>
      </c>
    </row>
    <row r="7860" spans="1:18" x14ac:dyDescent="0.25">
      <c r="A7860">
        <v>6859</v>
      </c>
      <c r="B7860">
        <v>94</v>
      </c>
      <c r="C7860" t="e">
        <f>-JOnwWIhINL5W5ix8wgxXF</f>
        <v>#NAME?</v>
      </c>
      <c r="D7860" t="s">
        <v>348</v>
      </c>
      <c r="E7860">
        <v>107.057</v>
      </c>
      <c r="F7860" t="s">
        <v>21</v>
      </c>
      <c r="G7860" t="s">
        <v>26</v>
      </c>
      <c r="H7860" t="s">
        <v>21</v>
      </c>
      <c r="I7860" t="s">
        <v>20</v>
      </c>
      <c r="J7860" t="s">
        <v>20</v>
      </c>
      <c r="K7860" t="s">
        <v>27</v>
      </c>
      <c r="L7860" t="s">
        <v>327</v>
      </c>
      <c r="M7860" t="s">
        <v>123</v>
      </c>
      <c r="N7860">
        <v>37.511547</v>
      </c>
      <c r="O7860">
        <v>-109.65648</v>
      </c>
      <c r="P7860">
        <v>4799.2860389999996</v>
      </c>
      <c r="Q7860">
        <v>1388</v>
      </c>
      <c r="R7860">
        <v>0</v>
      </c>
    </row>
    <row r="7861" spans="1:18" x14ac:dyDescent="0.25">
      <c r="A7861">
        <v>6860</v>
      </c>
      <c r="B7861">
        <v>94</v>
      </c>
      <c r="C7861">
        <v>31377211</v>
      </c>
      <c r="D7861" t="s">
        <v>142</v>
      </c>
      <c r="E7861">
        <v>107.10899999999999</v>
      </c>
      <c r="F7861" t="s">
        <v>21</v>
      </c>
      <c r="G7861" t="s">
        <v>26</v>
      </c>
      <c r="H7861" t="s">
        <v>21</v>
      </c>
      <c r="I7861" t="s">
        <v>20</v>
      </c>
      <c r="J7861" t="s">
        <v>20</v>
      </c>
      <c r="K7861" t="s">
        <v>27</v>
      </c>
      <c r="L7861" t="s">
        <v>103</v>
      </c>
      <c r="M7861" t="s">
        <v>106</v>
      </c>
      <c r="N7861">
        <v>38.274135000000001</v>
      </c>
      <c r="O7861">
        <v>-112.649945</v>
      </c>
      <c r="P7861">
        <v>5794.2175189999998</v>
      </c>
      <c r="Q7861">
        <v>305</v>
      </c>
      <c r="R7861">
        <v>0</v>
      </c>
    </row>
    <row r="7862" spans="1:18" x14ac:dyDescent="0.25">
      <c r="A7862">
        <v>6861</v>
      </c>
      <c r="B7862">
        <v>94</v>
      </c>
      <c r="C7862">
        <v>31377222</v>
      </c>
      <c r="D7862" t="s">
        <v>142</v>
      </c>
      <c r="E7862">
        <v>107.20099999999999</v>
      </c>
      <c r="F7862" t="s">
        <v>21</v>
      </c>
      <c r="G7862" t="s">
        <v>26</v>
      </c>
      <c r="H7862" t="s">
        <v>21</v>
      </c>
      <c r="I7862" t="s">
        <v>20</v>
      </c>
      <c r="J7862" t="s">
        <v>20</v>
      </c>
      <c r="K7862" t="s">
        <v>27</v>
      </c>
      <c r="L7862" t="s">
        <v>103</v>
      </c>
      <c r="M7862" t="s">
        <v>106</v>
      </c>
      <c r="N7862">
        <v>38.274140000000003</v>
      </c>
      <c r="O7862">
        <v>-112.648253</v>
      </c>
      <c r="P7862">
        <v>5799.215072</v>
      </c>
      <c r="Q7862">
        <v>305</v>
      </c>
      <c r="R7862">
        <v>0</v>
      </c>
    </row>
    <row r="7863" spans="1:18" x14ac:dyDescent="0.25">
      <c r="A7863">
        <v>6862</v>
      </c>
      <c r="B7863">
        <v>94</v>
      </c>
      <c r="C7863">
        <v>31549972</v>
      </c>
      <c r="D7863" t="s">
        <v>348</v>
      </c>
      <c r="E7863">
        <v>107.20399999999999</v>
      </c>
      <c r="F7863" t="s">
        <v>21</v>
      </c>
      <c r="G7863" t="s">
        <v>26</v>
      </c>
      <c r="H7863" t="s">
        <v>21</v>
      </c>
      <c r="I7863" t="s">
        <v>20</v>
      </c>
      <c r="J7863" t="s">
        <v>20</v>
      </c>
      <c r="K7863" t="s">
        <v>27</v>
      </c>
      <c r="L7863" t="s">
        <v>327</v>
      </c>
      <c r="M7863" t="s">
        <v>123</v>
      </c>
      <c r="N7863">
        <v>37.511468000000001</v>
      </c>
      <c r="O7863">
        <v>-109.653839</v>
      </c>
      <c r="P7863">
        <v>4801.221509</v>
      </c>
      <c r="Q7863">
        <v>1388</v>
      </c>
      <c r="R7863">
        <v>0</v>
      </c>
    </row>
    <row r="7864" spans="1:18" x14ac:dyDescent="0.25">
      <c r="A7864">
        <v>6863</v>
      </c>
      <c r="B7864">
        <v>94</v>
      </c>
      <c r="C7864" t="s">
        <v>911</v>
      </c>
      <c r="D7864" t="s">
        <v>417</v>
      </c>
      <c r="E7864">
        <v>10.009</v>
      </c>
      <c r="F7864" t="s">
        <v>19</v>
      </c>
      <c r="G7864" t="s">
        <v>20</v>
      </c>
      <c r="H7864" t="s">
        <v>21</v>
      </c>
      <c r="I7864" t="s">
        <v>20</v>
      </c>
      <c r="J7864" t="s">
        <v>20</v>
      </c>
      <c r="K7864" t="s">
        <v>31</v>
      </c>
      <c r="L7864" t="s">
        <v>84</v>
      </c>
      <c r="M7864" t="s">
        <v>24</v>
      </c>
      <c r="N7864">
        <v>40.535291000000001</v>
      </c>
      <c r="O7864">
        <v>-112.014625</v>
      </c>
      <c r="P7864">
        <v>4765.299696</v>
      </c>
      <c r="Q7864">
        <v>6765</v>
      </c>
      <c r="R7864">
        <v>0</v>
      </c>
    </row>
    <row r="7865" spans="1:18" x14ac:dyDescent="0.25">
      <c r="A7865">
        <v>6864</v>
      </c>
      <c r="B7865">
        <v>94</v>
      </c>
      <c r="C7865">
        <v>1473312</v>
      </c>
      <c r="D7865" t="s">
        <v>109</v>
      </c>
      <c r="E7865">
        <v>10.217000000000001</v>
      </c>
      <c r="F7865" t="s">
        <v>19</v>
      </c>
      <c r="G7865" t="s">
        <v>20</v>
      </c>
      <c r="H7865" t="s">
        <v>21</v>
      </c>
      <c r="I7865" t="s">
        <v>20</v>
      </c>
      <c r="J7865" t="s">
        <v>20</v>
      </c>
      <c r="K7865" t="s">
        <v>41</v>
      </c>
      <c r="L7865" t="s">
        <v>42</v>
      </c>
      <c r="M7865" t="s">
        <v>73</v>
      </c>
      <c r="N7865">
        <v>41.710208000000002</v>
      </c>
      <c r="O7865">
        <v>-111.83460599999999</v>
      </c>
      <c r="P7865">
        <v>4445.2896270000001</v>
      </c>
      <c r="Q7865">
        <v>345</v>
      </c>
      <c r="R7865">
        <v>0</v>
      </c>
    </row>
    <row r="7866" spans="1:18" x14ac:dyDescent="0.25">
      <c r="A7866">
        <v>6865</v>
      </c>
      <c r="B7866">
        <v>94</v>
      </c>
      <c r="C7866">
        <v>31303311</v>
      </c>
      <c r="D7866" t="s">
        <v>339</v>
      </c>
      <c r="E7866">
        <v>10.218999999999999</v>
      </c>
      <c r="F7866" t="s">
        <v>21</v>
      </c>
      <c r="G7866" t="s">
        <v>20</v>
      </c>
      <c r="H7866" t="s">
        <v>21</v>
      </c>
      <c r="I7866" t="s">
        <v>20</v>
      </c>
      <c r="J7866" t="s">
        <v>20</v>
      </c>
      <c r="K7866" t="s">
        <v>41</v>
      </c>
      <c r="L7866" t="s">
        <v>95</v>
      </c>
      <c r="M7866" t="s">
        <v>73</v>
      </c>
      <c r="N7866">
        <v>41.917631</v>
      </c>
      <c r="O7866">
        <v>-111.94430800000001</v>
      </c>
      <c r="P7866">
        <v>4413.7590270000001</v>
      </c>
      <c r="Q7866">
        <v>1417</v>
      </c>
      <c r="R7866">
        <v>0</v>
      </c>
    </row>
    <row r="7867" spans="1:18" x14ac:dyDescent="0.25">
      <c r="A7867">
        <v>6866</v>
      </c>
      <c r="B7867">
        <v>94</v>
      </c>
      <c r="C7867">
        <v>1511701</v>
      </c>
      <c r="D7867" t="s">
        <v>88</v>
      </c>
      <c r="E7867">
        <v>10.231999999999999</v>
      </c>
      <c r="F7867" t="s">
        <v>19</v>
      </c>
      <c r="G7867" t="s">
        <v>20</v>
      </c>
      <c r="H7867" t="s">
        <v>19</v>
      </c>
      <c r="I7867">
        <v>209</v>
      </c>
      <c r="J7867" t="s">
        <v>20</v>
      </c>
      <c r="K7867" t="s">
        <v>31</v>
      </c>
      <c r="L7867" t="s">
        <v>89</v>
      </c>
      <c r="M7867" t="s">
        <v>90</v>
      </c>
      <c r="N7867">
        <v>40.588099</v>
      </c>
      <c r="O7867">
        <v>-111.872134</v>
      </c>
      <c r="P7867">
        <v>4458.4853370000001</v>
      </c>
      <c r="Q7867">
        <v>318</v>
      </c>
      <c r="R7867">
        <v>0</v>
      </c>
    </row>
    <row r="7868" spans="1:18" x14ac:dyDescent="0.25">
      <c r="A7868">
        <v>6867</v>
      </c>
      <c r="B7868">
        <v>94</v>
      </c>
      <c r="C7868">
        <v>31530814</v>
      </c>
      <c r="D7868" t="s">
        <v>231</v>
      </c>
      <c r="E7868">
        <v>10.233000000000001</v>
      </c>
      <c r="F7868" t="s">
        <v>19</v>
      </c>
      <c r="G7868" t="s">
        <v>20</v>
      </c>
      <c r="H7868" t="s">
        <v>21</v>
      </c>
      <c r="I7868" t="s">
        <v>20</v>
      </c>
      <c r="J7868" t="s">
        <v>20</v>
      </c>
      <c r="K7868" t="s">
        <v>41</v>
      </c>
      <c r="L7868" t="s">
        <v>57</v>
      </c>
      <c r="M7868" t="s">
        <v>93</v>
      </c>
      <c r="N7868">
        <v>41.183472000000002</v>
      </c>
      <c r="O7868">
        <v>-112.025924</v>
      </c>
      <c r="P7868">
        <v>4431.593089</v>
      </c>
      <c r="Q7868">
        <v>1409</v>
      </c>
      <c r="R7868">
        <v>0</v>
      </c>
    </row>
    <row r="7869" spans="1:18" x14ac:dyDescent="0.25">
      <c r="A7869">
        <v>6868</v>
      </c>
      <c r="B7869">
        <v>94</v>
      </c>
      <c r="C7869">
        <v>31274507</v>
      </c>
      <c r="D7869" t="s">
        <v>303</v>
      </c>
      <c r="E7869">
        <v>10.249000000000001</v>
      </c>
      <c r="F7869" t="s">
        <v>21</v>
      </c>
      <c r="G7869" t="s">
        <v>26</v>
      </c>
      <c r="H7869" t="s">
        <v>21</v>
      </c>
      <c r="I7869" t="s">
        <v>20</v>
      </c>
      <c r="J7869" t="s">
        <v>20</v>
      </c>
      <c r="K7869" t="s">
        <v>27</v>
      </c>
      <c r="L7869" t="s">
        <v>72</v>
      </c>
      <c r="M7869" t="s">
        <v>73</v>
      </c>
      <c r="N7869">
        <v>37.180992000000003</v>
      </c>
      <c r="O7869">
        <v>-113.284182</v>
      </c>
      <c r="P7869">
        <v>3183.9482779999998</v>
      </c>
      <c r="Q7869">
        <v>1326</v>
      </c>
      <c r="R7869">
        <v>0</v>
      </c>
    </row>
    <row r="7870" spans="1:18" x14ac:dyDescent="0.25">
      <c r="A7870">
        <v>6869</v>
      </c>
      <c r="B7870">
        <v>94</v>
      </c>
      <c r="C7870">
        <v>31661986</v>
      </c>
      <c r="D7870" t="s">
        <v>306</v>
      </c>
      <c r="E7870">
        <v>5.3239999999999998</v>
      </c>
      <c r="F7870" t="s">
        <v>21</v>
      </c>
      <c r="G7870" t="s">
        <v>26</v>
      </c>
      <c r="H7870" t="s">
        <v>21</v>
      </c>
      <c r="I7870" t="s">
        <v>20</v>
      </c>
      <c r="J7870" t="s">
        <v>20</v>
      </c>
      <c r="K7870" t="s">
        <v>27</v>
      </c>
      <c r="L7870" t="s">
        <v>307</v>
      </c>
      <c r="M7870" t="s">
        <v>82</v>
      </c>
      <c r="N7870">
        <v>39.642916999999997</v>
      </c>
      <c r="O7870">
        <v>-111.246093</v>
      </c>
      <c r="P7870">
        <v>8601.0084719999995</v>
      </c>
      <c r="Q7870">
        <v>430</v>
      </c>
      <c r="R7870">
        <v>0</v>
      </c>
    </row>
    <row r="7871" spans="1:18" x14ac:dyDescent="0.25">
      <c r="A7871">
        <v>6870</v>
      </c>
      <c r="B7871">
        <v>94</v>
      </c>
      <c r="C7871">
        <v>31311421</v>
      </c>
      <c r="D7871" t="s">
        <v>40</v>
      </c>
      <c r="E7871">
        <v>5.3280000000000003</v>
      </c>
      <c r="F7871" t="s">
        <v>21</v>
      </c>
      <c r="G7871" t="s">
        <v>26</v>
      </c>
      <c r="H7871" t="s">
        <v>21</v>
      </c>
      <c r="I7871" t="s">
        <v>20</v>
      </c>
      <c r="J7871" t="s">
        <v>20</v>
      </c>
      <c r="K7871" t="s">
        <v>41</v>
      </c>
      <c r="L7871" t="s">
        <v>42</v>
      </c>
      <c r="M7871" t="s">
        <v>43</v>
      </c>
      <c r="N7871">
        <v>41.633830000000003</v>
      </c>
      <c r="O7871">
        <v>-111.844123</v>
      </c>
      <c r="P7871">
        <v>4709.8153169999996</v>
      </c>
      <c r="Q7871">
        <v>1391</v>
      </c>
      <c r="R7871">
        <v>0</v>
      </c>
    </row>
    <row r="7872" spans="1:18" x14ac:dyDescent="0.25">
      <c r="A7872">
        <v>6871</v>
      </c>
      <c r="B7872">
        <v>94</v>
      </c>
      <c r="C7872">
        <v>31444935</v>
      </c>
      <c r="D7872" t="s">
        <v>91</v>
      </c>
      <c r="E7872">
        <v>5.3289999999999997</v>
      </c>
      <c r="F7872" t="s">
        <v>21</v>
      </c>
      <c r="G7872" t="s">
        <v>20</v>
      </c>
      <c r="H7872" t="s">
        <v>21</v>
      </c>
      <c r="I7872" t="s">
        <v>20</v>
      </c>
      <c r="J7872" t="s">
        <v>20</v>
      </c>
      <c r="K7872" t="s">
        <v>41</v>
      </c>
      <c r="L7872" t="s">
        <v>42</v>
      </c>
      <c r="M7872" t="s">
        <v>73</v>
      </c>
      <c r="N7872">
        <v>41.685161000000001</v>
      </c>
      <c r="O7872">
        <v>-111.964992</v>
      </c>
      <c r="P7872">
        <v>4442.175416</v>
      </c>
      <c r="Q7872">
        <v>1339</v>
      </c>
      <c r="R7872">
        <v>0</v>
      </c>
    </row>
    <row r="7873" spans="1:18" x14ac:dyDescent="0.25">
      <c r="A7873">
        <v>6872</v>
      </c>
      <c r="B7873">
        <v>94</v>
      </c>
      <c r="C7873">
        <v>31351948</v>
      </c>
      <c r="D7873" t="s">
        <v>34</v>
      </c>
      <c r="E7873">
        <v>5.3310000000000004</v>
      </c>
      <c r="F7873" t="s">
        <v>21</v>
      </c>
      <c r="G7873" t="s">
        <v>20</v>
      </c>
      <c r="H7873" t="s">
        <v>21</v>
      </c>
      <c r="I7873" t="s">
        <v>20</v>
      </c>
      <c r="J7873" t="s">
        <v>20</v>
      </c>
      <c r="K7873" t="s">
        <v>22</v>
      </c>
      <c r="L7873" t="s">
        <v>35</v>
      </c>
      <c r="M7873" t="s">
        <v>36</v>
      </c>
      <c r="N7873">
        <v>40.507022999999997</v>
      </c>
      <c r="O7873">
        <v>-111.447779</v>
      </c>
      <c r="P7873">
        <v>5449.7577520000004</v>
      </c>
      <c r="Q7873">
        <v>1400</v>
      </c>
      <c r="R7873">
        <v>0</v>
      </c>
    </row>
    <row r="7874" spans="1:18" x14ac:dyDescent="0.25">
      <c r="A7874">
        <v>6873</v>
      </c>
      <c r="B7874">
        <v>94</v>
      </c>
      <c r="C7874">
        <v>810220</v>
      </c>
      <c r="D7874" t="s">
        <v>68</v>
      </c>
      <c r="E7874">
        <v>5.3319999999999999</v>
      </c>
      <c r="F7874" t="s">
        <v>19</v>
      </c>
      <c r="G7874" t="s">
        <v>20</v>
      </c>
      <c r="H7874" t="s">
        <v>21</v>
      </c>
      <c r="I7874" t="s">
        <v>20</v>
      </c>
      <c r="J7874" t="s">
        <v>20</v>
      </c>
      <c r="K7874" t="s">
        <v>31</v>
      </c>
      <c r="L7874" t="s">
        <v>32</v>
      </c>
      <c r="M7874" t="s">
        <v>70</v>
      </c>
      <c r="N7874">
        <v>40.674292000000001</v>
      </c>
      <c r="O7874">
        <v>-111.854147</v>
      </c>
      <c r="P7874">
        <v>4267.0846009999996</v>
      </c>
      <c r="Q7874">
        <v>431</v>
      </c>
      <c r="R7874">
        <v>0</v>
      </c>
    </row>
    <row r="7875" spans="1:18" x14ac:dyDescent="0.25">
      <c r="A7875">
        <v>6874</v>
      </c>
      <c r="B7875">
        <v>94</v>
      </c>
      <c r="C7875">
        <v>1453254</v>
      </c>
      <c r="D7875" t="s">
        <v>109</v>
      </c>
      <c r="E7875">
        <v>5.3330000000000002</v>
      </c>
      <c r="F7875" t="s">
        <v>21</v>
      </c>
      <c r="G7875" t="s">
        <v>26</v>
      </c>
      <c r="H7875" t="s">
        <v>21</v>
      </c>
      <c r="I7875" t="s">
        <v>20</v>
      </c>
      <c r="J7875" t="s">
        <v>20</v>
      </c>
      <c r="K7875" t="s">
        <v>41</v>
      </c>
      <c r="L7875" t="s">
        <v>42</v>
      </c>
      <c r="M7875" t="s">
        <v>73</v>
      </c>
      <c r="N7875">
        <v>41.639536</v>
      </c>
      <c r="O7875">
        <v>-111.832678</v>
      </c>
      <c r="P7875">
        <v>4721.7713290000002</v>
      </c>
      <c r="Q7875">
        <v>345</v>
      </c>
      <c r="R7875">
        <v>0</v>
      </c>
    </row>
    <row r="7876" spans="1:18" x14ac:dyDescent="0.25">
      <c r="A7876">
        <v>6875</v>
      </c>
      <c r="B7876">
        <v>94</v>
      </c>
      <c r="C7876">
        <v>27638110</v>
      </c>
      <c r="D7876" t="s">
        <v>354</v>
      </c>
      <c r="E7876">
        <v>5.3339999999999996</v>
      </c>
      <c r="F7876" t="s">
        <v>21</v>
      </c>
      <c r="G7876" t="s">
        <v>26</v>
      </c>
      <c r="H7876" t="s">
        <v>21</v>
      </c>
      <c r="I7876" t="s">
        <v>20</v>
      </c>
      <c r="J7876" t="s">
        <v>20</v>
      </c>
      <c r="K7876" t="s">
        <v>27</v>
      </c>
      <c r="L7876" t="s">
        <v>64</v>
      </c>
      <c r="M7876" t="s">
        <v>58</v>
      </c>
      <c r="N7876">
        <v>38.156571999999997</v>
      </c>
      <c r="O7876">
        <v>-112.004879</v>
      </c>
      <c r="P7876">
        <v>6318.9454370000003</v>
      </c>
      <c r="Q7876">
        <v>1338</v>
      </c>
      <c r="R7876">
        <v>0</v>
      </c>
    </row>
    <row r="7877" spans="1:18" x14ac:dyDescent="0.25">
      <c r="A7877">
        <v>6876</v>
      </c>
      <c r="B7877">
        <v>94</v>
      </c>
      <c r="C7877">
        <v>31468496</v>
      </c>
      <c r="D7877" t="s">
        <v>348</v>
      </c>
      <c r="E7877">
        <v>5.34</v>
      </c>
      <c r="F7877" t="s">
        <v>21</v>
      </c>
      <c r="G7877" t="s">
        <v>26</v>
      </c>
      <c r="H7877" t="s">
        <v>21</v>
      </c>
      <c r="I7877" t="s">
        <v>20</v>
      </c>
      <c r="J7877" t="s">
        <v>20</v>
      </c>
      <c r="K7877" t="s">
        <v>27</v>
      </c>
      <c r="L7877" t="s">
        <v>122</v>
      </c>
      <c r="M7877" t="s">
        <v>123</v>
      </c>
      <c r="N7877">
        <v>38.303178000000003</v>
      </c>
      <c r="O7877">
        <v>-110.66976200000001</v>
      </c>
      <c r="P7877">
        <v>4476.4157320000004</v>
      </c>
      <c r="Q7877">
        <v>1388</v>
      </c>
      <c r="R7877">
        <v>0</v>
      </c>
    </row>
    <row r="7878" spans="1:18" x14ac:dyDescent="0.25">
      <c r="A7878">
        <v>6877</v>
      </c>
      <c r="B7878">
        <v>94</v>
      </c>
      <c r="C7878">
        <v>31596656</v>
      </c>
      <c r="D7878" t="s">
        <v>145</v>
      </c>
      <c r="E7878">
        <v>5.3410000000000002</v>
      </c>
      <c r="F7878" t="s">
        <v>21</v>
      </c>
      <c r="G7878" t="s">
        <v>26</v>
      </c>
      <c r="H7878" t="s">
        <v>21</v>
      </c>
      <c r="I7878" t="s">
        <v>20</v>
      </c>
      <c r="J7878" t="s">
        <v>20</v>
      </c>
      <c r="K7878" t="s">
        <v>27</v>
      </c>
      <c r="L7878" t="s">
        <v>146</v>
      </c>
      <c r="M7878" t="s">
        <v>147</v>
      </c>
      <c r="N7878">
        <v>37.868758999999997</v>
      </c>
      <c r="O7878">
        <v>-109.245634</v>
      </c>
      <c r="P7878">
        <v>6743.5553470000004</v>
      </c>
      <c r="Q7878">
        <v>1291</v>
      </c>
      <c r="R7878">
        <v>0</v>
      </c>
    </row>
    <row r="7879" spans="1:18" x14ac:dyDescent="0.25">
      <c r="A7879">
        <v>6878</v>
      </c>
      <c r="B7879">
        <v>94</v>
      </c>
      <c r="C7879">
        <v>533951</v>
      </c>
      <c r="D7879" t="s">
        <v>44</v>
      </c>
      <c r="E7879">
        <v>5.3449999999999998</v>
      </c>
      <c r="F7879" t="s">
        <v>21</v>
      </c>
      <c r="G7879" t="s">
        <v>26</v>
      </c>
      <c r="H7879" t="s">
        <v>21</v>
      </c>
      <c r="I7879" t="s">
        <v>20</v>
      </c>
      <c r="J7879" t="s">
        <v>20</v>
      </c>
      <c r="K7879" t="s">
        <v>41</v>
      </c>
      <c r="L7879" t="s">
        <v>45</v>
      </c>
      <c r="M7879" t="s">
        <v>46</v>
      </c>
      <c r="N7879">
        <v>40.954456</v>
      </c>
      <c r="O7879">
        <v>-111.883343</v>
      </c>
      <c r="P7879">
        <v>4213.6345069999998</v>
      </c>
      <c r="Q7879">
        <v>1395</v>
      </c>
      <c r="R7879">
        <v>0</v>
      </c>
    </row>
    <row r="7880" spans="1:18" x14ac:dyDescent="0.25">
      <c r="A7880">
        <v>6879</v>
      </c>
      <c r="B7880">
        <v>94</v>
      </c>
      <c r="C7880">
        <v>31369246</v>
      </c>
      <c r="D7880" t="s">
        <v>345</v>
      </c>
      <c r="E7880">
        <v>5.3559999999999999</v>
      </c>
      <c r="F7880" t="s">
        <v>21</v>
      </c>
      <c r="G7880" t="s">
        <v>26</v>
      </c>
      <c r="H7880" t="s">
        <v>21</v>
      </c>
      <c r="I7880" t="s">
        <v>20</v>
      </c>
      <c r="J7880" t="s">
        <v>20</v>
      </c>
      <c r="K7880" t="s">
        <v>27</v>
      </c>
      <c r="L7880" t="s">
        <v>75</v>
      </c>
      <c r="M7880" t="s">
        <v>76</v>
      </c>
      <c r="N7880">
        <v>38.629252000000001</v>
      </c>
      <c r="O7880">
        <v>-112.133543</v>
      </c>
      <c r="P7880">
        <v>5305.7904449999996</v>
      </c>
      <c r="Q7880">
        <v>1403</v>
      </c>
      <c r="R7880">
        <v>0</v>
      </c>
    </row>
    <row r="7881" spans="1:18" x14ac:dyDescent="0.25">
      <c r="A7881">
        <v>6880</v>
      </c>
      <c r="B7881">
        <v>94</v>
      </c>
      <c r="C7881">
        <v>31258080</v>
      </c>
      <c r="D7881" t="s">
        <v>303</v>
      </c>
      <c r="E7881">
        <v>5.3570000000000002</v>
      </c>
      <c r="F7881" t="s">
        <v>19</v>
      </c>
      <c r="G7881" t="s">
        <v>20</v>
      </c>
      <c r="H7881" t="s">
        <v>21</v>
      </c>
      <c r="I7881" t="s">
        <v>20</v>
      </c>
      <c r="J7881" t="s">
        <v>20</v>
      </c>
      <c r="K7881" t="s">
        <v>27</v>
      </c>
      <c r="L7881" t="s">
        <v>72</v>
      </c>
      <c r="M7881" t="s">
        <v>73</v>
      </c>
      <c r="N7881">
        <v>37.169170999999999</v>
      </c>
      <c r="O7881">
        <v>-113.36681400000001</v>
      </c>
      <c r="P7881">
        <v>2883.0993370000001</v>
      </c>
      <c r="Q7881">
        <v>1326</v>
      </c>
      <c r="R7881">
        <v>0</v>
      </c>
    </row>
    <row r="7882" spans="1:18" x14ac:dyDescent="0.25">
      <c r="A7882">
        <v>6881</v>
      </c>
      <c r="B7882">
        <v>94</v>
      </c>
      <c r="C7882">
        <v>31563962</v>
      </c>
      <c r="D7882" t="s">
        <v>172</v>
      </c>
      <c r="E7882">
        <v>5.3570000000000002</v>
      </c>
      <c r="F7882" t="s">
        <v>21</v>
      </c>
      <c r="G7882" t="s">
        <v>26</v>
      </c>
      <c r="H7882" t="s">
        <v>19</v>
      </c>
      <c r="I7882">
        <v>125</v>
      </c>
      <c r="J7882" t="s">
        <v>20</v>
      </c>
      <c r="K7882" t="s">
        <v>27</v>
      </c>
      <c r="L7882" t="s">
        <v>173</v>
      </c>
      <c r="M7882" t="s">
        <v>174</v>
      </c>
      <c r="N7882">
        <v>39.536109000000003</v>
      </c>
      <c r="O7882">
        <v>-112.27339499999999</v>
      </c>
      <c r="P7882">
        <v>4669.9845260000002</v>
      </c>
      <c r="Q7882">
        <v>1411</v>
      </c>
      <c r="R7882">
        <v>0</v>
      </c>
    </row>
    <row r="7883" spans="1:18" x14ac:dyDescent="0.25">
      <c r="A7883">
        <v>6882</v>
      </c>
      <c r="B7883">
        <v>94</v>
      </c>
      <c r="C7883">
        <v>542816</v>
      </c>
      <c r="D7883" t="s">
        <v>77</v>
      </c>
      <c r="E7883">
        <v>4.4950000000000001</v>
      </c>
      <c r="F7883" t="s">
        <v>19</v>
      </c>
      <c r="G7883" t="s">
        <v>20</v>
      </c>
      <c r="H7883" t="s">
        <v>21</v>
      </c>
      <c r="I7883" t="s">
        <v>20</v>
      </c>
      <c r="J7883" t="s">
        <v>20</v>
      </c>
      <c r="K7883" t="s">
        <v>31</v>
      </c>
      <c r="L7883" t="s">
        <v>78</v>
      </c>
      <c r="M7883" t="s">
        <v>79</v>
      </c>
      <c r="N7883">
        <v>40.703828000000001</v>
      </c>
      <c r="O7883">
        <v>-112.024914</v>
      </c>
      <c r="P7883">
        <v>4200.7532890000002</v>
      </c>
      <c r="Q7883">
        <v>1436</v>
      </c>
      <c r="R7883">
        <v>0</v>
      </c>
    </row>
    <row r="7884" spans="1:18" x14ac:dyDescent="0.25">
      <c r="A7884">
        <v>6883</v>
      </c>
      <c r="B7884">
        <v>94</v>
      </c>
      <c r="C7884">
        <v>31805766</v>
      </c>
      <c r="D7884" t="s">
        <v>61</v>
      </c>
      <c r="E7884">
        <v>4.4989999999999997</v>
      </c>
      <c r="F7884" t="s">
        <v>21</v>
      </c>
      <c r="G7884" t="s">
        <v>20</v>
      </c>
      <c r="H7884" t="s">
        <v>21</v>
      </c>
      <c r="I7884" t="s">
        <v>20</v>
      </c>
      <c r="J7884" t="s">
        <v>20</v>
      </c>
      <c r="K7884" t="s">
        <v>22</v>
      </c>
      <c r="L7884" t="s">
        <v>60</v>
      </c>
      <c r="M7884" t="s">
        <v>62</v>
      </c>
      <c r="N7884">
        <v>40.271054999999997</v>
      </c>
      <c r="O7884">
        <v>-111.65696699999999</v>
      </c>
      <c r="P7884">
        <v>4618.1416950000003</v>
      </c>
      <c r="Q7884">
        <v>403</v>
      </c>
      <c r="R7884">
        <v>0</v>
      </c>
    </row>
    <row r="7885" spans="1:18" x14ac:dyDescent="0.25">
      <c r="A7885">
        <v>6884</v>
      </c>
      <c r="B7885">
        <v>94</v>
      </c>
      <c r="C7885">
        <v>31520236</v>
      </c>
      <c r="D7885" t="s">
        <v>231</v>
      </c>
      <c r="E7885">
        <v>4.4989999999999997</v>
      </c>
      <c r="F7885" t="s">
        <v>21</v>
      </c>
      <c r="G7885" t="s">
        <v>26</v>
      </c>
      <c r="H7885" t="s">
        <v>21</v>
      </c>
      <c r="I7885" t="s">
        <v>20</v>
      </c>
      <c r="J7885" t="s">
        <v>20</v>
      </c>
      <c r="K7885" t="s">
        <v>41</v>
      </c>
      <c r="L7885" t="s">
        <v>57</v>
      </c>
      <c r="M7885" t="s">
        <v>93</v>
      </c>
      <c r="N7885">
        <v>41.102760000000004</v>
      </c>
      <c r="O7885">
        <v>-112.014582</v>
      </c>
      <c r="P7885">
        <v>4430.667066</v>
      </c>
      <c r="Q7885">
        <v>1409</v>
      </c>
      <c r="R7885">
        <v>0</v>
      </c>
    </row>
    <row r="7886" spans="1:18" x14ac:dyDescent="0.25">
      <c r="A7886">
        <v>6885</v>
      </c>
      <c r="B7886">
        <v>94</v>
      </c>
      <c r="C7886">
        <v>1126259</v>
      </c>
      <c r="D7886" t="s">
        <v>101</v>
      </c>
      <c r="E7886">
        <v>4.5049999999999999</v>
      </c>
      <c r="F7886" t="s">
        <v>19</v>
      </c>
      <c r="G7886" t="s">
        <v>20</v>
      </c>
      <c r="H7886" t="s">
        <v>19</v>
      </c>
      <c r="I7886">
        <v>126</v>
      </c>
      <c r="J7886" t="s">
        <v>20</v>
      </c>
      <c r="K7886" t="s">
        <v>41</v>
      </c>
      <c r="L7886" t="s">
        <v>57</v>
      </c>
      <c r="M7886" t="s">
        <v>58</v>
      </c>
      <c r="N7886">
        <v>41.118054000000001</v>
      </c>
      <c r="O7886">
        <v>-112.026044</v>
      </c>
      <c r="P7886">
        <v>4466.6856760000001</v>
      </c>
      <c r="Q7886">
        <v>328</v>
      </c>
      <c r="R7886">
        <v>0</v>
      </c>
    </row>
    <row r="7887" spans="1:18" x14ac:dyDescent="0.25">
      <c r="A7887">
        <v>6886</v>
      </c>
      <c r="B7887">
        <v>94</v>
      </c>
      <c r="C7887" t="e">
        <f>-Ip0Alb-FmDr7EMnfaTGjF</f>
        <v>#NAME?</v>
      </c>
      <c r="D7887" t="s">
        <v>110</v>
      </c>
      <c r="E7887">
        <v>4.5579999999999998</v>
      </c>
      <c r="F7887" t="s">
        <v>21</v>
      </c>
      <c r="G7887" t="s">
        <v>20</v>
      </c>
      <c r="H7887" t="s">
        <v>21</v>
      </c>
      <c r="I7887" t="s">
        <v>20</v>
      </c>
      <c r="J7887" t="s">
        <v>20</v>
      </c>
      <c r="K7887" t="s">
        <v>27</v>
      </c>
      <c r="L7887" t="s">
        <v>111</v>
      </c>
      <c r="M7887" t="s">
        <v>112</v>
      </c>
      <c r="N7887">
        <v>39.230862999999999</v>
      </c>
      <c r="O7887">
        <v>-111.07556599999999</v>
      </c>
      <c r="P7887">
        <v>5858.9369619999998</v>
      </c>
      <c r="Q7887">
        <v>1361</v>
      </c>
      <c r="R7887">
        <v>0</v>
      </c>
    </row>
    <row r="7888" spans="1:18" x14ac:dyDescent="0.25">
      <c r="A7888">
        <v>6887</v>
      </c>
      <c r="B7888">
        <v>94</v>
      </c>
      <c r="C7888">
        <v>31520583</v>
      </c>
      <c r="D7888" t="s">
        <v>231</v>
      </c>
      <c r="E7888">
        <v>4.5590000000000002</v>
      </c>
      <c r="F7888" t="s">
        <v>19</v>
      </c>
      <c r="G7888" t="s">
        <v>20</v>
      </c>
      <c r="H7888" t="s">
        <v>19</v>
      </c>
      <c r="I7888">
        <v>193</v>
      </c>
      <c r="J7888" t="s">
        <v>20</v>
      </c>
      <c r="K7888" t="s">
        <v>41</v>
      </c>
      <c r="L7888" t="s">
        <v>57</v>
      </c>
      <c r="M7888" t="s">
        <v>93</v>
      </c>
      <c r="N7888">
        <v>41.103575999999997</v>
      </c>
      <c r="O7888">
        <v>-112.015366</v>
      </c>
      <c r="P7888">
        <v>4430.7806019999998</v>
      </c>
      <c r="Q7888">
        <v>1409</v>
      </c>
      <c r="R7888">
        <v>0</v>
      </c>
    </row>
    <row r="7889" spans="1:18" x14ac:dyDescent="0.25">
      <c r="A7889">
        <v>6888</v>
      </c>
      <c r="B7889">
        <v>94</v>
      </c>
      <c r="C7889" t="s">
        <v>912</v>
      </c>
      <c r="D7889" t="s">
        <v>184</v>
      </c>
      <c r="E7889">
        <v>4.5590000000000002</v>
      </c>
      <c r="F7889" t="s">
        <v>21</v>
      </c>
      <c r="G7889" t="s">
        <v>26</v>
      </c>
      <c r="H7889" t="s">
        <v>21</v>
      </c>
      <c r="I7889" t="s">
        <v>20</v>
      </c>
      <c r="J7889" t="s">
        <v>20</v>
      </c>
      <c r="K7889" t="s">
        <v>27</v>
      </c>
      <c r="L7889" t="s">
        <v>54</v>
      </c>
      <c r="M7889" t="s">
        <v>55</v>
      </c>
      <c r="N7889">
        <v>37.710107000000001</v>
      </c>
      <c r="O7889">
        <v>-113.06164699999999</v>
      </c>
      <c r="P7889">
        <v>5615.0141050000002</v>
      </c>
      <c r="Q7889">
        <v>1410</v>
      </c>
      <c r="R7889">
        <v>0</v>
      </c>
    </row>
    <row r="7890" spans="1:18" x14ac:dyDescent="0.25">
      <c r="A7890">
        <v>6889</v>
      </c>
      <c r="B7890">
        <v>94</v>
      </c>
      <c r="C7890">
        <v>981190</v>
      </c>
      <c r="D7890" t="s">
        <v>65</v>
      </c>
      <c r="E7890">
        <v>4.5599999999999996</v>
      </c>
      <c r="F7890" t="s">
        <v>19</v>
      </c>
      <c r="G7890" t="s">
        <v>20</v>
      </c>
      <c r="H7890" t="s">
        <v>21</v>
      </c>
      <c r="I7890" t="s">
        <v>20</v>
      </c>
      <c r="J7890" t="s">
        <v>20</v>
      </c>
      <c r="K7890" t="s">
        <v>31</v>
      </c>
      <c r="L7890" t="s">
        <v>188</v>
      </c>
      <c r="M7890" t="s">
        <v>67</v>
      </c>
      <c r="N7890">
        <v>40.758474999999997</v>
      </c>
      <c r="O7890">
        <v>-111.853875</v>
      </c>
      <c r="P7890">
        <v>4517.7341260000003</v>
      </c>
      <c r="Q7890">
        <v>402</v>
      </c>
      <c r="R7890">
        <v>0</v>
      </c>
    </row>
    <row r="7891" spans="1:18" x14ac:dyDescent="0.25">
      <c r="A7891">
        <v>6890</v>
      </c>
      <c r="B7891">
        <v>94</v>
      </c>
      <c r="C7891">
        <v>532462</v>
      </c>
      <c r="D7891" t="s">
        <v>44</v>
      </c>
      <c r="E7891">
        <v>4.5609999999999999</v>
      </c>
      <c r="F7891" t="s">
        <v>21</v>
      </c>
      <c r="G7891" t="s">
        <v>26</v>
      </c>
      <c r="H7891" t="s">
        <v>21</v>
      </c>
      <c r="I7891" t="s">
        <v>20</v>
      </c>
      <c r="J7891" t="s">
        <v>20</v>
      </c>
      <c r="K7891" t="s">
        <v>41</v>
      </c>
      <c r="L7891" t="s">
        <v>45</v>
      </c>
      <c r="M7891" t="s">
        <v>46</v>
      </c>
      <c r="N7891">
        <v>40.943353000000002</v>
      </c>
      <c r="O7891">
        <v>-111.880526</v>
      </c>
      <c r="P7891">
        <v>4259.689668</v>
      </c>
      <c r="Q7891">
        <v>1395</v>
      </c>
      <c r="R7891">
        <v>0</v>
      </c>
    </row>
    <row r="7892" spans="1:18" x14ac:dyDescent="0.25">
      <c r="A7892">
        <v>6891</v>
      </c>
      <c r="B7892">
        <v>94</v>
      </c>
      <c r="C7892">
        <v>31295572</v>
      </c>
      <c r="D7892" t="s">
        <v>203</v>
      </c>
      <c r="E7892">
        <v>4.5629999999999997</v>
      </c>
      <c r="F7892" t="s">
        <v>19</v>
      </c>
      <c r="G7892" t="s">
        <v>20</v>
      </c>
      <c r="H7892" t="s">
        <v>21</v>
      </c>
      <c r="I7892" t="s">
        <v>20</v>
      </c>
      <c r="J7892" t="s">
        <v>20</v>
      </c>
      <c r="K7892" t="s">
        <v>41</v>
      </c>
      <c r="L7892" t="s">
        <v>81</v>
      </c>
      <c r="M7892" t="s">
        <v>204</v>
      </c>
      <c r="N7892">
        <v>41.244529</v>
      </c>
      <c r="O7892">
        <v>-112.005285</v>
      </c>
      <c r="P7892">
        <v>4211.6531320000004</v>
      </c>
      <c r="Q7892">
        <v>1349</v>
      </c>
      <c r="R7892">
        <v>0</v>
      </c>
    </row>
    <row r="7893" spans="1:18" x14ac:dyDescent="0.25">
      <c r="A7893">
        <v>6892</v>
      </c>
      <c r="B7893">
        <v>94</v>
      </c>
      <c r="C7893">
        <v>31191479</v>
      </c>
      <c r="D7893" t="s">
        <v>339</v>
      </c>
      <c r="E7893">
        <v>4.5629999999999997</v>
      </c>
      <c r="F7893" t="s">
        <v>21</v>
      </c>
      <c r="G7893" t="s">
        <v>26</v>
      </c>
      <c r="H7893" t="s">
        <v>21</v>
      </c>
      <c r="I7893" t="s">
        <v>20</v>
      </c>
      <c r="J7893" t="s">
        <v>20</v>
      </c>
      <c r="K7893" t="s">
        <v>41</v>
      </c>
      <c r="L7893" t="s">
        <v>95</v>
      </c>
      <c r="M7893" t="s">
        <v>73</v>
      </c>
      <c r="N7893">
        <v>41.913803000000001</v>
      </c>
      <c r="O7893">
        <v>-112.045278</v>
      </c>
      <c r="P7893">
        <v>4749.9650849999998</v>
      </c>
      <c r="Q7893">
        <v>1417</v>
      </c>
      <c r="R7893">
        <v>0</v>
      </c>
    </row>
    <row r="7894" spans="1:18" x14ac:dyDescent="0.25">
      <c r="A7894">
        <v>6893</v>
      </c>
      <c r="B7894">
        <v>94</v>
      </c>
      <c r="C7894" t="e">
        <f>-IowRURsH9L1XrDqHbmsYF</f>
        <v>#NAME?</v>
      </c>
      <c r="D7894" t="s">
        <v>316</v>
      </c>
      <c r="E7894">
        <v>59.173000000000002</v>
      </c>
      <c r="F7894" t="s">
        <v>21</v>
      </c>
      <c r="G7894" t="s">
        <v>20</v>
      </c>
      <c r="H7894" t="s">
        <v>21</v>
      </c>
      <c r="I7894" t="s">
        <v>20</v>
      </c>
      <c r="J7894" t="s">
        <v>20</v>
      </c>
      <c r="K7894" t="s">
        <v>22</v>
      </c>
      <c r="L7894" t="s">
        <v>168</v>
      </c>
      <c r="M7894" t="s">
        <v>302</v>
      </c>
      <c r="N7894">
        <v>40.270873000000002</v>
      </c>
      <c r="O7894">
        <v>-110.428448</v>
      </c>
      <c r="P7894">
        <v>5812.0087489999996</v>
      </c>
      <c r="Q7894">
        <v>1346</v>
      </c>
      <c r="R7894">
        <v>0</v>
      </c>
    </row>
    <row r="7895" spans="1:18" x14ac:dyDescent="0.25">
      <c r="A7895">
        <v>6894</v>
      </c>
      <c r="B7895">
        <v>94</v>
      </c>
      <c r="C7895">
        <v>28217192</v>
      </c>
      <c r="D7895" t="s">
        <v>220</v>
      </c>
      <c r="E7895">
        <v>59.174999999999997</v>
      </c>
      <c r="F7895" t="s">
        <v>21</v>
      </c>
      <c r="G7895" t="s">
        <v>26</v>
      </c>
      <c r="H7895" t="s">
        <v>21</v>
      </c>
      <c r="I7895" t="s">
        <v>20</v>
      </c>
      <c r="J7895" t="s">
        <v>20</v>
      </c>
      <c r="K7895" t="s">
        <v>27</v>
      </c>
      <c r="L7895" t="s">
        <v>28</v>
      </c>
      <c r="M7895" t="s">
        <v>366</v>
      </c>
      <c r="N7895">
        <v>37.770401999999997</v>
      </c>
      <c r="O7895">
        <v>-111.606127</v>
      </c>
      <c r="P7895">
        <v>5788.9619869999997</v>
      </c>
      <c r="Q7895">
        <v>1328</v>
      </c>
      <c r="R7895">
        <v>0</v>
      </c>
    </row>
    <row r="7896" spans="1:18" x14ac:dyDescent="0.25">
      <c r="A7896">
        <v>6895</v>
      </c>
      <c r="B7896">
        <v>94</v>
      </c>
      <c r="C7896">
        <v>31826932</v>
      </c>
      <c r="D7896" t="s">
        <v>272</v>
      </c>
      <c r="E7896">
        <v>59.19</v>
      </c>
      <c r="F7896" t="s">
        <v>21</v>
      </c>
      <c r="G7896" t="s">
        <v>20</v>
      </c>
      <c r="H7896" t="s">
        <v>21</v>
      </c>
      <c r="I7896" t="s">
        <v>20</v>
      </c>
      <c r="J7896" t="s">
        <v>20</v>
      </c>
      <c r="K7896" t="s">
        <v>27</v>
      </c>
      <c r="L7896" t="s">
        <v>259</v>
      </c>
      <c r="M7896" t="s">
        <v>214</v>
      </c>
      <c r="N7896">
        <v>37.023066</v>
      </c>
      <c r="O7896">
        <v>-112.447532</v>
      </c>
      <c r="P7896">
        <v>5036.2409470000002</v>
      </c>
      <c r="Q7896">
        <v>1384</v>
      </c>
      <c r="R7896">
        <v>0</v>
      </c>
    </row>
    <row r="7897" spans="1:18" x14ac:dyDescent="0.25">
      <c r="A7897">
        <v>6896</v>
      </c>
      <c r="B7897">
        <v>94</v>
      </c>
      <c r="C7897">
        <v>28217353</v>
      </c>
      <c r="D7897" t="s">
        <v>220</v>
      </c>
      <c r="E7897">
        <v>59.28</v>
      </c>
      <c r="F7897" t="s">
        <v>21</v>
      </c>
      <c r="G7897" t="s">
        <v>26</v>
      </c>
      <c r="H7897" t="s">
        <v>21</v>
      </c>
      <c r="I7897" t="s">
        <v>20</v>
      </c>
      <c r="J7897" t="s">
        <v>20</v>
      </c>
      <c r="K7897" t="s">
        <v>27</v>
      </c>
      <c r="L7897" t="s">
        <v>28</v>
      </c>
      <c r="M7897" t="s">
        <v>366</v>
      </c>
      <c r="N7897">
        <v>37.770378000000001</v>
      </c>
      <c r="O7897">
        <v>-111.60419899999999</v>
      </c>
      <c r="P7897">
        <v>5768.1764380000004</v>
      </c>
      <c r="Q7897">
        <v>1328</v>
      </c>
      <c r="R7897">
        <v>0</v>
      </c>
    </row>
    <row r="7898" spans="1:18" x14ac:dyDescent="0.25">
      <c r="A7898">
        <v>6897</v>
      </c>
      <c r="B7898">
        <v>94</v>
      </c>
      <c r="C7898">
        <v>28042540</v>
      </c>
      <c r="D7898" t="s">
        <v>281</v>
      </c>
      <c r="E7898">
        <v>59.298000000000002</v>
      </c>
      <c r="F7898" t="s">
        <v>19</v>
      </c>
      <c r="G7898" t="s">
        <v>20</v>
      </c>
      <c r="H7898" t="s">
        <v>21</v>
      </c>
      <c r="I7898" t="s">
        <v>20</v>
      </c>
      <c r="J7898" t="s">
        <v>20</v>
      </c>
      <c r="K7898" t="s">
        <v>31</v>
      </c>
      <c r="L7898" t="s">
        <v>282</v>
      </c>
      <c r="M7898" t="s">
        <v>283</v>
      </c>
      <c r="N7898">
        <v>40.601894000000001</v>
      </c>
      <c r="O7898">
        <v>-112.294245</v>
      </c>
      <c r="P7898">
        <v>4368.4684029999999</v>
      </c>
      <c r="Q7898">
        <v>1347</v>
      </c>
      <c r="R7898">
        <v>0</v>
      </c>
    </row>
    <row r="7899" spans="1:18" x14ac:dyDescent="0.25">
      <c r="A7899">
        <v>6898</v>
      </c>
      <c r="B7899">
        <v>94</v>
      </c>
      <c r="C7899">
        <v>31584466</v>
      </c>
      <c r="D7899" t="s">
        <v>172</v>
      </c>
      <c r="E7899">
        <v>59.311</v>
      </c>
      <c r="F7899" t="s">
        <v>21</v>
      </c>
      <c r="G7899" t="s">
        <v>26</v>
      </c>
      <c r="H7899" t="s">
        <v>21</v>
      </c>
      <c r="I7899" t="s">
        <v>20</v>
      </c>
      <c r="J7899" t="s">
        <v>20</v>
      </c>
      <c r="K7899" t="s">
        <v>27</v>
      </c>
      <c r="L7899" t="s">
        <v>230</v>
      </c>
      <c r="M7899" t="s">
        <v>174</v>
      </c>
      <c r="N7899">
        <v>39.476106999999999</v>
      </c>
      <c r="O7899">
        <v>-111.5629</v>
      </c>
      <c r="P7899">
        <v>5454.5558350000001</v>
      </c>
      <c r="Q7899">
        <v>1411</v>
      </c>
      <c r="R7899">
        <v>0</v>
      </c>
    </row>
    <row r="7900" spans="1:18" x14ac:dyDescent="0.25">
      <c r="A7900">
        <v>6899</v>
      </c>
      <c r="B7900">
        <v>94</v>
      </c>
      <c r="C7900">
        <v>31537784</v>
      </c>
      <c r="D7900" t="s">
        <v>348</v>
      </c>
      <c r="E7900">
        <v>59.314999999999998</v>
      </c>
      <c r="F7900" t="s">
        <v>21</v>
      </c>
      <c r="G7900" t="s">
        <v>20</v>
      </c>
      <c r="H7900" t="s">
        <v>21</v>
      </c>
      <c r="I7900" t="s">
        <v>20</v>
      </c>
      <c r="J7900" t="s">
        <v>20</v>
      </c>
      <c r="K7900" t="s">
        <v>27</v>
      </c>
      <c r="L7900" t="s">
        <v>327</v>
      </c>
      <c r="M7900" t="s">
        <v>123</v>
      </c>
      <c r="N7900">
        <v>37.764606999999998</v>
      </c>
      <c r="O7900">
        <v>-110.285139</v>
      </c>
      <c r="P7900">
        <v>4648.548863</v>
      </c>
      <c r="Q7900">
        <v>1388</v>
      </c>
      <c r="R7900">
        <v>0</v>
      </c>
    </row>
    <row r="7901" spans="1:18" x14ac:dyDescent="0.25">
      <c r="A7901">
        <v>6900</v>
      </c>
      <c r="B7901">
        <v>94</v>
      </c>
      <c r="C7901">
        <v>31508377</v>
      </c>
      <c r="D7901" t="s">
        <v>124</v>
      </c>
      <c r="E7901">
        <v>59.320999999999998</v>
      </c>
      <c r="F7901" t="s">
        <v>19</v>
      </c>
      <c r="G7901" t="s">
        <v>20</v>
      </c>
      <c r="H7901" t="s">
        <v>21</v>
      </c>
      <c r="I7901" t="s">
        <v>20</v>
      </c>
      <c r="J7901" t="s">
        <v>20</v>
      </c>
      <c r="K7901" t="s">
        <v>31</v>
      </c>
      <c r="L7901" t="s">
        <v>362</v>
      </c>
      <c r="M7901" t="s">
        <v>365</v>
      </c>
      <c r="N7901">
        <v>40.769460000000002</v>
      </c>
      <c r="O7901">
        <v>-111.939229</v>
      </c>
      <c r="P7901">
        <v>4168.0166760000002</v>
      </c>
      <c r="Q7901">
        <v>1368</v>
      </c>
      <c r="R7901">
        <v>0</v>
      </c>
    </row>
    <row r="7902" spans="1:18" x14ac:dyDescent="0.25">
      <c r="A7902">
        <v>6901</v>
      </c>
      <c r="B7902">
        <v>94</v>
      </c>
      <c r="C7902" t="e">
        <f>-JP0ock3GwawtoATPdMZxF</f>
        <v>#NAME?</v>
      </c>
      <c r="D7902" t="s">
        <v>124</v>
      </c>
      <c r="E7902">
        <v>59.384999999999998</v>
      </c>
      <c r="F7902" t="s">
        <v>21</v>
      </c>
      <c r="G7902" t="s">
        <v>26</v>
      </c>
      <c r="H7902" t="s">
        <v>21</v>
      </c>
      <c r="I7902" t="s">
        <v>20</v>
      </c>
      <c r="J7902" t="s">
        <v>20</v>
      </c>
      <c r="K7902" t="s">
        <v>31</v>
      </c>
      <c r="L7902" t="s">
        <v>362</v>
      </c>
      <c r="M7902" t="s">
        <v>194</v>
      </c>
      <c r="N7902">
        <v>40.770392999999999</v>
      </c>
      <c r="O7902">
        <v>-111.939347</v>
      </c>
      <c r="P7902">
        <v>4166.7889569999998</v>
      </c>
      <c r="Q7902">
        <v>1368</v>
      </c>
      <c r="R7902">
        <v>0</v>
      </c>
    </row>
    <row r="7903" spans="1:18" x14ac:dyDescent="0.25">
      <c r="A7903">
        <v>6902</v>
      </c>
      <c r="B7903">
        <v>94</v>
      </c>
      <c r="C7903">
        <v>31786019</v>
      </c>
      <c r="D7903" t="s">
        <v>636</v>
      </c>
      <c r="E7903">
        <v>3.859</v>
      </c>
      <c r="F7903" t="s">
        <v>19</v>
      </c>
      <c r="G7903" t="s">
        <v>20</v>
      </c>
      <c r="H7903" t="s">
        <v>21</v>
      </c>
      <c r="I7903" t="s">
        <v>20</v>
      </c>
      <c r="J7903" t="s">
        <v>20</v>
      </c>
      <c r="K7903" t="s">
        <v>31</v>
      </c>
      <c r="L7903" t="s">
        <v>48</v>
      </c>
      <c r="M7903" t="s">
        <v>33</v>
      </c>
      <c r="N7903">
        <v>40.620778999999999</v>
      </c>
      <c r="O7903">
        <v>-111.904178</v>
      </c>
      <c r="P7903">
        <v>4281.4210000000003</v>
      </c>
      <c r="Q7903">
        <v>312</v>
      </c>
      <c r="R7903">
        <v>0</v>
      </c>
    </row>
    <row r="7904" spans="1:18" x14ac:dyDescent="0.25">
      <c r="A7904">
        <v>6903</v>
      </c>
      <c r="B7904">
        <v>94</v>
      </c>
      <c r="C7904">
        <v>31790848</v>
      </c>
      <c r="D7904" t="s">
        <v>636</v>
      </c>
      <c r="E7904">
        <v>3.9460000000000002</v>
      </c>
      <c r="F7904" t="s">
        <v>21</v>
      </c>
      <c r="G7904" t="s">
        <v>26</v>
      </c>
      <c r="H7904" t="s">
        <v>21</v>
      </c>
      <c r="I7904" t="s">
        <v>20</v>
      </c>
      <c r="J7904" t="s">
        <v>20</v>
      </c>
      <c r="K7904" t="s">
        <v>31</v>
      </c>
      <c r="L7904" t="s">
        <v>48</v>
      </c>
      <c r="M7904" t="s">
        <v>33</v>
      </c>
      <c r="N7904">
        <v>40.620716999999999</v>
      </c>
      <c r="O7904">
        <v>-111.902503</v>
      </c>
      <c r="P7904">
        <v>4299.8819999999996</v>
      </c>
      <c r="Q7904">
        <v>312</v>
      </c>
      <c r="R7904">
        <v>0</v>
      </c>
    </row>
    <row r="7905" spans="1:18" x14ac:dyDescent="0.25">
      <c r="A7905">
        <v>6904</v>
      </c>
      <c r="B7905">
        <v>94</v>
      </c>
      <c r="C7905">
        <v>31796853</v>
      </c>
      <c r="D7905" t="s">
        <v>636</v>
      </c>
      <c r="E7905">
        <v>4.1840000000000002</v>
      </c>
      <c r="F7905" t="s">
        <v>21</v>
      </c>
      <c r="G7905" t="s">
        <v>26</v>
      </c>
      <c r="H7905" t="s">
        <v>21</v>
      </c>
      <c r="I7905" t="s">
        <v>20</v>
      </c>
      <c r="J7905" t="s">
        <v>20</v>
      </c>
      <c r="K7905" t="s">
        <v>31</v>
      </c>
      <c r="L7905" t="s">
        <v>48</v>
      </c>
      <c r="M7905" t="s">
        <v>33</v>
      </c>
      <c r="N7905">
        <v>40.620620000000002</v>
      </c>
      <c r="O7905">
        <v>-111.897938</v>
      </c>
      <c r="P7905">
        <v>4313.6530000000002</v>
      </c>
      <c r="Q7905">
        <v>312</v>
      </c>
      <c r="R7905">
        <v>0</v>
      </c>
    </row>
    <row r="7906" spans="1:18" x14ac:dyDescent="0.25">
      <c r="A7906">
        <v>6905</v>
      </c>
      <c r="B7906">
        <v>94</v>
      </c>
      <c r="C7906">
        <v>31797279</v>
      </c>
      <c r="D7906" t="s">
        <v>636</v>
      </c>
      <c r="E7906">
        <v>4.55</v>
      </c>
      <c r="F7906" t="s">
        <v>19</v>
      </c>
      <c r="G7906" t="s">
        <v>20</v>
      </c>
      <c r="H7906" t="s">
        <v>19</v>
      </c>
      <c r="I7906">
        <v>89</v>
      </c>
      <c r="J7906" t="s">
        <v>20</v>
      </c>
      <c r="K7906" t="s">
        <v>31</v>
      </c>
      <c r="L7906" t="s">
        <v>48</v>
      </c>
      <c r="M7906" t="s">
        <v>33</v>
      </c>
      <c r="N7906">
        <v>40.620773999999997</v>
      </c>
      <c r="O7906">
        <v>-111.890647</v>
      </c>
      <c r="P7906">
        <v>4323.78</v>
      </c>
      <c r="Q7906">
        <v>312</v>
      </c>
      <c r="R7906">
        <v>0</v>
      </c>
    </row>
    <row r="7907" spans="1:18" x14ac:dyDescent="0.25">
      <c r="A7907">
        <v>6906</v>
      </c>
      <c r="B7907">
        <v>94</v>
      </c>
      <c r="C7907" t="s">
        <v>913</v>
      </c>
      <c r="D7907" t="s">
        <v>383</v>
      </c>
      <c r="E7907">
        <v>1.4330000000000001</v>
      </c>
      <c r="F7907" t="s">
        <v>21</v>
      </c>
      <c r="G7907" t="s">
        <v>20</v>
      </c>
      <c r="H7907" t="s">
        <v>21</v>
      </c>
      <c r="I7907" t="s">
        <v>20</v>
      </c>
      <c r="J7907" t="s">
        <v>20</v>
      </c>
      <c r="K7907" t="s">
        <v>31</v>
      </c>
      <c r="L7907" t="s">
        <v>48</v>
      </c>
      <c r="M7907" t="s">
        <v>335</v>
      </c>
      <c r="N7907">
        <v>40.566088000000001</v>
      </c>
      <c r="O7907">
        <v>-112.08843</v>
      </c>
      <c r="P7907">
        <v>5331.0450000000001</v>
      </c>
      <c r="Q7907">
        <v>414</v>
      </c>
      <c r="R7907">
        <v>0</v>
      </c>
    </row>
    <row r="7908" spans="1:18" x14ac:dyDescent="0.25">
      <c r="A7908">
        <v>6907</v>
      </c>
      <c r="B7908">
        <v>94</v>
      </c>
      <c r="C7908" t="e">
        <f>-IpUA2fhIyHei6dXfGckfk</f>
        <v>#NAME?</v>
      </c>
      <c r="D7908" t="s">
        <v>383</v>
      </c>
      <c r="E7908">
        <v>13.641999999999999</v>
      </c>
      <c r="F7908" t="s">
        <v>19</v>
      </c>
      <c r="G7908" t="s">
        <v>20</v>
      </c>
      <c r="H7908" t="s">
        <v>21</v>
      </c>
      <c r="I7908" t="s">
        <v>20</v>
      </c>
      <c r="J7908" t="s">
        <v>20</v>
      </c>
      <c r="K7908" t="s">
        <v>31</v>
      </c>
      <c r="L7908" t="s">
        <v>89</v>
      </c>
      <c r="M7908" t="s">
        <v>384</v>
      </c>
      <c r="N7908">
        <v>40.586368</v>
      </c>
      <c r="O7908">
        <v>-111.863838</v>
      </c>
      <c r="P7908">
        <v>4507.9009999999998</v>
      </c>
      <c r="Q7908">
        <v>414</v>
      </c>
      <c r="R7908">
        <v>0</v>
      </c>
    </row>
    <row r="7909" spans="1:18" x14ac:dyDescent="0.25">
      <c r="A7909">
        <v>6908</v>
      </c>
      <c r="B7909">
        <v>94</v>
      </c>
      <c r="C7909">
        <v>31299440</v>
      </c>
      <c r="D7909" t="s">
        <v>203</v>
      </c>
      <c r="E7909">
        <v>6.2480000000000002</v>
      </c>
      <c r="F7909" t="s">
        <v>21</v>
      </c>
      <c r="G7909" t="s">
        <v>26</v>
      </c>
      <c r="H7909" t="s">
        <v>21</v>
      </c>
      <c r="I7909" t="s">
        <v>20</v>
      </c>
      <c r="J7909" t="s">
        <v>20</v>
      </c>
      <c r="K7909" t="s">
        <v>41</v>
      </c>
      <c r="L7909" t="s">
        <v>81</v>
      </c>
      <c r="M7909" t="s">
        <v>204</v>
      </c>
      <c r="N7909">
        <v>41.244318</v>
      </c>
      <c r="O7909">
        <v>-111.972797</v>
      </c>
      <c r="P7909">
        <v>4240.5040989999998</v>
      </c>
      <c r="Q7909">
        <v>1349</v>
      </c>
      <c r="R7909">
        <v>0</v>
      </c>
    </row>
    <row r="7910" spans="1:18" x14ac:dyDescent="0.25">
      <c r="A7910">
        <v>6909</v>
      </c>
      <c r="B7910">
        <v>94</v>
      </c>
      <c r="C7910">
        <v>31832681</v>
      </c>
      <c r="D7910" t="s">
        <v>272</v>
      </c>
      <c r="E7910">
        <v>63.823</v>
      </c>
      <c r="F7910" t="s">
        <v>19</v>
      </c>
      <c r="G7910" t="s">
        <v>20</v>
      </c>
      <c r="H7910" t="s">
        <v>19</v>
      </c>
      <c r="I7910" t="s">
        <v>914</v>
      </c>
      <c r="J7910" t="s">
        <v>20</v>
      </c>
      <c r="K7910" t="s">
        <v>27</v>
      </c>
      <c r="L7910" t="s">
        <v>259</v>
      </c>
      <c r="M7910" t="s">
        <v>214</v>
      </c>
      <c r="N7910">
        <v>37.043002999999999</v>
      </c>
      <c r="O7910">
        <v>-112.52637199999999</v>
      </c>
      <c r="P7910">
        <v>4867.7307629999996</v>
      </c>
      <c r="Q7910">
        <v>1384</v>
      </c>
      <c r="R7910">
        <v>0</v>
      </c>
    </row>
    <row r="7911" spans="1:18" x14ac:dyDescent="0.25">
      <c r="A7911">
        <v>6910</v>
      </c>
      <c r="B7911">
        <v>94</v>
      </c>
      <c r="C7911">
        <v>31355504</v>
      </c>
      <c r="D7911" t="s">
        <v>288</v>
      </c>
      <c r="E7911">
        <v>63.832999999999998</v>
      </c>
      <c r="F7911" t="s">
        <v>21</v>
      </c>
      <c r="G7911" t="s">
        <v>20</v>
      </c>
      <c r="H7911" t="s">
        <v>21</v>
      </c>
      <c r="I7911" t="s">
        <v>20</v>
      </c>
      <c r="J7911" t="s">
        <v>20</v>
      </c>
      <c r="K7911" t="s">
        <v>27</v>
      </c>
      <c r="L7911" t="s">
        <v>146</v>
      </c>
      <c r="M7911" t="s">
        <v>147</v>
      </c>
      <c r="N7911">
        <v>37.769922000000001</v>
      </c>
      <c r="O7911">
        <v>-109.370633</v>
      </c>
      <c r="P7911">
        <v>7080.1968219999999</v>
      </c>
      <c r="Q7911">
        <v>350</v>
      </c>
      <c r="R7911">
        <v>0</v>
      </c>
    </row>
    <row r="7912" spans="1:18" x14ac:dyDescent="0.25">
      <c r="A7912">
        <v>6911</v>
      </c>
      <c r="B7912">
        <v>94</v>
      </c>
      <c r="C7912">
        <v>31512586</v>
      </c>
      <c r="D7912" t="s">
        <v>124</v>
      </c>
      <c r="E7912">
        <v>63.837000000000003</v>
      </c>
      <c r="F7912" t="s">
        <v>19</v>
      </c>
      <c r="G7912" t="s">
        <v>20</v>
      </c>
      <c r="H7912" t="s">
        <v>21</v>
      </c>
      <c r="I7912" t="s">
        <v>20</v>
      </c>
      <c r="J7912" t="s">
        <v>20</v>
      </c>
      <c r="K7912" t="s">
        <v>41</v>
      </c>
      <c r="L7912" t="s">
        <v>45</v>
      </c>
      <c r="M7912" t="s">
        <v>365</v>
      </c>
      <c r="N7912">
        <v>40.834868</v>
      </c>
      <c r="O7912">
        <v>-111.935518</v>
      </c>
      <c r="P7912">
        <v>4177.1695879999997</v>
      </c>
      <c r="Q7912">
        <v>1368</v>
      </c>
      <c r="R7912">
        <v>0</v>
      </c>
    </row>
    <row r="7913" spans="1:18" x14ac:dyDescent="0.25">
      <c r="A7913">
        <v>6912</v>
      </c>
      <c r="B7913">
        <v>94</v>
      </c>
      <c r="C7913">
        <v>31314512</v>
      </c>
      <c r="D7913" t="s">
        <v>203</v>
      </c>
      <c r="E7913">
        <v>63.878</v>
      </c>
      <c r="F7913" t="s">
        <v>21</v>
      </c>
      <c r="G7913" t="s">
        <v>20</v>
      </c>
      <c r="H7913" t="s">
        <v>21</v>
      </c>
      <c r="I7913" t="s">
        <v>20</v>
      </c>
      <c r="J7913" t="s">
        <v>20</v>
      </c>
      <c r="K7913" t="s">
        <v>41</v>
      </c>
      <c r="L7913" t="s">
        <v>325</v>
      </c>
      <c r="M7913" t="s">
        <v>204</v>
      </c>
      <c r="N7913">
        <v>41.508938000000001</v>
      </c>
      <c r="O7913">
        <v>-111.23282</v>
      </c>
      <c r="P7913">
        <v>6513.6932740000002</v>
      </c>
      <c r="Q7913">
        <v>1349</v>
      </c>
      <c r="R7913">
        <v>0</v>
      </c>
    </row>
    <row r="7914" spans="1:18" x14ac:dyDescent="0.25">
      <c r="A7914">
        <v>6913</v>
      </c>
      <c r="B7914">
        <v>94</v>
      </c>
      <c r="C7914">
        <v>31736086</v>
      </c>
      <c r="D7914" t="s">
        <v>118</v>
      </c>
      <c r="E7914">
        <v>63.878999999999998</v>
      </c>
      <c r="F7914" t="s">
        <v>21</v>
      </c>
      <c r="G7914" t="s">
        <v>26</v>
      </c>
      <c r="H7914" t="s">
        <v>21</v>
      </c>
      <c r="I7914" t="s">
        <v>20</v>
      </c>
      <c r="J7914" t="s">
        <v>20</v>
      </c>
      <c r="K7914" t="s">
        <v>22</v>
      </c>
      <c r="L7914" t="s">
        <v>168</v>
      </c>
      <c r="M7914" t="s">
        <v>120</v>
      </c>
      <c r="N7914">
        <v>40.205610999999998</v>
      </c>
      <c r="O7914">
        <v>-110.80558499999999</v>
      </c>
      <c r="P7914">
        <v>6511.5636450000002</v>
      </c>
      <c r="Q7914">
        <v>310</v>
      </c>
      <c r="R7914">
        <v>0</v>
      </c>
    </row>
    <row r="7915" spans="1:18" x14ac:dyDescent="0.25">
      <c r="A7915">
        <v>6914</v>
      </c>
      <c r="B7915">
        <v>94</v>
      </c>
      <c r="C7915">
        <v>31838471</v>
      </c>
      <c r="D7915" t="s">
        <v>272</v>
      </c>
      <c r="E7915">
        <v>63.95</v>
      </c>
      <c r="F7915" t="s">
        <v>21</v>
      </c>
      <c r="G7915" t="s">
        <v>26</v>
      </c>
      <c r="H7915" t="s">
        <v>21</v>
      </c>
      <c r="I7915" t="s">
        <v>20</v>
      </c>
      <c r="J7915" t="s">
        <v>20</v>
      </c>
      <c r="K7915" t="s">
        <v>27</v>
      </c>
      <c r="L7915" t="s">
        <v>259</v>
      </c>
      <c r="M7915" t="s">
        <v>214</v>
      </c>
      <c r="N7915">
        <v>37.044699000000001</v>
      </c>
      <c r="O7915">
        <v>-112.526386</v>
      </c>
      <c r="P7915">
        <v>4878.1035030000003</v>
      </c>
      <c r="Q7915">
        <v>1384</v>
      </c>
      <c r="R7915">
        <v>0</v>
      </c>
    </row>
    <row r="7916" spans="1:18" x14ac:dyDescent="0.25">
      <c r="A7916">
        <v>6915</v>
      </c>
      <c r="B7916">
        <v>94</v>
      </c>
      <c r="C7916">
        <v>31512740</v>
      </c>
      <c r="D7916" t="s">
        <v>124</v>
      </c>
      <c r="E7916">
        <v>63.984999999999999</v>
      </c>
      <c r="F7916" t="s">
        <v>21</v>
      </c>
      <c r="G7916" t="s">
        <v>26</v>
      </c>
      <c r="H7916" t="s">
        <v>21</v>
      </c>
      <c r="I7916" t="s">
        <v>20</v>
      </c>
      <c r="J7916" t="s">
        <v>20</v>
      </c>
      <c r="K7916" t="s">
        <v>41</v>
      </c>
      <c r="L7916" t="s">
        <v>45</v>
      </c>
      <c r="M7916" t="s">
        <v>365</v>
      </c>
      <c r="N7916">
        <v>40.836848000000003</v>
      </c>
      <c r="O7916">
        <v>-111.93444100000001</v>
      </c>
      <c r="P7916">
        <v>4164.5469510000003</v>
      </c>
      <c r="Q7916">
        <v>1368</v>
      </c>
      <c r="R7916">
        <v>0</v>
      </c>
    </row>
    <row r="7917" spans="1:18" x14ac:dyDescent="0.25">
      <c r="A7917">
        <v>6916</v>
      </c>
      <c r="B7917">
        <v>94</v>
      </c>
      <c r="C7917">
        <v>28056315</v>
      </c>
      <c r="D7917" t="s">
        <v>281</v>
      </c>
      <c r="E7917">
        <v>64.018000000000001</v>
      </c>
      <c r="F7917" t="s">
        <v>21</v>
      </c>
      <c r="G7917" t="s">
        <v>26</v>
      </c>
      <c r="H7917" t="s">
        <v>21</v>
      </c>
      <c r="I7917" t="s">
        <v>20</v>
      </c>
      <c r="J7917" t="s">
        <v>20</v>
      </c>
      <c r="K7917" t="s">
        <v>31</v>
      </c>
      <c r="L7917" t="s">
        <v>285</v>
      </c>
      <c r="M7917" t="s">
        <v>283</v>
      </c>
      <c r="N7917">
        <v>40.668340000000001</v>
      </c>
      <c r="O7917">
        <v>-112.283798</v>
      </c>
      <c r="P7917">
        <v>4197.8731399999997</v>
      </c>
      <c r="Q7917">
        <v>1347</v>
      </c>
      <c r="R7917">
        <v>0</v>
      </c>
    </row>
    <row r="7918" spans="1:18" x14ac:dyDescent="0.25">
      <c r="A7918">
        <v>6917</v>
      </c>
      <c r="B7918">
        <v>94</v>
      </c>
      <c r="C7918">
        <v>31512751</v>
      </c>
      <c r="D7918" t="s">
        <v>124</v>
      </c>
      <c r="E7918">
        <v>64.022000000000006</v>
      </c>
      <c r="F7918" t="s">
        <v>21</v>
      </c>
      <c r="G7918" t="s">
        <v>20</v>
      </c>
      <c r="H7918" t="s">
        <v>21</v>
      </c>
      <c r="I7918" t="s">
        <v>20</v>
      </c>
      <c r="J7918" t="s">
        <v>20</v>
      </c>
      <c r="K7918" t="s">
        <v>41</v>
      </c>
      <c r="L7918" t="s">
        <v>45</v>
      </c>
      <c r="M7918" t="s">
        <v>365</v>
      </c>
      <c r="N7918">
        <v>40.837330000000001</v>
      </c>
      <c r="O7918">
        <v>-111.934155</v>
      </c>
      <c r="P7918">
        <v>4164.3745209999997</v>
      </c>
      <c r="Q7918">
        <v>1368</v>
      </c>
      <c r="R7918">
        <v>0</v>
      </c>
    </row>
    <row r="7919" spans="1:18" x14ac:dyDescent="0.25">
      <c r="A7919">
        <v>6918</v>
      </c>
      <c r="B7919">
        <v>94</v>
      </c>
      <c r="C7919" t="e">
        <f>-JYmAVM8F2u9zk9nG1f9NF</f>
        <v>#NAME?</v>
      </c>
      <c r="D7919" t="s">
        <v>220</v>
      </c>
      <c r="E7919">
        <v>64.036000000000001</v>
      </c>
      <c r="F7919" t="s">
        <v>21</v>
      </c>
      <c r="G7919" t="s">
        <v>26</v>
      </c>
      <c r="H7919" t="s">
        <v>21</v>
      </c>
      <c r="I7919" t="s">
        <v>20</v>
      </c>
      <c r="J7919" t="s">
        <v>20</v>
      </c>
      <c r="K7919" t="s">
        <v>27</v>
      </c>
      <c r="L7919" t="s">
        <v>28</v>
      </c>
      <c r="M7919" t="s">
        <v>366</v>
      </c>
      <c r="N7919">
        <v>37.730801999999997</v>
      </c>
      <c r="O7919">
        <v>-111.536574</v>
      </c>
      <c r="P7919">
        <v>5716.4185749999997</v>
      </c>
      <c r="Q7919">
        <v>1328</v>
      </c>
      <c r="R7919">
        <v>0</v>
      </c>
    </row>
    <row r="7920" spans="1:18" x14ac:dyDescent="0.25">
      <c r="A7920">
        <v>6919</v>
      </c>
      <c r="B7920">
        <v>94</v>
      </c>
      <c r="C7920">
        <v>31312038</v>
      </c>
      <c r="D7920" t="s">
        <v>40</v>
      </c>
      <c r="E7920">
        <v>6.5289999999999999</v>
      </c>
      <c r="F7920" t="s">
        <v>21</v>
      </c>
      <c r="G7920" t="s">
        <v>26</v>
      </c>
      <c r="H7920" t="s">
        <v>21</v>
      </c>
      <c r="I7920" t="s">
        <v>20</v>
      </c>
      <c r="J7920" t="s">
        <v>20</v>
      </c>
      <c r="K7920" t="s">
        <v>41</v>
      </c>
      <c r="L7920" t="s">
        <v>42</v>
      </c>
      <c r="M7920" t="s">
        <v>43</v>
      </c>
      <c r="N7920">
        <v>41.634363999999998</v>
      </c>
      <c r="O7920">
        <v>-111.82110299999999</v>
      </c>
      <c r="P7920">
        <v>4763.8677470000002</v>
      </c>
      <c r="Q7920">
        <v>1391</v>
      </c>
      <c r="R7920">
        <v>0</v>
      </c>
    </row>
    <row r="7921" spans="1:18" x14ac:dyDescent="0.25">
      <c r="A7921">
        <v>6920</v>
      </c>
      <c r="B7921">
        <v>94</v>
      </c>
      <c r="C7921" t="s">
        <v>915</v>
      </c>
      <c r="D7921" t="s">
        <v>272</v>
      </c>
      <c r="E7921">
        <v>328.74900000000002</v>
      </c>
      <c r="F7921" t="s">
        <v>21</v>
      </c>
      <c r="G7921" t="s">
        <v>26</v>
      </c>
      <c r="H7921" t="s">
        <v>21</v>
      </c>
      <c r="I7921" t="s">
        <v>20</v>
      </c>
      <c r="J7921" t="s">
        <v>20</v>
      </c>
      <c r="K7921" t="s">
        <v>22</v>
      </c>
      <c r="L7921" t="s">
        <v>23</v>
      </c>
      <c r="M7921" t="s">
        <v>125</v>
      </c>
      <c r="N7921">
        <v>40.170878999999999</v>
      </c>
      <c r="O7921">
        <v>-111.610591</v>
      </c>
      <c r="P7921">
        <v>4509.6494489999995</v>
      </c>
      <c r="Q7921">
        <v>1384</v>
      </c>
      <c r="R7921">
        <v>0</v>
      </c>
    </row>
    <row r="7922" spans="1:18" x14ac:dyDescent="0.25">
      <c r="A7922">
        <v>6921</v>
      </c>
      <c r="B7922">
        <v>94</v>
      </c>
      <c r="C7922" t="e">
        <f>-IoRMYOUFCXfbG1b0Yv5YV</f>
        <v>#NAME?</v>
      </c>
      <c r="D7922" t="s">
        <v>272</v>
      </c>
      <c r="E7922">
        <v>328.846</v>
      </c>
      <c r="F7922" t="s">
        <v>19</v>
      </c>
      <c r="G7922" t="s">
        <v>20</v>
      </c>
      <c r="H7922" t="s">
        <v>21</v>
      </c>
      <c r="I7922" t="s">
        <v>20</v>
      </c>
      <c r="J7922" t="s">
        <v>20</v>
      </c>
      <c r="K7922" t="s">
        <v>22</v>
      </c>
      <c r="L7922" t="s">
        <v>23</v>
      </c>
      <c r="M7922" t="s">
        <v>125</v>
      </c>
      <c r="N7922">
        <v>40.172269999999997</v>
      </c>
      <c r="O7922">
        <v>-111.61057599999999</v>
      </c>
      <c r="P7922">
        <v>4503.9903100000001</v>
      </c>
      <c r="Q7922">
        <v>1384</v>
      </c>
      <c r="R7922">
        <v>0</v>
      </c>
    </row>
    <row r="7923" spans="1:18" x14ac:dyDescent="0.25">
      <c r="A7923">
        <v>6922</v>
      </c>
      <c r="B7923">
        <v>94</v>
      </c>
      <c r="C7923">
        <v>31569944</v>
      </c>
      <c r="D7923" t="s">
        <v>172</v>
      </c>
      <c r="E7923">
        <v>30.141999999999999</v>
      </c>
      <c r="F7923" t="s">
        <v>21</v>
      </c>
      <c r="G7923" t="s">
        <v>26</v>
      </c>
      <c r="H7923" t="s">
        <v>21</v>
      </c>
      <c r="I7923" t="s">
        <v>20</v>
      </c>
      <c r="J7923" t="s">
        <v>20</v>
      </c>
      <c r="K7923" t="s">
        <v>22</v>
      </c>
      <c r="L7923" t="s">
        <v>155</v>
      </c>
      <c r="M7923" t="s">
        <v>174</v>
      </c>
      <c r="N7923">
        <v>39.710113</v>
      </c>
      <c r="O7923">
        <v>-111.893997</v>
      </c>
      <c r="P7923">
        <v>4931.899453</v>
      </c>
      <c r="Q7923">
        <v>1411</v>
      </c>
      <c r="R7923">
        <v>0</v>
      </c>
    </row>
    <row r="7924" spans="1:18" x14ac:dyDescent="0.25">
      <c r="A7924">
        <v>6923</v>
      </c>
      <c r="B7924">
        <v>94</v>
      </c>
      <c r="C7924" t="e">
        <f>-IoWwiYfGy1_DWAfIEknbF</f>
        <v>#NAME?</v>
      </c>
      <c r="D7924" t="s">
        <v>272</v>
      </c>
      <c r="E7924">
        <v>339.084</v>
      </c>
      <c r="F7924" t="s">
        <v>19</v>
      </c>
      <c r="G7924" t="s">
        <v>20</v>
      </c>
      <c r="H7924" t="s">
        <v>21</v>
      </c>
      <c r="I7924" t="s">
        <v>20</v>
      </c>
      <c r="J7924" t="s">
        <v>20</v>
      </c>
      <c r="K7924" t="s">
        <v>22</v>
      </c>
      <c r="L7924" t="s">
        <v>23</v>
      </c>
      <c r="M7924" t="s">
        <v>125</v>
      </c>
      <c r="N7924">
        <v>40.289777000000001</v>
      </c>
      <c r="O7924">
        <v>-111.69176400000001</v>
      </c>
      <c r="P7924">
        <v>4707.0251390000003</v>
      </c>
      <c r="Q7924">
        <v>1384</v>
      </c>
      <c r="R7924">
        <v>0</v>
      </c>
    </row>
    <row r="7925" spans="1:18" x14ac:dyDescent="0.25">
      <c r="A7925">
        <v>6924</v>
      </c>
      <c r="B7925">
        <v>94</v>
      </c>
      <c r="C7925" t="s">
        <v>916</v>
      </c>
      <c r="D7925" t="s">
        <v>272</v>
      </c>
      <c r="E7925">
        <v>339.35199999999998</v>
      </c>
      <c r="F7925" t="s">
        <v>21</v>
      </c>
      <c r="G7925" t="s">
        <v>26</v>
      </c>
      <c r="H7925" t="s">
        <v>21</v>
      </c>
      <c r="I7925" t="s">
        <v>20</v>
      </c>
      <c r="J7925" t="s">
        <v>20</v>
      </c>
      <c r="K7925" t="s">
        <v>22</v>
      </c>
      <c r="L7925" t="s">
        <v>23</v>
      </c>
      <c r="M7925" t="s">
        <v>125</v>
      </c>
      <c r="N7925">
        <v>40.293430999999998</v>
      </c>
      <c r="O7925">
        <v>-111.693361</v>
      </c>
      <c r="P7925">
        <v>4711.6643599999998</v>
      </c>
      <c r="Q7925">
        <v>1384</v>
      </c>
      <c r="R7925">
        <v>0</v>
      </c>
    </row>
    <row r="7926" spans="1:18" x14ac:dyDescent="0.25">
      <c r="A7926">
        <v>6925</v>
      </c>
      <c r="B7926">
        <v>94</v>
      </c>
      <c r="C7926" t="e">
        <f>-IoXLUAWHYLcZni49_U1WF</f>
        <v>#NAME?</v>
      </c>
      <c r="D7926" t="s">
        <v>272</v>
      </c>
      <c r="E7926">
        <v>340.16699999999997</v>
      </c>
      <c r="F7926" t="s">
        <v>19</v>
      </c>
      <c r="G7926" t="s">
        <v>20</v>
      </c>
      <c r="H7926" t="s">
        <v>21</v>
      </c>
      <c r="I7926" t="s">
        <v>20</v>
      </c>
      <c r="J7926" t="s">
        <v>20</v>
      </c>
      <c r="K7926" t="s">
        <v>22</v>
      </c>
      <c r="L7926" t="s">
        <v>23</v>
      </c>
      <c r="M7926" t="s">
        <v>125</v>
      </c>
      <c r="N7926">
        <v>40.304490000000001</v>
      </c>
      <c r="O7926">
        <v>-111.69821399999999</v>
      </c>
      <c r="P7926">
        <v>4713.7710690000004</v>
      </c>
      <c r="Q7926">
        <v>1384</v>
      </c>
      <c r="R7926">
        <v>0</v>
      </c>
    </row>
    <row r="7927" spans="1:18" x14ac:dyDescent="0.25">
      <c r="A7927">
        <v>6926</v>
      </c>
      <c r="B7927">
        <v>94</v>
      </c>
      <c r="C7927" t="e">
        <f>-IoXN7x7GjDIEzT_buZCDk</f>
        <v>#NAME?</v>
      </c>
      <c r="D7927" t="s">
        <v>272</v>
      </c>
      <c r="E7927">
        <v>340.3</v>
      </c>
      <c r="F7927" t="s">
        <v>21</v>
      </c>
      <c r="G7927" t="s">
        <v>26</v>
      </c>
      <c r="H7927" t="s">
        <v>21</v>
      </c>
      <c r="I7927" t="s">
        <v>20</v>
      </c>
      <c r="J7927" t="s">
        <v>20</v>
      </c>
      <c r="K7927" t="s">
        <v>22</v>
      </c>
      <c r="L7927" t="s">
        <v>23</v>
      </c>
      <c r="M7927" t="s">
        <v>125</v>
      </c>
      <c r="N7927">
        <v>40.306308999999999</v>
      </c>
      <c r="O7927">
        <v>-111.698966</v>
      </c>
      <c r="P7927">
        <v>4715.1680420000002</v>
      </c>
      <c r="Q7927">
        <v>1384</v>
      </c>
      <c r="R7927">
        <v>0</v>
      </c>
    </row>
    <row r="7928" spans="1:18" x14ac:dyDescent="0.25">
      <c r="A7928">
        <v>6927</v>
      </c>
      <c r="B7928">
        <v>94</v>
      </c>
      <c r="C7928" t="s">
        <v>917</v>
      </c>
      <c r="D7928" t="s">
        <v>272</v>
      </c>
      <c r="E7928">
        <v>340.39600000000002</v>
      </c>
      <c r="F7928" t="s">
        <v>21</v>
      </c>
      <c r="G7928" t="s">
        <v>26</v>
      </c>
      <c r="H7928" t="s">
        <v>21</v>
      </c>
      <c r="I7928" t="s">
        <v>20</v>
      </c>
      <c r="J7928" t="s">
        <v>20</v>
      </c>
      <c r="K7928" t="s">
        <v>22</v>
      </c>
      <c r="L7928" t="s">
        <v>23</v>
      </c>
      <c r="M7928" t="s">
        <v>125</v>
      </c>
      <c r="N7928">
        <v>40.307616000000003</v>
      </c>
      <c r="O7928">
        <v>-111.69958800000001</v>
      </c>
      <c r="P7928">
        <v>4716.8149709999998</v>
      </c>
      <c r="Q7928">
        <v>1384</v>
      </c>
      <c r="R7928">
        <v>0</v>
      </c>
    </row>
    <row r="7929" spans="1:18" x14ac:dyDescent="0.25">
      <c r="A7929">
        <v>6928</v>
      </c>
      <c r="B7929">
        <v>94</v>
      </c>
      <c r="C7929" t="s">
        <v>918</v>
      </c>
      <c r="D7929" t="s">
        <v>272</v>
      </c>
      <c r="E7929">
        <v>340.43299999999999</v>
      </c>
      <c r="F7929" t="s">
        <v>21</v>
      </c>
      <c r="G7929" t="s">
        <v>26</v>
      </c>
      <c r="H7929" t="s">
        <v>21</v>
      </c>
      <c r="I7929" t="s">
        <v>20</v>
      </c>
      <c r="J7929" t="s">
        <v>20</v>
      </c>
      <c r="K7929" t="s">
        <v>22</v>
      </c>
      <c r="L7929" t="s">
        <v>23</v>
      </c>
      <c r="M7929" t="s">
        <v>125</v>
      </c>
      <c r="N7929">
        <v>40.308112000000001</v>
      </c>
      <c r="O7929">
        <v>-111.699808</v>
      </c>
      <c r="P7929">
        <v>4716.6118829999996</v>
      </c>
      <c r="Q7929">
        <v>1384</v>
      </c>
      <c r="R7929">
        <v>0</v>
      </c>
    </row>
    <row r="7930" spans="1:18" x14ac:dyDescent="0.25">
      <c r="A7930">
        <v>6929</v>
      </c>
      <c r="B7930">
        <v>94</v>
      </c>
      <c r="C7930" t="s">
        <v>919</v>
      </c>
      <c r="D7930" t="s">
        <v>272</v>
      </c>
      <c r="E7930">
        <v>340.57900000000001</v>
      </c>
      <c r="F7930" t="s">
        <v>21</v>
      </c>
      <c r="G7930" t="s">
        <v>26</v>
      </c>
      <c r="H7930" t="s">
        <v>21</v>
      </c>
      <c r="I7930" t="s">
        <v>20</v>
      </c>
      <c r="J7930" t="s">
        <v>20</v>
      </c>
      <c r="K7930" t="s">
        <v>22</v>
      </c>
      <c r="L7930" t="s">
        <v>23</v>
      </c>
      <c r="M7930" t="s">
        <v>125</v>
      </c>
      <c r="N7930">
        <v>40.310099999999998</v>
      </c>
      <c r="O7930">
        <v>-111.700644</v>
      </c>
      <c r="P7930">
        <v>4717.5051729999996</v>
      </c>
      <c r="Q7930">
        <v>1384</v>
      </c>
      <c r="R7930">
        <v>0</v>
      </c>
    </row>
    <row r="7931" spans="1:18" x14ac:dyDescent="0.25">
      <c r="A7931">
        <v>6930</v>
      </c>
      <c r="B7931">
        <v>94</v>
      </c>
      <c r="C7931" t="e">
        <f>-IoXPbF3FxHuMButC-SOnk</f>
        <v>#NAME?</v>
      </c>
      <c r="D7931" t="s">
        <v>272</v>
      </c>
      <c r="E7931">
        <v>340.71300000000002</v>
      </c>
      <c r="F7931" t="s">
        <v>19</v>
      </c>
      <c r="G7931" t="s">
        <v>20</v>
      </c>
      <c r="H7931" t="s">
        <v>19</v>
      </c>
      <c r="I7931">
        <v>52</v>
      </c>
      <c r="J7931" t="s">
        <v>20</v>
      </c>
      <c r="K7931" t="s">
        <v>22</v>
      </c>
      <c r="L7931" t="s">
        <v>23</v>
      </c>
      <c r="M7931" t="s">
        <v>125</v>
      </c>
      <c r="N7931">
        <v>40.311912999999997</v>
      </c>
      <c r="O7931">
        <v>-111.701458</v>
      </c>
      <c r="P7931">
        <v>4717.3302279999998</v>
      </c>
      <c r="Q7931">
        <v>1384</v>
      </c>
      <c r="R7931">
        <v>0</v>
      </c>
    </row>
    <row r="7932" spans="1:18" x14ac:dyDescent="0.25">
      <c r="A7932">
        <v>6931</v>
      </c>
      <c r="B7932">
        <v>94</v>
      </c>
      <c r="C7932" t="e">
        <f>-IoXTIxGHlDhieqmqavtJk</f>
        <v>#NAME?</v>
      </c>
      <c r="D7932" t="s">
        <v>272</v>
      </c>
      <c r="E7932">
        <v>340.899</v>
      </c>
      <c r="F7932" t="s">
        <v>21</v>
      </c>
      <c r="G7932" t="s">
        <v>26</v>
      </c>
      <c r="H7932" t="s">
        <v>21</v>
      </c>
      <c r="I7932" t="s">
        <v>20</v>
      </c>
      <c r="J7932" t="s">
        <v>20</v>
      </c>
      <c r="K7932" t="s">
        <v>22</v>
      </c>
      <c r="L7932" t="s">
        <v>23</v>
      </c>
      <c r="M7932" t="s">
        <v>125</v>
      </c>
      <c r="N7932">
        <v>40.314433000000001</v>
      </c>
      <c r="O7932">
        <v>-111.702589</v>
      </c>
      <c r="P7932">
        <v>4717.0219770000003</v>
      </c>
      <c r="Q7932">
        <v>1384</v>
      </c>
      <c r="R7932">
        <v>0</v>
      </c>
    </row>
    <row r="7933" spans="1:18" x14ac:dyDescent="0.25">
      <c r="A7933">
        <v>6932</v>
      </c>
      <c r="B7933">
        <v>94</v>
      </c>
      <c r="C7933">
        <v>31496073</v>
      </c>
      <c r="D7933" t="s">
        <v>224</v>
      </c>
      <c r="E7933">
        <v>10.494</v>
      </c>
      <c r="F7933" t="s">
        <v>19</v>
      </c>
      <c r="G7933" t="s">
        <v>20</v>
      </c>
      <c r="H7933" t="s">
        <v>21</v>
      </c>
      <c r="I7933" t="s">
        <v>20</v>
      </c>
      <c r="J7933" t="s">
        <v>20</v>
      </c>
      <c r="K7933" t="s">
        <v>22</v>
      </c>
      <c r="L7933" t="s">
        <v>198</v>
      </c>
      <c r="M7933" t="s">
        <v>194</v>
      </c>
      <c r="N7933">
        <v>40.079407000000003</v>
      </c>
      <c r="O7933">
        <v>-111.65924200000001</v>
      </c>
      <c r="P7933">
        <v>4587.2987149999999</v>
      </c>
      <c r="Q7933">
        <v>408</v>
      </c>
      <c r="R7933">
        <v>0</v>
      </c>
    </row>
    <row r="7934" spans="1:18" x14ac:dyDescent="0.25">
      <c r="A7934">
        <v>6933</v>
      </c>
      <c r="B7934">
        <v>94</v>
      </c>
      <c r="C7934">
        <v>31195874</v>
      </c>
      <c r="D7934" t="s">
        <v>126</v>
      </c>
      <c r="E7934">
        <v>10.494</v>
      </c>
      <c r="F7934" t="s">
        <v>21</v>
      </c>
      <c r="G7934" t="s">
        <v>26</v>
      </c>
      <c r="H7934" t="s">
        <v>21</v>
      </c>
      <c r="I7934" t="s">
        <v>20</v>
      </c>
      <c r="J7934" t="s">
        <v>20</v>
      </c>
      <c r="K7934" t="s">
        <v>41</v>
      </c>
      <c r="L7934" t="s">
        <v>57</v>
      </c>
      <c r="M7934" t="s">
        <v>93</v>
      </c>
      <c r="N7934">
        <v>41.306719999999999</v>
      </c>
      <c r="O7934">
        <v>-112.042143</v>
      </c>
      <c r="P7934">
        <v>4187.6602759999996</v>
      </c>
      <c r="Q7934">
        <v>1412</v>
      </c>
      <c r="R7934">
        <v>0</v>
      </c>
    </row>
    <row r="7935" spans="1:18" x14ac:dyDescent="0.25">
      <c r="A7935">
        <v>6934</v>
      </c>
      <c r="B7935">
        <v>94</v>
      </c>
      <c r="C7935" t="e">
        <f>-JYcyRlTFuPN7ysiJAcdQF</f>
        <v>#NAME?</v>
      </c>
      <c r="D7935" t="s">
        <v>30</v>
      </c>
      <c r="E7935">
        <v>10.497999999999999</v>
      </c>
      <c r="F7935" t="s">
        <v>21</v>
      </c>
      <c r="G7935" t="s">
        <v>26</v>
      </c>
      <c r="H7935" t="s">
        <v>21</v>
      </c>
      <c r="I7935" t="s">
        <v>20</v>
      </c>
      <c r="J7935" t="s">
        <v>20</v>
      </c>
      <c r="K7935" t="s">
        <v>31</v>
      </c>
      <c r="L7935" t="s">
        <v>32</v>
      </c>
      <c r="M7935" t="s">
        <v>33</v>
      </c>
      <c r="N7935">
        <v>40.581263999999997</v>
      </c>
      <c r="O7935">
        <v>-111.66111100000001</v>
      </c>
      <c r="P7935">
        <v>8084.9428749999997</v>
      </c>
      <c r="Q7935">
        <v>415</v>
      </c>
      <c r="R7935">
        <v>0</v>
      </c>
    </row>
    <row r="7936" spans="1:18" x14ac:dyDescent="0.25">
      <c r="A7936">
        <v>6935</v>
      </c>
      <c r="B7936">
        <v>94</v>
      </c>
      <c r="C7936">
        <v>31274529</v>
      </c>
      <c r="D7936" t="s">
        <v>303</v>
      </c>
      <c r="E7936">
        <v>10.497999999999999</v>
      </c>
      <c r="F7936" t="s">
        <v>21</v>
      </c>
      <c r="G7936" t="s">
        <v>26</v>
      </c>
      <c r="H7936" t="s">
        <v>21</v>
      </c>
      <c r="I7936" t="s">
        <v>20</v>
      </c>
      <c r="J7936" t="s">
        <v>20</v>
      </c>
      <c r="K7936" t="s">
        <v>27</v>
      </c>
      <c r="L7936" t="s">
        <v>72</v>
      </c>
      <c r="M7936" t="s">
        <v>73</v>
      </c>
      <c r="N7936">
        <v>37.184131999999998</v>
      </c>
      <c r="O7936">
        <v>-113.28195700000001</v>
      </c>
      <c r="P7936">
        <v>3186.4492789999999</v>
      </c>
      <c r="Q7936">
        <v>1326</v>
      </c>
      <c r="R7936">
        <v>0</v>
      </c>
    </row>
    <row r="7937" spans="1:18" x14ac:dyDescent="0.25">
      <c r="A7937">
        <v>6936</v>
      </c>
      <c r="B7937">
        <v>94</v>
      </c>
      <c r="C7937">
        <v>31514862</v>
      </c>
      <c r="D7937" t="s">
        <v>132</v>
      </c>
      <c r="E7937">
        <v>10.5</v>
      </c>
      <c r="F7937" t="s">
        <v>21</v>
      </c>
      <c r="G7937" t="s">
        <v>20</v>
      </c>
      <c r="H7937" t="s">
        <v>21</v>
      </c>
      <c r="I7937" t="s">
        <v>20</v>
      </c>
      <c r="J7937" t="s">
        <v>20</v>
      </c>
      <c r="K7937" t="s">
        <v>22</v>
      </c>
      <c r="L7937" t="s">
        <v>133</v>
      </c>
      <c r="M7937" t="s">
        <v>134</v>
      </c>
      <c r="N7937">
        <v>40.432980000000001</v>
      </c>
      <c r="O7937">
        <v>-110.020561</v>
      </c>
      <c r="P7937">
        <v>5959.3542189999998</v>
      </c>
      <c r="Q7937">
        <v>1405</v>
      </c>
      <c r="R7937">
        <v>0</v>
      </c>
    </row>
    <row r="7938" spans="1:18" x14ac:dyDescent="0.25">
      <c r="A7938">
        <v>6937</v>
      </c>
      <c r="B7938">
        <v>94</v>
      </c>
      <c r="C7938">
        <v>31506827</v>
      </c>
      <c r="D7938" t="s">
        <v>292</v>
      </c>
      <c r="E7938">
        <v>10.500999999999999</v>
      </c>
      <c r="F7938" t="s">
        <v>21</v>
      </c>
      <c r="G7938" t="s">
        <v>20</v>
      </c>
      <c r="H7938" t="s">
        <v>21</v>
      </c>
      <c r="I7938" t="s">
        <v>20</v>
      </c>
      <c r="J7938" t="s">
        <v>20</v>
      </c>
      <c r="K7938" t="s">
        <v>22</v>
      </c>
      <c r="L7938" t="s">
        <v>253</v>
      </c>
      <c r="M7938" t="s">
        <v>134</v>
      </c>
      <c r="N7938">
        <v>40.311475999999999</v>
      </c>
      <c r="O7938">
        <v>-110.377685</v>
      </c>
      <c r="P7938">
        <v>6470.8287479999999</v>
      </c>
      <c r="Q7938">
        <v>323</v>
      </c>
      <c r="R7938">
        <v>0</v>
      </c>
    </row>
    <row r="7939" spans="1:18" x14ac:dyDescent="0.25">
      <c r="A7939">
        <v>6938</v>
      </c>
      <c r="B7939">
        <v>94</v>
      </c>
      <c r="C7939">
        <v>31281732</v>
      </c>
      <c r="D7939" t="s">
        <v>347</v>
      </c>
      <c r="E7939">
        <v>10.503</v>
      </c>
      <c r="F7939" t="s">
        <v>21</v>
      </c>
      <c r="G7939" t="s">
        <v>26</v>
      </c>
      <c r="H7939" t="s">
        <v>21</v>
      </c>
      <c r="I7939" t="s">
        <v>20</v>
      </c>
      <c r="J7939" t="s">
        <v>20</v>
      </c>
      <c r="K7939" t="s">
        <v>41</v>
      </c>
      <c r="L7939" t="s">
        <v>325</v>
      </c>
      <c r="M7939" t="s">
        <v>204</v>
      </c>
      <c r="N7939">
        <v>41.524071999999997</v>
      </c>
      <c r="O7939">
        <v>-111.162914</v>
      </c>
      <c r="P7939">
        <v>6289.6637899999996</v>
      </c>
      <c r="Q7939">
        <v>1334</v>
      </c>
      <c r="R7939">
        <v>0</v>
      </c>
    </row>
    <row r="7940" spans="1:18" x14ac:dyDescent="0.25">
      <c r="A7940">
        <v>6939</v>
      </c>
      <c r="B7940">
        <v>94</v>
      </c>
      <c r="C7940">
        <v>31302294</v>
      </c>
      <c r="D7940" t="s">
        <v>203</v>
      </c>
      <c r="E7940">
        <v>10.509</v>
      </c>
      <c r="F7940" t="s">
        <v>21</v>
      </c>
      <c r="G7940" t="s">
        <v>20</v>
      </c>
      <c r="H7940" t="s">
        <v>21</v>
      </c>
      <c r="I7940" t="s">
        <v>20</v>
      </c>
      <c r="J7940" t="s">
        <v>20</v>
      </c>
      <c r="K7940" t="s">
        <v>41</v>
      </c>
      <c r="L7940" t="s">
        <v>255</v>
      </c>
      <c r="M7940" t="s">
        <v>204</v>
      </c>
      <c r="N7940">
        <v>41.243253000000003</v>
      </c>
      <c r="O7940">
        <v>-111.896794</v>
      </c>
      <c r="P7940">
        <v>4597.8145999999997</v>
      </c>
      <c r="Q7940">
        <v>1349</v>
      </c>
      <c r="R7940">
        <v>0</v>
      </c>
    </row>
    <row r="7941" spans="1:18" x14ac:dyDescent="0.25">
      <c r="A7941">
        <v>6940</v>
      </c>
      <c r="B7941">
        <v>94</v>
      </c>
      <c r="C7941">
        <v>31528603</v>
      </c>
      <c r="D7941" t="s">
        <v>231</v>
      </c>
      <c r="E7941">
        <v>10.513</v>
      </c>
      <c r="F7941" t="s">
        <v>21</v>
      </c>
      <c r="G7941" t="s">
        <v>26</v>
      </c>
      <c r="H7941" t="s">
        <v>21</v>
      </c>
      <c r="I7941" t="s">
        <v>20</v>
      </c>
      <c r="J7941" t="s">
        <v>20</v>
      </c>
      <c r="K7941" t="s">
        <v>41</v>
      </c>
      <c r="L7941" t="s">
        <v>57</v>
      </c>
      <c r="M7941" t="s">
        <v>93</v>
      </c>
      <c r="N7941">
        <v>41.187530000000002</v>
      </c>
      <c r="O7941">
        <v>-112.025885</v>
      </c>
      <c r="P7941">
        <v>4422.2607939999998</v>
      </c>
      <c r="Q7941">
        <v>1409</v>
      </c>
      <c r="R7941">
        <v>0</v>
      </c>
    </row>
    <row r="7942" spans="1:18" x14ac:dyDescent="0.25">
      <c r="A7942">
        <v>6941</v>
      </c>
      <c r="B7942">
        <v>94</v>
      </c>
      <c r="C7942">
        <v>27416185</v>
      </c>
      <c r="D7942" t="s">
        <v>185</v>
      </c>
      <c r="E7942">
        <v>10.518000000000001</v>
      </c>
      <c r="F7942" t="s">
        <v>21</v>
      </c>
      <c r="G7942" t="s">
        <v>26</v>
      </c>
      <c r="H7942" t="s">
        <v>21</v>
      </c>
      <c r="I7942" t="s">
        <v>20</v>
      </c>
      <c r="J7942" t="s">
        <v>20</v>
      </c>
      <c r="K7942" t="s">
        <v>41</v>
      </c>
      <c r="L7942" t="s">
        <v>57</v>
      </c>
      <c r="M7942" t="s">
        <v>58</v>
      </c>
      <c r="N7942">
        <v>41.19079</v>
      </c>
      <c r="O7942">
        <v>-112.083521</v>
      </c>
      <c r="P7942">
        <v>4190.1182070000004</v>
      </c>
      <c r="Q7942">
        <v>309</v>
      </c>
      <c r="R7942">
        <v>0</v>
      </c>
    </row>
    <row r="7943" spans="1:18" x14ac:dyDescent="0.25">
      <c r="A7943">
        <v>6942</v>
      </c>
      <c r="B7943">
        <v>94</v>
      </c>
      <c r="C7943">
        <v>1056709</v>
      </c>
      <c r="D7943" t="s">
        <v>171</v>
      </c>
      <c r="E7943">
        <v>10.52</v>
      </c>
      <c r="F7943" t="s">
        <v>21</v>
      </c>
      <c r="G7943" t="s">
        <v>26</v>
      </c>
      <c r="H7943" t="s">
        <v>21</v>
      </c>
      <c r="I7943" t="s">
        <v>20</v>
      </c>
      <c r="J7943" t="s">
        <v>20</v>
      </c>
      <c r="K7943" t="s">
        <v>31</v>
      </c>
      <c r="L7943" t="s">
        <v>69</v>
      </c>
      <c r="M7943" t="s">
        <v>79</v>
      </c>
      <c r="N7943">
        <v>40.699793</v>
      </c>
      <c r="O7943">
        <v>-111.89225399999999</v>
      </c>
      <c r="P7943">
        <v>4195.9097019999999</v>
      </c>
      <c r="Q7943">
        <v>346</v>
      </c>
      <c r="R7943">
        <v>0</v>
      </c>
    </row>
    <row r="7944" spans="1:18" x14ac:dyDescent="0.25">
      <c r="A7944">
        <v>6943</v>
      </c>
      <c r="B7944">
        <v>94</v>
      </c>
      <c r="C7944">
        <v>27870053</v>
      </c>
      <c r="D7944" t="s">
        <v>91</v>
      </c>
      <c r="E7944">
        <v>10.523</v>
      </c>
      <c r="F7944" t="s">
        <v>21</v>
      </c>
      <c r="G7944" t="s">
        <v>26</v>
      </c>
      <c r="H7944" t="s">
        <v>21</v>
      </c>
      <c r="I7944" t="s">
        <v>20</v>
      </c>
      <c r="J7944" t="s">
        <v>20</v>
      </c>
      <c r="K7944" t="s">
        <v>41</v>
      </c>
      <c r="L7944" t="s">
        <v>42</v>
      </c>
      <c r="M7944" t="s">
        <v>73</v>
      </c>
      <c r="N7944">
        <v>41.757362999999998</v>
      </c>
      <c r="O7944">
        <v>-111.979416</v>
      </c>
      <c r="P7944">
        <v>4431.4044219999996</v>
      </c>
      <c r="Q7944">
        <v>1339</v>
      </c>
      <c r="R7944">
        <v>0</v>
      </c>
    </row>
    <row r="7945" spans="1:18" x14ac:dyDescent="0.25">
      <c r="A7945">
        <v>6944</v>
      </c>
      <c r="B7945">
        <v>94</v>
      </c>
      <c r="C7945">
        <v>31280488</v>
      </c>
      <c r="D7945" t="s">
        <v>347</v>
      </c>
      <c r="E7945">
        <v>10.009</v>
      </c>
      <c r="F7945" t="s">
        <v>21</v>
      </c>
      <c r="G7945" t="s">
        <v>26</v>
      </c>
      <c r="H7945" t="s">
        <v>21</v>
      </c>
      <c r="I7945" t="s">
        <v>20</v>
      </c>
      <c r="J7945" t="s">
        <v>20</v>
      </c>
      <c r="K7945" t="s">
        <v>41</v>
      </c>
      <c r="L7945" t="s">
        <v>325</v>
      </c>
      <c r="M7945" t="s">
        <v>204</v>
      </c>
      <c r="N7945">
        <v>41.517491999999997</v>
      </c>
      <c r="O7945">
        <v>-111.161365</v>
      </c>
      <c r="P7945">
        <v>6289.5147960000004</v>
      </c>
      <c r="Q7945">
        <v>1334</v>
      </c>
      <c r="R7945">
        <v>0</v>
      </c>
    </row>
    <row r="7946" spans="1:18" x14ac:dyDescent="0.25">
      <c r="A7946">
        <v>6945</v>
      </c>
      <c r="B7946">
        <v>94</v>
      </c>
      <c r="C7946">
        <v>1393714</v>
      </c>
      <c r="D7946" t="s">
        <v>100</v>
      </c>
      <c r="E7946">
        <v>10.016999999999999</v>
      </c>
      <c r="F7946" t="s">
        <v>19</v>
      </c>
      <c r="G7946" t="s">
        <v>20</v>
      </c>
      <c r="H7946" t="s">
        <v>21</v>
      </c>
      <c r="I7946" t="s">
        <v>20</v>
      </c>
      <c r="J7946" t="s">
        <v>20</v>
      </c>
      <c r="K7946" t="s">
        <v>41</v>
      </c>
      <c r="L7946" t="s">
        <v>57</v>
      </c>
      <c r="M7946" t="s">
        <v>46</v>
      </c>
      <c r="N7946">
        <v>41.176147999999998</v>
      </c>
      <c r="O7946">
        <v>-112.06446</v>
      </c>
      <c r="P7946">
        <v>4228.3600550000001</v>
      </c>
      <c r="Q7946">
        <v>1396</v>
      </c>
      <c r="R7946">
        <v>0</v>
      </c>
    </row>
    <row r="7947" spans="1:18" x14ac:dyDescent="0.25">
      <c r="A7947">
        <v>6946</v>
      </c>
      <c r="B7947">
        <v>94</v>
      </c>
      <c r="C7947">
        <v>27415541</v>
      </c>
      <c r="D7947" t="s">
        <v>185</v>
      </c>
      <c r="E7947">
        <v>10.023999999999999</v>
      </c>
      <c r="F7947" t="s">
        <v>19</v>
      </c>
      <c r="G7947" t="s">
        <v>20</v>
      </c>
      <c r="H7947" t="s">
        <v>19</v>
      </c>
      <c r="I7947">
        <v>134</v>
      </c>
      <c r="J7947" t="s">
        <v>20</v>
      </c>
      <c r="K7947" t="s">
        <v>41</v>
      </c>
      <c r="L7947" t="s">
        <v>57</v>
      </c>
      <c r="M7947" t="s">
        <v>58</v>
      </c>
      <c r="N7947">
        <v>41.190776999999997</v>
      </c>
      <c r="O7947">
        <v>-112.093024</v>
      </c>
      <c r="P7947">
        <v>4187.7656500000003</v>
      </c>
      <c r="Q7947">
        <v>309</v>
      </c>
      <c r="R7947">
        <v>0</v>
      </c>
    </row>
    <row r="7948" spans="1:18" x14ac:dyDescent="0.25">
      <c r="A7948">
        <v>6947</v>
      </c>
      <c r="B7948">
        <v>94</v>
      </c>
      <c r="C7948">
        <v>1148475</v>
      </c>
      <c r="D7948" t="s">
        <v>56</v>
      </c>
      <c r="E7948">
        <v>3.9529999999999998</v>
      </c>
      <c r="F7948" t="s">
        <v>21</v>
      </c>
      <c r="G7948" t="s">
        <v>26</v>
      </c>
      <c r="H7948" t="s">
        <v>21</v>
      </c>
      <c r="I7948" t="s">
        <v>20</v>
      </c>
      <c r="J7948" t="s">
        <v>20</v>
      </c>
      <c r="K7948" t="s">
        <v>41</v>
      </c>
      <c r="L7948" t="s">
        <v>57</v>
      </c>
      <c r="M7948" t="s">
        <v>58</v>
      </c>
      <c r="N7948">
        <v>41.161664000000002</v>
      </c>
      <c r="O7948">
        <v>-112.04783999999999</v>
      </c>
      <c r="P7948">
        <v>4329.3528020000003</v>
      </c>
      <c r="Q7948">
        <v>1459</v>
      </c>
      <c r="R7948">
        <v>0</v>
      </c>
    </row>
    <row r="7949" spans="1:18" x14ac:dyDescent="0.25">
      <c r="A7949">
        <v>6948</v>
      </c>
      <c r="B7949">
        <v>94</v>
      </c>
      <c r="C7949">
        <v>31400147</v>
      </c>
      <c r="D7949" t="s">
        <v>224</v>
      </c>
      <c r="E7949">
        <v>3.9569999999999999</v>
      </c>
      <c r="F7949" t="s">
        <v>21</v>
      </c>
      <c r="G7949" t="s">
        <v>26</v>
      </c>
      <c r="H7949" t="s">
        <v>21</v>
      </c>
      <c r="I7949" t="s">
        <v>20</v>
      </c>
      <c r="J7949" t="s">
        <v>20</v>
      </c>
      <c r="K7949" t="s">
        <v>22</v>
      </c>
      <c r="L7949" t="s">
        <v>198</v>
      </c>
      <c r="M7949" t="s">
        <v>194</v>
      </c>
      <c r="N7949">
        <v>40.026404999999997</v>
      </c>
      <c r="O7949">
        <v>-111.74084999999999</v>
      </c>
      <c r="P7949">
        <v>4690.9527619999999</v>
      </c>
      <c r="Q7949">
        <v>408</v>
      </c>
      <c r="R7949">
        <v>0</v>
      </c>
    </row>
    <row r="7950" spans="1:18" x14ac:dyDescent="0.25">
      <c r="A7950">
        <v>6949</v>
      </c>
      <c r="B7950">
        <v>94</v>
      </c>
      <c r="C7950">
        <v>31799025</v>
      </c>
      <c r="D7950" t="s">
        <v>61</v>
      </c>
      <c r="E7950">
        <v>3.9580000000000002</v>
      </c>
      <c r="F7950" t="s">
        <v>19</v>
      </c>
      <c r="G7950" t="s">
        <v>20</v>
      </c>
      <c r="H7950" t="s">
        <v>21</v>
      </c>
      <c r="I7950" t="s">
        <v>20</v>
      </c>
      <c r="J7950" t="s">
        <v>20</v>
      </c>
      <c r="K7950" t="s">
        <v>22</v>
      </c>
      <c r="L7950" t="s">
        <v>60</v>
      </c>
      <c r="M7950" t="s">
        <v>62</v>
      </c>
      <c r="N7950">
        <v>40.263368</v>
      </c>
      <c r="O7950">
        <v>-111.658568</v>
      </c>
      <c r="P7950">
        <v>4605.1339360000002</v>
      </c>
      <c r="Q7950">
        <v>403</v>
      </c>
      <c r="R7950">
        <v>0</v>
      </c>
    </row>
    <row r="7951" spans="1:18" x14ac:dyDescent="0.25">
      <c r="A7951">
        <v>6950</v>
      </c>
      <c r="B7951">
        <v>94</v>
      </c>
      <c r="C7951">
        <v>776740</v>
      </c>
      <c r="D7951" t="s">
        <v>68</v>
      </c>
      <c r="E7951">
        <v>3.9620000000000002</v>
      </c>
      <c r="F7951" t="s">
        <v>21</v>
      </c>
      <c r="G7951" t="s">
        <v>26</v>
      </c>
      <c r="H7951" t="s">
        <v>21</v>
      </c>
      <c r="I7951" t="s">
        <v>20</v>
      </c>
      <c r="J7951" t="s">
        <v>20</v>
      </c>
      <c r="K7951" t="s">
        <v>31</v>
      </c>
      <c r="L7951" t="s">
        <v>69</v>
      </c>
      <c r="M7951" t="s">
        <v>70</v>
      </c>
      <c r="N7951">
        <v>40.674331000000002</v>
      </c>
      <c r="O7951">
        <v>-111.88018099999999</v>
      </c>
      <c r="P7951">
        <v>4221.4900850000004</v>
      </c>
      <c r="Q7951">
        <v>431</v>
      </c>
      <c r="R7951">
        <v>0</v>
      </c>
    </row>
    <row r="7952" spans="1:18" x14ac:dyDescent="0.25">
      <c r="A7952">
        <v>6951</v>
      </c>
      <c r="B7952">
        <v>94</v>
      </c>
      <c r="C7952">
        <v>31377233</v>
      </c>
      <c r="D7952" t="s">
        <v>142</v>
      </c>
      <c r="E7952">
        <v>107.295</v>
      </c>
      <c r="F7952" t="s">
        <v>21</v>
      </c>
      <c r="G7952" t="s">
        <v>26</v>
      </c>
      <c r="H7952" t="s">
        <v>21</v>
      </c>
      <c r="I7952" t="s">
        <v>20</v>
      </c>
      <c r="J7952" t="s">
        <v>20</v>
      </c>
      <c r="K7952" t="s">
        <v>27</v>
      </c>
      <c r="L7952" t="s">
        <v>103</v>
      </c>
      <c r="M7952" t="s">
        <v>106</v>
      </c>
      <c r="N7952">
        <v>38.274149999999999</v>
      </c>
      <c r="O7952">
        <v>-112.64651499999999</v>
      </c>
      <c r="P7952">
        <v>5804.3047210000004</v>
      </c>
      <c r="Q7952">
        <v>305</v>
      </c>
      <c r="R7952">
        <v>0</v>
      </c>
    </row>
    <row r="7953" spans="1:18" x14ac:dyDescent="0.25">
      <c r="A7953">
        <v>6952</v>
      </c>
      <c r="B7953">
        <v>94</v>
      </c>
      <c r="C7953">
        <v>31847779</v>
      </c>
      <c r="D7953" t="s">
        <v>290</v>
      </c>
      <c r="E7953">
        <v>107.373</v>
      </c>
      <c r="F7953" t="s">
        <v>21</v>
      </c>
      <c r="G7953" t="s">
        <v>20</v>
      </c>
      <c r="H7953" t="s">
        <v>21</v>
      </c>
      <c r="I7953" t="s">
        <v>20</v>
      </c>
      <c r="J7953" t="s">
        <v>20</v>
      </c>
      <c r="K7953" t="s">
        <v>41</v>
      </c>
      <c r="L7953" t="s">
        <v>95</v>
      </c>
      <c r="M7953" t="s">
        <v>152</v>
      </c>
      <c r="N7953">
        <v>41.735993999999998</v>
      </c>
      <c r="O7953">
        <v>-111.884676</v>
      </c>
      <c r="P7953">
        <v>4383.2168529999999</v>
      </c>
      <c r="Q7953">
        <v>1343</v>
      </c>
      <c r="R7953">
        <v>0</v>
      </c>
    </row>
    <row r="7954" spans="1:18" x14ac:dyDescent="0.25">
      <c r="A7954">
        <v>6953</v>
      </c>
      <c r="B7954">
        <v>94</v>
      </c>
      <c r="C7954">
        <v>31377244</v>
      </c>
      <c r="D7954" t="s">
        <v>142</v>
      </c>
      <c r="E7954">
        <v>107.39</v>
      </c>
      <c r="F7954" t="s">
        <v>21</v>
      </c>
      <c r="G7954" t="s">
        <v>26</v>
      </c>
      <c r="H7954" t="s">
        <v>21</v>
      </c>
      <c r="I7954" t="s">
        <v>20</v>
      </c>
      <c r="J7954" t="s">
        <v>20</v>
      </c>
      <c r="K7954" t="s">
        <v>27</v>
      </c>
      <c r="L7954" t="s">
        <v>103</v>
      </c>
      <c r="M7954" t="s">
        <v>106</v>
      </c>
      <c r="N7954">
        <v>38.274158</v>
      </c>
      <c r="O7954">
        <v>-112.644744</v>
      </c>
      <c r="P7954">
        <v>5811.5176499999998</v>
      </c>
      <c r="Q7954">
        <v>305</v>
      </c>
      <c r="R7954">
        <v>0</v>
      </c>
    </row>
    <row r="7955" spans="1:18" x14ac:dyDescent="0.25">
      <c r="A7955">
        <v>6954</v>
      </c>
      <c r="B7955">
        <v>94</v>
      </c>
      <c r="C7955">
        <v>31904030</v>
      </c>
      <c r="D7955" t="s">
        <v>272</v>
      </c>
      <c r="E7955">
        <v>107.461</v>
      </c>
      <c r="F7955" t="s">
        <v>21</v>
      </c>
      <c r="G7955" t="s">
        <v>20</v>
      </c>
      <c r="H7955" t="s">
        <v>21</v>
      </c>
      <c r="I7955" t="s">
        <v>20</v>
      </c>
      <c r="J7955" t="s">
        <v>20</v>
      </c>
      <c r="K7955" t="s">
        <v>27</v>
      </c>
      <c r="L7955" t="s">
        <v>279</v>
      </c>
      <c r="M7955" t="s">
        <v>214</v>
      </c>
      <c r="N7955">
        <v>37.537953000000002</v>
      </c>
      <c r="O7955">
        <v>-112.487235</v>
      </c>
      <c r="P7955">
        <v>7083.5573610000001</v>
      </c>
      <c r="Q7955">
        <v>1384</v>
      </c>
      <c r="R7955">
        <v>0</v>
      </c>
    </row>
    <row r="7956" spans="1:18" x14ac:dyDescent="0.25">
      <c r="A7956">
        <v>6955</v>
      </c>
      <c r="B7956">
        <v>94</v>
      </c>
      <c r="C7956">
        <v>31377355</v>
      </c>
      <c r="D7956" t="s">
        <v>142</v>
      </c>
      <c r="E7956">
        <v>107.482</v>
      </c>
      <c r="F7956" t="s">
        <v>21</v>
      </c>
      <c r="G7956" t="s">
        <v>26</v>
      </c>
      <c r="H7956" t="s">
        <v>21</v>
      </c>
      <c r="I7956" t="s">
        <v>20</v>
      </c>
      <c r="J7956" t="s">
        <v>20</v>
      </c>
      <c r="K7956" t="s">
        <v>27</v>
      </c>
      <c r="L7956" t="s">
        <v>103</v>
      </c>
      <c r="M7956" t="s">
        <v>106</v>
      </c>
      <c r="N7956">
        <v>38.274166999999998</v>
      </c>
      <c r="O7956">
        <v>-112.64298100000001</v>
      </c>
      <c r="P7956">
        <v>5816.2157960000004</v>
      </c>
      <c r="Q7956">
        <v>305</v>
      </c>
      <c r="R7956">
        <v>0</v>
      </c>
    </row>
    <row r="7957" spans="1:18" x14ac:dyDescent="0.25">
      <c r="A7957">
        <v>6956</v>
      </c>
      <c r="B7957">
        <v>94</v>
      </c>
      <c r="C7957">
        <v>31564732</v>
      </c>
      <c r="D7957" t="s">
        <v>213</v>
      </c>
      <c r="E7957">
        <v>107.52</v>
      </c>
      <c r="F7957" t="s">
        <v>21</v>
      </c>
      <c r="G7957" t="s">
        <v>20</v>
      </c>
      <c r="H7957" t="s">
        <v>21</v>
      </c>
      <c r="I7957" t="s">
        <v>20</v>
      </c>
      <c r="J7957" t="s">
        <v>20</v>
      </c>
      <c r="K7957" t="s">
        <v>22</v>
      </c>
      <c r="L7957" t="s">
        <v>193</v>
      </c>
      <c r="M7957" t="s">
        <v>214</v>
      </c>
      <c r="N7957">
        <v>39.553887000000003</v>
      </c>
      <c r="O7957">
        <v>-112.354339</v>
      </c>
      <c r="P7957">
        <v>4734.163571</v>
      </c>
      <c r="Q7957">
        <v>1332</v>
      </c>
      <c r="R7957">
        <v>0</v>
      </c>
    </row>
    <row r="7958" spans="1:18" x14ac:dyDescent="0.25">
      <c r="A7958">
        <v>6957</v>
      </c>
      <c r="B7958">
        <v>94</v>
      </c>
      <c r="C7958">
        <v>31377366</v>
      </c>
      <c r="D7958" t="s">
        <v>142</v>
      </c>
      <c r="E7958">
        <v>107.571</v>
      </c>
      <c r="F7958" t="s">
        <v>19</v>
      </c>
      <c r="G7958" t="s">
        <v>20</v>
      </c>
      <c r="H7958" t="s">
        <v>19</v>
      </c>
      <c r="I7958">
        <v>160</v>
      </c>
      <c r="J7958" t="s">
        <v>20</v>
      </c>
      <c r="K7958" t="s">
        <v>27</v>
      </c>
      <c r="L7958" t="s">
        <v>103</v>
      </c>
      <c r="M7958" t="s">
        <v>106</v>
      </c>
      <c r="N7958">
        <v>38.274177000000002</v>
      </c>
      <c r="O7958">
        <v>-112.64124200000001</v>
      </c>
      <c r="P7958">
        <v>5822.094658</v>
      </c>
      <c r="Q7958">
        <v>305</v>
      </c>
      <c r="R7958">
        <v>0</v>
      </c>
    </row>
    <row r="7959" spans="1:18" x14ac:dyDescent="0.25">
      <c r="A7959">
        <v>6958</v>
      </c>
      <c r="B7959">
        <v>94</v>
      </c>
      <c r="C7959">
        <v>31483607</v>
      </c>
      <c r="D7959" t="s">
        <v>320</v>
      </c>
      <c r="E7959">
        <v>107.599</v>
      </c>
      <c r="F7959" t="s">
        <v>21</v>
      </c>
      <c r="G7959" t="s">
        <v>26</v>
      </c>
      <c r="H7959" t="s">
        <v>19</v>
      </c>
      <c r="I7959">
        <v>100</v>
      </c>
      <c r="J7959" t="s">
        <v>20</v>
      </c>
      <c r="K7959" t="s">
        <v>27</v>
      </c>
      <c r="L7959" t="s">
        <v>173</v>
      </c>
      <c r="M7959" t="s">
        <v>166</v>
      </c>
      <c r="N7959">
        <v>39.156368999999998</v>
      </c>
      <c r="O7959">
        <v>-112.408913</v>
      </c>
      <c r="P7959">
        <v>4627.1300380000002</v>
      </c>
      <c r="Q7959">
        <v>1356</v>
      </c>
      <c r="R7959">
        <v>0</v>
      </c>
    </row>
    <row r="7960" spans="1:18" x14ac:dyDescent="0.25">
      <c r="A7960">
        <v>6959</v>
      </c>
      <c r="B7960">
        <v>94</v>
      </c>
      <c r="C7960">
        <v>31792547</v>
      </c>
      <c r="D7960" t="s">
        <v>118</v>
      </c>
      <c r="E7960">
        <v>107.613</v>
      </c>
      <c r="F7960" t="s">
        <v>21</v>
      </c>
      <c r="G7960" t="s">
        <v>26</v>
      </c>
      <c r="H7960" t="s">
        <v>21</v>
      </c>
      <c r="I7960" t="s">
        <v>20</v>
      </c>
      <c r="J7960" t="s">
        <v>20</v>
      </c>
      <c r="K7960" t="s">
        <v>22</v>
      </c>
      <c r="L7960" t="s">
        <v>133</v>
      </c>
      <c r="M7960" t="s">
        <v>169</v>
      </c>
      <c r="N7960">
        <v>40.233021000000001</v>
      </c>
      <c r="O7960">
        <v>-110.06739899999999</v>
      </c>
      <c r="P7960">
        <v>5271.4781759999996</v>
      </c>
      <c r="Q7960">
        <v>310</v>
      </c>
      <c r="R7960">
        <v>0</v>
      </c>
    </row>
    <row r="7961" spans="1:18" x14ac:dyDescent="0.25">
      <c r="A7961">
        <v>6960</v>
      </c>
      <c r="B7961">
        <v>94</v>
      </c>
      <c r="C7961">
        <v>31793309</v>
      </c>
      <c r="D7961" t="s">
        <v>290</v>
      </c>
      <c r="E7961">
        <v>107.63200000000001</v>
      </c>
      <c r="F7961" t="s">
        <v>21</v>
      </c>
      <c r="G7961" t="s">
        <v>26</v>
      </c>
      <c r="H7961" t="s">
        <v>21</v>
      </c>
      <c r="I7961" t="s">
        <v>20</v>
      </c>
      <c r="J7961" t="s">
        <v>20</v>
      </c>
      <c r="K7961" t="s">
        <v>41</v>
      </c>
      <c r="L7961" t="s">
        <v>95</v>
      </c>
      <c r="M7961" t="s">
        <v>152</v>
      </c>
      <c r="N7961">
        <v>41.735917999999998</v>
      </c>
      <c r="O7961">
        <v>-111.879628</v>
      </c>
      <c r="P7961">
        <v>4382.8597659999996</v>
      </c>
      <c r="Q7961">
        <v>1343</v>
      </c>
      <c r="R7961">
        <v>0</v>
      </c>
    </row>
    <row r="7962" spans="1:18" x14ac:dyDescent="0.25">
      <c r="A7962">
        <v>6961</v>
      </c>
      <c r="B7962">
        <v>94</v>
      </c>
      <c r="C7962">
        <v>31793758</v>
      </c>
      <c r="D7962" t="s">
        <v>118</v>
      </c>
      <c r="E7962">
        <v>107.685</v>
      </c>
      <c r="F7962" t="s">
        <v>21</v>
      </c>
      <c r="G7962" t="s">
        <v>26</v>
      </c>
      <c r="H7962" t="s">
        <v>21</v>
      </c>
      <c r="I7962" t="s">
        <v>20</v>
      </c>
      <c r="J7962" t="s">
        <v>20</v>
      </c>
      <c r="K7962" t="s">
        <v>22</v>
      </c>
      <c r="L7962" t="s">
        <v>133</v>
      </c>
      <c r="M7962" t="s">
        <v>169</v>
      </c>
      <c r="N7962">
        <v>40.234051999999998</v>
      </c>
      <c r="O7962">
        <v>-110.067435</v>
      </c>
      <c r="P7962">
        <v>5278.7196459999996</v>
      </c>
      <c r="Q7962">
        <v>310</v>
      </c>
      <c r="R7962">
        <v>0</v>
      </c>
    </row>
    <row r="7963" spans="1:18" x14ac:dyDescent="0.25">
      <c r="A7963">
        <v>6962</v>
      </c>
      <c r="B7963">
        <v>94</v>
      </c>
      <c r="C7963">
        <v>31793769</v>
      </c>
      <c r="D7963" t="s">
        <v>118</v>
      </c>
      <c r="E7963">
        <v>108.048</v>
      </c>
      <c r="F7963" t="s">
        <v>21</v>
      </c>
      <c r="G7963" t="s">
        <v>20</v>
      </c>
      <c r="H7963" t="s">
        <v>21</v>
      </c>
      <c r="I7963" t="s">
        <v>20</v>
      </c>
      <c r="J7963" t="s">
        <v>20</v>
      </c>
      <c r="K7963" t="s">
        <v>22</v>
      </c>
      <c r="L7963" t="s">
        <v>133</v>
      </c>
      <c r="M7963" t="s">
        <v>169</v>
      </c>
      <c r="N7963">
        <v>40.239339000000001</v>
      </c>
      <c r="O7963">
        <v>-110.067436</v>
      </c>
      <c r="P7963">
        <v>5274.3677239999997</v>
      </c>
      <c r="Q7963">
        <v>310</v>
      </c>
      <c r="R7963">
        <v>0</v>
      </c>
    </row>
    <row r="7964" spans="1:18" x14ac:dyDescent="0.25">
      <c r="A7964">
        <v>6963</v>
      </c>
      <c r="B7964">
        <v>94</v>
      </c>
      <c r="C7964">
        <v>31793320</v>
      </c>
      <c r="D7964" t="s">
        <v>290</v>
      </c>
      <c r="E7964">
        <v>108.148</v>
      </c>
      <c r="F7964" t="s">
        <v>21</v>
      </c>
      <c r="G7964" t="s">
        <v>26</v>
      </c>
      <c r="H7964" t="s">
        <v>21</v>
      </c>
      <c r="I7964" t="s">
        <v>20</v>
      </c>
      <c r="J7964" t="s">
        <v>20</v>
      </c>
      <c r="K7964" t="s">
        <v>41</v>
      </c>
      <c r="L7964" t="s">
        <v>95</v>
      </c>
      <c r="M7964" t="s">
        <v>152</v>
      </c>
      <c r="N7964">
        <v>41.735785999999997</v>
      </c>
      <c r="O7964">
        <v>-111.86959</v>
      </c>
      <c r="P7964">
        <v>4391.5772919999999</v>
      </c>
      <c r="Q7964">
        <v>1343</v>
      </c>
      <c r="R7964">
        <v>0</v>
      </c>
    </row>
    <row r="7965" spans="1:18" x14ac:dyDescent="0.25">
      <c r="A7965">
        <v>6964</v>
      </c>
      <c r="B7965">
        <v>94</v>
      </c>
      <c r="C7965">
        <v>31904041</v>
      </c>
      <c r="D7965" t="s">
        <v>272</v>
      </c>
      <c r="E7965">
        <v>108.273</v>
      </c>
      <c r="F7965" t="s">
        <v>21</v>
      </c>
      <c r="G7965" t="s">
        <v>26</v>
      </c>
      <c r="H7965" t="s">
        <v>21</v>
      </c>
      <c r="I7965" t="s">
        <v>20</v>
      </c>
      <c r="J7965" t="s">
        <v>20</v>
      </c>
      <c r="K7965" t="s">
        <v>27</v>
      </c>
      <c r="L7965" t="s">
        <v>279</v>
      </c>
      <c r="M7965" t="s">
        <v>214</v>
      </c>
      <c r="N7965">
        <v>37.549778000000003</v>
      </c>
      <c r="O7965">
        <v>-112.48772</v>
      </c>
      <c r="P7965">
        <v>7044.2389350000003</v>
      </c>
      <c r="Q7965">
        <v>1384</v>
      </c>
      <c r="R7965">
        <v>0</v>
      </c>
    </row>
    <row r="7966" spans="1:18" x14ac:dyDescent="0.25">
      <c r="A7966">
        <v>6965</v>
      </c>
      <c r="B7966">
        <v>94</v>
      </c>
      <c r="C7966">
        <v>31793780</v>
      </c>
      <c r="D7966" t="s">
        <v>118</v>
      </c>
      <c r="E7966">
        <v>108.374</v>
      </c>
      <c r="F7966" t="s">
        <v>21</v>
      </c>
      <c r="G7966" t="s">
        <v>26</v>
      </c>
      <c r="H7966" t="s">
        <v>21</v>
      </c>
      <c r="I7966" t="s">
        <v>20</v>
      </c>
      <c r="J7966" t="s">
        <v>20</v>
      </c>
      <c r="K7966" t="s">
        <v>22</v>
      </c>
      <c r="L7966" t="s">
        <v>133</v>
      </c>
      <c r="M7966" t="s">
        <v>169</v>
      </c>
      <c r="N7966">
        <v>40.244073</v>
      </c>
      <c r="O7966">
        <v>-110.067421</v>
      </c>
      <c r="P7966">
        <v>5280.1665149999999</v>
      </c>
      <c r="Q7966">
        <v>310</v>
      </c>
      <c r="R7966">
        <v>0</v>
      </c>
    </row>
    <row r="7967" spans="1:18" x14ac:dyDescent="0.25">
      <c r="A7967">
        <v>6966</v>
      </c>
      <c r="B7967">
        <v>94</v>
      </c>
      <c r="C7967">
        <v>31847790</v>
      </c>
      <c r="D7967" t="s">
        <v>290</v>
      </c>
      <c r="E7967">
        <v>108.392</v>
      </c>
      <c r="F7967" t="s">
        <v>21</v>
      </c>
      <c r="G7967" t="s">
        <v>26</v>
      </c>
      <c r="H7967" t="s">
        <v>21</v>
      </c>
      <c r="I7967" t="s">
        <v>20</v>
      </c>
      <c r="J7967" t="s">
        <v>20</v>
      </c>
      <c r="K7967" t="s">
        <v>41</v>
      </c>
      <c r="L7967" t="s">
        <v>95</v>
      </c>
      <c r="M7967" t="s">
        <v>152</v>
      </c>
      <c r="N7967">
        <v>41.735731000000001</v>
      </c>
      <c r="O7967">
        <v>-111.86485500000001</v>
      </c>
      <c r="P7967">
        <v>4396.9695190000002</v>
      </c>
      <c r="Q7967">
        <v>1343</v>
      </c>
      <c r="R7967">
        <v>0</v>
      </c>
    </row>
    <row r="7968" spans="1:18" x14ac:dyDescent="0.25">
      <c r="A7968">
        <v>6967</v>
      </c>
      <c r="B7968">
        <v>94</v>
      </c>
      <c r="C7968">
        <v>31483618</v>
      </c>
      <c r="D7968" t="s">
        <v>320</v>
      </c>
      <c r="E7968">
        <v>108.48</v>
      </c>
      <c r="F7968" t="s">
        <v>21</v>
      </c>
      <c r="G7968" t="s">
        <v>26</v>
      </c>
      <c r="H7968" t="s">
        <v>21</v>
      </c>
      <c r="I7968" t="s">
        <v>20</v>
      </c>
      <c r="J7968" t="s">
        <v>20</v>
      </c>
      <c r="K7968" t="s">
        <v>27</v>
      </c>
      <c r="L7968" t="s">
        <v>202</v>
      </c>
      <c r="M7968" t="s">
        <v>166</v>
      </c>
      <c r="N7968">
        <v>39.149619999999999</v>
      </c>
      <c r="O7968">
        <v>-112.395031</v>
      </c>
      <c r="P7968">
        <v>4650.0368980000003</v>
      </c>
      <c r="Q7968">
        <v>1356</v>
      </c>
      <c r="R7968">
        <v>0</v>
      </c>
    </row>
    <row r="7969" spans="1:18" x14ac:dyDescent="0.25">
      <c r="A7969">
        <v>6968</v>
      </c>
      <c r="B7969">
        <v>94</v>
      </c>
      <c r="C7969">
        <v>31793791</v>
      </c>
      <c r="D7969" t="s">
        <v>118</v>
      </c>
      <c r="E7969">
        <v>108.54</v>
      </c>
      <c r="F7969" t="s">
        <v>21</v>
      </c>
      <c r="G7969" t="s">
        <v>26</v>
      </c>
      <c r="H7969" t="s">
        <v>21</v>
      </c>
      <c r="I7969" t="s">
        <v>20</v>
      </c>
      <c r="J7969" t="s">
        <v>20</v>
      </c>
      <c r="K7969" t="s">
        <v>22</v>
      </c>
      <c r="L7969" t="s">
        <v>133</v>
      </c>
      <c r="M7969" t="s">
        <v>169</v>
      </c>
      <c r="N7969">
        <v>40.246482999999998</v>
      </c>
      <c r="O7969">
        <v>-110.06743400000001</v>
      </c>
      <c r="P7969">
        <v>5283.8133470000002</v>
      </c>
      <c r="Q7969">
        <v>310</v>
      </c>
      <c r="R7969">
        <v>0</v>
      </c>
    </row>
    <row r="7970" spans="1:18" x14ac:dyDescent="0.25">
      <c r="A7970">
        <v>6969</v>
      </c>
      <c r="B7970">
        <v>94</v>
      </c>
      <c r="C7970">
        <v>1263408</v>
      </c>
      <c r="D7970" t="s">
        <v>128</v>
      </c>
      <c r="E7970">
        <v>1.96</v>
      </c>
      <c r="F7970" t="s">
        <v>21</v>
      </c>
      <c r="G7970" t="s">
        <v>26</v>
      </c>
      <c r="H7970" t="s">
        <v>21</v>
      </c>
      <c r="I7970" t="s">
        <v>20</v>
      </c>
      <c r="J7970" t="s">
        <v>20</v>
      </c>
      <c r="K7970" t="s">
        <v>41</v>
      </c>
      <c r="L7970" t="s">
        <v>42</v>
      </c>
      <c r="M7970" t="s">
        <v>73</v>
      </c>
      <c r="N7970">
        <v>41.725966</v>
      </c>
      <c r="O7970">
        <v>-111.859965</v>
      </c>
      <c r="P7970">
        <v>4409.2609540000003</v>
      </c>
      <c r="Q7970">
        <v>5943</v>
      </c>
      <c r="R7970">
        <v>0</v>
      </c>
    </row>
    <row r="7971" spans="1:18" x14ac:dyDescent="0.25">
      <c r="A7971">
        <v>6970</v>
      </c>
      <c r="B7971">
        <v>94</v>
      </c>
      <c r="C7971">
        <v>31584387</v>
      </c>
      <c r="D7971" t="s">
        <v>271</v>
      </c>
      <c r="E7971">
        <v>6.7480000000000002</v>
      </c>
      <c r="F7971" t="s">
        <v>21</v>
      </c>
      <c r="G7971" t="s">
        <v>26</v>
      </c>
      <c r="H7971" t="s">
        <v>21</v>
      </c>
      <c r="I7971" t="s">
        <v>20</v>
      </c>
      <c r="J7971" t="s">
        <v>20</v>
      </c>
      <c r="K7971" t="s">
        <v>31</v>
      </c>
      <c r="L7971" t="s">
        <v>282</v>
      </c>
      <c r="M7971" t="s">
        <v>24</v>
      </c>
      <c r="N7971">
        <v>40.324644999999997</v>
      </c>
      <c r="O7971">
        <v>-112.288346</v>
      </c>
      <c r="P7971">
        <v>5528.8926270000002</v>
      </c>
      <c r="Q7971">
        <v>1372</v>
      </c>
      <c r="R7971">
        <v>0</v>
      </c>
    </row>
    <row r="7972" spans="1:18" x14ac:dyDescent="0.25">
      <c r="A7972">
        <v>6971</v>
      </c>
      <c r="B7972">
        <v>94</v>
      </c>
      <c r="C7972">
        <v>31364710</v>
      </c>
      <c r="D7972" t="s">
        <v>343</v>
      </c>
      <c r="E7972">
        <v>6.7530000000000001</v>
      </c>
      <c r="F7972" t="s">
        <v>21</v>
      </c>
      <c r="G7972" t="s">
        <v>26</v>
      </c>
      <c r="H7972" t="s">
        <v>21</v>
      </c>
      <c r="I7972" t="s">
        <v>20</v>
      </c>
      <c r="J7972" t="s">
        <v>20</v>
      </c>
      <c r="K7972" t="s">
        <v>27</v>
      </c>
      <c r="L7972" t="s">
        <v>230</v>
      </c>
      <c r="M7972" t="s">
        <v>82</v>
      </c>
      <c r="N7972">
        <v>39.546762000000001</v>
      </c>
      <c r="O7972">
        <v>-111.46106899999999</v>
      </c>
      <c r="P7972">
        <v>5821.3725860000004</v>
      </c>
      <c r="Q7972">
        <v>1402</v>
      </c>
      <c r="R7972">
        <v>0</v>
      </c>
    </row>
    <row r="7973" spans="1:18" x14ac:dyDescent="0.25">
      <c r="A7973">
        <v>6972</v>
      </c>
      <c r="B7973">
        <v>94</v>
      </c>
      <c r="C7973">
        <v>31192113</v>
      </c>
      <c r="D7973" t="s">
        <v>339</v>
      </c>
      <c r="E7973">
        <v>6.7610000000000001</v>
      </c>
      <c r="F7973" t="s">
        <v>21</v>
      </c>
      <c r="G7973" t="s">
        <v>26</v>
      </c>
      <c r="H7973" t="s">
        <v>21</v>
      </c>
      <c r="I7973" t="s">
        <v>20</v>
      </c>
      <c r="J7973" t="s">
        <v>20</v>
      </c>
      <c r="K7973" t="s">
        <v>41</v>
      </c>
      <c r="L7973" t="s">
        <v>95</v>
      </c>
      <c r="M7973" t="s">
        <v>73</v>
      </c>
      <c r="N7973">
        <v>41.919195000000002</v>
      </c>
      <c r="O7973">
        <v>-112.010789</v>
      </c>
      <c r="P7973">
        <v>4749.2097009999998</v>
      </c>
      <c r="Q7973">
        <v>1417</v>
      </c>
      <c r="R7973">
        <v>0</v>
      </c>
    </row>
    <row r="7974" spans="1:18" x14ac:dyDescent="0.25">
      <c r="A7974">
        <v>6973</v>
      </c>
      <c r="B7974">
        <v>94</v>
      </c>
      <c r="C7974">
        <v>567348</v>
      </c>
      <c r="D7974" t="s">
        <v>115</v>
      </c>
      <c r="E7974">
        <v>6.766</v>
      </c>
      <c r="F7974" t="s">
        <v>19</v>
      </c>
      <c r="G7974" t="s">
        <v>20</v>
      </c>
      <c r="H7974" t="s">
        <v>21</v>
      </c>
      <c r="I7974" t="s">
        <v>20</v>
      </c>
      <c r="J7974" t="s">
        <v>20</v>
      </c>
      <c r="K7974" t="s">
        <v>31</v>
      </c>
      <c r="L7974" t="s">
        <v>48</v>
      </c>
      <c r="M7974" t="s">
        <v>70</v>
      </c>
      <c r="N7974">
        <v>40.653117000000002</v>
      </c>
      <c r="O7974">
        <v>-111.948365</v>
      </c>
      <c r="P7974">
        <v>4296.685211</v>
      </c>
      <c r="Q7974">
        <v>1437</v>
      </c>
      <c r="R7974">
        <v>0</v>
      </c>
    </row>
    <row r="7975" spans="1:18" x14ac:dyDescent="0.25">
      <c r="A7975">
        <v>6974</v>
      </c>
      <c r="B7975">
        <v>94</v>
      </c>
      <c r="C7975">
        <v>31717803</v>
      </c>
      <c r="D7975" t="s">
        <v>244</v>
      </c>
      <c r="E7975">
        <v>69.685000000000002</v>
      </c>
      <c r="F7975" t="s">
        <v>21</v>
      </c>
      <c r="G7975" t="s">
        <v>26</v>
      </c>
      <c r="H7975" t="s">
        <v>21</v>
      </c>
      <c r="I7975" t="s">
        <v>20</v>
      </c>
      <c r="J7975" t="s">
        <v>20</v>
      </c>
      <c r="K7975" t="s">
        <v>27</v>
      </c>
      <c r="L7975" t="s">
        <v>266</v>
      </c>
      <c r="M7975" t="s">
        <v>270</v>
      </c>
      <c r="N7975">
        <v>38.29795</v>
      </c>
      <c r="O7975">
        <v>-111.39944199999999</v>
      </c>
      <c r="P7975">
        <v>6787.8617240000003</v>
      </c>
      <c r="Q7975">
        <v>1340</v>
      </c>
      <c r="R7975">
        <v>0</v>
      </c>
    </row>
    <row r="7976" spans="1:18" x14ac:dyDescent="0.25">
      <c r="A7976">
        <v>6975</v>
      </c>
      <c r="B7976">
        <v>94</v>
      </c>
      <c r="C7976">
        <v>31516420</v>
      </c>
      <c r="D7976" t="s">
        <v>124</v>
      </c>
      <c r="E7976">
        <v>69.739999999999995</v>
      </c>
      <c r="F7976" t="s">
        <v>21</v>
      </c>
      <c r="G7976" t="s">
        <v>26</v>
      </c>
      <c r="H7976" t="s">
        <v>21</v>
      </c>
      <c r="I7976" t="s">
        <v>20</v>
      </c>
      <c r="J7976" t="s">
        <v>20</v>
      </c>
      <c r="K7976" t="s">
        <v>41</v>
      </c>
      <c r="L7976" t="s">
        <v>45</v>
      </c>
      <c r="M7976" t="s">
        <v>365</v>
      </c>
      <c r="N7976">
        <v>40.881535</v>
      </c>
      <c r="O7976">
        <v>-111.88564700000001</v>
      </c>
      <c r="P7976">
        <v>4328.5446869999996</v>
      </c>
      <c r="Q7976">
        <v>1368</v>
      </c>
      <c r="R7976">
        <v>0</v>
      </c>
    </row>
    <row r="7977" spans="1:18" x14ac:dyDescent="0.25">
      <c r="A7977">
        <v>6976</v>
      </c>
      <c r="B7977">
        <v>94</v>
      </c>
      <c r="C7977" t="s">
        <v>920</v>
      </c>
      <c r="D7977" t="s">
        <v>213</v>
      </c>
      <c r="E7977">
        <v>69.748000000000005</v>
      </c>
      <c r="F7977" t="s">
        <v>21</v>
      </c>
      <c r="G7977" t="s">
        <v>20</v>
      </c>
      <c r="H7977" t="s">
        <v>21</v>
      </c>
      <c r="I7977" t="s">
        <v>20</v>
      </c>
      <c r="J7977" t="s">
        <v>20</v>
      </c>
      <c r="K7977" t="s">
        <v>27</v>
      </c>
      <c r="L7977" t="s">
        <v>173</v>
      </c>
      <c r="M7977" t="s">
        <v>214</v>
      </c>
      <c r="N7977">
        <v>39.255789999999998</v>
      </c>
      <c r="O7977">
        <v>-112.888082</v>
      </c>
      <c r="P7977">
        <v>4494.8470900000002</v>
      </c>
      <c r="Q7977">
        <v>1332</v>
      </c>
      <c r="R7977">
        <v>0</v>
      </c>
    </row>
    <row r="7978" spans="1:18" x14ac:dyDescent="0.25">
      <c r="A7978">
        <v>6977</v>
      </c>
      <c r="B7978">
        <v>94</v>
      </c>
      <c r="C7978">
        <v>31516431</v>
      </c>
      <c r="D7978" t="s">
        <v>124</v>
      </c>
      <c r="E7978">
        <v>69.811999999999998</v>
      </c>
      <c r="F7978" t="s">
        <v>21</v>
      </c>
      <c r="G7978" t="s">
        <v>26</v>
      </c>
      <c r="H7978" t="s">
        <v>21</v>
      </c>
      <c r="I7978" t="s">
        <v>20</v>
      </c>
      <c r="J7978" t="s">
        <v>20</v>
      </c>
      <c r="K7978" t="s">
        <v>41</v>
      </c>
      <c r="L7978" t="s">
        <v>45</v>
      </c>
      <c r="M7978" t="s">
        <v>365</v>
      </c>
      <c r="N7978">
        <v>40.880496000000001</v>
      </c>
      <c r="O7978">
        <v>-111.885648</v>
      </c>
      <c r="P7978">
        <v>4332.7601690000001</v>
      </c>
      <c r="Q7978">
        <v>1368</v>
      </c>
      <c r="R7978">
        <v>0</v>
      </c>
    </row>
    <row r="7979" spans="1:18" x14ac:dyDescent="0.25">
      <c r="A7979">
        <v>6978</v>
      </c>
      <c r="B7979">
        <v>94</v>
      </c>
      <c r="C7979">
        <v>31516442</v>
      </c>
      <c r="D7979" t="s">
        <v>124</v>
      </c>
      <c r="E7979">
        <v>69.975999999999999</v>
      </c>
      <c r="F7979" t="s">
        <v>21</v>
      </c>
      <c r="G7979" t="s">
        <v>26</v>
      </c>
      <c r="H7979" t="s">
        <v>21</v>
      </c>
      <c r="I7979" t="s">
        <v>20</v>
      </c>
      <c r="J7979" t="s">
        <v>20</v>
      </c>
      <c r="K7979" t="s">
        <v>41</v>
      </c>
      <c r="L7979" t="s">
        <v>45</v>
      </c>
      <c r="M7979" t="s">
        <v>365</v>
      </c>
      <c r="N7979">
        <v>40.878154000000002</v>
      </c>
      <c r="O7979">
        <v>-111.88609599999999</v>
      </c>
      <c r="P7979">
        <v>4338.1164049999998</v>
      </c>
      <c r="Q7979">
        <v>1368</v>
      </c>
      <c r="R7979">
        <v>0</v>
      </c>
    </row>
    <row r="7980" spans="1:18" x14ac:dyDescent="0.25">
      <c r="A7980">
        <v>6979</v>
      </c>
      <c r="B7980">
        <v>94</v>
      </c>
      <c r="C7980">
        <v>28590012</v>
      </c>
      <c r="D7980" t="s">
        <v>142</v>
      </c>
      <c r="E7980">
        <v>7.0010000000000003</v>
      </c>
      <c r="F7980" t="s">
        <v>21</v>
      </c>
      <c r="G7980" t="s">
        <v>26</v>
      </c>
      <c r="H7980" t="s">
        <v>21</v>
      </c>
      <c r="I7980" t="s">
        <v>20</v>
      </c>
      <c r="J7980" t="s">
        <v>20</v>
      </c>
      <c r="K7980" t="s">
        <v>27</v>
      </c>
      <c r="L7980" t="s">
        <v>143</v>
      </c>
      <c r="M7980" t="s">
        <v>106</v>
      </c>
      <c r="N7980">
        <v>38.861364000000002</v>
      </c>
      <c r="O7980">
        <v>-113.99625899999999</v>
      </c>
      <c r="P7980">
        <v>5340.7399109999997</v>
      </c>
      <c r="Q7980">
        <v>305</v>
      </c>
      <c r="R7980">
        <v>0</v>
      </c>
    </row>
    <row r="7981" spans="1:18" x14ac:dyDescent="0.25">
      <c r="A7981">
        <v>6980</v>
      </c>
      <c r="B7981">
        <v>94</v>
      </c>
      <c r="C7981" t="e">
        <f>-Ip9y4DyHKPzuur9Cnoj_V</f>
        <v>#NAME?</v>
      </c>
      <c r="D7981" t="s">
        <v>37</v>
      </c>
      <c r="E7981">
        <v>7.0060000000000002</v>
      </c>
      <c r="F7981" t="s">
        <v>21</v>
      </c>
      <c r="G7981" t="s">
        <v>26</v>
      </c>
      <c r="H7981" t="s">
        <v>21</v>
      </c>
      <c r="I7981" t="s">
        <v>20</v>
      </c>
      <c r="J7981" t="s">
        <v>20</v>
      </c>
      <c r="K7981" t="s">
        <v>27</v>
      </c>
      <c r="L7981" t="s">
        <v>38</v>
      </c>
      <c r="M7981" t="s">
        <v>39</v>
      </c>
      <c r="N7981">
        <v>38.641722000000001</v>
      </c>
      <c r="O7981">
        <v>-109.476466</v>
      </c>
      <c r="P7981">
        <v>3953.2897370000001</v>
      </c>
      <c r="Q7981">
        <v>1319</v>
      </c>
      <c r="R7981">
        <v>0</v>
      </c>
    </row>
    <row r="7982" spans="1:18" x14ac:dyDescent="0.25">
      <c r="A7982">
        <v>6981</v>
      </c>
      <c r="B7982">
        <v>94</v>
      </c>
      <c r="C7982">
        <v>784710</v>
      </c>
      <c r="D7982" t="s">
        <v>68</v>
      </c>
      <c r="E7982">
        <v>4.5650000000000004</v>
      </c>
      <c r="F7982" t="s">
        <v>21</v>
      </c>
      <c r="G7982" t="s">
        <v>26</v>
      </c>
      <c r="H7982" t="s">
        <v>21</v>
      </c>
      <c r="I7982" t="s">
        <v>20</v>
      </c>
      <c r="J7982" t="s">
        <v>20</v>
      </c>
      <c r="K7982" t="s">
        <v>31</v>
      </c>
      <c r="L7982" t="s">
        <v>32</v>
      </c>
      <c r="M7982" t="s">
        <v>70</v>
      </c>
      <c r="N7982">
        <v>40.674317000000002</v>
      </c>
      <c r="O7982">
        <v>-111.86870999999999</v>
      </c>
      <c r="P7982">
        <v>4254.7448180000001</v>
      </c>
      <c r="Q7982">
        <v>431</v>
      </c>
      <c r="R7982">
        <v>0</v>
      </c>
    </row>
    <row r="7983" spans="1:18" x14ac:dyDescent="0.25">
      <c r="A7983">
        <v>6982</v>
      </c>
      <c r="B7983">
        <v>94</v>
      </c>
      <c r="C7983">
        <v>31351632</v>
      </c>
      <c r="D7983" t="s">
        <v>34</v>
      </c>
      <c r="E7983">
        <v>4.577</v>
      </c>
      <c r="F7983" t="s">
        <v>21</v>
      </c>
      <c r="G7983" t="s">
        <v>26</v>
      </c>
      <c r="H7983" t="s">
        <v>21</v>
      </c>
      <c r="I7983" t="s">
        <v>20</v>
      </c>
      <c r="J7983" t="s">
        <v>20</v>
      </c>
      <c r="K7983" t="s">
        <v>22</v>
      </c>
      <c r="L7983" t="s">
        <v>35</v>
      </c>
      <c r="M7983" t="s">
        <v>36</v>
      </c>
      <c r="N7983">
        <v>40.512002000000003</v>
      </c>
      <c r="O7983">
        <v>-111.459565</v>
      </c>
      <c r="P7983">
        <v>5505.864818</v>
      </c>
      <c r="Q7983">
        <v>1400</v>
      </c>
      <c r="R7983">
        <v>0</v>
      </c>
    </row>
    <row r="7984" spans="1:18" x14ac:dyDescent="0.25">
      <c r="A7984">
        <v>6983</v>
      </c>
      <c r="B7984">
        <v>94</v>
      </c>
      <c r="C7984">
        <v>1147942</v>
      </c>
      <c r="D7984" t="s">
        <v>56</v>
      </c>
      <c r="E7984">
        <v>4.5869999999999997</v>
      </c>
      <c r="F7984" t="s">
        <v>21</v>
      </c>
      <c r="G7984" t="s">
        <v>26</v>
      </c>
      <c r="H7984" t="s">
        <v>21</v>
      </c>
      <c r="I7984" t="s">
        <v>20</v>
      </c>
      <c r="J7984" t="s">
        <v>20</v>
      </c>
      <c r="K7984" t="s">
        <v>41</v>
      </c>
      <c r="L7984" t="s">
        <v>57</v>
      </c>
      <c r="M7984" t="s">
        <v>58</v>
      </c>
      <c r="N7984">
        <v>41.161673</v>
      </c>
      <c r="O7984">
        <v>-112.03572800000001</v>
      </c>
      <c r="P7984">
        <v>4422.836362</v>
      </c>
      <c r="Q7984">
        <v>1459</v>
      </c>
      <c r="R7984">
        <v>0</v>
      </c>
    </row>
    <row r="7985" spans="1:18" x14ac:dyDescent="0.25">
      <c r="A7985">
        <v>6984</v>
      </c>
      <c r="B7985">
        <v>94</v>
      </c>
      <c r="C7985">
        <v>28487565</v>
      </c>
      <c r="D7985" t="s">
        <v>99</v>
      </c>
      <c r="E7985">
        <v>4.5869999999999997</v>
      </c>
      <c r="F7985" t="s">
        <v>21</v>
      </c>
      <c r="G7985" t="s">
        <v>20</v>
      </c>
      <c r="H7985" t="s">
        <v>21</v>
      </c>
      <c r="I7985" t="s">
        <v>20</v>
      </c>
      <c r="J7985" t="s">
        <v>20</v>
      </c>
      <c r="K7985" t="s">
        <v>41</v>
      </c>
      <c r="L7985" t="s">
        <v>81</v>
      </c>
      <c r="M7985" t="s">
        <v>82</v>
      </c>
      <c r="N7985">
        <v>41.209983000000001</v>
      </c>
      <c r="O7985">
        <v>-111.953999</v>
      </c>
      <c r="P7985">
        <v>4412.5963430000002</v>
      </c>
      <c r="Q7985">
        <v>1376</v>
      </c>
      <c r="R7985">
        <v>0</v>
      </c>
    </row>
    <row r="7986" spans="1:18" x14ac:dyDescent="0.25">
      <c r="A7986">
        <v>6985</v>
      </c>
      <c r="B7986">
        <v>94</v>
      </c>
      <c r="C7986">
        <v>31444762</v>
      </c>
      <c r="D7986" t="s">
        <v>107</v>
      </c>
      <c r="E7986">
        <v>4.593</v>
      </c>
      <c r="F7986" t="s">
        <v>19</v>
      </c>
      <c r="G7986" t="s">
        <v>20</v>
      </c>
      <c r="H7986" t="s">
        <v>21</v>
      </c>
      <c r="I7986" t="s">
        <v>20</v>
      </c>
      <c r="J7986" t="s">
        <v>20</v>
      </c>
      <c r="K7986" t="s">
        <v>41</v>
      </c>
      <c r="L7986" t="s">
        <v>81</v>
      </c>
      <c r="M7986" t="s">
        <v>93</v>
      </c>
      <c r="N7986">
        <v>41.259276999999997</v>
      </c>
      <c r="O7986">
        <v>-111.97787700000001</v>
      </c>
      <c r="P7986">
        <v>4225.1564129999997</v>
      </c>
      <c r="Q7986">
        <v>413</v>
      </c>
      <c r="R7986">
        <v>0</v>
      </c>
    </row>
    <row r="7987" spans="1:18" x14ac:dyDescent="0.25">
      <c r="A7987">
        <v>6986</v>
      </c>
      <c r="B7987">
        <v>94</v>
      </c>
      <c r="C7987" t="s">
        <v>921</v>
      </c>
      <c r="D7987" t="s">
        <v>113</v>
      </c>
      <c r="E7987">
        <v>4.5979999999999999</v>
      </c>
      <c r="F7987" t="s">
        <v>21</v>
      </c>
      <c r="G7987" t="s">
        <v>20</v>
      </c>
      <c r="H7987" t="s">
        <v>21</v>
      </c>
      <c r="I7987" t="s">
        <v>20</v>
      </c>
      <c r="J7987" t="s">
        <v>20</v>
      </c>
      <c r="K7987" t="s">
        <v>41</v>
      </c>
      <c r="L7987" t="s">
        <v>87</v>
      </c>
      <c r="M7987" t="s">
        <v>58</v>
      </c>
      <c r="N7987">
        <v>41.134531000000003</v>
      </c>
      <c r="O7987">
        <v>-111.95555400000001</v>
      </c>
      <c r="P7987">
        <v>4429.488582</v>
      </c>
      <c r="Q7987">
        <v>1363</v>
      </c>
      <c r="R7987">
        <v>0</v>
      </c>
    </row>
    <row r="7988" spans="1:18" x14ac:dyDescent="0.25">
      <c r="A7988">
        <v>6987</v>
      </c>
      <c r="B7988">
        <v>94</v>
      </c>
      <c r="C7988">
        <v>1472041</v>
      </c>
      <c r="D7988" t="s">
        <v>304</v>
      </c>
      <c r="E7988">
        <v>18.2</v>
      </c>
      <c r="F7988" t="s">
        <v>21</v>
      </c>
      <c r="G7988" t="s">
        <v>26</v>
      </c>
      <c r="H7988" t="s">
        <v>21</v>
      </c>
      <c r="I7988" t="s">
        <v>20</v>
      </c>
      <c r="J7988" t="s">
        <v>20</v>
      </c>
      <c r="K7988" t="s">
        <v>41</v>
      </c>
      <c r="L7988" t="s">
        <v>223</v>
      </c>
      <c r="M7988" t="s">
        <v>43</v>
      </c>
      <c r="N7988">
        <v>41.775064</v>
      </c>
      <c r="O7988">
        <v>-112.095257</v>
      </c>
      <c r="P7988">
        <v>4373.2168110000002</v>
      </c>
      <c r="Q7988">
        <v>1348</v>
      </c>
      <c r="R7988">
        <v>0</v>
      </c>
    </row>
    <row r="7989" spans="1:18" x14ac:dyDescent="0.25">
      <c r="A7989">
        <v>6988</v>
      </c>
      <c r="B7989">
        <v>94</v>
      </c>
      <c r="C7989" t="e">
        <f>-IpA09UoG6XUvNC7BJKK2V</f>
        <v>#NAME?</v>
      </c>
      <c r="D7989" t="s">
        <v>132</v>
      </c>
      <c r="E7989">
        <v>22.722999999999999</v>
      </c>
      <c r="F7989" t="s">
        <v>21</v>
      </c>
      <c r="G7989" t="s">
        <v>26</v>
      </c>
      <c r="H7989" t="s">
        <v>21</v>
      </c>
      <c r="I7989" t="s">
        <v>20</v>
      </c>
      <c r="J7989" t="s">
        <v>20</v>
      </c>
      <c r="K7989" t="s">
        <v>22</v>
      </c>
      <c r="L7989" t="s">
        <v>133</v>
      </c>
      <c r="M7989" t="s">
        <v>134</v>
      </c>
      <c r="N7989">
        <v>40.403685000000003</v>
      </c>
      <c r="O7989">
        <v>-109.81714700000001</v>
      </c>
      <c r="P7989">
        <v>5422.3343260000001</v>
      </c>
      <c r="Q7989">
        <v>1405</v>
      </c>
      <c r="R7989">
        <v>0</v>
      </c>
    </row>
    <row r="7990" spans="1:18" x14ac:dyDescent="0.25">
      <c r="A7990">
        <v>6989</v>
      </c>
      <c r="B7990">
        <v>94</v>
      </c>
      <c r="C7990">
        <v>27717062</v>
      </c>
      <c r="D7990" t="s">
        <v>217</v>
      </c>
      <c r="E7990">
        <v>22.725000000000001</v>
      </c>
      <c r="F7990" t="s">
        <v>21</v>
      </c>
      <c r="G7990" t="s">
        <v>20</v>
      </c>
      <c r="H7990" t="s">
        <v>21</v>
      </c>
      <c r="I7990" t="s">
        <v>20</v>
      </c>
      <c r="J7990" t="s">
        <v>20</v>
      </c>
      <c r="K7990" t="s">
        <v>27</v>
      </c>
      <c r="L7990" t="s">
        <v>162</v>
      </c>
      <c r="M7990" t="s">
        <v>163</v>
      </c>
      <c r="N7990">
        <v>37.366630999999998</v>
      </c>
      <c r="O7990">
        <v>-113.66700899999999</v>
      </c>
      <c r="P7990">
        <v>4836.510671</v>
      </c>
      <c r="Q7990">
        <v>304</v>
      </c>
      <c r="R7990">
        <v>0</v>
      </c>
    </row>
    <row r="7991" spans="1:18" x14ac:dyDescent="0.25">
      <c r="A7991">
        <v>6990</v>
      </c>
      <c r="B7991">
        <v>94</v>
      </c>
      <c r="C7991">
        <v>28174538</v>
      </c>
      <c r="D7991" t="s">
        <v>233</v>
      </c>
      <c r="E7991">
        <v>22.731999999999999</v>
      </c>
      <c r="F7991" t="s">
        <v>21</v>
      </c>
      <c r="G7991" t="s">
        <v>20</v>
      </c>
      <c r="H7991" t="s">
        <v>21</v>
      </c>
      <c r="I7991" t="s">
        <v>20</v>
      </c>
      <c r="J7991" t="s">
        <v>20</v>
      </c>
      <c r="K7991" t="s">
        <v>22</v>
      </c>
      <c r="L7991" t="s">
        <v>234</v>
      </c>
      <c r="M7991" t="s">
        <v>235</v>
      </c>
      <c r="N7991">
        <v>40.210166000000001</v>
      </c>
      <c r="O7991">
        <v>-109.370013</v>
      </c>
      <c r="P7991">
        <v>5386.8004950000004</v>
      </c>
      <c r="Q7991">
        <v>1354</v>
      </c>
      <c r="R7991">
        <v>0</v>
      </c>
    </row>
    <row r="7992" spans="1:18" x14ac:dyDescent="0.25">
      <c r="A7992">
        <v>6991</v>
      </c>
      <c r="B7992">
        <v>94</v>
      </c>
      <c r="C7992">
        <v>28248435</v>
      </c>
      <c r="D7992" t="s">
        <v>346</v>
      </c>
      <c r="E7992">
        <v>22.757999999999999</v>
      </c>
      <c r="F7992" t="s">
        <v>21</v>
      </c>
      <c r="G7992" t="s">
        <v>26</v>
      </c>
      <c r="H7992" t="s">
        <v>19</v>
      </c>
      <c r="I7992">
        <v>6</v>
      </c>
      <c r="J7992" t="s">
        <v>20</v>
      </c>
      <c r="K7992" t="s">
        <v>27</v>
      </c>
      <c r="L7992" t="s">
        <v>307</v>
      </c>
      <c r="M7992" t="s">
        <v>159</v>
      </c>
      <c r="N7992">
        <v>39.862006999999998</v>
      </c>
      <c r="O7992">
        <v>-111.026768</v>
      </c>
      <c r="P7992">
        <v>7169.5459570000003</v>
      </c>
      <c r="Q7992">
        <v>1389</v>
      </c>
      <c r="R7992">
        <v>0</v>
      </c>
    </row>
    <row r="7993" spans="1:18" x14ac:dyDescent="0.25">
      <c r="A7993">
        <v>6992</v>
      </c>
      <c r="B7993">
        <v>94</v>
      </c>
      <c r="C7993">
        <v>27717073</v>
      </c>
      <c r="D7993" t="s">
        <v>217</v>
      </c>
      <c r="E7993">
        <v>22.76</v>
      </c>
      <c r="F7993" t="s">
        <v>21</v>
      </c>
      <c r="G7993" t="s">
        <v>20</v>
      </c>
      <c r="H7993" t="s">
        <v>21</v>
      </c>
      <c r="I7993" t="s">
        <v>20</v>
      </c>
      <c r="J7993" t="s">
        <v>20</v>
      </c>
      <c r="K7993" t="s">
        <v>27</v>
      </c>
      <c r="L7993" t="s">
        <v>162</v>
      </c>
      <c r="M7993" t="s">
        <v>163</v>
      </c>
      <c r="N7993">
        <v>37.367106999999997</v>
      </c>
      <c r="O7993">
        <v>-113.666794</v>
      </c>
      <c r="P7993">
        <v>4838.0448740000002</v>
      </c>
      <c r="Q7993">
        <v>304</v>
      </c>
      <c r="R7993">
        <v>0</v>
      </c>
    </row>
    <row r="7994" spans="1:18" x14ac:dyDescent="0.25">
      <c r="A7994">
        <v>6993</v>
      </c>
      <c r="B7994">
        <v>94</v>
      </c>
      <c r="C7994">
        <v>31643883</v>
      </c>
      <c r="D7994" t="s">
        <v>233</v>
      </c>
      <c r="E7994">
        <v>22.768999999999998</v>
      </c>
      <c r="F7994" t="s">
        <v>21</v>
      </c>
      <c r="G7994" t="s">
        <v>20</v>
      </c>
      <c r="H7994" t="s">
        <v>21</v>
      </c>
      <c r="I7994" t="s">
        <v>20</v>
      </c>
      <c r="J7994" t="s">
        <v>20</v>
      </c>
      <c r="K7994" t="s">
        <v>22</v>
      </c>
      <c r="L7994" t="s">
        <v>234</v>
      </c>
      <c r="M7994" t="s">
        <v>235</v>
      </c>
      <c r="N7994">
        <v>40.210349000000001</v>
      </c>
      <c r="O7994">
        <v>-109.37067999999999</v>
      </c>
      <c r="P7994">
        <v>5383.2397449999999</v>
      </c>
      <c r="Q7994">
        <v>1354</v>
      </c>
      <c r="R7994">
        <v>0</v>
      </c>
    </row>
    <row r="7995" spans="1:18" x14ac:dyDescent="0.25">
      <c r="A7995">
        <v>6994</v>
      </c>
      <c r="B7995">
        <v>94</v>
      </c>
      <c r="C7995">
        <v>28151394</v>
      </c>
      <c r="D7995" t="s">
        <v>220</v>
      </c>
      <c r="E7995">
        <v>25.518999999999998</v>
      </c>
      <c r="F7995" t="s">
        <v>21</v>
      </c>
      <c r="G7995" t="s">
        <v>26</v>
      </c>
      <c r="H7995" t="s">
        <v>21</v>
      </c>
      <c r="I7995" t="s">
        <v>20</v>
      </c>
      <c r="J7995" t="s">
        <v>20</v>
      </c>
      <c r="K7995" t="s">
        <v>27</v>
      </c>
      <c r="L7995" t="s">
        <v>28</v>
      </c>
      <c r="M7995" t="s">
        <v>29</v>
      </c>
      <c r="N7995">
        <v>37.570067999999999</v>
      </c>
      <c r="O7995">
        <v>-112.055986</v>
      </c>
      <c r="P7995">
        <v>5839.9043650000003</v>
      </c>
      <c r="Q7995">
        <v>1328</v>
      </c>
      <c r="R7995">
        <v>0</v>
      </c>
    </row>
    <row r="7996" spans="1:18" x14ac:dyDescent="0.25">
      <c r="A7996">
        <v>6995</v>
      </c>
      <c r="B7996">
        <v>94</v>
      </c>
      <c r="C7996">
        <v>2613486</v>
      </c>
      <c r="D7996" t="s">
        <v>176</v>
      </c>
      <c r="E7996">
        <v>25.524000000000001</v>
      </c>
      <c r="F7996" t="s">
        <v>21</v>
      </c>
      <c r="G7996" t="s">
        <v>26</v>
      </c>
      <c r="H7996" t="s">
        <v>21</v>
      </c>
      <c r="I7996" t="s">
        <v>20</v>
      </c>
      <c r="J7996" t="s">
        <v>20</v>
      </c>
      <c r="K7996" t="s">
        <v>41</v>
      </c>
      <c r="L7996" t="s">
        <v>223</v>
      </c>
      <c r="M7996" t="s">
        <v>178</v>
      </c>
      <c r="N7996">
        <v>41.788882000000001</v>
      </c>
      <c r="O7996">
        <v>-112.149458</v>
      </c>
      <c r="P7996">
        <v>4312.5507019999995</v>
      </c>
      <c r="Q7996">
        <v>1329</v>
      </c>
      <c r="R7996">
        <v>0</v>
      </c>
    </row>
    <row r="7997" spans="1:18" x14ac:dyDescent="0.25">
      <c r="A7997">
        <v>6996</v>
      </c>
      <c r="B7997">
        <v>94</v>
      </c>
      <c r="C7997">
        <v>31284786</v>
      </c>
      <c r="D7997" t="s">
        <v>288</v>
      </c>
      <c r="E7997">
        <v>25.535</v>
      </c>
      <c r="F7997" t="s">
        <v>21</v>
      </c>
      <c r="G7997" t="s">
        <v>26</v>
      </c>
      <c r="H7997" t="s">
        <v>21</v>
      </c>
      <c r="I7997" t="s">
        <v>20</v>
      </c>
      <c r="J7997" t="s">
        <v>20</v>
      </c>
      <c r="K7997" t="s">
        <v>27</v>
      </c>
      <c r="L7997" t="s">
        <v>211</v>
      </c>
      <c r="M7997" t="s">
        <v>318</v>
      </c>
      <c r="N7997">
        <v>37.283053000000002</v>
      </c>
      <c r="O7997">
        <v>-109.551918</v>
      </c>
      <c r="P7997">
        <v>4250.8119340000003</v>
      </c>
      <c r="Q7997">
        <v>350</v>
      </c>
      <c r="R7997">
        <v>0</v>
      </c>
    </row>
    <row r="7998" spans="1:18" x14ac:dyDescent="0.25">
      <c r="A7998">
        <v>6997</v>
      </c>
      <c r="B7998">
        <v>94</v>
      </c>
      <c r="C7998">
        <v>31594577</v>
      </c>
      <c r="D7998" t="s">
        <v>271</v>
      </c>
      <c r="E7998">
        <v>25.541</v>
      </c>
      <c r="F7998" t="s">
        <v>21</v>
      </c>
      <c r="G7998" t="s">
        <v>26</v>
      </c>
      <c r="H7998" t="s">
        <v>21</v>
      </c>
      <c r="I7998" t="s">
        <v>20</v>
      </c>
      <c r="J7998" t="s">
        <v>20</v>
      </c>
      <c r="K7998" t="s">
        <v>22</v>
      </c>
      <c r="L7998" t="s">
        <v>263</v>
      </c>
      <c r="M7998" t="s">
        <v>24</v>
      </c>
      <c r="N7998">
        <v>40.330578000000003</v>
      </c>
      <c r="O7998">
        <v>-112.10226400000001</v>
      </c>
      <c r="P7998">
        <v>5028.8626969999996</v>
      </c>
      <c r="Q7998">
        <v>1372</v>
      </c>
      <c r="R7998">
        <v>0</v>
      </c>
    </row>
    <row r="7999" spans="1:18" x14ac:dyDescent="0.25">
      <c r="A7999">
        <v>6998</v>
      </c>
      <c r="B7999">
        <v>94</v>
      </c>
      <c r="C7999">
        <v>31789390</v>
      </c>
      <c r="D7999" t="s">
        <v>272</v>
      </c>
      <c r="E7999">
        <v>25.632000000000001</v>
      </c>
      <c r="F7999" t="s">
        <v>21</v>
      </c>
      <c r="G7999" t="s">
        <v>26</v>
      </c>
      <c r="H7999" t="s">
        <v>21</v>
      </c>
      <c r="I7999" t="s">
        <v>20</v>
      </c>
      <c r="J7999" t="s">
        <v>20</v>
      </c>
      <c r="K7999" t="s">
        <v>27</v>
      </c>
      <c r="L7999" t="s">
        <v>259</v>
      </c>
      <c r="M7999" t="s">
        <v>214</v>
      </c>
      <c r="N7999">
        <v>37.126342000000001</v>
      </c>
      <c r="O7999">
        <v>-111.97673899999999</v>
      </c>
      <c r="P7999">
        <v>4744.7934770000002</v>
      </c>
      <c r="Q7999">
        <v>1384</v>
      </c>
      <c r="R7999">
        <v>0</v>
      </c>
    </row>
    <row r="8000" spans="1:18" x14ac:dyDescent="0.25">
      <c r="A8000">
        <v>6999</v>
      </c>
      <c r="B8000">
        <v>94</v>
      </c>
      <c r="C8000">
        <v>27877845</v>
      </c>
      <c r="D8000" t="s">
        <v>245</v>
      </c>
      <c r="E8000">
        <v>25.638000000000002</v>
      </c>
      <c r="F8000" t="s">
        <v>21</v>
      </c>
      <c r="G8000" t="s">
        <v>20</v>
      </c>
      <c r="H8000" t="s">
        <v>21</v>
      </c>
      <c r="I8000" t="s">
        <v>20</v>
      </c>
      <c r="J8000" t="s">
        <v>20</v>
      </c>
      <c r="K8000" t="s">
        <v>22</v>
      </c>
      <c r="L8000" t="s">
        <v>97</v>
      </c>
      <c r="M8000" t="s">
        <v>98</v>
      </c>
      <c r="N8000">
        <v>40.95675</v>
      </c>
      <c r="O8000">
        <v>-109.71294899999999</v>
      </c>
      <c r="P8000">
        <v>6414.0515660000001</v>
      </c>
      <c r="Q8000">
        <v>1353</v>
      </c>
      <c r="R8000">
        <v>0</v>
      </c>
    </row>
    <row r="8001" spans="1:18" x14ac:dyDescent="0.25">
      <c r="A8001">
        <v>7000</v>
      </c>
      <c r="B8001">
        <v>94</v>
      </c>
      <c r="C8001">
        <v>31307302</v>
      </c>
      <c r="D8001" t="s">
        <v>116</v>
      </c>
      <c r="E8001">
        <v>25.65</v>
      </c>
      <c r="F8001" t="s">
        <v>19</v>
      </c>
      <c r="G8001" t="s">
        <v>20</v>
      </c>
      <c r="H8001" t="s">
        <v>19</v>
      </c>
      <c r="I8001">
        <v>165</v>
      </c>
      <c r="J8001" t="s">
        <v>20</v>
      </c>
      <c r="K8001" t="s">
        <v>41</v>
      </c>
      <c r="L8001" t="s">
        <v>42</v>
      </c>
      <c r="M8001" t="s">
        <v>43</v>
      </c>
      <c r="N8001">
        <v>41.717458000000001</v>
      </c>
      <c r="O8001">
        <v>-111.83526999999999</v>
      </c>
      <c r="P8001">
        <v>4453.1387940000004</v>
      </c>
      <c r="Q8001">
        <v>324</v>
      </c>
      <c r="R8001">
        <v>0</v>
      </c>
    </row>
    <row r="8002" spans="1:18" x14ac:dyDescent="0.25">
      <c r="A8002">
        <v>10001</v>
      </c>
      <c r="B8002">
        <v>94</v>
      </c>
      <c r="C8002">
        <v>31415299</v>
      </c>
      <c r="D8002" t="s">
        <v>107</v>
      </c>
      <c r="E8002">
        <v>1.0760000000000001</v>
      </c>
      <c r="F8002" t="s">
        <v>19</v>
      </c>
      <c r="G8002" t="s">
        <v>20</v>
      </c>
      <c r="H8002" t="s">
        <v>19</v>
      </c>
      <c r="I8002">
        <v>79</v>
      </c>
      <c r="J8002" t="s">
        <v>20</v>
      </c>
      <c r="K8002" t="s">
        <v>41</v>
      </c>
      <c r="L8002" t="s">
        <v>81</v>
      </c>
      <c r="M8002" t="s">
        <v>93</v>
      </c>
      <c r="N8002">
        <v>41.208260000000003</v>
      </c>
      <c r="O8002">
        <v>-111.979237</v>
      </c>
      <c r="P8002">
        <v>4259.6426789999996</v>
      </c>
      <c r="Q8002">
        <v>413</v>
      </c>
      <c r="R8002">
        <v>0</v>
      </c>
    </row>
    <row r="8003" spans="1:18" x14ac:dyDescent="0.25">
      <c r="A8003">
        <v>10002</v>
      </c>
      <c r="B8003">
        <v>94</v>
      </c>
      <c r="C8003" t="e">
        <f>-JRb_6zFIBi_xW7FoXtzBV</f>
        <v>#NAME?</v>
      </c>
      <c r="D8003" t="s">
        <v>922</v>
      </c>
      <c r="E8003">
        <v>0</v>
      </c>
      <c r="F8003" t="s">
        <v>21</v>
      </c>
      <c r="G8003" t="s">
        <v>26</v>
      </c>
      <c r="H8003" t="s">
        <v>21</v>
      </c>
      <c r="I8003" t="s">
        <v>20</v>
      </c>
      <c r="J8003" t="s">
        <v>20</v>
      </c>
      <c r="K8003" t="s">
        <v>31</v>
      </c>
      <c r="L8003" t="s">
        <v>149</v>
      </c>
      <c r="M8003" t="s">
        <v>147</v>
      </c>
      <c r="N8003">
        <v>40.912084</v>
      </c>
      <c r="O8003">
        <v>-111.404372</v>
      </c>
      <c r="P8003">
        <v>5524.6724469999999</v>
      </c>
      <c r="Q8003">
        <v>6663</v>
      </c>
      <c r="R8003">
        <v>0</v>
      </c>
    </row>
    <row r="8004" spans="1:18" x14ac:dyDescent="0.25">
      <c r="A8004">
        <v>10003</v>
      </c>
      <c r="B8004">
        <v>94</v>
      </c>
      <c r="C8004" t="e">
        <f>-JQL97nuIHL_ZJfg9cFzhF</f>
        <v>#NAME?</v>
      </c>
      <c r="D8004" t="s">
        <v>923</v>
      </c>
      <c r="E8004">
        <v>0</v>
      </c>
      <c r="F8004" t="s">
        <v>21</v>
      </c>
      <c r="G8004" t="s">
        <v>26</v>
      </c>
      <c r="H8004" t="s">
        <v>21</v>
      </c>
      <c r="I8004" t="s">
        <v>20</v>
      </c>
      <c r="J8004" t="s">
        <v>20</v>
      </c>
      <c r="K8004" t="s">
        <v>31</v>
      </c>
      <c r="L8004" t="s">
        <v>373</v>
      </c>
      <c r="M8004" t="s">
        <v>123</v>
      </c>
      <c r="N8004">
        <v>40.744273</v>
      </c>
      <c r="O8004">
        <v>-113.970275</v>
      </c>
      <c r="P8004">
        <v>4161.3996539999998</v>
      </c>
      <c r="Q8004">
        <v>6663</v>
      </c>
      <c r="R8004">
        <v>0</v>
      </c>
    </row>
    <row r="8005" spans="1:18" x14ac:dyDescent="0.25">
      <c r="A8005">
        <v>10004</v>
      </c>
      <c r="B8005">
        <v>94</v>
      </c>
      <c r="C8005" t="e">
        <f>-JMknL5cIvmJWbN_wb9yBV</f>
        <v>#NAME?</v>
      </c>
      <c r="D8005" t="s">
        <v>924</v>
      </c>
      <c r="E8005">
        <v>0</v>
      </c>
      <c r="F8005" t="s">
        <v>21</v>
      </c>
      <c r="G8005" t="s">
        <v>26</v>
      </c>
      <c r="H8005" t="s">
        <v>19</v>
      </c>
      <c r="I8005">
        <v>21</v>
      </c>
      <c r="J8005" t="s">
        <v>20</v>
      </c>
      <c r="K8005" t="s">
        <v>27</v>
      </c>
      <c r="L8005" t="s">
        <v>103</v>
      </c>
      <c r="M8005" t="s">
        <v>55</v>
      </c>
      <c r="N8005">
        <v>38.217193000000002</v>
      </c>
      <c r="O8005">
        <v>-112.821898</v>
      </c>
      <c r="P8005">
        <v>5502.838573</v>
      </c>
      <c r="Q8005">
        <v>444</v>
      </c>
      <c r="R8005">
        <v>0</v>
      </c>
    </row>
    <row r="8006" spans="1:18" x14ac:dyDescent="0.25">
      <c r="A8006">
        <v>10005</v>
      </c>
      <c r="B8006">
        <v>94</v>
      </c>
      <c r="C8006">
        <v>31190124</v>
      </c>
      <c r="D8006" t="s">
        <v>470</v>
      </c>
      <c r="E8006">
        <v>0</v>
      </c>
      <c r="F8006" t="s">
        <v>21</v>
      </c>
      <c r="G8006" t="s">
        <v>26</v>
      </c>
      <c r="H8006" t="s">
        <v>19</v>
      </c>
      <c r="I8006">
        <v>50</v>
      </c>
      <c r="J8006">
        <v>125</v>
      </c>
      <c r="K8006" t="s">
        <v>27</v>
      </c>
      <c r="L8006" t="s">
        <v>173</v>
      </c>
      <c r="M8006" t="s">
        <v>392</v>
      </c>
      <c r="N8006">
        <v>39.353349999999999</v>
      </c>
      <c r="O8006">
        <v>-112.496532</v>
      </c>
      <c r="P8006">
        <v>4652.6483589999998</v>
      </c>
      <c r="Q8006">
        <v>1413</v>
      </c>
      <c r="R8006">
        <v>0</v>
      </c>
    </row>
    <row r="8007" spans="1:18" x14ac:dyDescent="0.25">
      <c r="A8007">
        <v>10006</v>
      </c>
      <c r="B8007">
        <v>94</v>
      </c>
      <c r="C8007">
        <v>31555793</v>
      </c>
      <c r="D8007" t="s">
        <v>80</v>
      </c>
      <c r="E8007">
        <v>0</v>
      </c>
      <c r="F8007" t="s">
        <v>19</v>
      </c>
      <c r="G8007" t="s">
        <v>20</v>
      </c>
      <c r="H8007" t="s">
        <v>19</v>
      </c>
      <c r="I8007">
        <v>126</v>
      </c>
      <c r="J8007" t="s">
        <v>20</v>
      </c>
      <c r="K8007" t="s">
        <v>41</v>
      </c>
      <c r="L8007" t="s">
        <v>81</v>
      </c>
      <c r="M8007" t="s">
        <v>82</v>
      </c>
      <c r="N8007">
        <v>41.228692000000002</v>
      </c>
      <c r="O8007">
        <v>-112.02557400000001</v>
      </c>
      <c r="P8007">
        <v>4223.1370340000003</v>
      </c>
      <c r="Q8007">
        <v>1393</v>
      </c>
      <c r="R8007">
        <v>0</v>
      </c>
    </row>
    <row r="8008" spans="1:18" x14ac:dyDescent="0.25">
      <c r="A8008">
        <v>10007</v>
      </c>
      <c r="B8008">
        <v>94</v>
      </c>
      <c r="C8008">
        <v>31420412</v>
      </c>
      <c r="D8008" t="s">
        <v>216</v>
      </c>
      <c r="E8008">
        <v>0.17899999999999999</v>
      </c>
      <c r="F8008" t="s">
        <v>21</v>
      </c>
      <c r="G8008" t="s">
        <v>26</v>
      </c>
      <c r="H8008" t="s">
        <v>19</v>
      </c>
      <c r="I8008">
        <v>244</v>
      </c>
      <c r="J8008" t="s">
        <v>20</v>
      </c>
      <c r="K8008" t="s">
        <v>27</v>
      </c>
      <c r="L8008" t="s">
        <v>158</v>
      </c>
      <c r="M8008" t="s">
        <v>159</v>
      </c>
      <c r="N8008">
        <v>39.682623</v>
      </c>
      <c r="O8008">
        <v>-110.854702</v>
      </c>
      <c r="P8008">
        <v>5753.0764579999995</v>
      </c>
      <c r="Q8008">
        <v>1428</v>
      </c>
      <c r="R8008">
        <v>0</v>
      </c>
    </row>
    <row r="8009" spans="1:18" x14ac:dyDescent="0.25">
      <c r="A8009">
        <v>10008</v>
      </c>
      <c r="B8009">
        <v>94</v>
      </c>
      <c r="C8009">
        <v>28327046</v>
      </c>
      <c r="D8009" t="s">
        <v>160</v>
      </c>
      <c r="E8009">
        <v>0.98899999999999999</v>
      </c>
      <c r="F8009" t="s">
        <v>21</v>
      </c>
      <c r="G8009" t="s">
        <v>26</v>
      </c>
      <c r="H8009" t="s">
        <v>21</v>
      </c>
      <c r="I8009" t="s">
        <v>20</v>
      </c>
      <c r="J8009" t="s">
        <v>20</v>
      </c>
      <c r="K8009" t="s">
        <v>27</v>
      </c>
      <c r="L8009" t="s">
        <v>72</v>
      </c>
      <c r="M8009" t="s">
        <v>73</v>
      </c>
      <c r="N8009">
        <v>37.223179000000002</v>
      </c>
      <c r="O8009">
        <v>-113.279799</v>
      </c>
      <c r="P8009">
        <v>3049.6378180000002</v>
      </c>
      <c r="Q8009">
        <v>1335</v>
      </c>
      <c r="R8009">
        <v>0</v>
      </c>
    </row>
    <row r="8010" spans="1:18" x14ac:dyDescent="0.25">
      <c r="A8010">
        <v>10009</v>
      </c>
      <c r="B8010">
        <v>94</v>
      </c>
      <c r="C8010">
        <v>31536377</v>
      </c>
      <c r="D8010" t="s">
        <v>376</v>
      </c>
      <c r="E8010">
        <v>0.99</v>
      </c>
      <c r="F8010" t="s">
        <v>21</v>
      </c>
      <c r="G8010" t="s">
        <v>26</v>
      </c>
      <c r="H8010" t="s">
        <v>21</v>
      </c>
      <c r="I8010" t="s">
        <v>20</v>
      </c>
      <c r="J8010" t="s">
        <v>20</v>
      </c>
      <c r="K8010" t="s">
        <v>27</v>
      </c>
      <c r="L8010" t="s">
        <v>173</v>
      </c>
      <c r="M8010" t="s">
        <v>106</v>
      </c>
      <c r="N8010">
        <v>38.954287000000001</v>
      </c>
      <c r="O8010">
        <v>-114.033343</v>
      </c>
      <c r="P8010">
        <v>5159.2220770000004</v>
      </c>
      <c r="Q8010">
        <v>343</v>
      </c>
      <c r="R8010">
        <v>0</v>
      </c>
    </row>
    <row r="8011" spans="1:18" x14ac:dyDescent="0.25">
      <c r="A8011">
        <v>10010</v>
      </c>
      <c r="B8011">
        <v>94</v>
      </c>
      <c r="C8011">
        <v>27942536</v>
      </c>
      <c r="D8011" t="s">
        <v>265</v>
      </c>
      <c r="E8011">
        <v>1.198</v>
      </c>
      <c r="F8011" t="s">
        <v>21</v>
      </c>
      <c r="G8011" t="s">
        <v>26</v>
      </c>
      <c r="H8011" t="s">
        <v>21</v>
      </c>
      <c r="I8011" t="s">
        <v>20</v>
      </c>
      <c r="J8011" t="s">
        <v>20</v>
      </c>
      <c r="K8011" t="s">
        <v>27</v>
      </c>
      <c r="L8011" t="s">
        <v>266</v>
      </c>
      <c r="M8011" t="s">
        <v>267</v>
      </c>
      <c r="N8011">
        <v>38.411631</v>
      </c>
      <c r="O8011">
        <v>-111.620626</v>
      </c>
      <c r="P8011">
        <v>7026.1187239999999</v>
      </c>
      <c r="Q8011">
        <v>1371</v>
      </c>
      <c r="R8011">
        <v>0</v>
      </c>
    </row>
    <row r="8012" spans="1:18" x14ac:dyDescent="0.25">
      <c r="A8012">
        <v>10011</v>
      </c>
      <c r="B8012">
        <v>94</v>
      </c>
      <c r="C8012">
        <v>31309347</v>
      </c>
      <c r="D8012" t="s">
        <v>40</v>
      </c>
      <c r="E8012">
        <v>1.2</v>
      </c>
      <c r="F8012" t="s">
        <v>19</v>
      </c>
      <c r="G8012" t="s">
        <v>20</v>
      </c>
      <c r="H8012" t="s">
        <v>19</v>
      </c>
      <c r="I8012">
        <v>89</v>
      </c>
      <c r="J8012">
        <v>91</v>
      </c>
      <c r="K8012" t="s">
        <v>41</v>
      </c>
      <c r="L8012" t="s">
        <v>42</v>
      </c>
      <c r="M8012" t="s">
        <v>43</v>
      </c>
      <c r="N8012">
        <v>41.644869</v>
      </c>
      <c r="O8012">
        <v>-111.914086</v>
      </c>
      <c r="P8012">
        <v>4445.4046420000004</v>
      </c>
      <c r="Q8012">
        <v>1391</v>
      </c>
      <c r="R8012">
        <v>0</v>
      </c>
    </row>
    <row r="8013" spans="1:18" x14ac:dyDescent="0.25">
      <c r="A8013">
        <v>10012</v>
      </c>
      <c r="B8013">
        <v>94</v>
      </c>
      <c r="C8013">
        <v>31580800</v>
      </c>
      <c r="D8013" t="s">
        <v>187</v>
      </c>
      <c r="E8013">
        <v>0</v>
      </c>
      <c r="F8013" t="s">
        <v>19</v>
      </c>
      <c r="G8013" t="s">
        <v>20</v>
      </c>
      <c r="H8013" t="s">
        <v>19</v>
      </c>
      <c r="I8013">
        <v>186</v>
      </c>
      <c r="J8013" t="s">
        <v>20</v>
      </c>
      <c r="K8013" t="s">
        <v>31</v>
      </c>
      <c r="L8013" t="s">
        <v>188</v>
      </c>
      <c r="M8013" t="s">
        <v>90</v>
      </c>
      <c r="N8013">
        <v>40.75853</v>
      </c>
      <c r="O8013">
        <v>-111.84537</v>
      </c>
      <c r="P8013">
        <v>4632.9014800000004</v>
      </c>
      <c r="Q8013">
        <v>435</v>
      </c>
      <c r="R8013">
        <v>0</v>
      </c>
    </row>
    <row r="8014" spans="1:18" x14ac:dyDescent="0.25">
      <c r="A8014">
        <v>10013</v>
      </c>
      <c r="B8014">
        <v>94</v>
      </c>
      <c r="C8014">
        <v>31658854</v>
      </c>
      <c r="D8014" t="s">
        <v>599</v>
      </c>
      <c r="E8014">
        <v>0</v>
      </c>
      <c r="F8014" t="s">
        <v>21</v>
      </c>
      <c r="G8014" t="s">
        <v>26</v>
      </c>
      <c r="H8014" t="s">
        <v>21</v>
      </c>
      <c r="I8014" t="s">
        <v>20</v>
      </c>
      <c r="J8014" t="s">
        <v>20</v>
      </c>
      <c r="K8014" t="s">
        <v>41</v>
      </c>
      <c r="L8014" t="s">
        <v>45</v>
      </c>
      <c r="M8014" t="s">
        <v>67</v>
      </c>
      <c r="N8014">
        <v>40.862090000000002</v>
      </c>
      <c r="O8014">
        <v>-111.903142</v>
      </c>
      <c r="P8014">
        <v>4256.0212899999997</v>
      </c>
      <c r="Q8014">
        <v>1387</v>
      </c>
      <c r="R8014">
        <v>0</v>
      </c>
    </row>
    <row r="8015" spans="1:18" x14ac:dyDescent="0.25">
      <c r="A8015">
        <v>10014</v>
      </c>
      <c r="B8015">
        <v>94</v>
      </c>
      <c r="C8015" t="s">
        <v>925</v>
      </c>
      <c r="D8015" t="s">
        <v>926</v>
      </c>
      <c r="E8015">
        <v>0</v>
      </c>
      <c r="F8015" t="s">
        <v>21</v>
      </c>
      <c r="G8015" t="s">
        <v>26</v>
      </c>
      <c r="H8015" t="s">
        <v>21</v>
      </c>
      <c r="I8015" t="s">
        <v>20</v>
      </c>
      <c r="J8015" t="s">
        <v>20</v>
      </c>
      <c r="K8015" t="s">
        <v>31</v>
      </c>
      <c r="L8015" t="s">
        <v>433</v>
      </c>
      <c r="M8015" t="s">
        <v>147</v>
      </c>
      <c r="N8015">
        <v>40.974702000000001</v>
      </c>
      <c r="O8015">
        <v>-111.43150799999999</v>
      </c>
      <c r="P8015">
        <v>5425.2411359999996</v>
      </c>
      <c r="Q8015">
        <v>321</v>
      </c>
      <c r="R8015">
        <v>0</v>
      </c>
    </row>
    <row r="8016" spans="1:18" x14ac:dyDescent="0.25">
      <c r="A8016">
        <v>10015</v>
      </c>
      <c r="B8016">
        <v>94</v>
      </c>
      <c r="C8016" t="e">
        <f>-Iq759acIke4_5Bp_hCY5V</f>
        <v>#NAME?</v>
      </c>
      <c r="D8016" t="s">
        <v>927</v>
      </c>
      <c r="E8016">
        <v>0</v>
      </c>
      <c r="F8016" t="s">
        <v>21</v>
      </c>
      <c r="G8016" t="s">
        <v>26</v>
      </c>
      <c r="H8016" t="s">
        <v>21</v>
      </c>
      <c r="I8016" t="s">
        <v>20</v>
      </c>
      <c r="J8016" t="s">
        <v>20</v>
      </c>
      <c r="K8016" t="s">
        <v>31</v>
      </c>
      <c r="L8016" t="s">
        <v>433</v>
      </c>
      <c r="M8016" t="s">
        <v>147</v>
      </c>
      <c r="N8016">
        <v>41.201082999999997</v>
      </c>
      <c r="O8016">
        <v>-111.108706</v>
      </c>
      <c r="P8016">
        <v>6766.5366080000003</v>
      </c>
      <c r="Q8016">
        <v>6663</v>
      </c>
      <c r="R8016">
        <v>0</v>
      </c>
    </row>
    <row r="8017" spans="1:18" x14ac:dyDescent="0.25">
      <c r="A8017">
        <v>10016</v>
      </c>
      <c r="B8017">
        <v>94</v>
      </c>
      <c r="C8017">
        <v>31404575</v>
      </c>
      <c r="D8017" t="s">
        <v>74</v>
      </c>
      <c r="E8017">
        <v>0</v>
      </c>
      <c r="F8017" t="s">
        <v>21</v>
      </c>
      <c r="G8017" t="s">
        <v>26</v>
      </c>
      <c r="H8017" t="s">
        <v>21</v>
      </c>
      <c r="I8017" t="s">
        <v>20</v>
      </c>
      <c r="J8017" t="s">
        <v>20</v>
      </c>
      <c r="K8017" t="s">
        <v>27</v>
      </c>
      <c r="L8017" t="s">
        <v>75</v>
      </c>
      <c r="M8017" t="s">
        <v>76</v>
      </c>
      <c r="N8017">
        <v>38.750101000000001</v>
      </c>
      <c r="O8017">
        <v>-112.106499</v>
      </c>
      <c r="P8017">
        <v>5276.3996820000002</v>
      </c>
      <c r="Q8017">
        <v>332</v>
      </c>
      <c r="R8017">
        <v>0</v>
      </c>
    </row>
    <row r="8018" spans="1:18" x14ac:dyDescent="0.25">
      <c r="A8018">
        <v>10017</v>
      </c>
      <c r="B8018">
        <v>94</v>
      </c>
      <c r="C8018" t="s">
        <v>928</v>
      </c>
      <c r="D8018" t="s">
        <v>37</v>
      </c>
      <c r="E8018">
        <v>0</v>
      </c>
      <c r="F8018" t="s">
        <v>19</v>
      </c>
      <c r="G8018" t="s">
        <v>20</v>
      </c>
      <c r="H8018" t="s">
        <v>19</v>
      </c>
      <c r="I8018">
        <v>191</v>
      </c>
      <c r="J8018" t="s">
        <v>20</v>
      </c>
      <c r="K8018" t="s">
        <v>27</v>
      </c>
      <c r="L8018" t="s">
        <v>38</v>
      </c>
      <c r="M8018" t="s">
        <v>39</v>
      </c>
      <c r="N8018">
        <v>38.601559000000002</v>
      </c>
      <c r="O8018">
        <v>-109.575734</v>
      </c>
      <c r="P8018">
        <v>3919.713843</v>
      </c>
      <c r="Q8018">
        <v>1319</v>
      </c>
      <c r="R8018">
        <v>0</v>
      </c>
    </row>
    <row r="8019" spans="1:18" x14ac:dyDescent="0.25">
      <c r="A8019">
        <v>10018</v>
      </c>
      <c r="B8019">
        <v>94</v>
      </c>
      <c r="C8019" t="s">
        <v>929</v>
      </c>
      <c r="D8019" t="s">
        <v>251</v>
      </c>
      <c r="E8019">
        <v>0</v>
      </c>
      <c r="F8019" t="s">
        <v>21</v>
      </c>
      <c r="G8019" t="s">
        <v>26</v>
      </c>
      <c r="H8019" t="s">
        <v>21</v>
      </c>
      <c r="I8019" t="s">
        <v>20</v>
      </c>
      <c r="J8019" t="s">
        <v>20</v>
      </c>
      <c r="K8019" t="s">
        <v>27</v>
      </c>
      <c r="L8019" t="s">
        <v>165</v>
      </c>
      <c r="M8019" t="s">
        <v>166</v>
      </c>
      <c r="N8019">
        <v>38.977668999999999</v>
      </c>
      <c r="O8019">
        <v>-112.323763</v>
      </c>
      <c r="P8019">
        <v>5011.5582629999999</v>
      </c>
      <c r="Q8019">
        <v>326</v>
      </c>
      <c r="R8019">
        <v>0</v>
      </c>
    </row>
    <row r="8020" spans="1:18" x14ac:dyDescent="0.25">
      <c r="A8020">
        <v>10019</v>
      </c>
      <c r="B8020">
        <v>94</v>
      </c>
      <c r="C8020">
        <v>31771931</v>
      </c>
      <c r="D8020" t="s">
        <v>99</v>
      </c>
      <c r="E8020">
        <v>0</v>
      </c>
      <c r="F8020" t="s">
        <v>19</v>
      </c>
      <c r="G8020" t="s">
        <v>20</v>
      </c>
      <c r="H8020" t="s">
        <v>19</v>
      </c>
      <c r="I8020">
        <v>108</v>
      </c>
      <c r="J8020" t="s">
        <v>20</v>
      </c>
      <c r="K8020" t="s">
        <v>41</v>
      </c>
      <c r="L8020" t="s">
        <v>81</v>
      </c>
      <c r="M8020" t="s">
        <v>82</v>
      </c>
      <c r="N8020">
        <v>41.197692000000004</v>
      </c>
      <c r="O8020">
        <v>-112.04006099999999</v>
      </c>
      <c r="P8020">
        <v>4259.232849</v>
      </c>
      <c r="Q8020">
        <v>1376</v>
      </c>
      <c r="R8020">
        <v>0</v>
      </c>
    </row>
    <row r="8021" spans="1:18" x14ac:dyDescent="0.25">
      <c r="A8021">
        <v>10020</v>
      </c>
      <c r="B8021">
        <v>94</v>
      </c>
      <c r="C8021">
        <v>31342539</v>
      </c>
      <c r="D8021" t="s">
        <v>34</v>
      </c>
      <c r="E8021">
        <v>0</v>
      </c>
      <c r="F8021" t="s">
        <v>21</v>
      </c>
      <c r="G8021" t="s">
        <v>26</v>
      </c>
      <c r="H8021" t="s">
        <v>19</v>
      </c>
      <c r="I8021">
        <v>189</v>
      </c>
      <c r="J8021" t="s">
        <v>20</v>
      </c>
      <c r="K8021" t="s">
        <v>22</v>
      </c>
      <c r="L8021" t="s">
        <v>35</v>
      </c>
      <c r="M8021" t="s">
        <v>36</v>
      </c>
      <c r="N8021">
        <v>40.455668000000003</v>
      </c>
      <c r="O8021">
        <v>-111.47127</v>
      </c>
      <c r="P8021">
        <v>5376.8777879999998</v>
      </c>
      <c r="Q8021">
        <v>1400</v>
      </c>
      <c r="R8021">
        <v>0</v>
      </c>
    </row>
    <row r="8022" spans="1:18" x14ac:dyDescent="0.25">
      <c r="A8022">
        <v>10021</v>
      </c>
      <c r="B8022">
        <v>94</v>
      </c>
      <c r="C8022" t="s">
        <v>930</v>
      </c>
      <c r="D8022" t="s">
        <v>931</v>
      </c>
      <c r="E8022">
        <v>0</v>
      </c>
      <c r="F8022" t="s">
        <v>21</v>
      </c>
      <c r="G8022" t="s">
        <v>26</v>
      </c>
      <c r="H8022" t="s">
        <v>21</v>
      </c>
      <c r="I8022" t="s">
        <v>20</v>
      </c>
      <c r="J8022" t="s">
        <v>20</v>
      </c>
      <c r="K8022" t="s">
        <v>27</v>
      </c>
      <c r="L8022" t="s">
        <v>72</v>
      </c>
      <c r="M8022" t="s">
        <v>125</v>
      </c>
      <c r="N8022">
        <v>37.361986000000002</v>
      </c>
      <c r="O8022">
        <v>-113.263299</v>
      </c>
      <c r="P8022">
        <v>4156.9260279999999</v>
      </c>
      <c r="Q8022">
        <v>6661</v>
      </c>
      <c r="R8022">
        <v>0</v>
      </c>
    </row>
    <row r="8023" spans="1:18" x14ac:dyDescent="0.25">
      <c r="A8023">
        <v>10022</v>
      </c>
      <c r="B8023">
        <v>94</v>
      </c>
      <c r="C8023" t="e">
        <f>-IqECYqMIUqYNttkA4ZO1k</f>
        <v>#NAME?</v>
      </c>
      <c r="D8023" t="s">
        <v>932</v>
      </c>
      <c r="E8023">
        <v>0</v>
      </c>
      <c r="F8023" t="s">
        <v>21</v>
      </c>
      <c r="G8023" t="s">
        <v>26</v>
      </c>
      <c r="H8023" t="s">
        <v>21</v>
      </c>
      <c r="I8023" t="s">
        <v>20</v>
      </c>
      <c r="J8023" t="s">
        <v>20</v>
      </c>
      <c r="K8023" t="s">
        <v>31</v>
      </c>
      <c r="L8023" t="s">
        <v>433</v>
      </c>
      <c r="M8023" t="s">
        <v>147</v>
      </c>
      <c r="N8023">
        <v>40.975312000000002</v>
      </c>
      <c r="O8023">
        <v>-111.43194</v>
      </c>
      <c r="P8023">
        <v>5427.511203</v>
      </c>
      <c r="Q8023">
        <v>6663</v>
      </c>
      <c r="R8023">
        <v>0</v>
      </c>
    </row>
    <row r="8024" spans="1:18" x14ac:dyDescent="0.25">
      <c r="A8024">
        <v>10023</v>
      </c>
      <c r="B8024">
        <v>94</v>
      </c>
      <c r="C8024">
        <v>31707258</v>
      </c>
      <c r="D8024" t="s">
        <v>118</v>
      </c>
      <c r="E8024">
        <v>0</v>
      </c>
      <c r="F8024" t="s">
        <v>21</v>
      </c>
      <c r="G8024" t="s">
        <v>26</v>
      </c>
      <c r="H8024" t="s">
        <v>21</v>
      </c>
      <c r="I8024" t="s">
        <v>20</v>
      </c>
      <c r="J8024" t="s">
        <v>20</v>
      </c>
      <c r="K8024" t="s">
        <v>31</v>
      </c>
      <c r="L8024" t="s">
        <v>209</v>
      </c>
      <c r="M8024" t="s">
        <v>120</v>
      </c>
      <c r="N8024">
        <v>40.734358999999998</v>
      </c>
      <c r="O8024">
        <v>-111.499492</v>
      </c>
      <c r="P8024">
        <v>6365.9598020000003</v>
      </c>
      <c r="Q8024">
        <v>310</v>
      </c>
      <c r="R8024">
        <v>0</v>
      </c>
    </row>
    <row r="8025" spans="1:18" x14ac:dyDescent="0.25">
      <c r="A8025">
        <v>10024</v>
      </c>
      <c r="B8025">
        <v>94</v>
      </c>
      <c r="C8025" t="e">
        <f>-JQKMHgAI4P_oUNEIpPruF</f>
        <v>#NAME?</v>
      </c>
      <c r="D8025" t="s">
        <v>933</v>
      </c>
      <c r="E8025">
        <v>0</v>
      </c>
      <c r="F8025" t="s">
        <v>21</v>
      </c>
      <c r="G8025" t="s">
        <v>26</v>
      </c>
      <c r="H8025" t="s">
        <v>21</v>
      </c>
      <c r="I8025" t="s">
        <v>20</v>
      </c>
      <c r="J8025" t="s">
        <v>20</v>
      </c>
      <c r="K8025" t="s">
        <v>27</v>
      </c>
      <c r="L8025" t="s">
        <v>72</v>
      </c>
      <c r="M8025" t="s">
        <v>125</v>
      </c>
      <c r="N8025">
        <v>37.284075000000001</v>
      </c>
      <c r="O8025">
        <v>-113.30698700000001</v>
      </c>
      <c r="P8025">
        <v>3754.0887320000002</v>
      </c>
      <c r="Q8025">
        <v>6661</v>
      </c>
      <c r="R8025">
        <v>0</v>
      </c>
    </row>
    <row r="8026" spans="1:18" x14ac:dyDescent="0.25">
      <c r="A8026">
        <v>10025</v>
      </c>
      <c r="B8026">
        <v>94</v>
      </c>
      <c r="C8026">
        <v>1088602</v>
      </c>
      <c r="D8026" t="s">
        <v>180</v>
      </c>
      <c r="E8026">
        <v>0</v>
      </c>
      <c r="F8026" t="s">
        <v>19</v>
      </c>
      <c r="G8026" t="s">
        <v>20</v>
      </c>
      <c r="H8026" t="s">
        <v>19</v>
      </c>
      <c r="I8026">
        <v>120</v>
      </c>
      <c r="J8026" t="s">
        <v>20</v>
      </c>
      <c r="K8026" t="s">
        <v>41</v>
      </c>
      <c r="L8026" t="s">
        <v>181</v>
      </c>
      <c r="M8026" t="s">
        <v>117</v>
      </c>
      <c r="N8026">
        <v>41.711893000000003</v>
      </c>
      <c r="O8026">
        <v>-112.161714</v>
      </c>
      <c r="P8026">
        <v>4244.2703320000001</v>
      </c>
      <c r="Q8026">
        <v>1379</v>
      </c>
      <c r="R8026">
        <v>0</v>
      </c>
    </row>
    <row r="8027" spans="1:18" x14ac:dyDescent="0.25">
      <c r="A8027">
        <v>10026</v>
      </c>
      <c r="B8027">
        <v>94</v>
      </c>
      <c r="C8027">
        <v>31594397</v>
      </c>
      <c r="D8027" t="s">
        <v>50</v>
      </c>
      <c r="E8027">
        <v>0</v>
      </c>
      <c r="F8027" t="s">
        <v>21</v>
      </c>
      <c r="G8027" t="s">
        <v>26</v>
      </c>
      <c r="H8027" t="s">
        <v>21</v>
      </c>
      <c r="I8027" t="s">
        <v>20</v>
      </c>
      <c r="J8027" t="s">
        <v>20</v>
      </c>
      <c r="K8027" t="s">
        <v>27</v>
      </c>
      <c r="L8027" t="s">
        <v>51</v>
      </c>
      <c r="M8027" t="s">
        <v>52</v>
      </c>
      <c r="N8027">
        <v>37.840083999999997</v>
      </c>
      <c r="O8027">
        <v>-112.87063499999999</v>
      </c>
      <c r="P8027">
        <v>5768.4003910000001</v>
      </c>
      <c r="Q8027">
        <v>1418</v>
      </c>
      <c r="R8027">
        <v>0</v>
      </c>
    </row>
    <row r="8028" spans="1:18" x14ac:dyDescent="0.25">
      <c r="A8028">
        <v>10027</v>
      </c>
      <c r="B8028">
        <v>94</v>
      </c>
      <c r="C8028" t="e">
        <f>-IqHzxGTGamK5NcqpO4ubV</f>
        <v>#NAME?</v>
      </c>
      <c r="D8028" t="s">
        <v>934</v>
      </c>
      <c r="E8028">
        <v>0</v>
      </c>
      <c r="F8028" t="s">
        <v>21</v>
      </c>
      <c r="G8028" t="s">
        <v>26</v>
      </c>
      <c r="H8028" t="s">
        <v>21</v>
      </c>
      <c r="I8028" t="s">
        <v>20</v>
      </c>
      <c r="J8028" t="s">
        <v>20</v>
      </c>
      <c r="K8028" t="s">
        <v>27</v>
      </c>
      <c r="L8028" t="s">
        <v>103</v>
      </c>
      <c r="M8028" t="s">
        <v>365</v>
      </c>
      <c r="N8028">
        <v>38.412989000000003</v>
      </c>
      <c r="O8028">
        <v>-112.65300000000001</v>
      </c>
      <c r="P8028">
        <v>6108.436017</v>
      </c>
      <c r="Q8028">
        <v>6661</v>
      </c>
      <c r="R8028">
        <v>0</v>
      </c>
    </row>
    <row r="8029" spans="1:18" x14ac:dyDescent="0.25">
      <c r="A8029">
        <v>10028</v>
      </c>
      <c r="B8029">
        <v>94</v>
      </c>
      <c r="C8029" t="e">
        <f>-Iq90R4AFCa-aN9I8xUWhF</f>
        <v>#NAME?</v>
      </c>
      <c r="D8029" t="s">
        <v>935</v>
      </c>
      <c r="E8029">
        <v>0</v>
      </c>
      <c r="F8029" t="s">
        <v>21</v>
      </c>
      <c r="G8029" t="s">
        <v>20</v>
      </c>
      <c r="H8029" t="s">
        <v>21</v>
      </c>
      <c r="I8029" t="s">
        <v>20</v>
      </c>
      <c r="J8029" t="s">
        <v>20</v>
      </c>
      <c r="K8029" t="s">
        <v>31</v>
      </c>
      <c r="L8029" t="s">
        <v>188</v>
      </c>
      <c r="M8029" t="s">
        <v>46</v>
      </c>
      <c r="N8029">
        <v>40.728180999999999</v>
      </c>
      <c r="O8029">
        <v>-111.764825</v>
      </c>
      <c r="P8029">
        <v>5100.9157969999997</v>
      </c>
      <c r="Q8029">
        <v>321</v>
      </c>
      <c r="R8029">
        <v>0</v>
      </c>
    </row>
    <row r="8030" spans="1:18" x14ac:dyDescent="0.25">
      <c r="A8030">
        <v>10029</v>
      </c>
      <c r="B8030">
        <v>94</v>
      </c>
      <c r="C8030">
        <v>31523145</v>
      </c>
      <c r="D8030" t="s">
        <v>936</v>
      </c>
      <c r="E8030">
        <v>0</v>
      </c>
      <c r="F8030" t="s">
        <v>21</v>
      </c>
      <c r="G8030" t="s">
        <v>26</v>
      </c>
      <c r="H8030" t="s">
        <v>19</v>
      </c>
      <c r="I8030">
        <v>189</v>
      </c>
      <c r="J8030" t="s">
        <v>20</v>
      </c>
      <c r="K8030" t="s">
        <v>22</v>
      </c>
      <c r="L8030" t="s">
        <v>60</v>
      </c>
      <c r="M8030" t="s">
        <v>36</v>
      </c>
      <c r="N8030">
        <v>40.408552</v>
      </c>
      <c r="O8030">
        <v>-111.500486</v>
      </c>
      <c r="P8030">
        <v>5502.0324090000004</v>
      </c>
      <c r="Q8030">
        <v>445</v>
      </c>
      <c r="R8030">
        <v>0</v>
      </c>
    </row>
    <row r="8031" spans="1:18" x14ac:dyDescent="0.25">
      <c r="A8031">
        <v>10030</v>
      </c>
      <c r="B8031">
        <v>94</v>
      </c>
      <c r="C8031">
        <v>31757567</v>
      </c>
      <c r="D8031" t="s">
        <v>105</v>
      </c>
      <c r="E8031">
        <v>0</v>
      </c>
      <c r="F8031" t="s">
        <v>21</v>
      </c>
      <c r="G8031" t="s">
        <v>26</v>
      </c>
      <c r="H8031" t="s">
        <v>19</v>
      </c>
      <c r="I8031">
        <v>274</v>
      </c>
      <c r="J8031" t="s">
        <v>20</v>
      </c>
      <c r="K8031" t="s">
        <v>27</v>
      </c>
      <c r="L8031" t="s">
        <v>51</v>
      </c>
      <c r="M8031" t="s">
        <v>106</v>
      </c>
      <c r="N8031">
        <v>37.851008</v>
      </c>
      <c r="O8031">
        <v>-112.82777900000001</v>
      </c>
      <c r="P8031">
        <v>5885.6362600000002</v>
      </c>
      <c r="Q8031">
        <v>432</v>
      </c>
      <c r="R8031">
        <v>0</v>
      </c>
    </row>
    <row r="8032" spans="1:18" x14ac:dyDescent="0.25">
      <c r="A8032">
        <v>10031</v>
      </c>
      <c r="B8032">
        <v>94</v>
      </c>
      <c r="C8032">
        <v>28565163</v>
      </c>
      <c r="D8032" t="s">
        <v>323</v>
      </c>
      <c r="E8032">
        <v>18.431000000000001</v>
      </c>
      <c r="F8032" t="s">
        <v>21</v>
      </c>
      <c r="G8032" t="s">
        <v>26</v>
      </c>
      <c r="H8032" t="s">
        <v>21</v>
      </c>
      <c r="I8032" t="s">
        <v>20</v>
      </c>
      <c r="J8032" t="s">
        <v>20</v>
      </c>
      <c r="K8032" t="s">
        <v>31</v>
      </c>
      <c r="L8032" t="s">
        <v>130</v>
      </c>
      <c r="M8032" t="s">
        <v>131</v>
      </c>
      <c r="N8032">
        <v>40.719168000000003</v>
      </c>
      <c r="O8032">
        <v>-111.30029500000001</v>
      </c>
      <c r="P8032">
        <v>6437.0949000000001</v>
      </c>
      <c r="Q8032">
        <v>1345</v>
      </c>
      <c r="R8032">
        <v>0</v>
      </c>
    </row>
    <row r="8033" spans="1:18" x14ac:dyDescent="0.25">
      <c r="A8033">
        <v>10032</v>
      </c>
      <c r="B8033">
        <v>94</v>
      </c>
      <c r="C8033">
        <v>31459940</v>
      </c>
      <c r="D8033" t="s">
        <v>288</v>
      </c>
      <c r="E8033">
        <v>124.48</v>
      </c>
      <c r="F8033" t="s">
        <v>19</v>
      </c>
      <c r="G8033" t="s">
        <v>20</v>
      </c>
      <c r="H8033" t="s">
        <v>21</v>
      </c>
      <c r="I8033" t="s">
        <v>20</v>
      </c>
      <c r="J8033" t="s">
        <v>20</v>
      </c>
      <c r="K8033" t="s">
        <v>27</v>
      </c>
      <c r="L8033" t="s">
        <v>38</v>
      </c>
      <c r="M8033" t="s">
        <v>152</v>
      </c>
      <c r="N8033">
        <v>38.557563999999999</v>
      </c>
      <c r="O8033">
        <v>-109.542912</v>
      </c>
      <c r="P8033">
        <v>4069.073191</v>
      </c>
      <c r="Q8033">
        <v>350</v>
      </c>
      <c r="R8033">
        <v>0</v>
      </c>
    </row>
    <row r="8034" spans="1:18" x14ac:dyDescent="0.25">
      <c r="A8034">
        <v>10033</v>
      </c>
      <c r="B8034">
        <v>94</v>
      </c>
      <c r="C8034">
        <v>31824688</v>
      </c>
      <c r="D8034" t="s">
        <v>118</v>
      </c>
      <c r="E8034">
        <v>124.61</v>
      </c>
      <c r="F8034" t="s">
        <v>21</v>
      </c>
      <c r="G8034" t="s">
        <v>20</v>
      </c>
      <c r="H8034" t="s">
        <v>21</v>
      </c>
      <c r="I8034" t="s">
        <v>20</v>
      </c>
      <c r="J8034" t="s">
        <v>20</v>
      </c>
      <c r="K8034" t="s">
        <v>22</v>
      </c>
      <c r="L8034" t="s">
        <v>133</v>
      </c>
      <c r="M8034" t="s">
        <v>169</v>
      </c>
      <c r="N8034">
        <v>40.302171000000001</v>
      </c>
      <c r="O8034">
        <v>-109.798374</v>
      </c>
      <c r="P8034">
        <v>5027.1165250000004</v>
      </c>
      <c r="Q8034">
        <v>310</v>
      </c>
      <c r="R8034">
        <v>0</v>
      </c>
    </row>
    <row r="8035" spans="1:18" x14ac:dyDescent="0.25">
      <c r="A8035">
        <v>10034</v>
      </c>
      <c r="B8035">
        <v>94</v>
      </c>
      <c r="C8035">
        <v>31568637</v>
      </c>
      <c r="D8035" t="s">
        <v>213</v>
      </c>
      <c r="E8035">
        <v>124.77500000000001</v>
      </c>
      <c r="F8035" t="s">
        <v>21</v>
      </c>
      <c r="G8035" t="s">
        <v>26</v>
      </c>
      <c r="H8035" t="s">
        <v>21</v>
      </c>
      <c r="I8035" t="s">
        <v>20</v>
      </c>
      <c r="J8035" t="s">
        <v>20</v>
      </c>
      <c r="K8035" t="s">
        <v>22</v>
      </c>
      <c r="L8035" t="s">
        <v>193</v>
      </c>
      <c r="M8035" t="s">
        <v>214</v>
      </c>
      <c r="N8035">
        <v>39.757596999999997</v>
      </c>
      <c r="O8035">
        <v>-112.179906</v>
      </c>
      <c r="P8035">
        <v>5421.0283479999998</v>
      </c>
      <c r="Q8035">
        <v>1332</v>
      </c>
      <c r="R8035">
        <v>0</v>
      </c>
    </row>
    <row r="8036" spans="1:18" x14ac:dyDescent="0.25">
      <c r="A8036">
        <v>10035</v>
      </c>
      <c r="B8036">
        <v>94</v>
      </c>
      <c r="C8036">
        <v>31461417</v>
      </c>
      <c r="D8036" t="s">
        <v>288</v>
      </c>
      <c r="E8036">
        <v>124.901</v>
      </c>
      <c r="F8036" t="s">
        <v>21</v>
      </c>
      <c r="G8036" t="s">
        <v>26</v>
      </c>
      <c r="H8036" t="s">
        <v>21</v>
      </c>
      <c r="I8036" t="s">
        <v>20</v>
      </c>
      <c r="J8036" t="s">
        <v>20</v>
      </c>
      <c r="K8036" t="s">
        <v>27</v>
      </c>
      <c r="L8036" t="s">
        <v>38</v>
      </c>
      <c r="M8036" t="s">
        <v>152</v>
      </c>
      <c r="N8036">
        <v>38.561906999999998</v>
      </c>
      <c r="O8036">
        <v>-109.548299</v>
      </c>
      <c r="P8036">
        <v>4018.4559170000002</v>
      </c>
      <c r="Q8036">
        <v>350</v>
      </c>
      <c r="R8036">
        <v>0</v>
      </c>
    </row>
    <row r="8037" spans="1:18" x14ac:dyDescent="0.25">
      <c r="A8037">
        <v>10036</v>
      </c>
      <c r="B8037">
        <v>94</v>
      </c>
      <c r="C8037">
        <v>31461428</v>
      </c>
      <c r="D8037" t="s">
        <v>288</v>
      </c>
      <c r="E8037">
        <v>125.004</v>
      </c>
      <c r="F8037" t="s">
        <v>21</v>
      </c>
      <c r="G8037" t="s">
        <v>26</v>
      </c>
      <c r="H8037" t="s">
        <v>21</v>
      </c>
      <c r="I8037" t="s">
        <v>20</v>
      </c>
      <c r="J8037" t="s">
        <v>20</v>
      </c>
      <c r="K8037" t="s">
        <v>27</v>
      </c>
      <c r="L8037" t="s">
        <v>38</v>
      </c>
      <c r="M8037" t="s">
        <v>152</v>
      </c>
      <c r="N8037">
        <v>38.563225000000003</v>
      </c>
      <c r="O8037">
        <v>-109.5492</v>
      </c>
      <c r="P8037">
        <v>4008.3610239999998</v>
      </c>
      <c r="Q8037">
        <v>350</v>
      </c>
      <c r="R8037">
        <v>0</v>
      </c>
    </row>
    <row r="8038" spans="1:18" x14ac:dyDescent="0.25">
      <c r="A8038">
        <v>10037</v>
      </c>
      <c r="B8038">
        <v>94</v>
      </c>
      <c r="C8038" t="s">
        <v>937</v>
      </c>
      <c r="D8038" t="s">
        <v>272</v>
      </c>
      <c r="E8038">
        <v>125.02500000000001</v>
      </c>
      <c r="F8038" t="s">
        <v>21</v>
      </c>
      <c r="G8038" t="s">
        <v>20</v>
      </c>
      <c r="H8038" t="s">
        <v>21</v>
      </c>
      <c r="I8038" t="s">
        <v>20</v>
      </c>
      <c r="J8038" t="s">
        <v>20</v>
      </c>
      <c r="K8038" t="s">
        <v>27</v>
      </c>
      <c r="L8038" t="s">
        <v>247</v>
      </c>
      <c r="M8038" t="s">
        <v>214</v>
      </c>
      <c r="N8038">
        <v>37.759936000000003</v>
      </c>
      <c r="O8038">
        <v>-112.38319199999999</v>
      </c>
      <c r="P8038">
        <v>6647.2480009999999</v>
      </c>
      <c r="Q8038">
        <v>1384</v>
      </c>
      <c r="R8038">
        <v>0</v>
      </c>
    </row>
    <row r="8039" spans="1:18" x14ac:dyDescent="0.25">
      <c r="A8039">
        <v>10038</v>
      </c>
      <c r="B8039">
        <v>94</v>
      </c>
      <c r="C8039">
        <v>31461439</v>
      </c>
      <c r="D8039" t="s">
        <v>288</v>
      </c>
      <c r="E8039">
        <v>125.054</v>
      </c>
      <c r="F8039" t="s">
        <v>19</v>
      </c>
      <c r="G8039" t="s">
        <v>20</v>
      </c>
      <c r="H8039" t="s">
        <v>21</v>
      </c>
      <c r="I8039" t="s">
        <v>20</v>
      </c>
      <c r="J8039" t="s">
        <v>20</v>
      </c>
      <c r="K8039" t="s">
        <v>27</v>
      </c>
      <c r="L8039" t="s">
        <v>38</v>
      </c>
      <c r="M8039" t="s">
        <v>152</v>
      </c>
      <c r="N8039">
        <v>38.563887999999999</v>
      </c>
      <c r="O8039">
        <v>-109.549565</v>
      </c>
      <c r="P8039">
        <v>4002.6258069999999</v>
      </c>
      <c r="Q8039">
        <v>350</v>
      </c>
      <c r="R8039">
        <v>0</v>
      </c>
    </row>
    <row r="8040" spans="1:18" x14ac:dyDescent="0.25">
      <c r="A8040">
        <v>10039</v>
      </c>
      <c r="B8040">
        <v>94</v>
      </c>
      <c r="C8040">
        <v>31462522</v>
      </c>
      <c r="D8040" t="s">
        <v>288</v>
      </c>
      <c r="E8040">
        <v>125.22799999999999</v>
      </c>
      <c r="F8040" t="s">
        <v>21</v>
      </c>
      <c r="G8040" t="s">
        <v>26</v>
      </c>
      <c r="H8040" t="s">
        <v>21</v>
      </c>
      <c r="I8040" t="s">
        <v>20</v>
      </c>
      <c r="J8040" t="s">
        <v>20</v>
      </c>
      <c r="K8040" t="s">
        <v>27</v>
      </c>
      <c r="L8040" t="s">
        <v>38</v>
      </c>
      <c r="M8040" t="s">
        <v>152</v>
      </c>
      <c r="N8040">
        <v>38.566302999999998</v>
      </c>
      <c r="O8040">
        <v>-109.550488</v>
      </c>
      <c r="P8040">
        <v>3987.1500639999999</v>
      </c>
      <c r="Q8040">
        <v>350</v>
      </c>
      <c r="R8040">
        <v>0</v>
      </c>
    </row>
    <row r="8041" spans="1:18" x14ac:dyDescent="0.25">
      <c r="A8041">
        <v>10040</v>
      </c>
      <c r="B8041">
        <v>94</v>
      </c>
      <c r="C8041">
        <v>31462533</v>
      </c>
      <c r="D8041" t="s">
        <v>288</v>
      </c>
      <c r="E8041">
        <v>125.33499999999999</v>
      </c>
      <c r="F8041" t="s">
        <v>21</v>
      </c>
      <c r="G8041" t="s">
        <v>26</v>
      </c>
      <c r="H8041" t="s">
        <v>21</v>
      </c>
      <c r="I8041" t="s">
        <v>20</v>
      </c>
      <c r="J8041" t="s">
        <v>20</v>
      </c>
      <c r="K8041" t="s">
        <v>27</v>
      </c>
      <c r="L8041" t="s">
        <v>38</v>
      </c>
      <c r="M8041" t="s">
        <v>152</v>
      </c>
      <c r="N8041">
        <v>38.567841000000001</v>
      </c>
      <c r="O8041">
        <v>-109.550758</v>
      </c>
      <c r="P8041">
        <v>3981.5213440000002</v>
      </c>
      <c r="Q8041">
        <v>350</v>
      </c>
      <c r="R8041">
        <v>0</v>
      </c>
    </row>
    <row r="8042" spans="1:18" x14ac:dyDescent="0.25">
      <c r="A8042">
        <v>10041</v>
      </c>
      <c r="B8042">
        <v>94</v>
      </c>
      <c r="C8042" t="e">
        <f>-Ip-pWfcIq5rebN8kaP6pF</f>
        <v>#NAME?</v>
      </c>
      <c r="D8042" t="s">
        <v>118</v>
      </c>
      <c r="E8042">
        <v>125.39</v>
      </c>
      <c r="F8042" t="s">
        <v>21</v>
      </c>
      <c r="G8042" t="s">
        <v>20</v>
      </c>
      <c r="H8042" t="s">
        <v>21</v>
      </c>
      <c r="I8042" t="s">
        <v>20</v>
      </c>
      <c r="J8042" t="s">
        <v>20</v>
      </c>
      <c r="K8042" t="s">
        <v>22</v>
      </c>
      <c r="L8042" t="s">
        <v>133</v>
      </c>
      <c r="M8042" t="s">
        <v>169</v>
      </c>
      <c r="N8042">
        <v>40.303288999999999</v>
      </c>
      <c r="O8042">
        <v>-109.78364000000001</v>
      </c>
      <c r="P8042">
        <v>5060.7088670000003</v>
      </c>
      <c r="Q8042">
        <v>310</v>
      </c>
      <c r="R8042">
        <v>0</v>
      </c>
    </row>
    <row r="8043" spans="1:18" x14ac:dyDescent="0.25">
      <c r="A8043">
        <v>10042</v>
      </c>
      <c r="B8043">
        <v>94</v>
      </c>
      <c r="C8043">
        <v>31462544</v>
      </c>
      <c r="D8043" t="s">
        <v>288</v>
      </c>
      <c r="E8043">
        <v>125.393</v>
      </c>
      <c r="F8043" t="s">
        <v>19</v>
      </c>
      <c r="G8043" t="s">
        <v>20</v>
      </c>
      <c r="H8043" t="s">
        <v>21</v>
      </c>
      <c r="I8043" t="s">
        <v>20</v>
      </c>
      <c r="J8043" t="s">
        <v>20</v>
      </c>
      <c r="K8043" t="s">
        <v>27</v>
      </c>
      <c r="L8043" t="s">
        <v>38</v>
      </c>
      <c r="M8043" t="s">
        <v>152</v>
      </c>
      <c r="N8043">
        <v>38.568680000000001</v>
      </c>
      <c r="O8043">
        <v>-109.55082899999999</v>
      </c>
      <c r="P8043">
        <v>3978.7257340000001</v>
      </c>
      <c r="Q8043">
        <v>350</v>
      </c>
      <c r="R8043">
        <v>0</v>
      </c>
    </row>
    <row r="8044" spans="1:18" x14ac:dyDescent="0.25">
      <c r="A8044">
        <v>10043</v>
      </c>
      <c r="B8044">
        <v>94</v>
      </c>
      <c r="C8044">
        <v>31568648</v>
      </c>
      <c r="D8044" t="s">
        <v>213</v>
      </c>
      <c r="E8044">
        <v>125.42700000000001</v>
      </c>
      <c r="F8044" t="s">
        <v>21</v>
      </c>
      <c r="G8044" t="s">
        <v>26</v>
      </c>
      <c r="H8044" t="s">
        <v>21</v>
      </c>
      <c r="I8044" t="s">
        <v>20</v>
      </c>
      <c r="J8044" t="s">
        <v>20</v>
      </c>
      <c r="K8044" t="s">
        <v>22</v>
      </c>
      <c r="L8044" t="s">
        <v>193</v>
      </c>
      <c r="M8044" t="s">
        <v>214</v>
      </c>
      <c r="N8044">
        <v>39.764276000000002</v>
      </c>
      <c r="O8044">
        <v>-112.171361</v>
      </c>
      <c r="P8044">
        <v>5472.8352750000004</v>
      </c>
      <c r="Q8044">
        <v>1332</v>
      </c>
      <c r="R8044">
        <v>0</v>
      </c>
    </row>
    <row r="8045" spans="1:18" x14ac:dyDescent="0.25">
      <c r="A8045">
        <v>10044</v>
      </c>
      <c r="B8045">
        <v>94</v>
      </c>
      <c r="C8045">
        <v>31465062</v>
      </c>
      <c r="D8045" t="s">
        <v>288</v>
      </c>
      <c r="E8045">
        <v>125.498</v>
      </c>
      <c r="F8045" t="s">
        <v>21</v>
      </c>
      <c r="G8045" t="s">
        <v>26</v>
      </c>
      <c r="H8045" t="s">
        <v>21</v>
      </c>
      <c r="I8045" t="s">
        <v>20</v>
      </c>
      <c r="J8045" t="s">
        <v>20</v>
      </c>
      <c r="K8045" t="s">
        <v>27</v>
      </c>
      <c r="L8045" t="s">
        <v>38</v>
      </c>
      <c r="M8045" t="s">
        <v>152</v>
      </c>
      <c r="N8045">
        <v>38.570200999999997</v>
      </c>
      <c r="O8045">
        <v>-109.55080599999999</v>
      </c>
      <c r="P8045">
        <v>3969.5405620000001</v>
      </c>
      <c r="Q8045">
        <v>350</v>
      </c>
      <c r="R8045">
        <v>0</v>
      </c>
    </row>
    <row r="8046" spans="1:18" x14ac:dyDescent="0.25">
      <c r="A8046">
        <v>10045</v>
      </c>
      <c r="B8046">
        <v>94</v>
      </c>
      <c r="C8046">
        <v>31465075</v>
      </c>
      <c r="D8046" t="s">
        <v>288</v>
      </c>
      <c r="E8046">
        <v>125.605</v>
      </c>
      <c r="F8046" t="s">
        <v>19</v>
      </c>
      <c r="G8046" t="s">
        <v>20</v>
      </c>
      <c r="H8046" t="s">
        <v>21</v>
      </c>
      <c r="I8046" t="s">
        <v>20</v>
      </c>
      <c r="J8046" t="s">
        <v>20</v>
      </c>
      <c r="K8046" t="s">
        <v>27</v>
      </c>
      <c r="L8046" t="s">
        <v>38</v>
      </c>
      <c r="M8046" t="s">
        <v>152</v>
      </c>
      <c r="N8046">
        <v>38.571767000000001</v>
      </c>
      <c r="O8046">
        <v>-109.550798</v>
      </c>
      <c r="P8046">
        <v>3962.2501950000001</v>
      </c>
      <c r="Q8046">
        <v>350</v>
      </c>
      <c r="R8046">
        <v>0</v>
      </c>
    </row>
    <row r="8047" spans="1:18" x14ac:dyDescent="0.25">
      <c r="A8047">
        <v>10046</v>
      </c>
      <c r="B8047">
        <v>94</v>
      </c>
      <c r="C8047">
        <v>31337227</v>
      </c>
      <c r="D8047" t="s">
        <v>413</v>
      </c>
      <c r="E8047">
        <v>16.969000000000001</v>
      </c>
      <c r="F8047" t="s">
        <v>19</v>
      </c>
      <c r="G8047" t="s">
        <v>20</v>
      </c>
      <c r="H8047" t="s">
        <v>21</v>
      </c>
      <c r="I8047" t="s">
        <v>20</v>
      </c>
      <c r="J8047" t="s">
        <v>20</v>
      </c>
      <c r="K8047" t="s">
        <v>31</v>
      </c>
      <c r="L8047" t="s">
        <v>66</v>
      </c>
      <c r="M8047" t="s">
        <v>206</v>
      </c>
      <c r="N8047">
        <v>40.725529999999999</v>
      </c>
      <c r="O8047">
        <v>-111.911272</v>
      </c>
      <c r="P8047">
        <v>4186.7702840000002</v>
      </c>
      <c r="Q8047">
        <v>411</v>
      </c>
      <c r="R8047">
        <v>0</v>
      </c>
    </row>
    <row r="8048" spans="1:18" x14ac:dyDescent="0.25">
      <c r="A8048">
        <v>10047</v>
      </c>
      <c r="B8048">
        <v>94</v>
      </c>
      <c r="C8048">
        <v>28167473</v>
      </c>
      <c r="D8048" t="s">
        <v>233</v>
      </c>
      <c r="E8048">
        <v>16.97</v>
      </c>
      <c r="F8048" t="s">
        <v>21</v>
      </c>
      <c r="G8048" t="s">
        <v>20</v>
      </c>
      <c r="H8048" t="s">
        <v>21</v>
      </c>
      <c r="I8048" t="s">
        <v>20</v>
      </c>
      <c r="J8048" t="s">
        <v>20</v>
      </c>
      <c r="K8048" t="s">
        <v>22</v>
      </c>
      <c r="L8048" t="s">
        <v>234</v>
      </c>
      <c r="M8048" t="s">
        <v>235</v>
      </c>
      <c r="N8048">
        <v>40.152110999999998</v>
      </c>
      <c r="O8048">
        <v>-109.301666</v>
      </c>
      <c r="P8048">
        <v>5482.5281940000004</v>
      </c>
      <c r="Q8048">
        <v>1354</v>
      </c>
      <c r="R8048">
        <v>0</v>
      </c>
    </row>
    <row r="8049" spans="1:18" x14ac:dyDescent="0.25">
      <c r="A8049">
        <v>10048</v>
      </c>
      <c r="B8049">
        <v>94</v>
      </c>
      <c r="C8049">
        <v>27703411</v>
      </c>
      <c r="D8049" t="s">
        <v>217</v>
      </c>
      <c r="E8049">
        <v>16.975999999999999</v>
      </c>
      <c r="F8049" t="s">
        <v>21</v>
      </c>
      <c r="G8049" t="s">
        <v>26</v>
      </c>
      <c r="H8049" t="s">
        <v>21</v>
      </c>
      <c r="I8049" t="s">
        <v>20</v>
      </c>
      <c r="J8049" t="s">
        <v>20</v>
      </c>
      <c r="K8049" t="s">
        <v>27</v>
      </c>
      <c r="L8049" t="s">
        <v>162</v>
      </c>
      <c r="M8049" t="s">
        <v>163</v>
      </c>
      <c r="N8049">
        <v>37.300927999999999</v>
      </c>
      <c r="O8049">
        <v>-113.66734</v>
      </c>
      <c r="P8049">
        <v>4540.1252160000004</v>
      </c>
      <c r="Q8049">
        <v>304</v>
      </c>
      <c r="R8049">
        <v>0</v>
      </c>
    </row>
    <row r="8050" spans="1:18" x14ac:dyDescent="0.25">
      <c r="A8050">
        <v>10049</v>
      </c>
      <c r="B8050">
        <v>94</v>
      </c>
      <c r="C8050">
        <v>31753943</v>
      </c>
      <c r="D8050" t="s">
        <v>231</v>
      </c>
      <c r="E8050">
        <v>16.978999999999999</v>
      </c>
      <c r="F8050" t="s">
        <v>21</v>
      </c>
      <c r="G8050" t="s">
        <v>26</v>
      </c>
      <c r="H8050" t="s">
        <v>21</v>
      </c>
      <c r="I8050" t="s">
        <v>20</v>
      </c>
      <c r="J8050" t="s">
        <v>20</v>
      </c>
      <c r="K8050" t="s">
        <v>41</v>
      </c>
      <c r="L8050" t="s">
        <v>57</v>
      </c>
      <c r="M8050" t="s">
        <v>93</v>
      </c>
      <c r="N8050">
        <v>41.281306000000001</v>
      </c>
      <c r="O8050">
        <v>-112.028052</v>
      </c>
      <c r="P8050">
        <v>4191.9212170000001</v>
      </c>
      <c r="Q8050">
        <v>1409</v>
      </c>
      <c r="R8050">
        <v>0</v>
      </c>
    </row>
    <row r="8051" spans="1:18" x14ac:dyDescent="0.25">
      <c r="A8051">
        <v>10050</v>
      </c>
      <c r="B8051">
        <v>94</v>
      </c>
      <c r="C8051" t="s">
        <v>938</v>
      </c>
      <c r="D8051" t="s">
        <v>272</v>
      </c>
      <c r="E8051">
        <v>186.73400000000001</v>
      </c>
      <c r="F8051" t="s">
        <v>21</v>
      </c>
      <c r="G8051" t="s">
        <v>20</v>
      </c>
      <c r="H8051" t="s">
        <v>21</v>
      </c>
      <c r="I8051" t="s">
        <v>20</v>
      </c>
      <c r="J8051" t="s">
        <v>20</v>
      </c>
      <c r="K8051" t="s">
        <v>27</v>
      </c>
      <c r="L8051" t="s">
        <v>337</v>
      </c>
      <c r="M8051" t="s">
        <v>214</v>
      </c>
      <c r="N8051">
        <v>38.547331999999997</v>
      </c>
      <c r="O8051">
        <v>-112.26864399999999</v>
      </c>
      <c r="P8051">
        <v>5671.5403919999999</v>
      </c>
      <c r="Q8051">
        <v>1384</v>
      </c>
      <c r="R8051">
        <v>0</v>
      </c>
    </row>
    <row r="8052" spans="1:18" x14ac:dyDescent="0.25">
      <c r="A8052">
        <v>10051</v>
      </c>
      <c r="B8052">
        <v>94</v>
      </c>
      <c r="C8052" t="s">
        <v>939</v>
      </c>
      <c r="D8052" t="s">
        <v>272</v>
      </c>
      <c r="E8052">
        <v>187.15100000000001</v>
      </c>
      <c r="F8052" t="s">
        <v>21</v>
      </c>
      <c r="G8052" t="s">
        <v>20</v>
      </c>
      <c r="H8052" t="s">
        <v>21</v>
      </c>
      <c r="I8052" t="s">
        <v>20</v>
      </c>
      <c r="J8052" t="s">
        <v>20</v>
      </c>
      <c r="K8052" t="s">
        <v>27</v>
      </c>
      <c r="L8052" t="s">
        <v>337</v>
      </c>
      <c r="M8052" t="s">
        <v>214</v>
      </c>
      <c r="N8052">
        <v>38.552948000000001</v>
      </c>
      <c r="O8052">
        <v>-112.27041699999999</v>
      </c>
      <c r="P8052">
        <v>5661.5624049999997</v>
      </c>
      <c r="Q8052">
        <v>1384</v>
      </c>
      <c r="R8052">
        <v>0</v>
      </c>
    </row>
    <row r="8053" spans="1:18" x14ac:dyDescent="0.25">
      <c r="A8053">
        <v>10052</v>
      </c>
      <c r="B8053">
        <v>94</v>
      </c>
      <c r="C8053">
        <v>31625489</v>
      </c>
      <c r="D8053" t="s">
        <v>213</v>
      </c>
      <c r="E8053">
        <v>187.464</v>
      </c>
      <c r="F8053" t="s">
        <v>21</v>
      </c>
      <c r="G8053" t="s">
        <v>26</v>
      </c>
      <c r="H8053" t="s">
        <v>19</v>
      </c>
      <c r="I8053">
        <v>89</v>
      </c>
      <c r="J8053" t="s">
        <v>20</v>
      </c>
      <c r="K8053" t="s">
        <v>22</v>
      </c>
      <c r="L8053" t="s">
        <v>140</v>
      </c>
      <c r="M8053" t="s">
        <v>159</v>
      </c>
      <c r="N8053">
        <v>39.995519999999999</v>
      </c>
      <c r="O8053">
        <v>-111.468931</v>
      </c>
      <c r="P8053">
        <v>5275.2281549999998</v>
      </c>
      <c r="Q8053">
        <v>1332</v>
      </c>
      <c r="R8053">
        <v>0</v>
      </c>
    </row>
    <row r="8054" spans="1:18" x14ac:dyDescent="0.25">
      <c r="A8054">
        <v>10053</v>
      </c>
      <c r="B8054">
        <v>94</v>
      </c>
      <c r="C8054" t="e">
        <f>-IoIaf_TIzDwPJe-PyKQkV</f>
        <v>#NAME?</v>
      </c>
      <c r="D8054" t="s">
        <v>272</v>
      </c>
      <c r="E8054">
        <v>188.31800000000001</v>
      </c>
      <c r="F8054" t="s">
        <v>21</v>
      </c>
      <c r="G8054" t="s">
        <v>20</v>
      </c>
      <c r="H8054" t="s">
        <v>21</v>
      </c>
      <c r="I8054" t="s">
        <v>20</v>
      </c>
      <c r="J8054" t="s">
        <v>20</v>
      </c>
      <c r="K8054" t="s">
        <v>27</v>
      </c>
      <c r="L8054" t="s">
        <v>337</v>
      </c>
      <c r="M8054" t="s">
        <v>214</v>
      </c>
      <c r="N8054">
        <v>38.567959999999999</v>
      </c>
      <c r="O8054">
        <v>-112.267538</v>
      </c>
      <c r="P8054">
        <v>5568.1570890000003</v>
      </c>
      <c r="Q8054">
        <v>1384</v>
      </c>
      <c r="R8054">
        <v>0</v>
      </c>
    </row>
    <row r="8055" spans="1:18" x14ac:dyDescent="0.25">
      <c r="A8055">
        <v>10054</v>
      </c>
      <c r="B8055">
        <v>94</v>
      </c>
      <c r="C8055">
        <v>31547406</v>
      </c>
      <c r="D8055" t="s">
        <v>320</v>
      </c>
      <c r="E8055">
        <v>155.94800000000001</v>
      </c>
      <c r="F8055" t="s">
        <v>21</v>
      </c>
      <c r="G8055" t="s">
        <v>26</v>
      </c>
      <c r="H8055" t="s">
        <v>21</v>
      </c>
      <c r="I8055" t="s">
        <v>20</v>
      </c>
      <c r="J8055" t="s">
        <v>20</v>
      </c>
      <c r="K8055" t="s">
        <v>27</v>
      </c>
      <c r="L8055" t="s">
        <v>183</v>
      </c>
      <c r="M8055" t="s">
        <v>76</v>
      </c>
      <c r="N8055">
        <v>38.954712000000001</v>
      </c>
      <c r="O8055">
        <v>-111.906965</v>
      </c>
      <c r="P8055">
        <v>5156.7265930000003</v>
      </c>
      <c r="Q8055">
        <v>1356</v>
      </c>
      <c r="R8055">
        <v>0</v>
      </c>
    </row>
    <row r="8056" spans="1:18" x14ac:dyDescent="0.25">
      <c r="A8056">
        <v>10055</v>
      </c>
      <c r="B8056">
        <v>94</v>
      </c>
      <c r="C8056">
        <v>967149</v>
      </c>
      <c r="D8056" t="s">
        <v>599</v>
      </c>
      <c r="E8056">
        <v>9.9000000000000005E-2</v>
      </c>
      <c r="F8056" t="s">
        <v>19</v>
      </c>
      <c r="G8056" t="s">
        <v>20</v>
      </c>
      <c r="H8056" t="s">
        <v>21</v>
      </c>
      <c r="I8056" t="s">
        <v>20</v>
      </c>
      <c r="J8056" t="s">
        <v>20</v>
      </c>
      <c r="K8056" t="s">
        <v>41</v>
      </c>
      <c r="L8056" t="s">
        <v>45</v>
      </c>
      <c r="M8056" t="s">
        <v>67</v>
      </c>
      <c r="N8056">
        <v>40.861299000000002</v>
      </c>
      <c r="O8056">
        <v>-111.901467</v>
      </c>
      <c r="P8056">
        <v>4266.2492060000004</v>
      </c>
      <c r="Q8056">
        <v>1387</v>
      </c>
      <c r="R8056">
        <v>0</v>
      </c>
    </row>
    <row r="8057" spans="1:18" x14ac:dyDescent="0.25">
      <c r="A8057">
        <v>10056</v>
      </c>
      <c r="B8057">
        <v>94</v>
      </c>
      <c r="C8057">
        <v>31590307</v>
      </c>
      <c r="D8057" t="s">
        <v>145</v>
      </c>
      <c r="E8057">
        <v>0.1</v>
      </c>
      <c r="F8057" t="s">
        <v>21</v>
      </c>
      <c r="G8057" t="s">
        <v>26</v>
      </c>
      <c r="H8057" t="s">
        <v>21</v>
      </c>
      <c r="I8057" t="s">
        <v>20</v>
      </c>
      <c r="J8057" t="s">
        <v>20</v>
      </c>
      <c r="K8057" t="s">
        <v>27</v>
      </c>
      <c r="L8057" t="s">
        <v>146</v>
      </c>
      <c r="M8057" t="s">
        <v>147</v>
      </c>
      <c r="N8057">
        <v>37.872624000000002</v>
      </c>
      <c r="O8057">
        <v>-109.341088</v>
      </c>
      <c r="P8057">
        <v>6991.3745769999996</v>
      </c>
      <c r="Q8057">
        <v>1291</v>
      </c>
      <c r="R8057">
        <v>0</v>
      </c>
    </row>
    <row r="8058" spans="1:18" x14ac:dyDescent="0.25">
      <c r="A8058">
        <v>10057</v>
      </c>
      <c r="B8058">
        <v>94</v>
      </c>
      <c r="C8058">
        <v>31299945</v>
      </c>
      <c r="D8058" t="s">
        <v>116</v>
      </c>
      <c r="E8058">
        <v>0.10199999999999999</v>
      </c>
      <c r="F8058" t="s">
        <v>21</v>
      </c>
      <c r="G8058" t="s">
        <v>26</v>
      </c>
      <c r="H8058" t="s">
        <v>21</v>
      </c>
      <c r="I8058" t="s">
        <v>20</v>
      </c>
      <c r="J8058" t="s">
        <v>20</v>
      </c>
      <c r="K8058" t="s">
        <v>41</v>
      </c>
      <c r="L8058" t="s">
        <v>177</v>
      </c>
      <c r="M8058" t="s">
        <v>43</v>
      </c>
      <c r="N8058">
        <v>41.485813</v>
      </c>
      <c r="O8058">
        <v>-112.05218000000001</v>
      </c>
      <c r="P8058">
        <v>4199.3061159999997</v>
      </c>
      <c r="Q8058">
        <v>324</v>
      </c>
      <c r="R8058">
        <v>0</v>
      </c>
    </row>
    <row r="8059" spans="1:18" x14ac:dyDescent="0.25">
      <c r="A8059">
        <v>10058</v>
      </c>
      <c r="B8059">
        <v>94</v>
      </c>
      <c r="C8059">
        <v>31368602</v>
      </c>
      <c r="D8059" t="s">
        <v>345</v>
      </c>
      <c r="E8059">
        <v>0.10199999999999999</v>
      </c>
      <c r="F8059" t="s">
        <v>21</v>
      </c>
      <c r="G8059" t="s">
        <v>26</v>
      </c>
      <c r="H8059" t="s">
        <v>21</v>
      </c>
      <c r="I8059" t="s">
        <v>20</v>
      </c>
      <c r="J8059" t="s">
        <v>20</v>
      </c>
      <c r="K8059" t="s">
        <v>27</v>
      </c>
      <c r="L8059" t="s">
        <v>75</v>
      </c>
      <c r="M8059" t="s">
        <v>76</v>
      </c>
      <c r="N8059">
        <v>38.624741</v>
      </c>
      <c r="O8059">
        <v>-112.22537</v>
      </c>
      <c r="P8059">
        <v>5442.649676</v>
      </c>
      <c r="Q8059">
        <v>1403</v>
      </c>
      <c r="R8059">
        <v>0</v>
      </c>
    </row>
    <row r="8060" spans="1:18" x14ac:dyDescent="0.25">
      <c r="A8060">
        <v>10059</v>
      </c>
      <c r="B8060">
        <v>94</v>
      </c>
      <c r="C8060" t="s">
        <v>940</v>
      </c>
      <c r="D8060" t="s">
        <v>408</v>
      </c>
      <c r="E8060">
        <v>0.104</v>
      </c>
      <c r="F8060" t="s">
        <v>21</v>
      </c>
      <c r="G8060" t="s">
        <v>26</v>
      </c>
      <c r="H8060" t="s">
        <v>21</v>
      </c>
      <c r="I8060" t="s">
        <v>20</v>
      </c>
      <c r="J8060" t="s">
        <v>20</v>
      </c>
      <c r="K8060" t="s">
        <v>27</v>
      </c>
      <c r="L8060" t="s">
        <v>75</v>
      </c>
      <c r="M8060" t="s">
        <v>366</v>
      </c>
      <c r="N8060">
        <v>38.682965000000003</v>
      </c>
      <c r="O8060">
        <v>-112.155423</v>
      </c>
      <c r="P8060">
        <v>5300.8929760000001</v>
      </c>
      <c r="Q8060">
        <v>428</v>
      </c>
      <c r="R8060">
        <v>0</v>
      </c>
    </row>
    <row r="8061" spans="1:18" x14ac:dyDescent="0.25">
      <c r="A8061">
        <v>10060</v>
      </c>
      <c r="B8061">
        <v>94</v>
      </c>
      <c r="C8061">
        <v>27643275</v>
      </c>
      <c r="D8061" t="s">
        <v>196</v>
      </c>
      <c r="E8061">
        <v>0.104</v>
      </c>
      <c r="F8061" t="s">
        <v>21</v>
      </c>
      <c r="G8061" t="s">
        <v>26</v>
      </c>
      <c r="H8061" t="s">
        <v>21</v>
      </c>
      <c r="I8061" t="s">
        <v>20</v>
      </c>
      <c r="J8061" t="s">
        <v>20</v>
      </c>
      <c r="K8061" t="s">
        <v>27</v>
      </c>
      <c r="L8061" t="s">
        <v>72</v>
      </c>
      <c r="M8061" t="s">
        <v>73</v>
      </c>
      <c r="N8061">
        <v>37.109935999999998</v>
      </c>
      <c r="O8061">
        <v>-113.59183299999999</v>
      </c>
      <c r="P8061">
        <v>2680.9105530000002</v>
      </c>
      <c r="Q8061">
        <v>308</v>
      </c>
      <c r="R8061">
        <v>0</v>
      </c>
    </row>
    <row r="8062" spans="1:18" x14ac:dyDescent="0.25">
      <c r="A8062">
        <v>10061</v>
      </c>
      <c r="B8062">
        <v>94</v>
      </c>
      <c r="C8062" t="e">
        <f>-JQs6wQWHoazlL8e_qG0OF</f>
        <v>#NAME?</v>
      </c>
      <c r="D8062" t="s">
        <v>272</v>
      </c>
      <c r="E8062">
        <v>83.02</v>
      </c>
      <c r="F8062" t="s">
        <v>21</v>
      </c>
      <c r="G8062" t="s">
        <v>26</v>
      </c>
      <c r="H8062" t="s">
        <v>21</v>
      </c>
      <c r="I8062" t="s">
        <v>20</v>
      </c>
      <c r="J8062" t="s">
        <v>20</v>
      </c>
      <c r="K8062" t="s">
        <v>27</v>
      </c>
      <c r="L8062" t="s">
        <v>279</v>
      </c>
      <c r="M8062" t="s">
        <v>214</v>
      </c>
      <c r="N8062">
        <v>37.246085999999998</v>
      </c>
      <c r="O8062">
        <v>-112.666093</v>
      </c>
      <c r="P8062">
        <v>5239.1026469999997</v>
      </c>
      <c r="Q8062">
        <v>1384</v>
      </c>
      <c r="R8062">
        <v>0</v>
      </c>
    </row>
    <row r="8063" spans="1:18" x14ac:dyDescent="0.25">
      <c r="A8063">
        <v>10062</v>
      </c>
      <c r="B8063">
        <v>94</v>
      </c>
      <c r="C8063">
        <v>31892712</v>
      </c>
      <c r="D8063" t="s">
        <v>272</v>
      </c>
      <c r="E8063">
        <v>83.064999999999998</v>
      </c>
      <c r="F8063" t="s">
        <v>21</v>
      </c>
      <c r="G8063" t="s">
        <v>26</v>
      </c>
      <c r="H8063" t="s">
        <v>21</v>
      </c>
      <c r="I8063" t="s">
        <v>20</v>
      </c>
      <c r="J8063" t="s">
        <v>20</v>
      </c>
      <c r="K8063" t="s">
        <v>27</v>
      </c>
      <c r="L8063" t="s">
        <v>279</v>
      </c>
      <c r="M8063" t="s">
        <v>214</v>
      </c>
      <c r="N8063">
        <v>37.246563000000002</v>
      </c>
      <c r="O8063">
        <v>-112.665547</v>
      </c>
      <c r="P8063">
        <v>5240.1778510000004</v>
      </c>
      <c r="Q8063">
        <v>1384</v>
      </c>
      <c r="R8063">
        <v>0</v>
      </c>
    </row>
    <row r="8064" spans="1:18" x14ac:dyDescent="0.25">
      <c r="A8064">
        <v>10063</v>
      </c>
      <c r="B8064">
        <v>94</v>
      </c>
      <c r="C8064">
        <v>31547212</v>
      </c>
      <c r="D8064" t="s">
        <v>213</v>
      </c>
      <c r="E8064">
        <v>83.084000000000003</v>
      </c>
      <c r="F8064" t="s">
        <v>21</v>
      </c>
      <c r="G8064" t="s">
        <v>26</v>
      </c>
      <c r="H8064" t="s">
        <v>21</v>
      </c>
      <c r="I8064" t="s">
        <v>20</v>
      </c>
      <c r="J8064" t="s">
        <v>20</v>
      </c>
      <c r="K8064" t="s">
        <v>27</v>
      </c>
      <c r="L8064" t="s">
        <v>173</v>
      </c>
      <c r="M8064" t="s">
        <v>214</v>
      </c>
      <c r="N8064">
        <v>39.330742999999998</v>
      </c>
      <c r="O8064">
        <v>-112.667424</v>
      </c>
      <c r="P8064">
        <v>4536.1703159999997</v>
      </c>
      <c r="Q8064">
        <v>1332</v>
      </c>
      <c r="R8064">
        <v>0</v>
      </c>
    </row>
    <row r="8065" spans="1:18" x14ac:dyDescent="0.25">
      <c r="A8065">
        <v>10064</v>
      </c>
      <c r="B8065">
        <v>94</v>
      </c>
      <c r="C8065" t="s">
        <v>941</v>
      </c>
      <c r="D8065" t="s">
        <v>213</v>
      </c>
      <c r="E8065">
        <v>83.144000000000005</v>
      </c>
      <c r="F8065" t="s">
        <v>21</v>
      </c>
      <c r="G8065" t="s">
        <v>20</v>
      </c>
      <c r="H8065" t="s">
        <v>21</v>
      </c>
      <c r="I8065" t="s">
        <v>20</v>
      </c>
      <c r="J8065" t="s">
        <v>20</v>
      </c>
      <c r="K8065" t="s">
        <v>27</v>
      </c>
      <c r="L8065" t="s">
        <v>173</v>
      </c>
      <c r="M8065" t="s">
        <v>214</v>
      </c>
      <c r="N8065">
        <v>39.330736999999999</v>
      </c>
      <c r="O8065">
        <v>-112.666314</v>
      </c>
      <c r="P8065">
        <v>4537.0292909999998</v>
      </c>
      <c r="Q8065">
        <v>1332</v>
      </c>
      <c r="R8065">
        <v>0</v>
      </c>
    </row>
    <row r="8066" spans="1:18" x14ac:dyDescent="0.25">
      <c r="A8066">
        <v>10065</v>
      </c>
      <c r="B8066">
        <v>94</v>
      </c>
      <c r="C8066">
        <v>28128924</v>
      </c>
      <c r="D8066" t="s">
        <v>239</v>
      </c>
      <c r="E8066">
        <v>9.5020000000000007</v>
      </c>
      <c r="F8066" t="s">
        <v>21</v>
      </c>
      <c r="G8066" t="s">
        <v>361</v>
      </c>
      <c r="H8066" t="s">
        <v>21</v>
      </c>
      <c r="I8066" t="s">
        <v>20</v>
      </c>
      <c r="J8066" t="s">
        <v>20</v>
      </c>
      <c r="K8066" t="s">
        <v>41</v>
      </c>
      <c r="L8066" t="s">
        <v>181</v>
      </c>
      <c r="M8066" t="s">
        <v>178</v>
      </c>
      <c r="N8066">
        <v>41.695304</v>
      </c>
      <c r="O8066">
        <v>-112.27777</v>
      </c>
      <c r="P8066">
        <v>4249.9956300000003</v>
      </c>
      <c r="Q8066">
        <v>1392</v>
      </c>
      <c r="R8066">
        <v>0</v>
      </c>
    </row>
    <row r="8067" spans="1:18" x14ac:dyDescent="0.25">
      <c r="A8067">
        <v>10066</v>
      </c>
      <c r="B8067">
        <v>94</v>
      </c>
      <c r="C8067">
        <v>31411237</v>
      </c>
      <c r="D8067" t="s">
        <v>224</v>
      </c>
      <c r="E8067">
        <v>9.5090000000000003</v>
      </c>
      <c r="F8067" t="s">
        <v>21</v>
      </c>
      <c r="G8067" t="s">
        <v>26</v>
      </c>
      <c r="H8067" t="s">
        <v>21</v>
      </c>
      <c r="I8067" t="s">
        <v>20</v>
      </c>
      <c r="J8067" t="s">
        <v>20</v>
      </c>
      <c r="K8067" t="s">
        <v>22</v>
      </c>
      <c r="L8067" t="s">
        <v>198</v>
      </c>
      <c r="M8067" t="s">
        <v>194</v>
      </c>
      <c r="N8067">
        <v>40.066102999999998</v>
      </c>
      <c r="O8067">
        <v>-111.665781</v>
      </c>
      <c r="P8067">
        <v>4531.9508159999996</v>
      </c>
      <c r="Q8067">
        <v>408</v>
      </c>
      <c r="R8067">
        <v>0</v>
      </c>
    </row>
    <row r="8068" spans="1:18" x14ac:dyDescent="0.25">
      <c r="A8068">
        <v>10067</v>
      </c>
      <c r="B8068">
        <v>94</v>
      </c>
      <c r="C8068">
        <v>27378966</v>
      </c>
      <c r="D8068" t="s">
        <v>185</v>
      </c>
      <c r="E8068">
        <v>9.51</v>
      </c>
      <c r="F8068" t="s">
        <v>21</v>
      </c>
      <c r="G8068" t="s">
        <v>26</v>
      </c>
      <c r="H8068" t="s">
        <v>21</v>
      </c>
      <c r="I8068" t="s">
        <v>20</v>
      </c>
      <c r="J8068" t="s">
        <v>20</v>
      </c>
      <c r="K8068" t="s">
        <v>41</v>
      </c>
      <c r="L8068" t="s">
        <v>57</v>
      </c>
      <c r="M8068" t="s">
        <v>58</v>
      </c>
      <c r="N8068">
        <v>41.190772000000003</v>
      </c>
      <c r="O8068">
        <v>-112.102863</v>
      </c>
      <c r="P8068">
        <v>4192.4330419999997</v>
      </c>
      <c r="Q8068">
        <v>309</v>
      </c>
      <c r="R8068">
        <v>0</v>
      </c>
    </row>
    <row r="8069" spans="1:18" x14ac:dyDescent="0.25">
      <c r="A8069">
        <v>10068</v>
      </c>
      <c r="B8069">
        <v>94</v>
      </c>
      <c r="C8069">
        <v>1692163</v>
      </c>
      <c r="D8069" t="s">
        <v>100</v>
      </c>
      <c r="E8069">
        <v>9.5129999999999999</v>
      </c>
      <c r="F8069" t="s">
        <v>21</v>
      </c>
      <c r="G8069" t="s">
        <v>26</v>
      </c>
      <c r="H8069" t="s">
        <v>21</v>
      </c>
      <c r="I8069" t="s">
        <v>20</v>
      </c>
      <c r="J8069" t="s">
        <v>20</v>
      </c>
      <c r="K8069" t="s">
        <v>41</v>
      </c>
      <c r="L8069" t="s">
        <v>57</v>
      </c>
      <c r="M8069" t="s">
        <v>46</v>
      </c>
      <c r="N8069">
        <v>41.168875999999997</v>
      </c>
      <c r="O8069">
        <v>-112.06446</v>
      </c>
      <c r="P8069">
        <v>4244.8226180000001</v>
      </c>
      <c r="Q8069">
        <v>1396</v>
      </c>
      <c r="R8069">
        <v>0</v>
      </c>
    </row>
    <row r="8070" spans="1:18" x14ac:dyDescent="0.25">
      <c r="A8070">
        <v>10069</v>
      </c>
      <c r="B8070">
        <v>94</v>
      </c>
      <c r="C8070">
        <v>31895933</v>
      </c>
      <c r="D8070" t="s">
        <v>272</v>
      </c>
      <c r="E8070">
        <v>85.81</v>
      </c>
      <c r="F8070" t="s">
        <v>21</v>
      </c>
      <c r="G8070" t="s">
        <v>26</v>
      </c>
      <c r="H8070" t="s">
        <v>21</v>
      </c>
      <c r="I8070" t="s">
        <v>20</v>
      </c>
      <c r="J8070" t="s">
        <v>20</v>
      </c>
      <c r="K8070" t="s">
        <v>27</v>
      </c>
      <c r="L8070" t="s">
        <v>279</v>
      </c>
      <c r="M8070" t="s">
        <v>214</v>
      </c>
      <c r="N8070">
        <v>37.275964999999999</v>
      </c>
      <c r="O8070">
        <v>-112.636661</v>
      </c>
      <c r="P8070">
        <v>5383.6930510000002</v>
      </c>
      <c r="Q8070">
        <v>1384</v>
      </c>
      <c r="R8070">
        <v>0</v>
      </c>
    </row>
    <row r="8071" spans="1:18" x14ac:dyDescent="0.25">
      <c r="A8071">
        <v>10070</v>
      </c>
      <c r="B8071">
        <v>94</v>
      </c>
      <c r="C8071">
        <v>31895944</v>
      </c>
      <c r="D8071" t="s">
        <v>272</v>
      </c>
      <c r="E8071">
        <v>85.841999999999999</v>
      </c>
      <c r="F8071" t="s">
        <v>21</v>
      </c>
      <c r="G8071" t="s">
        <v>26</v>
      </c>
      <c r="H8071" t="s">
        <v>21</v>
      </c>
      <c r="I8071" t="s">
        <v>20</v>
      </c>
      <c r="J8071" t="s">
        <v>20</v>
      </c>
      <c r="K8071" t="s">
        <v>27</v>
      </c>
      <c r="L8071" t="s">
        <v>279</v>
      </c>
      <c r="M8071" t="s">
        <v>214</v>
      </c>
      <c r="N8071">
        <v>37.275953000000001</v>
      </c>
      <c r="O8071">
        <v>-112.63605699999999</v>
      </c>
      <c r="P8071">
        <v>5384.29565</v>
      </c>
      <c r="Q8071">
        <v>1384</v>
      </c>
      <c r="R8071">
        <v>0</v>
      </c>
    </row>
    <row r="8072" spans="1:18" x14ac:dyDescent="0.25">
      <c r="A8072">
        <v>10071</v>
      </c>
      <c r="B8072">
        <v>94</v>
      </c>
      <c r="C8072">
        <v>31373010</v>
      </c>
      <c r="D8072" t="s">
        <v>142</v>
      </c>
      <c r="E8072">
        <v>85.876999999999995</v>
      </c>
      <c r="F8072" t="s">
        <v>21</v>
      </c>
      <c r="G8072" t="s">
        <v>26</v>
      </c>
      <c r="H8072" t="s">
        <v>21</v>
      </c>
      <c r="I8072" t="s">
        <v>20</v>
      </c>
      <c r="J8072" t="s">
        <v>20</v>
      </c>
      <c r="K8072" t="s">
        <v>27</v>
      </c>
      <c r="L8072" t="s">
        <v>143</v>
      </c>
      <c r="M8072" t="s">
        <v>106</v>
      </c>
      <c r="N8072">
        <v>38.279522999999998</v>
      </c>
      <c r="O8072">
        <v>-112.962543</v>
      </c>
      <c r="P8072">
        <v>5157.8124539999999</v>
      </c>
      <c r="Q8072">
        <v>305</v>
      </c>
      <c r="R8072">
        <v>0</v>
      </c>
    </row>
    <row r="8073" spans="1:18" x14ac:dyDescent="0.25">
      <c r="A8073">
        <v>10072</v>
      </c>
      <c r="B8073">
        <v>94</v>
      </c>
      <c r="C8073">
        <v>31768722</v>
      </c>
      <c r="D8073" t="s">
        <v>290</v>
      </c>
      <c r="E8073">
        <v>85.885999999999996</v>
      </c>
      <c r="F8073" t="s">
        <v>21</v>
      </c>
      <c r="G8073" t="s">
        <v>20</v>
      </c>
      <c r="H8073" t="s">
        <v>21</v>
      </c>
      <c r="I8073" t="s">
        <v>20</v>
      </c>
      <c r="J8073" t="s">
        <v>20</v>
      </c>
      <c r="K8073" t="s">
        <v>41</v>
      </c>
      <c r="L8073" t="s">
        <v>291</v>
      </c>
      <c r="M8073" t="s">
        <v>238</v>
      </c>
      <c r="N8073">
        <v>41.967222</v>
      </c>
      <c r="O8073">
        <v>-112.84335299999999</v>
      </c>
      <c r="P8073">
        <v>4352.1129170000004</v>
      </c>
      <c r="Q8073">
        <v>1343</v>
      </c>
      <c r="R8073">
        <v>0</v>
      </c>
    </row>
    <row r="8074" spans="1:18" x14ac:dyDescent="0.25">
      <c r="A8074">
        <v>10073</v>
      </c>
      <c r="B8074">
        <v>94</v>
      </c>
      <c r="C8074">
        <v>28241479</v>
      </c>
      <c r="D8074" t="s">
        <v>220</v>
      </c>
      <c r="E8074">
        <v>85.887</v>
      </c>
      <c r="F8074" t="s">
        <v>21</v>
      </c>
      <c r="G8074" t="s">
        <v>26</v>
      </c>
      <c r="H8074" t="s">
        <v>21</v>
      </c>
      <c r="I8074" t="s">
        <v>20</v>
      </c>
      <c r="J8074" t="s">
        <v>20</v>
      </c>
      <c r="K8074" t="s">
        <v>27</v>
      </c>
      <c r="L8074" t="s">
        <v>28</v>
      </c>
      <c r="M8074" t="s">
        <v>366</v>
      </c>
      <c r="N8074">
        <v>37.901051000000002</v>
      </c>
      <c r="O8074">
        <v>-111.433553</v>
      </c>
      <c r="P8074">
        <v>6407.1909059999998</v>
      </c>
      <c r="Q8074">
        <v>1328</v>
      </c>
      <c r="R8074">
        <v>0</v>
      </c>
    </row>
    <row r="8075" spans="1:18" x14ac:dyDescent="0.25">
      <c r="A8075">
        <v>10074</v>
      </c>
      <c r="B8075">
        <v>94</v>
      </c>
      <c r="C8075">
        <v>31548868</v>
      </c>
      <c r="D8075" t="s">
        <v>213</v>
      </c>
      <c r="E8075">
        <v>85.906999999999996</v>
      </c>
      <c r="F8075" t="s">
        <v>21</v>
      </c>
      <c r="G8075" t="s">
        <v>26</v>
      </c>
      <c r="H8075" t="s">
        <v>21</v>
      </c>
      <c r="I8075" t="s">
        <v>20</v>
      </c>
      <c r="J8075" t="s">
        <v>20</v>
      </c>
      <c r="K8075" t="s">
        <v>27</v>
      </c>
      <c r="L8075" t="s">
        <v>173</v>
      </c>
      <c r="M8075" t="s">
        <v>214</v>
      </c>
      <c r="N8075">
        <v>39.330629000000002</v>
      </c>
      <c r="O8075">
        <v>-112.61480299999999</v>
      </c>
      <c r="P8075">
        <v>4546.3538609999996</v>
      </c>
      <c r="Q8075">
        <v>1332</v>
      </c>
      <c r="R8075">
        <v>0</v>
      </c>
    </row>
    <row r="8076" spans="1:18" x14ac:dyDescent="0.25">
      <c r="A8076">
        <v>10075</v>
      </c>
      <c r="B8076">
        <v>94</v>
      </c>
      <c r="C8076">
        <v>31896505</v>
      </c>
      <c r="D8076" t="s">
        <v>272</v>
      </c>
      <c r="E8076">
        <v>85.91</v>
      </c>
      <c r="F8076" t="s">
        <v>21</v>
      </c>
      <c r="G8076" t="s">
        <v>26</v>
      </c>
      <c r="H8076" t="s">
        <v>21</v>
      </c>
      <c r="I8076" t="s">
        <v>20</v>
      </c>
      <c r="J8076" t="s">
        <v>20</v>
      </c>
      <c r="K8076" t="s">
        <v>27</v>
      </c>
      <c r="L8076" t="s">
        <v>279</v>
      </c>
      <c r="M8076" t="s">
        <v>214</v>
      </c>
      <c r="N8076">
        <v>37.275942999999998</v>
      </c>
      <c r="O8076">
        <v>-112.634823</v>
      </c>
      <c r="P8076">
        <v>5391.1109210000004</v>
      </c>
      <c r="Q8076">
        <v>1384</v>
      </c>
      <c r="R8076">
        <v>0</v>
      </c>
    </row>
    <row r="8077" spans="1:18" x14ac:dyDescent="0.25">
      <c r="A8077">
        <v>10076</v>
      </c>
      <c r="B8077">
        <v>94</v>
      </c>
      <c r="C8077">
        <v>31772524</v>
      </c>
      <c r="D8077" t="s">
        <v>118</v>
      </c>
      <c r="E8077">
        <v>85.923000000000002</v>
      </c>
      <c r="F8077" t="s">
        <v>21</v>
      </c>
      <c r="G8077" t="s">
        <v>26</v>
      </c>
      <c r="H8077" t="s">
        <v>19</v>
      </c>
      <c r="I8077">
        <v>311</v>
      </c>
      <c r="J8077" t="s">
        <v>20</v>
      </c>
      <c r="K8077" t="s">
        <v>22</v>
      </c>
      <c r="L8077" t="s">
        <v>253</v>
      </c>
      <c r="M8077" t="s">
        <v>120</v>
      </c>
      <c r="N8077">
        <v>40.163454000000002</v>
      </c>
      <c r="O8077">
        <v>-110.412803</v>
      </c>
      <c r="P8077">
        <v>5467.8933079999997</v>
      </c>
      <c r="Q8077">
        <v>310</v>
      </c>
      <c r="R8077">
        <v>0</v>
      </c>
    </row>
    <row r="8078" spans="1:18" x14ac:dyDescent="0.25">
      <c r="A8078">
        <v>10077</v>
      </c>
      <c r="B8078">
        <v>94</v>
      </c>
      <c r="C8078">
        <v>31548893</v>
      </c>
      <c r="D8078" t="s">
        <v>213</v>
      </c>
      <c r="E8078">
        <v>85.947000000000003</v>
      </c>
      <c r="F8078" t="s">
        <v>21</v>
      </c>
      <c r="G8078" t="s">
        <v>26</v>
      </c>
      <c r="H8078" t="s">
        <v>21</v>
      </c>
      <c r="I8078" t="s">
        <v>20</v>
      </c>
      <c r="J8078" t="s">
        <v>20</v>
      </c>
      <c r="K8078" t="s">
        <v>27</v>
      </c>
      <c r="L8078" t="s">
        <v>173</v>
      </c>
      <c r="M8078" t="s">
        <v>214</v>
      </c>
      <c r="N8078">
        <v>39.330796999999997</v>
      </c>
      <c r="O8078">
        <v>-112.614098</v>
      </c>
      <c r="P8078">
        <v>4547.2608220000002</v>
      </c>
      <c r="Q8078">
        <v>1332</v>
      </c>
      <c r="R8078">
        <v>0</v>
      </c>
    </row>
    <row r="8079" spans="1:18" x14ac:dyDescent="0.25">
      <c r="A8079">
        <v>10078</v>
      </c>
      <c r="B8079">
        <v>94</v>
      </c>
      <c r="C8079">
        <v>27994849</v>
      </c>
      <c r="D8079" t="s">
        <v>281</v>
      </c>
      <c r="E8079">
        <v>42.795999999999999</v>
      </c>
      <c r="F8079" t="s">
        <v>21</v>
      </c>
      <c r="G8079" t="s">
        <v>26</v>
      </c>
      <c r="H8079" t="s">
        <v>21</v>
      </c>
      <c r="I8079" t="s">
        <v>20</v>
      </c>
      <c r="J8079" t="s">
        <v>20</v>
      </c>
      <c r="K8079" t="s">
        <v>31</v>
      </c>
      <c r="L8079" t="s">
        <v>282</v>
      </c>
      <c r="M8079" t="s">
        <v>283</v>
      </c>
      <c r="N8079">
        <v>40.384340999999999</v>
      </c>
      <c r="O8079">
        <v>-112.38637799999999</v>
      </c>
      <c r="P8079">
        <v>4973.1557869999997</v>
      </c>
      <c r="Q8079">
        <v>1347</v>
      </c>
      <c r="R8079">
        <v>0</v>
      </c>
    </row>
    <row r="8080" spans="1:18" x14ac:dyDescent="0.25">
      <c r="A8080">
        <v>10079</v>
      </c>
      <c r="B8080">
        <v>94</v>
      </c>
      <c r="C8080">
        <v>31400930</v>
      </c>
      <c r="D8080" t="s">
        <v>124</v>
      </c>
      <c r="E8080">
        <v>42.8</v>
      </c>
      <c r="F8080" t="s">
        <v>21</v>
      </c>
      <c r="G8080" t="s">
        <v>26</v>
      </c>
      <c r="H8080" t="s">
        <v>21</v>
      </c>
      <c r="I8080" t="s">
        <v>20</v>
      </c>
      <c r="J8080" t="s">
        <v>20</v>
      </c>
      <c r="K8080" t="s">
        <v>31</v>
      </c>
      <c r="L8080" t="s">
        <v>48</v>
      </c>
      <c r="M8080" t="s">
        <v>125</v>
      </c>
      <c r="N8080">
        <v>40.529411000000003</v>
      </c>
      <c r="O8080">
        <v>-111.93872500000001</v>
      </c>
      <c r="P8080">
        <v>4382.9988569999996</v>
      </c>
      <c r="Q8080">
        <v>1368</v>
      </c>
      <c r="R8080">
        <v>0</v>
      </c>
    </row>
    <row r="8081" spans="1:18" x14ac:dyDescent="0.25">
      <c r="A8081">
        <v>10080</v>
      </c>
      <c r="B8081">
        <v>94</v>
      </c>
      <c r="C8081">
        <v>31385174</v>
      </c>
      <c r="D8081" t="s">
        <v>116</v>
      </c>
      <c r="E8081">
        <v>42.817</v>
      </c>
      <c r="F8081" t="s">
        <v>21</v>
      </c>
      <c r="G8081" t="s">
        <v>20</v>
      </c>
      <c r="H8081" t="s">
        <v>21</v>
      </c>
      <c r="I8081" t="s">
        <v>20</v>
      </c>
      <c r="J8081" t="s">
        <v>20</v>
      </c>
      <c r="K8081" t="s">
        <v>41</v>
      </c>
      <c r="L8081" t="s">
        <v>95</v>
      </c>
      <c r="M8081" t="s">
        <v>117</v>
      </c>
      <c r="N8081">
        <v>41.963357999999999</v>
      </c>
      <c r="O8081">
        <v>-111.81288600000001</v>
      </c>
      <c r="P8081">
        <v>4486.0891970000002</v>
      </c>
      <c r="Q8081">
        <v>324</v>
      </c>
      <c r="R8081">
        <v>0</v>
      </c>
    </row>
    <row r="8082" spans="1:18" x14ac:dyDescent="0.25">
      <c r="A8082">
        <v>10081</v>
      </c>
      <c r="B8082">
        <v>94</v>
      </c>
      <c r="C8082">
        <v>31496956</v>
      </c>
      <c r="D8082" t="s">
        <v>63</v>
      </c>
      <c r="E8082">
        <v>42.826000000000001</v>
      </c>
      <c r="F8082" t="s">
        <v>21</v>
      </c>
      <c r="G8082" t="s">
        <v>26</v>
      </c>
      <c r="H8082" t="s">
        <v>19</v>
      </c>
      <c r="I8082">
        <v>24</v>
      </c>
      <c r="J8082" t="s">
        <v>20</v>
      </c>
      <c r="K8082" t="s">
        <v>27</v>
      </c>
      <c r="L8082" t="s">
        <v>266</v>
      </c>
      <c r="M8082" t="s">
        <v>29</v>
      </c>
      <c r="N8082">
        <v>38.568447999999997</v>
      </c>
      <c r="O8082">
        <v>-111.840253</v>
      </c>
      <c r="P8082">
        <v>6935.20082</v>
      </c>
      <c r="Q8082">
        <v>1365</v>
      </c>
      <c r="R8082">
        <v>0</v>
      </c>
    </row>
    <row r="8083" spans="1:18" x14ac:dyDescent="0.25">
      <c r="A8083">
        <v>10082</v>
      </c>
      <c r="B8083">
        <v>94</v>
      </c>
      <c r="C8083">
        <v>31397266</v>
      </c>
      <c r="D8083" t="s">
        <v>184</v>
      </c>
      <c r="E8083">
        <v>42.857999999999997</v>
      </c>
      <c r="F8083" t="s">
        <v>21</v>
      </c>
      <c r="G8083" t="s">
        <v>26</v>
      </c>
      <c r="H8083" t="s">
        <v>21</v>
      </c>
      <c r="I8083" t="s">
        <v>20</v>
      </c>
      <c r="J8083" t="s">
        <v>20</v>
      </c>
      <c r="K8083" t="s">
        <v>27</v>
      </c>
      <c r="L8083" t="s">
        <v>143</v>
      </c>
      <c r="M8083" t="s">
        <v>55</v>
      </c>
      <c r="N8083">
        <v>38.217011999999997</v>
      </c>
      <c r="O8083">
        <v>-112.92402</v>
      </c>
      <c r="P8083">
        <v>5202.5097509999996</v>
      </c>
      <c r="Q8083">
        <v>1410</v>
      </c>
      <c r="R8083">
        <v>0</v>
      </c>
    </row>
    <row r="8084" spans="1:18" x14ac:dyDescent="0.25">
      <c r="A8084">
        <v>10083</v>
      </c>
      <c r="B8084">
        <v>94</v>
      </c>
      <c r="C8084" t="s">
        <v>942</v>
      </c>
      <c r="D8084" t="s">
        <v>221</v>
      </c>
      <c r="E8084">
        <v>42.893999999999998</v>
      </c>
      <c r="F8084" t="s">
        <v>21</v>
      </c>
      <c r="G8084" t="s">
        <v>20</v>
      </c>
      <c r="H8084" t="s">
        <v>21</v>
      </c>
      <c r="I8084" t="s">
        <v>20</v>
      </c>
      <c r="J8084" t="s">
        <v>20</v>
      </c>
      <c r="K8084" t="s">
        <v>22</v>
      </c>
      <c r="L8084" t="s">
        <v>155</v>
      </c>
      <c r="M8084" t="s">
        <v>174</v>
      </c>
      <c r="N8084">
        <v>39.741000999999997</v>
      </c>
      <c r="O8084">
        <v>-111.838598</v>
      </c>
      <c r="P8084">
        <v>5013.3683460000002</v>
      </c>
      <c r="Q8084">
        <v>1342</v>
      </c>
      <c r="R8084">
        <v>0</v>
      </c>
    </row>
    <row r="8085" spans="1:18" x14ac:dyDescent="0.25">
      <c r="A8085">
        <v>10084</v>
      </c>
      <c r="B8085">
        <v>94</v>
      </c>
      <c r="C8085">
        <v>31400941</v>
      </c>
      <c r="D8085" t="s">
        <v>124</v>
      </c>
      <c r="E8085">
        <v>42.91</v>
      </c>
      <c r="F8085" t="s">
        <v>21</v>
      </c>
      <c r="G8085" t="s">
        <v>26</v>
      </c>
      <c r="H8085" t="s">
        <v>21</v>
      </c>
      <c r="I8085" t="s">
        <v>20</v>
      </c>
      <c r="J8085" t="s">
        <v>20</v>
      </c>
      <c r="K8085" t="s">
        <v>31</v>
      </c>
      <c r="L8085" t="s">
        <v>48</v>
      </c>
      <c r="M8085" t="s">
        <v>125</v>
      </c>
      <c r="N8085">
        <v>40.531005999999998</v>
      </c>
      <c r="O8085">
        <v>-111.938715</v>
      </c>
      <c r="P8085">
        <v>4382.4932600000002</v>
      </c>
      <c r="Q8085">
        <v>1368</v>
      </c>
      <c r="R8085">
        <v>0</v>
      </c>
    </row>
    <row r="8086" spans="1:18" x14ac:dyDescent="0.25">
      <c r="A8086">
        <v>10085</v>
      </c>
      <c r="B8086">
        <v>94</v>
      </c>
      <c r="C8086" t="e">
        <f>-Ip5lq8OF0D8JV51BD2MvF</f>
        <v>#NAME?</v>
      </c>
      <c r="D8086" t="s">
        <v>124</v>
      </c>
      <c r="E8086">
        <v>42.941000000000003</v>
      </c>
      <c r="F8086" t="s">
        <v>21</v>
      </c>
      <c r="G8086" t="s">
        <v>26</v>
      </c>
      <c r="H8086" t="s">
        <v>21</v>
      </c>
      <c r="I8086" t="s">
        <v>20</v>
      </c>
      <c r="J8086" t="s">
        <v>20</v>
      </c>
      <c r="K8086" t="s">
        <v>31</v>
      </c>
      <c r="L8086" t="s">
        <v>48</v>
      </c>
      <c r="M8086" t="s">
        <v>125</v>
      </c>
      <c r="N8086">
        <v>40.531452000000002</v>
      </c>
      <c r="O8086">
        <v>-111.938721</v>
      </c>
      <c r="P8086">
        <v>4383.358733</v>
      </c>
      <c r="Q8086">
        <v>1368</v>
      </c>
      <c r="R8086">
        <v>0</v>
      </c>
    </row>
    <row r="8087" spans="1:18" x14ac:dyDescent="0.25">
      <c r="A8087">
        <v>10086</v>
      </c>
      <c r="B8087">
        <v>94</v>
      </c>
      <c r="C8087">
        <v>31400952</v>
      </c>
      <c r="D8087" t="s">
        <v>124</v>
      </c>
      <c r="E8087">
        <v>42.993000000000002</v>
      </c>
      <c r="F8087" t="s">
        <v>21</v>
      </c>
      <c r="G8087" t="s">
        <v>26</v>
      </c>
      <c r="H8087" t="s">
        <v>21</v>
      </c>
      <c r="I8087" t="s">
        <v>20</v>
      </c>
      <c r="J8087" t="s">
        <v>20</v>
      </c>
      <c r="K8087" t="s">
        <v>31</v>
      </c>
      <c r="L8087" t="s">
        <v>48</v>
      </c>
      <c r="M8087" t="s">
        <v>125</v>
      </c>
      <c r="N8087">
        <v>40.532198999999999</v>
      </c>
      <c r="O8087">
        <v>-111.938704</v>
      </c>
      <c r="P8087">
        <v>4384.9339529999997</v>
      </c>
      <c r="Q8087">
        <v>1368</v>
      </c>
      <c r="R8087">
        <v>0</v>
      </c>
    </row>
    <row r="8088" spans="1:18" x14ac:dyDescent="0.25">
      <c r="A8088">
        <v>10087</v>
      </c>
      <c r="B8088">
        <v>94</v>
      </c>
      <c r="C8088" t="e">
        <f>-IozzYmDGDyGgbhslpfHVk</f>
        <v>#NAME?</v>
      </c>
      <c r="D8088" t="s">
        <v>203</v>
      </c>
      <c r="E8088">
        <v>47.896999999999998</v>
      </c>
      <c r="F8088" t="s">
        <v>21</v>
      </c>
      <c r="G8088" t="s">
        <v>20</v>
      </c>
      <c r="H8088" t="s">
        <v>21</v>
      </c>
      <c r="I8088" t="s">
        <v>20</v>
      </c>
      <c r="J8088" t="s">
        <v>20</v>
      </c>
      <c r="K8088" t="s">
        <v>41</v>
      </c>
      <c r="L8088" t="s">
        <v>325</v>
      </c>
      <c r="M8088" t="s">
        <v>204</v>
      </c>
      <c r="N8088">
        <v>41.465494999999997</v>
      </c>
      <c r="O8088">
        <v>-111.494839</v>
      </c>
      <c r="P8088">
        <v>8837.7919559999991</v>
      </c>
      <c r="Q8088">
        <v>1349</v>
      </c>
      <c r="R8088">
        <v>0</v>
      </c>
    </row>
    <row r="8089" spans="1:18" x14ac:dyDescent="0.25">
      <c r="A8089">
        <v>10088</v>
      </c>
      <c r="B8089">
        <v>94</v>
      </c>
      <c r="C8089">
        <v>31483414</v>
      </c>
      <c r="D8089" t="s">
        <v>213</v>
      </c>
      <c r="E8089">
        <v>47.908999999999999</v>
      </c>
      <c r="F8089" t="s">
        <v>21</v>
      </c>
      <c r="G8089" t="s">
        <v>26</v>
      </c>
      <c r="H8089" t="s">
        <v>21</v>
      </c>
      <c r="I8089" t="s">
        <v>20</v>
      </c>
      <c r="J8089" t="s">
        <v>20</v>
      </c>
      <c r="K8089" t="s">
        <v>27</v>
      </c>
      <c r="L8089" t="s">
        <v>173</v>
      </c>
      <c r="M8089" t="s">
        <v>214</v>
      </c>
      <c r="N8089">
        <v>39.071835999999998</v>
      </c>
      <c r="O8089">
        <v>-113.218301</v>
      </c>
      <c r="P8089">
        <v>4587.0379999999996</v>
      </c>
      <c r="Q8089">
        <v>1332</v>
      </c>
      <c r="R8089">
        <v>0</v>
      </c>
    </row>
    <row r="8090" spans="1:18" x14ac:dyDescent="0.25">
      <c r="A8090">
        <v>10089</v>
      </c>
      <c r="B8090">
        <v>94</v>
      </c>
      <c r="C8090">
        <v>31580563</v>
      </c>
      <c r="D8090" t="s">
        <v>172</v>
      </c>
      <c r="E8090">
        <v>47.917999999999999</v>
      </c>
      <c r="F8090" t="s">
        <v>21</v>
      </c>
      <c r="G8090" t="s">
        <v>26</v>
      </c>
      <c r="H8090" t="s">
        <v>21</v>
      </c>
      <c r="I8090" t="s">
        <v>20</v>
      </c>
      <c r="J8090" t="s">
        <v>20</v>
      </c>
      <c r="K8090" t="s">
        <v>27</v>
      </c>
      <c r="L8090" t="s">
        <v>230</v>
      </c>
      <c r="M8090" t="s">
        <v>174</v>
      </c>
      <c r="N8090">
        <v>39.622725000000003</v>
      </c>
      <c r="O8090">
        <v>-111.634411</v>
      </c>
      <c r="P8090">
        <v>5794.932272</v>
      </c>
      <c r="Q8090">
        <v>1411</v>
      </c>
      <c r="R8090">
        <v>0</v>
      </c>
    </row>
    <row r="8091" spans="1:18" x14ac:dyDescent="0.25">
      <c r="A8091">
        <v>10090</v>
      </c>
      <c r="B8091">
        <v>94</v>
      </c>
      <c r="C8091">
        <v>28000187</v>
      </c>
      <c r="D8091" t="s">
        <v>281</v>
      </c>
      <c r="E8091">
        <v>47.942</v>
      </c>
      <c r="F8091" t="s">
        <v>21</v>
      </c>
      <c r="G8091" t="s">
        <v>26</v>
      </c>
      <c r="H8091" t="s">
        <v>21</v>
      </c>
      <c r="I8091" t="s">
        <v>20</v>
      </c>
      <c r="J8091" t="s">
        <v>20</v>
      </c>
      <c r="K8091" t="s">
        <v>31</v>
      </c>
      <c r="L8091" t="s">
        <v>282</v>
      </c>
      <c r="M8091" t="s">
        <v>283</v>
      </c>
      <c r="N8091">
        <v>40.454203</v>
      </c>
      <c r="O8091">
        <v>-112.36091500000001</v>
      </c>
      <c r="P8091">
        <v>5028.3664500000004</v>
      </c>
      <c r="Q8091">
        <v>1347</v>
      </c>
      <c r="R8091">
        <v>0</v>
      </c>
    </row>
    <row r="8092" spans="1:18" x14ac:dyDescent="0.25">
      <c r="A8092">
        <v>10091</v>
      </c>
      <c r="B8092">
        <v>94</v>
      </c>
      <c r="C8092">
        <v>1004179</v>
      </c>
      <c r="D8092" t="s">
        <v>171</v>
      </c>
      <c r="E8092">
        <v>1.077</v>
      </c>
      <c r="F8092" t="s">
        <v>21</v>
      </c>
      <c r="G8092" t="s">
        <v>26</v>
      </c>
      <c r="H8092" t="s">
        <v>21</v>
      </c>
      <c r="I8092" t="s">
        <v>20</v>
      </c>
      <c r="J8092" t="s">
        <v>20</v>
      </c>
      <c r="K8092" t="s">
        <v>31</v>
      </c>
      <c r="L8092" t="s">
        <v>78</v>
      </c>
      <c r="M8092" t="s">
        <v>79</v>
      </c>
      <c r="N8092">
        <v>40.696494000000001</v>
      </c>
      <c r="O8092">
        <v>-112.07127</v>
      </c>
      <c r="P8092">
        <v>4311.0301339999996</v>
      </c>
      <c r="Q8092">
        <v>346</v>
      </c>
      <c r="R8092">
        <v>0</v>
      </c>
    </row>
    <row r="8093" spans="1:18" x14ac:dyDescent="0.25">
      <c r="A8093">
        <v>10092</v>
      </c>
      <c r="B8093">
        <v>94</v>
      </c>
      <c r="C8093">
        <v>31394493</v>
      </c>
      <c r="D8093" t="s">
        <v>399</v>
      </c>
      <c r="E8093">
        <v>1.0780000000000001</v>
      </c>
      <c r="F8093" t="s">
        <v>21</v>
      </c>
      <c r="G8093" t="s">
        <v>26</v>
      </c>
      <c r="H8093" t="s">
        <v>21</v>
      </c>
      <c r="I8093" t="s">
        <v>20</v>
      </c>
      <c r="J8093" t="s">
        <v>20</v>
      </c>
      <c r="K8093" t="s">
        <v>27</v>
      </c>
      <c r="L8093" t="s">
        <v>400</v>
      </c>
      <c r="M8093" t="s">
        <v>166</v>
      </c>
      <c r="N8093">
        <v>38.601458000000001</v>
      </c>
      <c r="O8093">
        <v>-112.58183099999999</v>
      </c>
      <c r="P8093">
        <v>5933.4060019999997</v>
      </c>
      <c r="Q8093">
        <v>1431</v>
      </c>
      <c r="R8093">
        <v>0</v>
      </c>
    </row>
    <row r="8094" spans="1:18" x14ac:dyDescent="0.25">
      <c r="A8094">
        <v>10093</v>
      </c>
      <c r="B8094">
        <v>94</v>
      </c>
      <c r="C8094" t="s">
        <v>943</v>
      </c>
      <c r="D8094" t="s">
        <v>417</v>
      </c>
      <c r="E8094">
        <v>1.0780000000000001</v>
      </c>
      <c r="F8094" t="s">
        <v>19</v>
      </c>
      <c r="G8094" t="s">
        <v>20</v>
      </c>
      <c r="H8094" t="s">
        <v>21</v>
      </c>
      <c r="I8094" t="s">
        <v>20</v>
      </c>
      <c r="J8094" t="s">
        <v>20</v>
      </c>
      <c r="K8094" t="s">
        <v>22</v>
      </c>
      <c r="L8094" t="s">
        <v>84</v>
      </c>
      <c r="M8094" t="s">
        <v>24</v>
      </c>
      <c r="N8094">
        <v>40.412388</v>
      </c>
      <c r="O8094">
        <v>-111.886797</v>
      </c>
      <c r="P8094">
        <v>4467.9664489999996</v>
      </c>
      <c r="Q8094">
        <v>6765</v>
      </c>
      <c r="R8094">
        <v>0</v>
      </c>
    </row>
    <row r="8095" spans="1:18" x14ac:dyDescent="0.25">
      <c r="A8095">
        <v>10094</v>
      </c>
      <c r="B8095">
        <v>94</v>
      </c>
      <c r="C8095">
        <v>31308734</v>
      </c>
      <c r="D8095" t="s">
        <v>215</v>
      </c>
      <c r="E8095">
        <v>1.081</v>
      </c>
      <c r="F8095" t="s">
        <v>19</v>
      </c>
      <c r="G8095" t="s">
        <v>20</v>
      </c>
      <c r="H8095" t="s">
        <v>21</v>
      </c>
      <c r="I8095" t="s">
        <v>20</v>
      </c>
      <c r="J8095" t="s">
        <v>20</v>
      </c>
      <c r="K8095" t="s">
        <v>22</v>
      </c>
      <c r="L8095" t="s">
        <v>23</v>
      </c>
      <c r="M8095" t="s">
        <v>85</v>
      </c>
      <c r="N8095">
        <v>40.234020000000001</v>
      </c>
      <c r="O8095">
        <v>-111.685518</v>
      </c>
      <c r="P8095">
        <v>4469.3726690000003</v>
      </c>
      <c r="Q8095">
        <v>330</v>
      </c>
      <c r="R8095">
        <v>0</v>
      </c>
    </row>
    <row r="8096" spans="1:18" x14ac:dyDescent="0.25">
      <c r="A8096">
        <v>10095</v>
      </c>
      <c r="B8096">
        <v>94</v>
      </c>
      <c r="C8096">
        <v>31529566</v>
      </c>
      <c r="D8096" t="s">
        <v>944</v>
      </c>
      <c r="E8096">
        <v>1.081</v>
      </c>
      <c r="F8096" t="s">
        <v>21</v>
      </c>
      <c r="G8096" t="s">
        <v>20</v>
      </c>
      <c r="H8096" t="s">
        <v>21</v>
      </c>
      <c r="I8096" t="s">
        <v>20</v>
      </c>
      <c r="J8096" t="s">
        <v>20</v>
      </c>
      <c r="K8096" t="s">
        <v>27</v>
      </c>
      <c r="L8096" t="s">
        <v>327</v>
      </c>
      <c r="M8096" t="s">
        <v>318</v>
      </c>
      <c r="N8096">
        <v>37.593885999999998</v>
      </c>
      <c r="O8096">
        <v>-109.92417500000001</v>
      </c>
      <c r="P8096">
        <v>6780.973489</v>
      </c>
      <c r="Q8096">
        <v>363</v>
      </c>
      <c r="R8096">
        <v>0</v>
      </c>
    </row>
    <row r="8097" spans="1:18" x14ac:dyDescent="0.25">
      <c r="A8097">
        <v>10096</v>
      </c>
      <c r="B8097">
        <v>94</v>
      </c>
      <c r="C8097">
        <v>31600067</v>
      </c>
      <c r="D8097" t="s">
        <v>232</v>
      </c>
      <c r="E8097">
        <v>1.083</v>
      </c>
      <c r="F8097" t="s">
        <v>19</v>
      </c>
      <c r="G8097" t="s">
        <v>20</v>
      </c>
      <c r="H8097" t="s">
        <v>21</v>
      </c>
      <c r="I8097" t="s">
        <v>20</v>
      </c>
      <c r="J8097" t="s">
        <v>20</v>
      </c>
      <c r="K8097" t="s">
        <v>31</v>
      </c>
      <c r="L8097" t="s">
        <v>209</v>
      </c>
      <c r="M8097" t="s">
        <v>131</v>
      </c>
      <c r="N8097">
        <v>40.667982000000002</v>
      </c>
      <c r="O8097">
        <v>-111.492031</v>
      </c>
      <c r="P8097">
        <v>6684.137976</v>
      </c>
      <c r="Q8097">
        <v>1279</v>
      </c>
      <c r="R8097">
        <v>0</v>
      </c>
    </row>
    <row r="8098" spans="1:18" x14ac:dyDescent="0.25">
      <c r="A8098">
        <v>10097</v>
      </c>
      <c r="B8098">
        <v>94</v>
      </c>
      <c r="C8098">
        <v>31658265</v>
      </c>
      <c r="D8098" t="s">
        <v>156</v>
      </c>
      <c r="E8098">
        <v>1.0880000000000001</v>
      </c>
      <c r="F8098" t="s">
        <v>19</v>
      </c>
      <c r="G8098" t="s">
        <v>20</v>
      </c>
      <c r="H8098" t="s">
        <v>21</v>
      </c>
      <c r="I8098" t="s">
        <v>20</v>
      </c>
      <c r="J8098" t="s">
        <v>20</v>
      </c>
      <c r="K8098" t="s">
        <v>41</v>
      </c>
      <c r="L8098" t="s">
        <v>81</v>
      </c>
      <c r="M8098" t="s">
        <v>93</v>
      </c>
      <c r="N8098">
        <v>41.275103999999999</v>
      </c>
      <c r="O8098">
        <v>-111.969354</v>
      </c>
      <c r="P8098">
        <v>4261.5482030000003</v>
      </c>
      <c r="Q8098">
        <v>424</v>
      </c>
      <c r="R8098">
        <v>0</v>
      </c>
    </row>
    <row r="8099" spans="1:18" x14ac:dyDescent="0.25">
      <c r="A8099">
        <v>10098</v>
      </c>
      <c r="B8099">
        <v>94</v>
      </c>
      <c r="C8099">
        <v>31527869</v>
      </c>
      <c r="D8099" t="s">
        <v>182</v>
      </c>
      <c r="E8099">
        <v>1.089</v>
      </c>
      <c r="F8099" t="s">
        <v>21</v>
      </c>
      <c r="G8099" t="s">
        <v>26</v>
      </c>
      <c r="H8099" t="s">
        <v>21</v>
      </c>
      <c r="I8099" t="s">
        <v>20</v>
      </c>
      <c r="J8099" t="s">
        <v>20</v>
      </c>
      <c r="K8099" t="s">
        <v>27</v>
      </c>
      <c r="L8099" t="s">
        <v>183</v>
      </c>
      <c r="M8099" t="s">
        <v>76</v>
      </c>
      <c r="N8099">
        <v>38.917223</v>
      </c>
      <c r="O8099">
        <v>-111.936774</v>
      </c>
      <c r="P8099">
        <v>5121.4210750000002</v>
      </c>
      <c r="Q8099">
        <v>429</v>
      </c>
      <c r="R8099">
        <v>0</v>
      </c>
    </row>
    <row r="8100" spans="1:18" x14ac:dyDescent="0.25">
      <c r="A8100">
        <v>10099</v>
      </c>
      <c r="B8100">
        <v>94</v>
      </c>
      <c r="C8100">
        <v>31294805</v>
      </c>
      <c r="D8100" t="s">
        <v>308</v>
      </c>
      <c r="E8100">
        <v>1.0900000000000001</v>
      </c>
      <c r="F8100" t="s">
        <v>21</v>
      </c>
      <c r="G8100" t="s">
        <v>26</v>
      </c>
      <c r="H8100" t="s">
        <v>21</v>
      </c>
      <c r="I8100" t="s">
        <v>20</v>
      </c>
      <c r="J8100" t="s">
        <v>20</v>
      </c>
      <c r="K8100" t="s">
        <v>27</v>
      </c>
      <c r="L8100" t="s">
        <v>230</v>
      </c>
      <c r="M8100" t="s">
        <v>82</v>
      </c>
      <c r="N8100">
        <v>39.639009999999999</v>
      </c>
      <c r="O8100">
        <v>-111.42334700000001</v>
      </c>
      <c r="P8100">
        <v>6155.8767250000001</v>
      </c>
      <c r="Q8100">
        <v>1344</v>
      </c>
      <c r="R8100">
        <v>0</v>
      </c>
    </row>
    <row r="8101" spans="1:18" x14ac:dyDescent="0.25">
      <c r="A8101">
        <v>10100</v>
      </c>
      <c r="B8101">
        <v>94</v>
      </c>
      <c r="C8101">
        <v>31782950</v>
      </c>
      <c r="D8101" t="s">
        <v>61</v>
      </c>
      <c r="E8101">
        <v>1.091</v>
      </c>
      <c r="F8101" t="s">
        <v>19</v>
      </c>
      <c r="G8101" t="s">
        <v>20</v>
      </c>
      <c r="H8101" t="s">
        <v>21</v>
      </c>
      <c r="I8101" t="s">
        <v>20</v>
      </c>
      <c r="J8101" t="s">
        <v>20</v>
      </c>
      <c r="K8101" t="s">
        <v>22</v>
      </c>
      <c r="L8101" t="s">
        <v>23</v>
      </c>
      <c r="M8101" t="s">
        <v>62</v>
      </c>
      <c r="N8101">
        <v>40.221767999999997</v>
      </c>
      <c r="O8101">
        <v>-111.65885400000001</v>
      </c>
      <c r="P8101">
        <v>4453.2612079999999</v>
      </c>
      <c r="Q8101">
        <v>403</v>
      </c>
      <c r="R8101">
        <v>0</v>
      </c>
    </row>
    <row r="8102" spans="1:18" x14ac:dyDescent="0.25">
      <c r="A8102">
        <v>10101</v>
      </c>
      <c r="B8102">
        <v>94</v>
      </c>
      <c r="C8102">
        <v>1298442</v>
      </c>
      <c r="D8102" t="s">
        <v>191</v>
      </c>
      <c r="E8102">
        <v>1.093</v>
      </c>
      <c r="F8102" t="s">
        <v>21</v>
      </c>
      <c r="G8102" t="s">
        <v>26</v>
      </c>
      <c r="H8102" t="s">
        <v>21</v>
      </c>
      <c r="I8102" t="s">
        <v>20</v>
      </c>
      <c r="J8102" t="s">
        <v>20</v>
      </c>
      <c r="K8102" t="s">
        <v>41</v>
      </c>
      <c r="L8102" t="s">
        <v>57</v>
      </c>
      <c r="M8102" t="s">
        <v>190</v>
      </c>
      <c r="N8102">
        <v>41.105105000000002</v>
      </c>
      <c r="O8102">
        <v>-112.112668</v>
      </c>
      <c r="P8102">
        <v>4174.4477040000002</v>
      </c>
      <c r="Q8102">
        <v>329</v>
      </c>
      <c r="R8102">
        <v>0</v>
      </c>
    </row>
    <row r="8103" spans="1:18" x14ac:dyDescent="0.25">
      <c r="A8103">
        <v>10102</v>
      </c>
      <c r="B8103">
        <v>94</v>
      </c>
      <c r="C8103">
        <v>1099939</v>
      </c>
      <c r="D8103" t="s">
        <v>101</v>
      </c>
      <c r="E8103">
        <v>1.0940000000000001</v>
      </c>
      <c r="F8103" t="s">
        <v>21</v>
      </c>
      <c r="G8103" t="s">
        <v>26</v>
      </c>
      <c r="H8103" t="s">
        <v>21</v>
      </c>
      <c r="I8103" t="s">
        <v>20</v>
      </c>
      <c r="J8103" t="s">
        <v>20</v>
      </c>
      <c r="K8103" t="s">
        <v>41</v>
      </c>
      <c r="L8103" t="s">
        <v>57</v>
      </c>
      <c r="M8103" t="s">
        <v>58</v>
      </c>
      <c r="N8103">
        <v>41.118116000000001</v>
      </c>
      <c r="O8103">
        <v>-112.091599</v>
      </c>
      <c r="P8103">
        <v>4242.7333490000001</v>
      </c>
      <c r="Q8103">
        <v>328</v>
      </c>
      <c r="R8103">
        <v>0</v>
      </c>
    </row>
    <row r="8104" spans="1:18" x14ac:dyDescent="0.25">
      <c r="A8104">
        <v>10103</v>
      </c>
      <c r="B8104">
        <v>94</v>
      </c>
      <c r="C8104">
        <v>1257516</v>
      </c>
      <c r="D8104" t="s">
        <v>128</v>
      </c>
      <c r="E8104">
        <v>1.095</v>
      </c>
      <c r="F8104" t="s">
        <v>21</v>
      </c>
      <c r="G8104" t="s">
        <v>26</v>
      </c>
      <c r="H8104" t="s">
        <v>21</v>
      </c>
      <c r="I8104" t="s">
        <v>20</v>
      </c>
      <c r="J8104" t="s">
        <v>20</v>
      </c>
      <c r="K8104" t="s">
        <v>41</v>
      </c>
      <c r="L8104" t="s">
        <v>42</v>
      </c>
      <c r="M8104" t="s">
        <v>73</v>
      </c>
      <c r="N8104">
        <v>41.713399000000003</v>
      </c>
      <c r="O8104">
        <v>-111.860213</v>
      </c>
      <c r="P8104">
        <v>4414.1817129999999</v>
      </c>
      <c r="Q8104">
        <v>5943</v>
      </c>
      <c r="R8104">
        <v>0</v>
      </c>
    </row>
    <row r="8105" spans="1:18" x14ac:dyDescent="0.25">
      <c r="A8105">
        <v>10104</v>
      </c>
      <c r="B8105">
        <v>94</v>
      </c>
      <c r="C8105" t="e">
        <f>-IpZc29lGIHvzv44Ecjt_F</f>
        <v>#NAME?</v>
      </c>
      <c r="D8105" t="s">
        <v>272</v>
      </c>
      <c r="E8105">
        <v>499.86900000000003</v>
      </c>
      <c r="F8105" t="s">
        <v>21</v>
      </c>
      <c r="G8105" t="s">
        <v>26</v>
      </c>
      <c r="H8105" t="s">
        <v>21</v>
      </c>
      <c r="I8105" t="s">
        <v>20</v>
      </c>
      <c r="J8105" t="s">
        <v>20</v>
      </c>
      <c r="K8105" t="s">
        <v>41</v>
      </c>
      <c r="L8105" t="s">
        <v>325</v>
      </c>
      <c r="M8105" t="s">
        <v>152</v>
      </c>
      <c r="N8105">
        <v>41.964469000000001</v>
      </c>
      <c r="O8105">
        <v>-111.399719</v>
      </c>
      <c r="P8105">
        <v>5892.147172</v>
      </c>
      <c r="Q8105">
        <v>1384</v>
      </c>
      <c r="R8105">
        <v>0</v>
      </c>
    </row>
    <row r="8106" spans="1:18" x14ac:dyDescent="0.25">
      <c r="A8106">
        <v>10105</v>
      </c>
      <c r="B8106">
        <v>94</v>
      </c>
      <c r="C8106" t="e">
        <f>-IpZc7aJG_1NEm2vk1NTUV</f>
        <v>#NAME?</v>
      </c>
      <c r="D8106" t="s">
        <v>272</v>
      </c>
      <c r="E8106">
        <v>499.98599999999999</v>
      </c>
      <c r="F8106" t="s">
        <v>21</v>
      </c>
      <c r="G8106" t="s">
        <v>26</v>
      </c>
      <c r="H8106" t="s">
        <v>21</v>
      </c>
      <c r="I8106" t="s">
        <v>20</v>
      </c>
      <c r="J8106" t="s">
        <v>20</v>
      </c>
      <c r="K8106" t="s">
        <v>41</v>
      </c>
      <c r="L8106" t="s">
        <v>325</v>
      </c>
      <c r="M8106" t="s">
        <v>152</v>
      </c>
      <c r="N8106">
        <v>41.966158999999998</v>
      </c>
      <c r="O8106">
        <v>-111.39936899999999</v>
      </c>
      <c r="P8106">
        <v>5892.9491660000003</v>
      </c>
      <c r="Q8106">
        <v>1384</v>
      </c>
      <c r="R8106">
        <v>0</v>
      </c>
    </row>
    <row r="8107" spans="1:18" x14ac:dyDescent="0.25">
      <c r="A8107">
        <v>10106</v>
      </c>
      <c r="B8107">
        <v>94</v>
      </c>
      <c r="C8107">
        <v>1009413</v>
      </c>
      <c r="D8107" t="s">
        <v>171</v>
      </c>
      <c r="E8107">
        <v>5.0060000000000002</v>
      </c>
      <c r="F8107" t="s">
        <v>19</v>
      </c>
      <c r="G8107" t="s">
        <v>20</v>
      </c>
      <c r="H8107" t="s">
        <v>21</v>
      </c>
      <c r="I8107" t="s">
        <v>20</v>
      </c>
      <c r="J8107" t="s">
        <v>20</v>
      </c>
      <c r="K8107" t="s">
        <v>31</v>
      </c>
      <c r="L8107" t="s">
        <v>78</v>
      </c>
      <c r="M8107" t="s">
        <v>79</v>
      </c>
      <c r="N8107">
        <v>40.696599999999997</v>
      </c>
      <c r="O8107">
        <v>-111.996211</v>
      </c>
      <c r="P8107">
        <v>4214.4387049999996</v>
      </c>
      <c r="Q8107">
        <v>346</v>
      </c>
      <c r="R8107">
        <v>0</v>
      </c>
    </row>
    <row r="8108" spans="1:18" x14ac:dyDescent="0.25">
      <c r="A8108">
        <v>10107</v>
      </c>
      <c r="B8108">
        <v>94</v>
      </c>
      <c r="C8108">
        <v>1371449</v>
      </c>
      <c r="D8108" t="s">
        <v>100</v>
      </c>
      <c r="E8108">
        <v>5.0069999999999997</v>
      </c>
      <c r="F8108" t="s">
        <v>19</v>
      </c>
      <c r="G8108" t="s">
        <v>20</v>
      </c>
      <c r="H8108" t="s">
        <v>21</v>
      </c>
      <c r="I8108" t="s">
        <v>20</v>
      </c>
      <c r="J8108" t="s">
        <v>20</v>
      </c>
      <c r="K8108" t="s">
        <v>41</v>
      </c>
      <c r="L8108" t="s">
        <v>57</v>
      </c>
      <c r="M8108" t="s">
        <v>46</v>
      </c>
      <c r="N8108">
        <v>41.103655000000003</v>
      </c>
      <c r="O8108">
        <v>-112.06458499999999</v>
      </c>
      <c r="P8108">
        <v>4257.1597899999997</v>
      </c>
      <c r="Q8108">
        <v>1396</v>
      </c>
      <c r="R8108">
        <v>0</v>
      </c>
    </row>
    <row r="8109" spans="1:18" x14ac:dyDescent="0.25">
      <c r="A8109">
        <v>10108</v>
      </c>
      <c r="B8109">
        <v>94</v>
      </c>
      <c r="C8109">
        <v>983681</v>
      </c>
      <c r="D8109" t="s">
        <v>65</v>
      </c>
      <c r="E8109">
        <v>5.0069999999999997</v>
      </c>
      <c r="F8109" t="s">
        <v>19</v>
      </c>
      <c r="G8109" t="s">
        <v>20</v>
      </c>
      <c r="H8109" t="s">
        <v>19</v>
      </c>
      <c r="I8109">
        <v>282</v>
      </c>
      <c r="J8109" t="s">
        <v>20</v>
      </c>
      <c r="K8109" t="s">
        <v>31</v>
      </c>
      <c r="L8109" t="s">
        <v>188</v>
      </c>
      <c r="M8109" t="s">
        <v>67</v>
      </c>
      <c r="N8109">
        <v>40.758515000000003</v>
      </c>
      <c r="O8109">
        <v>-111.84536</v>
      </c>
      <c r="P8109">
        <v>4632.8759810000001</v>
      </c>
      <c r="Q8109">
        <v>402</v>
      </c>
      <c r="R8109">
        <v>0</v>
      </c>
    </row>
    <row r="8110" spans="1:18" x14ac:dyDescent="0.25">
      <c r="A8110">
        <v>10109</v>
      </c>
      <c r="B8110">
        <v>94</v>
      </c>
      <c r="C8110">
        <v>28491443</v>
      </c>
      <c r="D8110" t="s">
        <v>99</v>
      </c>
      <c r="E8110">
        <v>5.0069999999999997</v>
      </c>
      <c r="F8110" t="s">
        <v>19</v>
      </c>
      <c r="G8110" t="s">
        <v>20</v>
      </c>
      <c r="H8110" t="s">
        <v>21</v>
      </c>
      <c r="I8110" t="s">
        <v>20</v>
      </c>
      <c r="J8110" t="s">
        <v>20</v>
      </c>
      <c r="K8110" t="s">
        <v>41</v>
      </c>
      <c r="L8110" t="s">
        <v>81</v>
      </c>
      <c r="M8110" t="s">
        <v>82</v>
      </c>
      <c r="N8110">
        <v>41.210276999999998</v>
      </c>
      <c r="O8110">
        <v>-111.97354799999999</v>
      </c>
      <c r="P8110">
        <v>4262.6205929999996</v>
      </c>
      <c r="Q8110">
        <v>1376</v>
      </c>
      <c r="R8110">
        <v>0</v>
      </c>
    </row>
    <row r="8111" spans="1:18" x14ac:dyDescent="0.25">
      <c r="A8111">
        <v>10110</v>
      </c>
      <c r="B8111">
        <v>94</v>
      </c>
      <c r="C8111" t="e">
        <f>-Ip5KsJ7FzeCzRk2208QoF</f>
        <v>#NAME?</v>
      </c>
      <c r="D8111" t="s">
        <v>208</v>
      </c>
      <c r="E8111">
        <v>5.0119999999999996</v>
      </c>
      <c r="F8111" t="s">
        <v>21</v>
      </c>
      <c r="G8111" t="s">
        <v>26</v>
      </c>
      <c r="H8111" t="s">
        <v>21</v>
      </c>
      <c r="I8111" t="s">
        <v>20</v>
      </c>
      <c r="J8111" t="s">
        <v>20</v>
      </c>
      <c r="K8111" t="s">
        <v>31</v>
      </c>
      <c r="L8111" t="s">
        <v>209</v>
      </c>
      <c r="M8111" t="s">
        <v>131</v>
      </c>
      <c r="N8111">
        <v>40.649535999999998</v>
      </c>
      <c r="O8111">
        <v>-111.498729</v>
      </c>
      <c r="P8111">
        <v>6919.9179080000004</v>
      </c>
      <c r="Q8111">
        <v>357</v>
      </c>
      <c r="R8111">
        <v>0</v>
      </c>
    </row>
    <row r="8112" spans="1:18" x14ac:dyDescent="0.25">
      <c r="A8112">
        <v>10111</v>
      </c>
      <c r="B8112">
        <v>94</v>
      </c>
      <c r="C8112">
        <v>27375921</v>
      </c>
      <c r="D8112" t="s">
        <v>185</v>
      </c>
      <c r="E8112">
        <v>5.016</v>
      </c>
      <c r="F8112" t="s">
        <v>21</v>
      </c>
      <c r="G8112" t="s">
        <v>26</v>
      </c>
      <c r="H8112" t="s">
        <v>21</v>
      </c>
      <c r="I8112" t="s">
        <v>20</v>
      </c>
      <c r="J8112" t="s">
        <v>20</v>
      </c>
      <c r="K8112" t="s">
        <v>41</v>
      </c>
      <c r="L8112" t="s">
        <v>57</v>
      </c>
      <c r="M8112" t="s">
        <v>58</v>
      </c>
      <c r="N8112">
        <v>41.139915000000002</v>
      </c>
      <c r="O8112">
        <v>-112.122225</v>
      </c>
      <c r="P8112">
        <v>4174.3228799999997</v>
      </c>
      <c r="Q8112">
        <v>309</v>
      </c>
      <c r="R8112">
        <v>0</v>
      </c>
    </row>
    <row r="8113" spans="1:18" x14ac:dyDescent="0.25">
      <c r="A8113">
        <v>10112</v>
      </c>
      <c r="B8113">
        <v>94</v>
      </c>
      <c r="C8113">
        <v>875858</v>
      </c>
      <c r="D8113" t="s">
        <v>115</v>
      </c>
      <c r="E8113">
        <v>4.1859999999999999</v>
      </c>
      <c r="F8113" t="s">
        <v>21</v>
      </c>
      <c r="G8113" t="s">
        <v>26</v>
      </c>
      <c r="H8113" t="s">
        <v>21</v>
      </c>
      <c r="I8113" t="s">
        <v>20</v>
      </c>
      <c r="J8113" t="s">
        <v>20</v>
      </c>
      <c r="K8113" t="s">
        <v>31</v>
      </c>
      <c r="L8113" t="s">
        <v>48</v>
      </c>
      <c r="M8113" t="s">
        <v>70</v>
      </c>
      <c r="N8113">
        <v>40.652760000000001</v>
      </c>
      <c r="O8113">
        <v>-111.997412</v>
      </c>
      <c r="P8113">
        <v>4530.5657060000003</v>
      </c>
      <c r="Q8113">
        <v>1437</v>
      </c>
      <c r="R8113">
        <v>0</v>
      </c>
    </row>
    <row r="8114" spans="1:18" x14ac:dyDescent="0.25">
      <c r="A8114">
        <v>10113</v>
      </c>
      <c r="B8114">
        <v>94</v>
      </c>
      <c r="C8114">
        <v>31629810</v>
      </c>
      <c r="D8114" t="s">
        <v>217</v>
      </c>
      <c r="E8114">
        <v>4.1870000000000003</v>
      </c>
      <c r="F8114" t="s">
        <v>21</v>
      </c>
      <c r="G8114" t="s">
        <v>20</v>
      </c>
      <c r="H8114" t="s">
        <v>21</v>
      </c>
      <c r="I8114" t="s">
        <v>20</v>
      </c>
      <c r="J8114" t="s">
        <v>20</v>
      </c>
      <c r="K8114" t="s">
        <v>27</v>
      </c>
      <c r="L8114" t="s">
        <v>72</v>
      </c>
      <c r="M8114" t="s">
        <v>163</v>
      </c>
      <c r="N8114">
        <v>37.138773999999998</v>
      </c>
      <c r="O8114">
        <v>-113.60368200000001</v>
      </c>
      <c r="P8114">
        <v>3014.944375</v>
      </c>
      <c r="Q8114">
        <v>304</v>
      </c>
      <c r="R8114">
        <v>0</v>
      </c>
    </row>
    <row r="8115" spans="1:18" x14ac:dyDescent="0.25">
      <c r="A8115">
        <v>10114</v>
      </c>
      <c r="B8115">
        <v>94</v>
      </c>
      <c r="C8115">
        <v>31490494</v>
      </c>
      <c r="D8115" t="s">
        <v>164</v>
      </c>
      <c r="E8115">
        <v>4.1929999999999996</v>
      </c>
      <c r="F8115" t="s">
        <v>21</v>
      </c>
      <c r="G8115" t="s">
        <v>26</v>
      </c>
      <c r="H8115" t="s">
        <v>21</v>
      </c>
      <c r="I8115" t="s">
        <v>20</v>
      </c>
      <c r="J8115" t="s">
        <v>20</v>
      </c>
      <c r="K8115" t="s">
        <v>27</v>
      </c>
      <c r="L8115" t="s">
        <v>165</v>
      </c>
      <c r="M8115" t="s">
        <v>166</v>
      </c>
      <c r="N8115">
        <v>38.993122999999997</v>
      </c>
      <c r="O8115">
        <v>-112.324276</v>
      </c>
      <c r="P8115">
        <v>4991.2362839999996</v>
      </c>
      <c r="Q8115">
        <v>1390</v>
      </c>
      <c r="R8115">
        <v>0</v>
      </c>
    </row>
    <row r="8116" spans="1:18" x14ac:dyDescent="0.25">
      <c r="A8116">
        <v>10115</v>
      </c>
      <c r="B8116">
        <v>94</v>
      </c>
      <c r="C8116">
        <v>1121222</v>
      </c>
      <c r="D8116" t="s">
        <v>171</v>
      </c>
      <c r="E8116">
        <v>14.087999999999999</v>
      </c>
      <c r="F8116" t="s">
        <v>19</v>
      </c>
      <c r="G8116" t="s">
        <v>20</v>
      </c>
      <c r="H8116" t="s">
        <v>21</v>
      </c>
      <c r="I8116" t="s">
        <v>20</v>
      </c>
      <c r="J8116" t="s">
        <v>20</v>
      </c>
      <c r="K8116" t="s">
        <v>31</v>
      </c>
      <c r="L8116" t="s">
        <v>188</v>
      </c>
      <c r="M8116" t="s">
        <v>79</v>
      </c>
      <c r="N8116">
        <v>40.699876000000003</v>
      </c>
      <c r="O8116">
        <v>-111.824487</v>
      </c>
      <c r="P8116">
        <v>4543.5854319999999</v>
      </c>
      <c r="Q8116">
        <v>346</v>
      </c>
      <c r="R8116">
        <v>0</v>
      </c>
    </row>
    <row r="8117" spans="1:18" x14ac:dyDescent="0.25">
      <c r="A8117">
        <v>10116</v>
      </c>
      <c r="B8117">
        <v>94</v>
      </c>
      <c r="C8117" t="s">
        <v>945</v>
      </c>
      <c r="D8117" t="s">
        <v>50</v>
      </c>
      <c r="E8117">
        <v>14.092000000000001</v>
      </c>
      <c r="F8117" t="s">
        <v>21</v>
      </c>
      <c r="G8117" t="s">
        <v>26</v>
      </c>
      <c r="H8117" t="s">
        <v>21</v>
      </c>
      <c r="I8117" t="s">
        <v>20</v>
      </c>
      <c r="J8117" t="s">
        <v>20</v>
      </c>
      <c r="K8117" t="s">
        <v>27</v>
      </c>
      <c r="L8117" t="s">
        <v>51</v>
      </c>
      <c r="M8117" t="s">
        <v>52</v>
      </c>
      <c r="N8117">
        <v>37.709693999999999</v>
      </c>
      <c r="O8117">
        <v>-112.851795</v>
      </c>
      <c r="P8117">
        <v>9395.9412150000007</v>
      </c>
      <c r="Q8117">
        <v>1418</v>
      </c>
      <c r="R8117">
        <v>0</v>
      </c>
    </row>
    <row r="8118" spans="1:18" x14ac:dyDescent="0.25">
      <c r="A8118">
        <v>10117</v>
      </c>
      <c r="B8118">
        <v>94</v>
      </c>
      <c r="C8118">
        <v>28139018</v>
      </c>
      <c r="D8118" t="s">
        <v>239</v>
      </c>
      <c r="E8118">
        <v>14.108000000000001</v>
      </c>
      <c r="F8118" t="s">
        <v>21</v>
      </c>
      <c r="G8118" t="s">
        <v>26</v>
      </c>
      <c r="H8118" t="s">
        <v>19</v>
      </c>
      <c r="I8118">
        <v>84</v>
      </c>
      <c r="J8118" t="s">
        <v>20</v>
      </c>
      <c r="K8118" t="s">
        <v>41</v>
      </c>
      <c r="L8118" t="s">
        <v>181</v>
      </c>
      <c r="M8118" t="s">
        <v>178</v>
      </c>
      <c r="N8118">
        <v>41.710754999999999</v>
      </c>
      <c r="O8118">
        <v>-112.207808</v>
      </c>
      <c r="P8118">
        <v>4288.9738360000001</v>
      </c>
      <c r="Q8118">
        <v>1392</v>
      </c>
      <c r="R8118">
        <v>0</v>
      </c>
    </row>
    <row r="8119" spans="1:18" x14ac:dyDescent="0.25">
      <c r="A8119">
        <v>10118</v>
      </c>
      <c r="B8119">
        <v>94</v>
      </c>
      <c r="C8119">
        <v>31735618</v>
      </c>
      <c r="D8119" t="s">
        <v>290</v>
      </c>
      <c r="E8119">
        <v>14.111000000000001</v>
      </c>
      <c r="F8119" t="s">
        <v>21</v>
      </c>
      <c r="G8119" t="s">
        <v>20</v>
      </c>
      <c r="H8119" t="s">
        <v>21</v>
      </c>
      <c r="I8119" t="s">
        <v>20</v>
      </c>
      <c r="J8119" t="s">
        <v>20</v>
      </c>
      <c r="K8119" t="s">
        <v>41</v>
      </c>
      <c r="L8119" t="s">
        <v>291</v>
      </c>
      <c r="M8119" t="s">
        <v>238</v>
      </c>
      <c r="N8119">
        <v>41.432267000000003</v>
      </c>
      <c r="O8119">
        <v>-113.786979</v>
      </c>
      <c r="P8119">
        <v>4582.7490349999998</v>
      </c>
      <c r="Q8119">
        <v>1343</v>
      </c>
      <c r="R8119">
        <v>0</v>
      </c>
    </row>
    <row r="8120" spans="1:18" x14ac:dyDescent="0.25">
      <c r="A8120">
        <v>10119</v>
      </c>
      <c r="B8120">
        <v>94</v>
      </c>
      <c r="C8120">
        <v>31415639</v>
      </c>
      <c r="D8120" t="s">
        <v>345</v>
      </c>
      <c r="E8120">
        <v>14.115</v>
      </c>
      <c r="F8120" t="s">
        <v>21</v>
      </c>
      <c r="G8120" t="s">
        <v>26</v>
      </c>
      <c r="H8120" t="s">
        <v>21</v>
      </c>
      <c r="I8120" t="s">
        <v>20</v>
      </c>
      <c r="J8120" t="s">
        <v>20</v>
      </c>
      <c r="K8120" t="s">
        <v>27</v>
      </c>
      <c r="L8120" t="s">
        <v>75</v>
      </c>
      <c r="M8120" t="s">
        <v>76</v>
      </c>
      <c r="N8120">
        <v>38.742013999999998</v>
      </c>
      <c r="O8120">
        <v>-112.09164800000001</v>
      </c>
      <c r="P8120">
        <v>5211.1428020000003</v>
      </c>
      <c r="Q8120">
        <v>1403</v>
      </c>
      <c r="R8120">
        <v>0</v>
      </c>
    </row>
    <row r="8121" spans="1:18" x14ac:dyDescent="0.25">
      <c r="A8121">
        <v>10120</v>
      </c>
      <c r="B8121">
        <v>94</v>
      </c>
      <c r="C8121">
        <v>31314096</v>
      </c>
      <c r="D8121" t="s">
        <v>126</v>
      </c>
      <c r="E8121">
        <v>14.122</v>
      </c>
      <c r="F8121" t="s">
        <v>21</v>
      </c>
      <c r="G8121" t="s">
        <v>26</v>
      </c>
      <c r="H8121" t="s">
        <v>21</v>
      </c>
      <c r="I8121" t="s">
        <v>20</v>
      </c>
      <c r="J8121" t="s">
        <v>20</v>
      </c>
      <c r="K8121" t="s">
        <v>41</v>
      </c>
      <c r="L8121" t="s">
        <v>81</v>
      </c>
      <c r="M8121" t="s">
        <v>93</v>
      </c>
      <c r="N8121">
        <v>41.305883000000001</v>
      </c>
      <c r="O8121">
        <v>-111.972189</v>
      </c>
      <c r="P8121">
        <v>4309.607704</v>
      </c>
      <c r="Q8121">
        <v>1412</v>
      </c>
      <c r="R8121">
        <v>0</v>
      </c>
    </row>
    <row r="8122" spans="1:18" x14ac:dyDescent="0.25">
      <c r="A8122">
        <v>10121</v>
      </c>
      <c r="B8122">
        <v>94</v>
      </c>
      <c r="C8122" t="e">
        <f>-IqDqa-uHYPAt3N9Q6_LLF</f>
        <v>#NAME?</v>
      </c>
      <c r="D8122" t="s">
        <v>946</v>
      </c>
      <c r="E8122">
        <v>0</v>
      </c>
      <c r="F8122" t="s">
        <v>21</v>
      </c>
      <c r="G8122" t="s">
        <v>26</v>
      </c>
      <c r="H8122" t="s">
        <v>21</v>
      </c>
      <c r="I8122" t="s">
        <v>20</v>
      </c>
      <c r="J8122" t="s">
        <v>20</v>
      </c>
      <c r="K8122" t="s">
        <v>41</v>
      </c>
      <c r="L8122" t="s">
        <v>181</v>
      </c>
      <c r="M8122" t="s">
        <v>368</v>
      </c>
      <c r="N8122">
        <v>41.840173999999998</v>
      </c>
      <c r="O8122">
        <v>-112.439286</v>
      </c>
      <c r="P8122">
        <v>4593.9360360000001</v>
      </c>
      <c r="Q8122">
        <v>1381</v>
      </c>
      <c r="R8122">
        <v>0</v>
      </c>
    </row>
    <row r="8123" spans="1:18" x14ac:dyDescent="0.25">
      <c r="A8123">
        <v>10122</v>
      </c>
      <c r="B8123">
        <v>94</v>
      </c>
      <c r="C8123">
        <v>1422371</v>
      </c>
      <c r="D8123" t="s">
        <v>94</v>
      </c>
      <c r="E8123">
        <v>0</v>
      </c>
      <c r="F8123" t="s">
        <v>21</v>
      </c>
      <c r="G8123" t="s">
        <v>26</v>
      </c>
      <c r="H8123" t="s">
        <v>21</v>
      </c>
      <c r="I8123" t="s">
        <v>20</v>
      </c>
      <c r="J8123" t="s">
        <v>20</v>
      </c>
      <c r="K8123" t="s">
        <v>41</v>
      </c>
      <c r="L8123" t="s">
        <v>95</v>
      </c>
      <c r="M8123" t="s">
        <v>73</v>
      </c>
      <c r="N8123">
        <v>41.975754999999999</v>
      </c>
      <c r="O8123">
        <v>-111.87616300000001</v>
      </c>
      <c r="P8123">
        <v>4460.0872730000001</v>
      </c>
      <c r="Q8123">
        <v>352</v>
      </c>
      <c r="R8123">
        <v>0</v>
      </c>
    </row>
    <row r="8124" spans="1:18" x14ac:dyDescent="0.25">
      <c r="A8124">
        <v>10123</v>
      </c>
      <c r="B8124">
        <v>94</v>
      </c>
      <c r="C8124">
        <v>31410921</v>
      </c>
      <c r="D8124" t="s">
        <v>477</v>
      </c>
      <c r="E8124">
        <v>0.28100000000000003</v>
      </c>
      <c r="F8124" t="s">
        <v>21</v>
      </c>
      <c r="G8124" t="s">
        <v>26</v>
      </c>
      <c r="H8124" t="s">
        <v>21</v>
      </c>
      <c r="I8124" t="s">
        <v>20</v>
      </c>
      <c r="J8124" t="s">
        <v>20</v>
      </c>
      <c r="K8124" t="s">
        <v>27</v>
      </c>
      <c r="L8124" t="s">
        <v>183</v>
      </c>
      <c r="M8124" t="s">
        <v>366</v>
      </c>
      <c r="N8124">
        <v>38.756407000000003</v>
      </c>
      <c r="O8124">
        <v>-111.420326</v>
      </c>
      <c r="P8124">
        <v>7065.2949900000003</v>
      </c>
      <c r="Q8124">
        <v>1374</v>
      </c>
      <c r="R8124">
        <v>0</v>
      </c>
    </row>
    <row r="8125" spans="1:18" x14ac:dyDescent="0.25">
      <c r="A8125">
        <v>10124</v>
      </c>
      <c r="B8125">
        <v>94</v>
      </c>
      <c r="C8125" t="e">
        <f>-IqZ8qLvGHXs2QJtf62-BF</f>
        <v>#NAME?</v>
      </c>
      <c r="D8125" t="s">
        <v>947</v>
      </c>
      <c r="E8125">
        <v>0.28199999999999997</v>
      </c>
      <c r="F8125" t="s">
        <v>21</v>
      </c>
      <c r="G8125" t="s">
        <v>26</v>
      </c>
      <c r="H8125" t="s">
        <v>21</v>
      </c>
      <c r="I8125" t="s">
        <v>20</v>
      </c>
      <c r="J8125" t="s">
        <v>20</v>
      </c>
      <c r="K8125" t="s">
        <v>27</v>
      </c>
      <c r="L8125" t="s">
        <v>72</v>
      </c>
      <c r="M8125" t="s">
        <v>948</v>
      </c>
      <c r="N8125">
        <v>37.0139</v>
      </c>
      <c r="O8125">
        <v>-113.612928</v>
      </c>
      <c r="P8125">
        <v>2580.401699</v>
      </c>
      <c r="Q8125">
        <v>1333</v>
      </c>
      <c r="R8125">
        <v>0</v>
      </c>
    </row>
    <row r="8126" spans="1:18" x14ac:dyDescent="0.25">
      <c r="A8126">
        <v>10125</v>
      </c>
      <c r="B8126">
        <v>94</v>
      </c>
      <c r="C8126">
        <v>31367696</v>
      </c>
      <c r="D8126" t="s">
        <v>199</v>
      </c>
      <c r="E8126">
        <v>0.28299999999999997</v>
      </c>
      <c r="F8126" t="s">
        <v>21</v>
      </c>
      <c r="G8126" t="s">
        <v>26</v>
      </c>
      <c r="H8126" t="s">
        <v>21</v>
      </c>
      <c r="I8126" t="s">
        <v>20</v>
      </c>
      <c r="J8126" t="s">
        <v>20</v>
      </c>
      <c r="K8126" t="s">
        <v>27</v>
      </c>
      <c r="L8126" t="s">
        <v>103</v>
      </c>
      <c r="M8126" t="s">
        <v>200</v>
      </c>
      <c r="N8126">
        <v>38.276935999999999</v>
      </c>
      <c r="O8126">
        <v>-112.636082</v>
      </c>
      <c r="P8126">
        <v>5853.4844759999996</v>
      </c>
      <c r="Q8126">
        <v>341</v>
      </c>
      <c r="R8126">
        <v>0</v>
      </c>
    </row>
    <row r="8127" spans="1:18" x14ac:dyDescent="0.25">
      <c r="A8127">
        <v>10126</v>
      </c>
      <c r="B8127">
        <v>94</v>
      </c>
      <c r="C8127" t="e">
        <f>-IoIDrJXF9u0mM-p3ZW-oF</f>
        <v>#NAME?</v>
      </c>
      <c r="D8127" t="s">
        <v>272</v>
      </c>
      <c r="E8127">
        <v>165.22499999999999</v>
      </c>
      <c r="F8127" t="s">
        <v>21</v>
      </c>
      <c r="G8127" t="s">
        <v>20</v>
      </c>
      <c r="H8127" t="s">
        <v>21</v>
      </c>
      <c r="I8127" t="s">
        <v>20</v>
      </c>
      <c r="J8127" t="s">
        <v>20</v>
      </c>
      <c r="K8127" t="s">
        <v>27</v>
      </c>
      <c r="L8127" t="s">
        <v>64</v>
      </c>
      <c r="M8127" t="s">
        <v>214</v>
      </c>
      <c r="N8127">
        <v>38.250604000000003</v>
      </c>
      <c r="O8127">
        <v>-112.220286</v>
      </c>
      <c r="P8127">
        <v>5982.8451649999997</v>
      </c>
      <c r="Q8127">
        <v>1384</v>
      </c>
      <c r="R8127">
        <v>0</v>
      </c>
    </row>
    <row r="8128" spans="1:18" x14ac:dyDescent="0.25">
      <c r="A8128">
        <v>10127</v>
      </c>
      <c r="B8128">
        <v>94</v>
      </c>
      <c r="C8128">
        <v>31874706</v>
      </c>
      <c r="D8128" t="s">
        <v>118</v>
      </c>
      <c r="E8128">
        <v>165.38399999999999</v>
      </c>
      <c r="F8128" t="s">
        <v>21</v>
      </c>
      <c r="G8128" t="s">
        <v>20</v>
      </c>
      <c r="H8128" t="s">
        <v>21</v>
      </c>
      <c r="I8128" t="s">
        <v>20</v>
      </c>
      <c r="J8128" t="s">
        <v>20</v>
      </c>
      <c r="K8128" t="s">
        <v>22</v>
      </c>
      <c r="L8128" t="s">
        <v>234</v>
      </c>
      <c r="M8128" t="s">
        <v>169</v>
      </c>
      <c r="N8128">
        <v>40.308849000000002</v>
      </c>
      <c r="O8128">
        <v>-109.217394</v>
      </c>
      <c r="P8128">
        <v>5076.7238870000001</v>
      </c>
      <c r="Q8128">
        <v>310</v>
      </c>
      <c r="R8128">
        <v>0</v>
      </c>
    </row>
    <row r="8129" spans="1:18" x14ac:dyDescent="0.25">
      <c r="A8129">
        <v>10128</v>
      </c>
      <c r="B8129">
        <v>94</v>
      </c>
      <c r="C8129" t="e">
        <f>-IoIFH_MHJPpk2nEa3jfIV</f>
        <v>#NAME?</v>
      </c>
      <c r="D8129" t="s">
        <v>272</v>
      </c>
      <c r="E8129">
        <v>166.99299999999999</v>
      </c>
      <c r="F8129" t="s">
        <v>21</v>
      </c>
      <c r="G8129" t="s">
        <v>26</v>
      </c>
      <c r="H8129" t="s">
        <v>21</v>
      </c>
      <c r="I8129" t="s">
        <v>20</v>
      </c>
      <c r="J8129" t="s">
        <v>20</v>
      </c>
      <c r="K8129" t="s">
        <v>27</v>
      </c>
      <c r="L8129" t="s">
        <v>64</v>
      </c>
      <c r="M8129" t="s">
        <v>214</v>
      </c>
      <c r="N8129">
        <v>38.276077999999998</v>
      </c>
      <c r="O8129">
        <v>-112.22353</v>
      </c>
      <c r="P8129">
        <v>5988.0448930000002</v>
      </c>
      <c r="Q8129">
        <v>1384</v>
      </c>
      <c r="R8129">
        <v>0</v>
      </c>
    </row>
    <row r="8130" spans="1:18" x14ac:dyDescent="0.25">
      <c r="A8130">
        <v>10129</v>
      </c>
      <c r="B8130">
        <v>94</v>
      </c>
      <c r="C8130">
        <v>31874717</v>
      </c>
      <c r="D8130" t="s">
        <v>118</v>
      </c>
      <c r="E8130">
        <v>168.65700000000001</v>
      </c>
      <c r="F8130" t="s">
        <v>21</v>
      </c>
      <c r="G8130" t="s">
        <v>26</v>
      </c>
      <c r="H8130" t="s">
        <v>21</v>
      </c>
      <c r="I8130" t="s">
        <v>20</v>
      </c>
      <c r="J8130" t="s">
        <v>20</v>
      </c>
      <c r="K8130" t="s">
        <v>22</v>
      </c>
      <c r="L8130" t="s">
        <v>234</v>
      </c>
      <c r="M8130" t="s">
        <v>169</v>
      </c>
      <c r="N8130">
        <v>40.290157999999998</v>
      </c>
      <c r="O8130">
        <v>-109.160499</v>
      </c>
      <c r="P8130">
        <v>5198.2981719999998</v>
      </c>
      <c r="Q8130">
        <v>310</v>
      </c>
      <c r="R8130">
        <v>0</v>
      </c>
    </row>
    <row r="8131" spans="1:18" x14ac:dyDescent="0.25">
      <c r="A8131">
        <v>10130</v>
      </c>
      <c r="B8131">
        <v>94</v>
      </c>
      <c r="C8131">
        <v>31874728</v>
      </c>
      <c r="D8131" t="s">
        <v>118</v>
      </c>
      <c r="E8131">
        <v>169.715</v>
      </c>
      <c r="F8131" t="s">
        <v>21</v>
      </c>
      <c r="G8131" t="s">
        <v>26</v>
      </c>
      <c r="H8131" t="s">
        <v>21</v>
      </c>
      <c r="I8131" t="s">
        <v>20</v>
      </c>
      <c r="J8131" t="s">
        <v>20</v>
      </c>
      <c r="K8131" t="s">
        <v>22</v>
      </c>
      <c r="L8131" t="s">
        <v>234</v>
      </c>
      <c r="M8131" t="s">
        <v>169</v>
      </c>
      <c r="N8131">
        <v>40.287163999999997</v>
      </c>
      <c r="O8131">
        <v>-109.14082399999999</v>
      </c>
      <c r="P8131">
        <v>5238.1709010000004</v>
      </c>
      <c r="Q8131">
        <v>310</v>
      </c>
      <c r="R8131">
        <v>0</v>
      </c>
    </row>
    <row r="8132" spans="1:18" x14ac:dyDescent="0.25">
      <c r="A8132">
        <v>10131</v>
      </c>
      <c r="B8132">
        <v>94</v>
      </c>
      <c r="C8132" t="e">
        <f>-JXhGxu0I51H6_i6UPpP0F</f>
        <v>#NAME?</v>
      </c>
      <c r="D8132" t="s">
        <v>390</v>
      </c>
      <c r="E8132">
        <v>17.003</v>
      </c>
      <c r="F8132" t="s">
        <v>21</v>
      </c>
      <c r="G8132" t="s">
        <v>20</v>
      </c>
      <c r="H8132" t="s">
        <v>21</v>
      </c>
      <c r="I8132" t="s">
        <v>20</v>
      </c>
      <c r="J8132" t="s">
        <v>20</v>
      </c>
      <c r="K8132" t="s">
        <v>22</v>
      </c>
      <c r="L8132" t="s">
        <v>60</v>
      </c>
      <c r="M8132" t="s">
        <v>335</v>
      </c>
      <c r="N8132">
        <v>40.438768000000003</v>
      </c>
      <c r="O8132">
        <v>-111.627154</v>
      </c>
      <c r="P8132">
        <v>7531.2183850000001</v>
      </c>
      <c r="Q8132">
        <v>1386</v>
      </c>
      <c r="R8132">
        <v>0</v>
      </c>
    </row>
    <row r="8133" spans="1:18" x14ac:dyDescent="0.25">
      <c r="A8133">
        <v>10132</v>
      </c>
      <c r="B8133">
        <v>94</v>
      </c>
      <c r="C8133">
        <v>31713463</v>
      </c>
      <c r="D8133" t="s">
        <v>118</v>
      </c>
      <c r="E8133">
        <v>17.006</v>
      </c>
      <c r="F8133" t="s">
        <v>19</v>
      </c>
      <c r="G8133" t="s">
        <v>20</v>
      </c>
      <c r="H8133" t="s">
        <v>19</v>
      </c>
      <c r="I8133">
        <v>113</v>
      </c>
      <c r="J8133" t="s">
        <v>20</v>
      </c>
      <c r="K8133" t="s">
        <v>22</v>
      </c>
      <c r="L8133" t="s">
        <v>35</v>
      </c>
      <c r="M8133" t="s">
        <v>120</v>
      </c>
      <c r="N8133">
        <v>40.506354000000002</v>
      </c>
      <c r="O8133">
        <v>-111.41348000000001</v>
      </c>
      <c r="P8133">
        <v>5549.2106590000003</v>
      </c>
      <c r="Q8133">
        <v>310</v>
      </c>
      <c r="R8133">
        <v>0</v>
      </c>
    </row>
    <row r="8134" spans="1:18" x14ac:dyDescent="0.25">
      <c r="A8134">
        <v>10133</v>
      </c>
      <c r="B8134">
        <v>94</v>
      </c>
      <c r="C8134">
        <v>31372820</v>
      </c>
      <c r="D8134" t="s">
        <v>199</v>
      </c>
      <c r="E8134">
        <v>17.018999999999998</v>
      </c>
      <c r="F8134" t="s">
        <v>21</v>
      </c>
      <c r="G8134" t="s">
        <v>26</v>
      </c>
      <c r="H8134" t="s">
        <v>21</v>
      </c>
      <c r="I8134" t="s">
        <v>20</v>
      </c>
      <c r="J8134" t="s">
        <v>20</v>
      </c>
      <c r="K8134" t="s">
        <v>27</v>
      </c>
      <c r="L8134" t="s">
        <v>103</v>
      </c>
      <c r="M8134" t="s">
        <v>200</v>
      </c>
      <c r="N8134">
        <v>38.306524000000003</v>
      </c>
      <c r="O8134">
        <v>-112.41008600000001</v>
      </c>
      <c r="P8134">
        <v>8907.7179520000009</v>
      </c>
      <c r="Q8134">
        <v>341</v>
      </c>
      <c r="R8134">
        <v>0</v>
      </c>
    </row>
    <row r="8135" spans="1:18" x14ac:dyDescent="0.25">
      <c r="A8135">
        <v>10134</v>
      </c>
      <c r="B8135">
        <v>94</v>
      </c>
      <c r="C8135">
        <v>31472962</v>
      </c>
      <c r="D8135" t="s">
        <v>348</v>
      </c>
      <c r="E8135">
        <v>17.027000000000001</v>
      </c>
      <c r="F8135" t="s">
        <v>21</v>
      </c>
      <c r="G8135" t="s">
        <v>26</v>
      </c>
      <c r="H8135" t="s">
        <v>21</v>
      </c>
      <c r="I8135" t="s">
        <v>20</v>
      </c>
      <c r="J8135" t="s">
        <v>20</v>
      </c>
      <c r="K8135" t="s">
        <v>27</v>
      </c>
      <c r="L8135" t="s">
        <v>122</v>
      </c>
      <c r="M8135" t="s">
        <v>123</v>
      </c>
      <c r="N8135">
        <v>38.141748999999997</v>
      </c>
      <c r="O8135">
        <v>-110.610241</v>
      </c>
      <c r="P8135">
        <v>4844.1615730000003</v>
      </c>
      <c r="Q8135">
        <v>1388</v>
      </c>
      <c r="R8135">
        <v>0</v>
      </c>
    </row>
    <row r="8136" spans="1:18" x14ac:dyDescent="0.25">
      <c r="A8136">
        <v>10135</v>
      </c>
      <c r="B8136">
        <v>94</v>
      </c>
      <c r="C8136">
        <v>31494303</v>
      </c>
      <c r="D8136" t="s">
        <v>353</v>
      </c>
      <c r="E8136">
        <v>17.032</v>
      </c>
      <c r="F8136" t="s">
        <v>21</v>
      </c>
      <c r="G8136" t="s">
        <v>20</v>
      </c>
      <c r="H8136" t="s">
        <v>21</v>
      </c>
      <c r="I8136" t="s">
        <v>20</v>
      </c>
      <c r="J8136" t="s">
        <v>20</v>
      </c>
      <c r="K8136" t="s">
        <v>41</v>
      </c>
      <c r="L8136" t="s">
        <v>137</v>
      </c>
      <c r="M8136" t="s">
        <v>138</v>
      </c>
      <c r="N8136">
        <v>40.899084999999999</v>
      </c>
      <c r="O8136">
        <v>-111.58829799999999</v>
      </c>
      <c r="P8136">
        <v>5678.3503760000003</v>
      </c>
      <c r="Q8136">
        <v>1367</v>
      </c>
      <c r="R8136">
        <v>0</v>
      </c>
    </row>
    <row r="8137" spans="1:18" x14ac:dyDescent="0.25">
      <c r="A8137">
        <v>10136</v>
      </c>
      <c r="B8137">
        <v>94</v>
      </c>
      <c r="C8137">
        <v>1539748</v>
      </c>
      <c r="D8137" t="s">
        <v>88</v>
      </c>
      <c r="E8137">
        <v>17.036999999999999</v>
      </c>
      <c r="F8137" t="s">
        <v>21</v>
      </c>
      <c r="G8137" t="s">
        <v>26</v>
      </c>
      <c r="H8137" t="s">
        <v>21</v>
      </c>
      <c r="I8137" t="s">
        <v>20</v>
      </c>
      <c r="J8137" t="s">
        <v>20</v>
      </c>
      <c r="K8137" t="s">
        <v>31</v>
      </c>
      <c r="L8137" t="s">
        <v>69</v>
      </c>
      <c r="M8137" t="s">
        <v>90</v>
      </c>
      <c r="N8137">
        <v>40.681932000000003</v>
      </c>
      <c r="O8137">
        <v>-111.871427</v>
      </c>
      <c r="P8137">
        <v>4237.8169180000004</v>
      </c>
      <c r="Q8137">
        <v>318</v>
      </c>
      <c r="R8137">
        <v>0</v>
      </c>
    </row>
    <row r="8138" spans="1:18" x14ac:dyDescent="0.25">
      <c r="A8138">
        <v>10137</v>
      </c>
      <c r="B8138">
        <v>94</v>
      </c>
      <c r="C8138">
        <v>31651847</v>
      </c>
      <c r="D8138" t="s">
        <v>88</v>
      </c>
      <c r="E8138">
        <v>17.05</v>
      </c>
      <c r="F8138" t="s">
        <v>21</v>
      </c>
      <c r="G8138" t="s">
        <v>20</v>
      </c>
      <c r="H8138" t="s">
        <v>21</v>
      </c>
      <c r="I8138" t="s">
        <v>20</v>
      </c>
      <c r="J8138" t="s">
        <v>20</v>
      </c>
      <c r="K8138" t="s">
        <v>31</v>
      </c>
      <c r="L8138" t="s">
        <v>69</v>
      </c>
      <c r="M8138" t="s">
        <v>90</v>
      </c>
      <c r="N8138">
        <v>40.682107999999999</v>
      </c>
      <c r="O8138">
        <v>-111.87142799999999</v>
      </c>
      <c r="P8138">
        <v>4237.8481419999998</v>
      </c>
      <c r="Q8138">
        <v>318</v>
      </c>
      <c r="R8138">
        <v>0</v>
      </c>
    </row>
    <row r="8139" spans="1:18" x14ac:dyDescent="0.25">
      <c r="A8139">
        <v>10138</v>
      </c>
      <c r="B8139">
        <v>94</v>
      </c>
      <c r="C8139">
        <v>31415849</v>
      </c>
      <c r="D8139" t="s">
        <v>333</v>
      </c>
      <c r="E8139">
        <v>17.050999999999998</v>
      </c>
      <c r="F8139" t="s">
        <v>19</v>
      </c>
      <c r="G8139" t="s">
        <v>20</v>
      </c>
      <c r="H8139" t="s">
        <v>21</v>
      </c>
      <c r="I8139" t="s">
        <v>20</v>
      </c>
      <c r="J8139" t="s">
        <v>20</v>
      </c>
      <c r="K8139" t="s">
        <v>31</v>
      </c>
      <c r="L8139" t="s">
        <v>78</v>
      </c>
      <c r="M8139" t="s">
        <v>49</v>
      </c>
      <c r="N8139">
        <v>40.669227999999997</v>
      </c>
      <c r="O8139">
        <v>-111.981573</v>
      </c>
      <c r="P8139">
        <v>4369.5826230000002</v>
      </c>
      <c r="Q8139">
        <v>1426</v>
      </c>
      <c r="R8139">
        <v>0</v>
      </c>
    </row>
    <row r="8140" spans="1:18" x14ac:dyDescent="0.25">
      <c r="A8140">
        <v>10139</v>
      </c>
      <c r="B8140">
        <v>94</v>
      </c>
      <c r="C8140">
        <v>28563953</v>
      </c>
      <c r="D8140" t="s">
        <v>323</v>
      </c>
      <c r="E8140">
        <v>17.085999999999999</v>
      </c>
      <c r="F8140" t="s">
        <v>21</v>
      </c>
      <c r="G8140" t="s">
        <v>26</v>
      </c>
      <c r="H8140" t="s">
        <v>21</v>
      </c>
      <c r="I8140" t="s">
        <v>20</v>
      </c>
      <c r="J8140" t="s">
        <v>20</v>
      </c>
      <c r="K8140" t="s">
        <v>31</v>
      </c>
      <c r="L8140" t="s">
        <v>130</v>
      </c>
      <c r="M8140" t="s">
        <v>131</v>
      </c>
      <c r="N8140">
        <v>40.705711000000001</v>
      </c>
      <c r="O8140">
        <v>-111.28564799999999</v>
      </c>
      <c r="P8140">
        <v>6403.2184500000003</v>
      </c>
      <c r="Q8140">
        <v>1345</v>
      </c>
      <c r="R8140">
        <v>0</v>
      </c>
    </row>
    <row r="8141" spans="1:18" x14ac:dyDescent="0.25">
      <c r="A8141">
        <v>10140</v>
      </c>
      <c r="B8141">
        <v>94</v>
      </c>
      <c r="C8141">
        <v>28564362</v>
      </c>
      <c r="D8141" t="s">
        <v>323</v>
      </c>
      <c r="E8141">
        <v>17.338999999999999</v>
      </c>
      <c r="F8141" t="s">
        <v>21</v>
      </c>
      <c r="G8141" t="s">
        <v>20</v>
      </c>
      <c r="H8141" t="s">
        <v>21</v>
      </c>
      <c r="I8141" t="s">
        <v>20</v>
      </c>
      <c r="J8141" t="s">
        <v>20</v>
      </c>
      <c r="K8141" t="s">
        <v>31</v>
      </c>
      <c r="L8141" t="s">
        <v>130</v>
      </c>
      <c r="M8141" t="s">
        <v>131</v>
      </c>
      <c r="N8141">
        <v>40.707661000000002</v>
      </c>
      <c r="O8141">
        <v>-111.289708</v>
      </c>
      <c r="P8141">
        <v>6394.4012670000002</v>
      </c>
      <c r="Q8141">
        <v>1345</v>
      </c>
      <c r="R8141">
        <v>0</v>
      </c>
    </row>
    <row r="8142" spans="1:18" x14ac:dyDescent="0.25">
      <c r="A8142">
        <v>10141</v>
      </c>
      <c r="B8142">
        <v>94</v>
      </c>
      <c r="C8142" t="s">
        <v>949</v>
      </c>
      <c r="D8142" t="s">
        <v>316</v>
      </c>
      <c r="E8142">
        <v>17.341000000000001</v>
      </c>
      <c r="F8142" t="s">
        <v>21</v>
      </c>
      <c r="G8142" t="s">
        <v>20</v>
      </c>
      <c r="H8142" t="s">
        <v>21</v>
      </c>
      <c r="I8142" t="s">
        <v>20</v>
      </c>
      <c r="J8142" t="s">
        <v>20</v>
      </c>
      <c r="K8142" t="s">
        <v>22</v>
      </c>
      <c r="L8142" t="s">
        <v>168</v>
      </c>
      <c r="M8142" t="s">
        <v>302</v>
      </c>
      <c r="N8142">
        <v>40.508358000000001</v>
      </c>
      <c r="O8142">
        <v>-111.04629199999999</v>
      </c>
      <c r="P8142">
        <v>8593.5714889999999</v>
      </c>
      <c r="Q8142">
        <v>1346</v>
      </c>
      <c r="R8142">
        <v>0</v>
      </c>
    </row>
    <row r="8143" spans="1:18" x14ac:dyDescent="0.25">
      <c r="A8143">
        <v>10142</v>
      </c>
      <c r="B8143">
        <v>94</v>
      </c>
      <c r="C8143">
        <v>31714379</v>
      </c>
      <c r="D8143" t="s">
        <v>118</v>
      </c>
      <c r="E8143">
        <v>17.344000000000001</v>
      </c>
      <c r="F8143" t="s">
        <v>21</v>
      </c>
      <c r="G8143" t="s">
        <v>26</v>
      </c>
      <c r="H8143" t="s">
        <v>21</v>
      </c>
      <c r="I8143" t="s">
        <v>20</v>
      </c>
      <c r="J8143" t="s">
        <v>20</v>
      </c>
      <c r="K8143" t="s">
        <v>22</v>
      </c>
      <c r="L8143" t="s">
        <v>35</v>
      </c>
      <c r="M8143" t="s">
        <v>120</v>
      </c>
      <c r="N8143">
        <v>40.501458</v>
      </c>
      <c r="O8143">
        <v>-111.41354200000001</v>
      </c>
      <c r="P8143">
        <v>5561.3114740000001</v>
      </c>
      <c r="Q8143">
        <v>310</v>
      </c>
      <c r="R8143">
        <v>0</v>
      </c>
    </row>
    <row r="8144" spans="1:18" x14ac:dyDescent="0.25">
      <c r="A8144">
        <v>10143</v>
      </c>
      <c r="B8144">
        <v>94</v>
      </c>
      <c r="C8144">
        <v>31195766</v>
      </c>
      <c r="D8144" t="s">
        <v>339</v>
      </c>
      <c r="E8144">
        <v>17.344999999999999</v>
      </c>
      <c r="F8144" t="s">
        <v>19</v>
      </c>
      <c r="G8144" t="s">
        <v>20</v>
      </c>
      <c r="H8144" t="s">
        <v>19</v>
      </c>
      <c r="I8144">
        <v>91</v>
      </c>
      <c r="J8144" t="s">
        <v>20</v>
      </c>
      <c r="K8144" t="s">
        <v>41</v>
      </c>
      <c r="L8144" t="s">
        <v>95</v>
      </c>
      <c r="M8144" t="s">
        <v>73</v>
      </c>
      <c r="N8144">
        <v>41.922688000000001</v>
      </c>
      <c r="O8144">
        <v>-111.814357</v>
      </c>
      <c r="P8144">
        <v>4557.9183569999996</v>
      </c>
      <c r="Q8144">
        <v>1417</v>
      </c>
      <c r="R8144">
        <v>0</v>
      </c>
    </row>
    <row r="8145" spans="1:18" x14ac:dyDescent="0.25">
      <c r="A8145">
        <v>10144</v>
      </c>
      <c r="B8145">
        <v>94</v>
      </c>
      <c r="C8145">
        <v>31523301</v>
      </c>
      <c r="D8145" t="s">
        <v>309</v>
      </c>
      <c r="E8145">
        <v>17.353000000000002</v>
      </c>
      <c r="F8145" t="s">
        <v>21</v>
      </c>
      <c r="G8145" t="s">
        <v>26</v>
      </c>
      <c r="H8145" t="s">
        <v>21</v>
      </c>
      <c r="I8145" t="s">
        <v>20</v>
      </c>
      <c r="J8145" t="s">
        <v>20</v>
      </c>
      <c r="K8145" t="s">
        <v>22</v>
      </c>
      <c r="L8145" t="s">
        <v>140</v>
      </c>
      <c r="M8145" t="s">
        <v>125</v>
      </c>
      <c r="N8145">
        <v>40.130360000000003</v>
      </c>
      <c r="O8145">
        <v>-111.58234</v>
      </c>
      <c r="P8145">
        <v>4664.9701210000003</v>
      </c>
      <c r="Q8145">
        <v>339</v>
      </c>
      <c r="R8145">
        <v>0</v>
      </c>
    </row>
    <row r="8146" spans="1:18" x14ac:dyDescent="0.25">
      <c r="A8146">
        <v>10145</v>
      </c>
      <c r="B8146">
        <v>94</v>
      </c>
      <c r="C8146">
        <v>31321723</v>
      </c>
      <c r="D8146" t="s">
        <v>303</v>
      </c>
      <c r="E8146">
        <v>17.372</v>
      </c>
      <c r="F8146" t="s">
        <v>21</v>
      </c>
      <c r="G8146" t="s">
        <v>26</v>
      </c>
      <c r="H8146" t="s">
        <v>21</v>
      </c>
      <c r="I8146" t="s">
        <v>20</v>
      </c>
      <c r="J8146" t="s">
        <v>20</v>
      </c>
      <c r="K8146" t="s">
        <v>27</v>
      </c>
      <c r="L8146" t="s">
        <v>72</v>
      </c>
      <c r="M8146" t="s">
        <v>73</v>
      </c>
      <c r="N8146">
        <v>37.205325000000002</v>
      </c>
      <c r="O8146">
        <v>-113.21047</v>
      </c>
      <c r="P8146">
        <v>3479.9231289999998</v>
      </c>
      <c r="Q8146">
        <v>1326</v>
      </c>
      <c r="R8146">
        <v>0</v>
      </c>
    </row>
    <row r="8147" spans="1:18" x14ac:dyDescent="0.25">
      <c r="A8147">
        <v>10146</v>
      </c>
      <c r="B8147">
        <v>94</v>
      </c>
      <c r="C8147">
        <v>31509148</v>
      </c>
      <c r="D8147" t="s">
        <v>292</v>
      </c>
      <c r="E8147">
        <v>17.373000000000001</v>
      </c>
      <c r="F8147" t="s">
        <v>21</v>
      </c>
      <c r="G8147" t="s">
        <v>20</v>
      </c>
      <c r="H8147" t="s">
        <v>21</v>
      </c>
      <c r="I8147" t="s">
        <v>20</v>
      </c>
      <c r="J8147" t="s">
        <v>20</v>
      </c>
      <c r="K8147" t="s">
        <v>22</v>
      </c>
      <c r="L8147" t="s">
        <v>253</v>
      </c>
      <c r="M8147" t="s">
        <v>134</v>
      </c>
      <c r="N8147">
        <v>40.355559</v>
      </c>
      <c r="O8147">
        <v>-110.35583</v>
      </c>
      <c r="P8147">
        <v>6450.8641440000001</v>
      </c>
      <c r="Q8147">
        <v>323</v>
      </c>
      <c r="R8147">
        <v>0</v>
      </c>
    </row>
    <row r="8148" spans="1:18" x14ac:dyDescent="0.25">
      <c r="A8148">
        <v>10147</v>
      </c>
      <c r="B8148">
        <v>94</v>
      </c>
      <c r="C8148" t="e">
        <f>-Iovv-ziGHDn3-VnKqsqUF</f>
        <v>#NAME?</v>
      </c>
      <c r="D8148" t="s">
        <v>245</v>
      </c>
      <c r="E8148">
        <v>17.385999999999999</v>
      </c>
      <c r="F8148" t="s">
        <v>21</v>
      </c>
      <c r="G8148" t="s">
        <v>26</v>
      </c>
      <c r="H8148" t="s">
        <v>21</v>
      </c>
      <c r="I8148" t="s">
        <v>20</v>
      </c>
      <c r="J8148" t="s">
        <v>20</v>
      </c>
      <c r="K8148" t="s">
        <v>22</v>
      </c>
      <c r="L8148" t="s">
        <v>97</v>
      </c>
      <c r="M8148" t="s">
        <v>98</v>
      </c>
      <c r="N8148">
        <v>40.906905999999999</v>
      </c>
      <c r="O8148">
        <v>-109.699049</v>
      </c>
      <c r="P8148">
        <v>7238.1261860000004</v>
      </c>
      <c r="Q8148">
        <v>1353</v>
      </c>
      <c r="R8148">
        <v>0</v>
      </c>
    </row>
    <row r="8149" spans="1:18" x14ac:dyDescent="0.25">
      <c r="A8149">
        <v>10148</v>
      </c>
      <c r="B8149">
        <v>94</v>
      </c>
      <c r="C8149">
        <v>1540440</v>
      </c>
      <c r="D8149" t="s">
        <v>88</v>
      </c>
      <c r="E8149">
        <v>17.391999999999999</v>
      </c>
      <c r="F8149" t="s">
        <v>19</v>
      </c>
      <c r="G8149" t="s">
        <v>20</v>
      </c>
      <c r="H8149" t="s">
        <v>21</v>
      </c>
      <c r="I8149" t="s">
        <v>20</v>
      </c>
      <c r="J8149" t="s">
        <v>20</v>
      </c>
      <c r="K8149" t="s">
        <v>31</v>
      </c>
      <c r="L8149" t="s">
        <v>69</v>
      </c>
      <c r="M8149" t="s">
        <v>90</v>
      </c>
      <c r="N8149">
        <v>40.687067999999996</v>
      </c>
      <c r="O8149">
        <v>-111.871405</v>
      </c>
      <c r="P8149">
        <v>4225.7393940000002</v>
      </c>
      <c r="Q8149">
        <v>318</v>
      </c>
      <c r="R8149">
        <v>0</v>
      </c>
    </row>
    <row r="8150" spans="1:18" x14ac:dyDescent="0.25">
      <c r="A8150">
        <v>10149</v>
      </c>
      <c r="B8150">
        <v>94</v>
      </c>
      <c r="C8150" t="e">
        <f>-JXYGSzBGteYKBu86KZyYV</f>
        <v>#NAME?</v>
      </c>
      <c r="D8150" t="s">
        <v>336</v>
      </c>
      <c r="E8150">
        <v>17.393000000000001</v>
      </c>
      <c r="F8150" t="s">
        <v>21</v>
      </c>
      <c r="G8150" t="s">
        <v>20</v>
      </c>
      <c r="H8150" t="s">
        <v>21</v>
      </c>
      <c r="I8150" t="s">
        <v>20</v>
      </c>
      <c r="J8150" t="s">
        <v>20</v>
      </c>
      <c r="K8150" t="s">
        <v>31</v>
      </c>
      <c r="L8150" t="s">
        <v>32</v>
      </c>
      <c r="M8150" t="s">
        <v>950</v>
      </c>
      <c r="N8150">
        <v>40.615132000000003</v>
      </c>
      <c r="O8150">
        <v>-111.580589</v>
      </c>
      <c r="P8150">
        <v>8744.7252420000004</v>
      </c>
      <c r="Q8150">
        <v>404</v>
      </c>
      <c r="R8150">
        <v>0</v>
      </c>
    </row>
    <row r="8151" spans="1:18" x14ac:dyDescent="0.25">
      <c r="A8151">
        <v>10150</v>
      </c>
      <c r="B8151">
        <v>94</v>
      </c>
      <c r="C8151">
        <v>31534465</v>
      </c>
      <c r="D8151" t="s">
        <v>412</v>
      </c>
      <c r="E8151">
        <v>17.402999999999999</v>
      </c>
      <c r="F8151" t="s">
        <v>21</v>
      </c>
      <c r="G8151" t="s">
        <v>26</v>
      </c>
      <c r="H8151" t="s">
        <v>21</v>
      </c>
      <c r="I8151" t="s">
        <v>20</v>
      </c>
      <c r="J8151" t="s">
        <v>20</v>
      </c>
      <c r="K8151" t="s">
        <v>27</v>
      </c>
      <c r="L8151" t="s">
        <v>173</v>
      </c>
      <c r="M8151" t="s">
        <v>267</v>
      </c>
      <c r="N8151">
        <v>39.472208000000002</v>
      </c>
      <c r="O8151">
        <v>-112.269007</v>
      </c>
      <c r="P8151">
        <v>4932.7501339999999</v>
      </c>
      <c r="Q8151">
        <v>1408</v>
      </c>
      <c r="R8151">
        <v>0</v>
      </c>
    </row>
    <row r="8152" spans="1:18" x14ac:dyDescent="0.25">
      <c r="A8152">
        <v>8001</v>
      </c>
      <c r="B8152">
        <v>94</v>
      </c>
      <c r="C8152">
        <v>31504175</v>
      </c>
      <c r="D8152" t="s">
        <v>129</v>
      </c>
      <c r="E8152">
        <v>46.656999999999996</v>
      </c>
      <c r="F8152" t="s">
        <v>21</v>
      </c>
      <c r="G8152" t="s">
        <v>26</v>
      </c>
      <c r="H8152" t="s">
        <v>21</v>
      </c>
      <c r="I8152" t="s">
        <v>20</v>
      </c>
      <c r="J8152" t="s">
        <v>20</v>
      </c>
      <c r="K8152" t="s">
        <v>31</v>
      </c>
      <c r="L8152" t="s">
        <v>130</v>
      </c>
      <c r="M8152" t="s">
        <v>328</v>
      </c>
      <c r="N8152">
        <v>40.886558999999998</v>
      </c>
      <c r="O8152">
        <v>-110.831874</v>
      </c>
      <c r="P8152">
        <v>8396.3402339999993</v>
      </c>
      <c r="Q8152">
        <v>340</v>
      </c>
      <c r="R8152">
        <v>0</v>
      </c>
    </row>
    <row r="8153" spans="1:18" x14ac:dyDescent="0.25">
      <c r="A8153">
        <v>8002</v>
      </c>
      <c r="B8153">
        <v>94</v>
      </c>
      <c r="C8153">
        <v>31287694</v>
      </c>
      <c r="D8153" t="s">
        <v>241</v>
      </c>
      <c r="E8153">
        <v>46.668999999999997</v>
      </c>
      <c r="F8153" t="s">
        <v>21</v>
      </c>
      <c r="G8153" t="s">
        <v>26</v>
      </c>
      <c r="H8153" t="s">
        <v>21</v>
      </c>
      <c r="I8153" t="s">
        <v>20</v>
      </c>
      <c r="J8153" t="s">
        <v>20</v>
      </c>
      <c r="K8153" t="s">
        <v>27</v>
      </c>
      <c r="L8153" t="s">
        <v>111</v>
      </c>
      <c r="M8153" t="s">
        <v>243</v>
      </c>
      <c r="N8153">
        <v>39.321125000000002</v>
      </c>
      <c r="O8153">
        <v>-110.96448599999999</v>
      </c>
      <c r="P8153">
        <v>5722.553645</v>
      </c>
      <c r="Q8153">
        <v>1327</v>
      </c>
      <c r="R8153">
        <v>0</v>
      </c>
    </row>
    <row r="8154" spans="1:18" x14ac:dyDescent="0.25">
      <c r="A8154">
        <v>8003</v>
      </c>
      <c r="B8154">
        <v>94</v>
      </c>
      <c r="C8154">
        <v>31746360</v>
      </c>
      <c r="D8154" t="s">
        <v>290</v>
      </c>
      <c r="E8154">
        <v>46.683</v>
      </c>
      <c r="F8154" t="s">
        <v>21</v>
      </c>
      <c r="G8154" t="s">
        <v>20</v>
      </c>
      <c r="H8154" t="s">
        <v>21</v>
      </c>
      <c r="I8154" t="s">
        <v>20</v>
      </c>
      <c r="J8154" t="s">
        <v>20</v>
      </c>
      <c r="K8154" t="s">
        <v>41</v>
      </c>
      <c r="L8154" t="s">
        <v>291</v>
      </c>
      <c r="M8154" t="s">
        <v>238</v>
      </c>
      <c r="N8154">
        <v>41.790281</v>
      </c>
      <c r="O8154">
        <v>-113.47264699999999</v>
      </c>
      <c r="P8154">
        <v>5289.7264349999996</v>
      </c>
      <c r="Q8154">
        <v>1343</v>
      </c>
      <c r="R8154">
        <v>0</v>
      </c>
    </row>
    <row r="8155" spans="1:18" x14ac:dyDescent="0.25">
      <c r="A8155">
        <v>8004</v>
      </c>
      <c r="B8155">
        <v>94</v>
      </c>
      <c r="C8155">
        <v>31463038</v>
      </c>
      <c r="D8155" t="s">
        <v>319</v>
      </c>
      <c r="E8155">
        <v>46.683999999999997</v>
      </c>
      <c r="F8155" t="s">
        <v>21</v>
      </c>
      <c r="G8155" t="s">
        <v>20</v>
      </c>
      <c r="H8155" t="s">
        <v>21</v>
      </c>
      <c r="I8155" t="s">
        <v>20</v>
      </c>
      <c r="J8155" t="s">
        <v>20</v>
      </c>
      <c r="K8155" t="s">
        <v>27</v>
      </c>
      <c r="L8155" t="s">
        <v>54</v>
      </c>
      <c r="M8155" t="s">
        <v>55</v>
      </c>
      <c r="N8155">
        <v>37.628096999999997</v>
      </c>
      <c r="O8155">
        <v>-113.31205799999999</v>
      </c>
      <c r="P8155">
        <v>5993.9959040000003</v>
      </c>
      <c r="Q8155">
        <v>314</v>
      </c>
      <c r="R8155">
        <v>0</v>
      </c>
    </row>
    <row r="8156" spans="1:18" x14ac:dyDescent="0.25">
      <c r="A8156">
        <v>8005</v>
      </c>
      <c r="B8156">
        <v>94</v>
      </c>
      <c r="C8156">
        <v>27730547</v>
      </c>
      <c r="D8156" t="s">
        <v>217</v>
      </c>
      <c r="E8156">
        <v>46.74</v>
      </c>
      <c r="F8156" t="s">
        <v>21</v>
      </c>
      <c r="G8156" t="s">
        <v>20</v>
      </c>
      <c r="H8156" t="s">
        <v>21</v>
      </c>
      <c r="I8156" t="s">
        <v>20</v>
      </c>
      <c r="J8156" t="s">
        <v>20</v>
      </c>
      <c r="K8156" t="s">
        <v>27</v>
      </c>
      <c r="L8156" t="s">
        <v>162</v>
      </c>
      <c r="M8156" t="s">
        <v>163</v>
      </c>
      <c r="N8156">
        <v>37.648468000000001</v>
      </c>
      <c r="O8156">
        <v>-113.66120600000001</v>
      </c>
      <c r="P8156">
        <v>5141.2793769999998</v>
      </c>
      <c r="Q8156">
        <v>304</v>
      </c>
      <c r="R8156">
        <v>0</v>
      </c>
    </row>
    <row r="8157" spans="1:18" x14ac:dyDescent="0.25">
      <c r="A8157">
        <v>8006</v>
      </c>
      <c r="B8157">
        <v>94</v>
      </c>
      <c r="C8157">
        <v>31287905</v>
      </c>
      <c r="D8157" t="s">
        <v>241</v>
      </c>
      <c r="E8157">
        <v>46.786999999999999</v>
      </c>
      <c r="F8157" t="s">
        <v>21</v>
      </c>
      <c r="G8157" t="s">
        <v>26</v>
      </c>
      <c r="H8157" t="s">
        <v>21</v>
      </c>
      <c r="I8157" t="s">
        <v>20</v>
      </c>
      <c r="J8157" t="s">
        <v>20</v>
      </c>
      <c r="K8157" t="s">
        <v>27</v>
      </c>
      <c r="L8157" t="s">
        <v>111</v>
      </c>
      <c r="M8157" t="s">
        <v>243</v>
      </c>
      <c r="N8157">
        <v>39.322839999999999</v>
      </c>
      <c r="O8157">
        <v>-110.964512</v>
      </c>
      <c r="P8157">
        <v>5724.6515140000001</v>
      </c>
      <c r="Q8157">
        <v>1327</v>
      </c>
      <c r="R8157">
        <v>0</v>
      </c>
    </row>
    <row r="8158" spans="1:18" x14ac:dyDescent="0.25">
      <c r="A8158">
        <v>8007</v>
      </c>
      <c r="B8158">
        <v>94</v>
      </c>
      <c r="C8158">
        <v>31403686</v>
      </c>
      <c r="D8158" t="s">
        <v>124</v>
      </c>
      <c r="E8158">
        <v>46.811999999999998</v>
      </c>
      <c r="F8158" t="s">
        <v>19</v>
      </c>
      <c r="G8158" t="s">
        <v>20</v>
      </c>
      <c r="H8158" t="s">
        <v>19</v>
      </c>
      <c r="I8158">
        <v>209</v>
      </c>
      <c r="J8158" t="s">
        <v>20</v>
      </c>
      <c r="K8158" t="s">
        <v>31</v>
      </c>
      <c r="L8158" t="s">
        <v>48</v>
      </c>
      <c r="M8158" t="s">
        <v>125</v>
      </c>
      <c r="N8158">
        <v>40.587687000000003</v>
      </c>
      <c r="O8158">
        <v>-111.938681</v>
      </c>
      <c r="P8158">
        <v>4344.8588309999996</v>
      </c>
      <c r="Q8158">
        <v>1368</v>
      </c>
      <c r="R8158">
        <v>0</v>
      </c>
    </row>
    <row r="8159" spans="1:18" x14ac:dyDescent="0.25">
      <c r="A8159">
        <v>8008</v>
      </c>
      <c r="B8159">
        <v>94</v>
      </c>
      <c r="C8159" t="e">
        <f>-JNYqr_RFniXl6bfTI8kMF</f>
        <v>#NAME?</v>
      </c>
      <c r="D8159" t="s">
        <v>124</v>
      </c>
      <c r="E8159">
        <v>46.9</v>
      </c>
      <c r="F8159" t="s">
        <v>21</v>
      </c>
      <c r="G8159" t="s">
        <v>26</v>
      </c>
      <c r="H8159" t="s">
        <v>21</v>
      </c>
      <c r="I8159" t="s">
        <v>20</v>
      </c>
      <c r="J8159" t="s">
        <v>20</v>
      </c>
      <c r="K8159" t="s">
        <v>31</v>
      </c>
      <c r="L8159" t="s">
        <v>48</v>
      </c>
      <c r="M8159" t="s">
        <v>125</v>
      </c>
      <c r="N8159">
        <v>40.588968000000001</v>
      </c>
      <c r="O8159">
        <v>-111.938706</v>
      </c>
      <c r="P8159">
        <v>4341.8565930000004</v>
      </c>
      <c r="Q8159">
        <v>1368</v>
      </c>
      <c r="R8159">
        <v>0</v>
      </c>
    </row>
    <row r="8160" spans="1:18" x14ac:dyDescent="0.25">
      <c r="A8160">
        <v>8009</v>
      </c>
      <c r="B8160">
        <v>94</v>
      </c>
      <c r="C8160">
        <v>31287916</v>
      </c>
      <c r="D8160" t="s">
        <v>241</v>
      </c>
      <c r="E8160">
        <v>46.911000000000001</v>
      </c>
      <c r="F8160" t="s">
        <v>21</v>
      </c>
      <c r="G8160" t="s">
        <v>26</v>
      </c>
      <c r="H8160" t="s">
        <v>21</v>
      </c>
      <c r="I8160" t="s">
        <v>20</v>
      </c>
      <c r="J8160" t="s">
        <v>20</v>
      </c>
      <c r="K8160" t="s">
        <v>27</v>
      </c>
      <c r="L8160" t="s">
        <v>111</v>
      </c>
      <c r="M8160" t="s">
        <v>243</v>
      </c>
      <c r="N8160">
        <v>39.324627999999997</v>
      </c>
      <c r="O8160">
        <v>-110.964534</v>
      </c>
      <c r="P8160">
        <v>5726.9858560000002</v>
      </c>
      <c r="Q8160">
        <v>1327</v>
      </c>
      <c r="R8160">
        <v>0</v>
      </c>
    </row>
    <row r="8161" spans="1:18" x14ac:dyDescent="0.25">
      <c r="A8161">
        <v>8010</v>
      </c>
      <c r="B8161">
        <v>94</v>
      </c>
      <c r="C8161" t="e">
        <f>-JNYqklgISTIjP6wGiZprk</f>
        <v>#NAME?</v>
      </c>
      <c r="D8161" t="s">
        <v>124</v>
      </c>
      <c r="E8161">
        <v>46.917999999999999</v>
      </c>
      <c r="F8161" t="s">
        <v>21</v>
      </c>
      <c r="G8161" t="s">
        <v>20</v>
      </c>
      <c r="H8161" t="s">
        <v>21</v>
      </c>
      <c r="I8161" t="s">
        <v>20</v>
      </c>
      <c r="J8161" t="s">
        <v>20</v>
      </c>
      <c r="K8161" t="s">
        <v>31</v>
      </c>
      <c r="L8161" t="s">
        <v>48</v>
      </c>
      <c r="M8161" t="s">
        <v>125</v>
      </c>
      <c r="N8161">
        <v>40.589221999999999</v>
      </c>
      <c r="O8161">
        <v>-111.938715</v>
      </c>
      <c r="P8161">
        <v>4341.6417540000002</v>
      </c>
      <c r="Q8161">
        <v>1368</v>
      </c>
      <c r="R8161">
        <v>0</v>
      </c>
    </row>
    <row r="8162" spans="1:18" x14ac:dyDescent="0.25">
      <c r="A8162">
        <v>8011</v>
      </c>
      <c r="B8162">
        <v>94</v>
      </c>
      <c r="C8162" t="e">
        <f>-JNYrno9F5HNL-eBKRwZQV</f>
        <v>#NAME?</v>
      </c>
      <c r="D8162" t="s">
        <v>124</v>
      </c>
      <c r="E8162">
        <v>46.973999999999997</v>
      </c>
      <c r="F8162" t="s">
        <v>21</v>
      </c>
      <c r="G8162" t="s">
        <v>20</v>
      </c>
      <c r="H8162" t="s">
        <v>21</v>
      </c>
      <c r="I8162" t="s">
        <v>20</v>
      </c>
      <c r="J8162" t="s">
        <v>20</v>
      </c>
      <c r="K8162" t="s">
        <v>31</v>
      </c>
      <c r="L8162" t="s">
        <v>48</v>
      </c>
      <c r="M8162" t="s">
        <v>125</v>
      </c>
      <c r="N8162">
        <v>40.58999</v>
      </c>
      <c r="O8162">
        <v>-111.938723</v>
      </c>
      <c r="P8162">
        <v>4340.1671740000002</v>
      </c>
      <c r="Q8162">
        <v>1368</v>
      </c>
      <c r="R8162">
        <v>0</v>
      </c>
    </row>
    <row r="8163" spans="1:18" x14ac:dyDescent="0.25">
      <c r="A8163">
        <v>8012</v>
      </c>
      <c r="B8163">
        <v>94</v>
      </c>
      <c r="C8163" t="e">
        <f>-IpYttT0H8XNqkQX17ULxF</f>
        <v>#NAME?</v>
      </c>
      <c r="D8163" t="s">
        <v>272</v>
      </c>
      <c r="E8163">
        <v>460.28399999999999</v>
      </c>
      <c r="F8163" t="s">
        <v>21</v>
      </c>
      <c r="G8163" t="s">
        <v>20</v>
      </c>
      <c r="H8163" t="s">
        <v>21</v>
      </c>
      <c r="I8163" t="s">
        <v>20</v>
      </c>
      <c r="J8163" t="s">
        <v>20</v>
      </c>
      <c r="K8163" t="s">
        <v>41</v>
      </c>
      <c r="L8163" t="s">
        <v>95</v>
      </c>
      <c r="M8163" t="s">
        <v>152</v>
      </c>
      <c r="N8163">
        <v>41.740281000000003</v>
      </c>
      <c r="O8163">
        <v>-111.809994</v>
      </c>
      <c r="P8163">
        <v>4736.248243</v>
      </c>
      <c r="Q8163">
        <v>1384</v>
      </c>
      <c r="R8163">
        <v>0</v>
      </c>
    </row>
    <row r="8164" spans="1:18" x14ac:dyDescent="0.25">
      <c r="A8164">
        <v>8013</v>
      </c>
      <c r="B8164">
        <v>94</v>
      </c>
      <c r="C8164" t="e">
        <f>-IpYuQiMGpHTq3g9QkvR5V</f>
        <v>#NAME?</v>
      </c>
      <c r="D8164" t="s">
        <v>272</v>
      </c>
      <c r="E8164">
        <v>460.53199999999998</v>
      </c>
      <c r="F8164" t="s">
        <v>21</v>
      </c>
      <c r="G8164" t="s">
        <v>26</v>
      </c>
      <c r="H8164" t="s">
        <v>21</v>
      </c>
      <c r="I8164" t="s">
        <v>20</v>
      </c>
      <c r="J8164" t="s">
        <v>20</v>
      </c>
      <c r="K8164" t="s">
        <v>41</v>
      </c>
      <c r="L8164" t="s">
        <v>95</v>
      </c>
      <c r="M8164" t="s">
        <v>152</v>
      </c>
      <c r="N8164">
        <v>41.741723999999998</v>
      </c>
      <c r="O8164">
        <v>-111.80569</v>
      </c>
      <c r="P8164">
        <v>4746.1063969999996</v>
      </c>
      <c r="Q8164">
        <v>1384</v>
      </c>
      <c r="R8164">
        <v>0</v>
      </c>
    </row>
    <row r="8165" spans="1:18" x14ac:dyDescent="0.25">
      <c r="A8165">
        <v>8014</v>
      </c>
      <c r="B8165">
        <v>94</v>
      </c>
      <c r="C8165" t="e">
        <f>-IpYuV6MFYqpQtuBm0FQHk</f>
        <v>#NAME?</v>
      </c>
      <c r="D8165" t="s">
        <v>272</v>
      </c>
      <c r="E8165">
        <v>460.63400000000001</v>
      </c>
      <c r="F8165" t="s">
        <v>21</v>
      </c>
      <c r="G8165" t="s">
        <v>26</v>
      </c>
      <c r="H8165" t="s">
        <v>21</v>
      </c>
      <c r="I8165" t="s">
        <v>20</v>
      </c>
      <c r="J8165" t="s">
        <v>20</v>
      </c>
      <c r="K8165" t="s">
        <v>41</v>
      </c>
      <c r="L8165" t="s">
        <v>95</v>
      </c>
      <c r="M8165" t="s">
        <v>152</v>
      </c>
      <c r="N8165">
        <v>41.742629999999998</v>
      </c>
      <c r="O8165">
        <v>-111.804152</v>
      </c>
      <c r="P8165">
        <v>4748.2112820000002</v>
      </c>
      <c r="Q8165">
        <v>1384</v>
      </c>
      <c r="R8165">
        <v>0</v>
      </c>
    </row>
    <row r="8166" spans="1:18" x14ac:dyDescent="0.25">
      <c r="A8166">
        <v>8015</v>
      </c>
      <c r="B8166">
        <v>94</v>
      </c>
      <c r="C8166" t="e">
        <f>-IpYueRHIl5JWJbcP0oDwV</f>
        <v>#NAME?</v>
      </c>
      <c r="D8166" t="s">
        <v>272</v>
      </c>
      <c r="E8166">
        <v>460.851</v>
      </c>
      <c r="F8166" t="s">
        <v>21</v>
      </c>
      <c r="G8166" t="s">
        <v>26</v>
      </c>
      <c r="H8166" t="s">
        <v>21</v>
      </c>
      <c r="I8166" t="s">
        <v>20</v>
      </c>
      <c r="J8166" t="s">
        <v>20</v>
      </c>
      <c r="K8166" t="s">
        <v>41</v>
      </c>
      <c r="L8166" t="s">
        <v>95</v>
      </c>
      <c r="M8166" t="s">
        <v>152</v>
      </c>
      <c r="N8166">
        <v>41.743701999999999</v>
      </c>
      <c r="O8166">
        <v>-111.80029</v>
      </c>
      <c r="P8166">
        <v>4757.5264459999999</v>
      </c>
      <c r="Q8166">
        <v>1384</v>
      </c>
      <c r="R8166">
        <v>0</v>
      </c>
    </row>
    <row r="8167" spans="1:18" x14ac:dyDescent="0.25">
      <c r="A8167">
        <v>8016</v>
      </c>
      <c r="B8167">
        <v>94</v>
      </c>
      <c r="C8167" t="e">
        <f>-IpYuk1LHVahdvBSHSr5nF</f>
        <v>#NAME?</v>
      </c>
      <c r="D8167" t="s">
        <v>272</v>
      </c>
      <c r="E8167">
        <v>461.029</v>
      </c>
      <c r="F8167" t="s">
        <v>21</v>
      </c>
      <c r="G8167" t="s">
        <v>26</v>
      </c>
      <c r="H8167" t="s">
        <v>21</v>
      </c>
      <c r="I8167" t="s">
        <v>20</v>
      </c>
      <c r="J8167" t="s">
        <v>20</v>
      </c>
      <c r="K8167" t="s">
        <v>41</v>
      </c>
      <c r="L8167" t="s">
        <v>95</v>
      </c>
      <c r="M8167" t="s">
        <v>152</v>
      </c>
      <c r="N8167">
        <v>41.743805000000002</v>
      </c>
      <c r="O8167">
        <v>-111.796858</v>
      </c>
      <c r="P8167">
        <v>4763.3825720000004</v>
      </c>
      <c r="Q8167">
        <v>1384</v>
      </c>
      <c r="R8167">
        <v>0</v>
      </c>
    </row>
    <row r="8168" spans="1:18" x14ac:dyDescent="0.25">
      <c r="A8168">
        <v>8017</v>
      </c>
      <c r="B8168">
        <v>94</v>
      </c>
      <c r="C8168" t="e">
        <f>-IpZEHkXFTT7gObbp52CIF</f>
        <v>#NAME?</v>
      </c>
      <c r="D8168" t="s">
        <v>272</v>
      </c>
      <c r="E8168">
        <v>479.51400000000001</v>
      </c>
      <c r="F8168" t="s">
        <v>21</v>
      </c>
      <c r="G8168" t="s">
        <v>20</v>
      </c>
      <c r="H8168" t="s">
        <v>21</v>
      </c>
      <c r="I8168" t="s">
        <v>20</v>
      </c>
      <c r="J8168" t="s">
        <v>20</v>
      </c>
      <c r="K8168" t="s">
        <v>41</v>
      </c>
      <c r="L8168" t="s">
        <v>95</v>
      </c>
      <c r="M8168" t="s">
        <v>152</v>
      </c>
      <c r="N8168">
        <v>41.865780999999998</v>
      </c>
      <c r="O8168">
        <v>-111.570328</v>
      </c>
      <c r="P8168">
        <v>6062.47379</v>
      </c>
      <c r="Q8168">
        <v>1384</v>
      </c>
      <c r="R8168">
        <v>0</v>
      </c>
    </row>
    <row r="8169" spans="1:18" x14ac:dyDescent="0.25">
      <c r="A8169">
        <v>8018</v>
      </c>
      <c r="B8169">
        <v>94</v>
      </c>
      <c r="C8169">
        <v>31580574</v>
      </c>
      <c r="D8169" t="s">
        <v>172</v>
      </c>
      <c r="E8169">
        <v>48.015999999999998</v>
      </c>
      <c r="F8169" t="s">
        <v>21</v>
      </c>
      <c r="G8169" t="s">
        <v>26</v>
      </c>
      <c r="H8169" t="s">
        <v>21</v>
      </c>
      <c r="I8169" t="s">
        <v>20</v>
      </c>
      <c r="J8169" t="s">
        <v>20</v>
      </c>
      <c r="K8169" t="s">
        <v>27</v>
      </c>
      <c r="L8169" t="s">
        <v>230</v>
      </c>
      <c r="M8169" t="s">
        <v>174</v>
      </c>
      <c r="N8169">
        <v>39.621527</v>
      </c>
      <c r="O8169">
        <v>-111.633405</v>
      </c>
      <c r="P8169">
        <v>5782.2068799999997</v>
      </c>
      <c r="Q8169">
        <v>1411</v>
      </c>
      <c r="R8169">
        <v>0</v>
      </c>
    </row>
    <row r="8170" spans="1:18" x14ac:dyDescent="0.25">
      <c r="A8170">
        <v>8019</v>
      </c>
      <c r="B8170">
        <v>94</v>
      </c>
      <c r="C8170">
        <v>31540045</v>
      </c>
      <c r="D8170" t="s">
        <v>213</v>
      </c>
      <c r="E8170">
        <v>78.462000000000003</v>
      </c>
      <c r="F8170" t="s">
        <v>21</v>
      </c>
      <c r="G8170" t="s">
        <v>26</v>
      </c>
      <c r="H8170" t="s">
        <v>21</v>
      </c>
      <c r="I8170" t="s">
        <v>20</v>
      </c>
      <c r="J8170" t="s">
        <v>20</v>
      </c>
      <c r="K8170" t="s">
        <v>27</v>
      </c>
      <c r="L8170" t="s">
        <v>173</v>
      </c>
      <c r="M8170" t="s">
        <v>214</v>
      </c>
      <c r="N8170">
        <v>39.316502999999997</v>
      </c>
      <c r="O8170">
        <v>-112.748615</v>
      </c>
      <c r="P8170">
        <v>4506.2588070000002</v>
      </c>
      <c r="Q8170">
        <v>1332</v>
      </c>
      <c r="R8170">
        <v>0</v>
      </c>
    </row>
    <row r="8171" spans="1:18" x14ac:dyDescent="0.25">
      <c r="A8171">
        <v>8020</v>
      </c>
      <c r="B8171">
        <v>94</v>
      </c>
      <c r="C8171">
        <v>31421978</v>
      </c>
      <c r="D8171" t="s">
        <v>288</v>
      </c>
      <c r="E8171">
        <v>78.531000000000006</v>
      </c>
      <c r="F8171" t="s">
        <v>21</v>
      </c>
      <c r="G8171" t="s">
        <v>20</v>
      </c>
      <c r="H8171" t="s">
        <v>21</v>
      </c>
      <c r="I8171" t="s">
        <v>20</v>
      </c>
      <c r="J8171" t="s">
        <v>20</v>
      </c>
      <c r="K8171" t="s">
        <v>27</v>
      </c>
      <c r="L8171" t="s">
        <v>146</v>
      </c>
      <c r="M8171" t="s">
        <v>147</v>
      </c>
      <c r="N8171">
        <v>37.966816000000001</v>
      </c>
      <c r="O8171">
        <v>-109.35713200000001</v>
      </c>
      <c r="P8171">
        <v>6832.2429060000004</v>
      </c>
      <c r="Q8171">
        <v>350</v>
      </c>
      <c r="R8171">
        <v>0</v>
      </c>
    </row>
    <row r="8172" spans="1:18" x14ac:dyDescent="0.25">
      <c r="A8172">
        <v>8021</v>
      </c>
      <c r="B8172">
        <v>94</v>
      </c>
      <c r="C8172">
        <v>31768550</v>
      </c>
      <c r="D8172" t="s">
        <v>290</v>
      </c>
      <c r="E8172">
        <v>84.887</v>
      </c>
      <c r="F8172" t="s">
        <v>21</v>
      </c>
      <c r="G8172" t="s">
        <v>20</v>
      </c>
      <c r="H8172" t="s">
        <v>21</v>
      </c>
      <c r="I8172" t="s">
        <v>20</v>
      </c>
      <c r="J8172" t="s">
        <v>20</v>
      </c>
      <c r="K8172" t="s">
        <v>41</v>
      </c>
      <c r="L8172" t="s">
        <v>291</v>
      </c>
      <c r="M8172" t="s">
        <v>238</v>
      </c>
      <c r="N8172">
        <v>41.967073999999997</v>
      </c>
      <c r="O8172">
        <v>-112.862709</v>
      </c>
      <c r="P8172">
        <v>4345.9377350000004</v>
      </c>
      <c r="Q8172">
        <v>1343</v>
      </c>
      <c r="R8172">
        <v>0</v>
      </c>
    </row>
    <row r="8173" spans="1:18" x14ac:dyDescent="0.25">
      <c r="A8173">
        <v>8022</v>
      </c>
      <c r="B8173">
        <v>94</v>
      </c>
      <c r="C8173">
        <v>31894567</v>
      </c>
      <c r="D8173" t="s">
        <v>272</v>
      </c>
      <c r="E8173">
        <v>84.962000000000003</v>
      </c>
      <c r="F8173" t="s">
        <v>21</v>
      </c>
      <c r="G8173" t="s">
        <v>26</v>
      </c>
      <c r="H8173" t="s">
        <v>21</v>
      </c>
      <c r="I8173" t="s">
        <v>20</v>
      </c>
      <c r="J8173" t="s">
        <v>20</v>
      </c>
      <c r="K8173" t="s">
        <v>27</v>
      </c>
      <c r="L8173" t="s">
        <v>279</v>
      </c>
      <c r="M8173" t="s">
        <v>214</v>
      </c>
      <c r="N8173">
        <v>37.270834999999998</v>
      </c>
      <c r="O8173">
        <v>-112.649934</v>
      </c>
      <c r="P8173">
        <v>5385.7226790000004</v>
      </c>
      <c r="Q8173">
        <v>1384</v>
      </c>
      <c r="R8173">
        <v>0</v>
      </c>
    </row>
    <row r="8174" spans="1:18" x14ac:dyDescent="0.25">
      <c r="A8174">
        <v>8023</v>
      </c>
      <c r="B8174">
        <v>94</v>
      </c>
      <c r="C8174">
        <v>31894578</v>
      </c>
      <c r="D8174" t="s">
        <v>272</v>
      </c>
      <c r="E8174">
        <v>85.22</v>
      </c>
      <c r="F8174" t="s">
        <v>21</v>
      </c>
      <c r="G8174" t="s">
        <v>26</v>
      </c>
      <c r="H8174" t="s">
        <v>21</v>
      </c>
      <c r="I8174" t="s">
        <v>20</v>
      </c>
      <c r="J8174" t="s">
        <v>20</v>
      </c>
      <c r="K8174" t="s">
        <v>27</v>
      </c>
      <c r="L8174" t="s">
        <v>279</v>
      </c>
      <c r="M8174" t="s">
        <v>214</v>
      </c>
      <c r="N8174">
        <v>37.273128999999997</v>
      </c>
      <c r="O8174">
        <v>-112.64626699999999</v>
      </c>
      <c r="P8174">
        <v>5403.2550490000003</v>
      </c>
      <c r="Q8174">
        <v>1384</v>
      </c>
      <c r="R8174">
        <v>0</v>
      </c>
    </row>
    <row r="8175" spans="1:18" x14ac:dyDescent="0.25">
      <c r="A8175">
        <v>8024</v>
      </c>
      <c r="B8175">
        <v>94</v>
      </c>
      <c r="C8175" t="e">
        <f>-Ip47VyrGduI0-bhWySxJF</f>
        <v>#NAME?</v>
      </c>
      <c r="D8175" t="s">
        <v>213</v>
      </c>
      <c r="E8175">
        <v>85.322000000000003</v>
      </c>
      <c r="F8175" t="s">
        <v>21</v>
      </c>
      <c r="G8175" t="s">
        <v>26</v>
      </c>
      <c r="H8175" t="s">
        <v>21</v>
      </c>
      <c r="I8175" t="s">
        <v>20</v>
      </c>
      <c r="J8175" t="s">
        <v>20</v>
      </c>
      <c r="K8175" t="s">
        <v>27</v>
      </c>
      <c r="L8175" t="s">
        <v>173</v>
      </c>
      <c r="M8175" t="s">
        <v>214</v>
      </c>
      <c r="N8175">
        <v>39.330522000000002</v>
      </c>
      <c r="O8175">
        <v>-112.625688</v>
      </c>
      <c r="P8175">
        <v>4544.0866640000004</v>
      </c>
      <c r="Q8175">
        <v>1332</v>
      </c>
      <c r="R8175">
        <v>0</v>
      </c>
    </row>
    <row r="8176" spans="1:18" x14ac:dyDescent="0.25">
      <c r="A8176">
        <v>8025</v>
      </c>
      <c r="B8176">
        <v>94</v>
      </c>
      <c r="C8176">
        <v>31548857</v>
      </c>
      <c r="D8176" t="s">
        <v>213</v>
      </c>
      <c r="E8176">
        <v>85.344999999999999</v>
      </c>
      <c r="F8176" t="s">
        <v>21</v>
      </c>
      <c r="G8176" t="s">
        <v>26</v>
      </c>
      <c r="H8176" t="s">
        <v>21</v>
      </c>
      <c r="I8176" t="s">
        <v>20</v>
      </c>
      <c r="J8176" t="s">
        <v>20</v>
      </c>
      <c r="K8176" t="s">
        <v>27</v>
      </c>
      <c r="L8176" t="s">
        <v>173</v>
      </c>
      <c r="M8176" t="s">
        <v>214</v>
      </c>
      <c r="N8176">
        <v>39.330517</v>
      </c>
      <c r="O8176">
        <v>-112.625265</v>
      </c>
      <c r="P8176">
        <v>4544.2104390000004</v>
      </c>
      <c r="Q8176">
        <v>1332</v>
      </c>
      <c r="R8176">
        <v>0</v>
      </c>
    </row>
    <row r="8177" spans="1:18" x14ac:dyDescent="0.25">
      <c r="A8177">
        <v>8026</v>
      </c>
      <c r="B8177">
        <v>94</v>
      </c>
      <c r="C8177">
        <v>31769648</v>
      </c>
      <c r="D8177" t="s">
        <v>118</v>
      </c>
      <c r="E8177">
        <v>75.013999999999996</v>
      </c>
      <c r="F8177" t="s">
        <v>21</v>
      </c>
      <c r="G8177" t="s">
        <v>20</v>
      </c>
      <c r="H8177" t="s">
        <v>21</v>
      </c>
      <c r="I8177" t="s">
        <v>20</v>
      </c>
      <c r="J8177" t="s">
        <v>20</v>
      </c>
      <c r="K8177" t="s">
        <v>22</v>
      </c>
      <c r="L8177" t="s">
        <v>253</v>
      </c>
      <c r="M8177" t="s">
        <v>120</v>
      </c>
      <c r="N8177">
        <v>40.179997999999998</v>
      </c>
      <c r="O8177">
        <v>-110.610225</v>
      </c>
      <c r="P8177">
        <v>6529.9473319999997</v>
      </c>
      <c r="Q8177">
        <v>310</v>
      </c>
      <c r="R8177">
        <v>0</v>
      </c>
    </row>
    <row r="8178" spans="1:18" x14ac:dyDescent="0.25">
      <c r="A8178">
        <v>8027</v>
      </c>
      <c r="B8178">
        <v>94</v>
      </c>
      <c r="C8178">
        <v>31769859</v>
      </c>
      <c r="D8178" t="s">
        <v>118</v>
      </c>
      <c r="E8178">
        <v>75.11</v>
      </c>
      <c r="F8178" t="s">
        <v>21</v>
      </c>
      <c r="G8178" t="s">
        <v>20</v>
      </c>
      <c r="H8178" t="s">
        <v>21</v>
      </c>
      <c r="I8178" t="s">
        <v>20</v>
      </c>
      <c r="J8178" t="s">
        <v>20</v>
      </c>
      <c r="K8178" t="s">
        <v>22</v>
      </c>
      <c r="L8178" t="s">
        <v>253</v>
      </c>
      <c r="M8178" t="s">
        <v>120</v>
      </c>
      <c r="N8178">
        <v>40.179920000000003</v>
      </c>
      <c r="O8178">
        <v>-110.608402</v>
      </c>
      <c r="P8178">
        <v>6518.5318230000003</v>
      </c>
      <c r="Q8178">
        <v>310</v>
      </c>
      <c r="R8178">
        <v>0</v>
      </c>
    </row>
    <row r="8179" spans="1:18" x14ac:dyDescent="0.25">
      <c r="A8179">
        <v>8028</v>
      </c>
      <c r="B8179">
        <v>94</v>
      </c>
      <c r="C8179">
        <v>31775210</v>
      </c>
      <c r="D8179" t="s">
        <v>290</v>
      </c>
      <c r="E8179">
        <v>92.088999999999999</v>
      </c>
      <c r="F8179" t="s">
        <v>21</v>
      </c>
      <c r="G8179" t="s">
        <v>26</v>
      </c>
      <c r="H8179" t="s">
        <v>21</v>
      </c>
      <c r="I8179" t="s">
        <v>20</v>
      </c>
      <c r="J8179" t="s">
        <v>20</v>
      </c>
      <c r="K8179" t="s">
        <v>41</v>
      </c>
      <c r="L8179" t="s">
        <v>223</v>
      </c>
      <c r="M8179" t="s">
        <v>152</v>
      </c>
      <c r="N8179">
        <v>41.785030999999996</v>
      </c>
      <c r="O8179">
        <v>-112.145692</v>
      </c>
      <c r="P8179">
        <v>4310.2947219999996</v>
      </c>
      <c r="Q8179">
        <v>1343</v>
      </c>
      <c r="R8179">
        <v>0</v>
      </c>
    </row>
    <row r="8180" spans="1:18" x14ac:dyDescent="0.25">
      <c r="A8180">
        <v>8029</v>
      </c>
      <c r="B8180">
        <v>94</v>
      </c>
      <c r="C8180">
        <v>28246287</v>
      </c>
      <c r="D8180" t="s">
        <v>220</v>
      </c>
      <c r="E8180">
        <v>92.090999999999994</v>
      </c>
      <c r="F8180" t="s">
        <v>21</v>
      </c>
      <c r="G8180" t="s">
        <v>26</v>
      </c>
      <c r="H8180" t="s">
        <v>21</v>
      </c>
      <c r="I8180" t="s">
        <v>20</v>
      </c>
      <c r="J8180" t="s">
        <v>20</v>
      </c>
      <c r="K8180" t="s">
        <v>27</v>
      </c>
      <c r="L8180" t="s">
        <v>28</v>
      </c>
      <c r="M8180" t="s">
        <v>366</v>
      </c>
      <c r="N8180">
        <v>37.982278000000001</v>
      </c>
      <c r="O8180">
        <v>-111.430649</v>
      </c>
      <c r="P8180">
        <v>7592.5781569999999</v>
      </c>
      <c r="Q8180">
        <v>1328</v>
      </c>
      <c r="R8180">
        <v>0</v>
      </c>
    </row>
    <row r="8181" spans="1:18" x14ac:dyDescent="0.25">
      <c r="A8181">
        <v>8030</v>
      </c>
      <c r="B8181">
        <v>94</v>
      </c>
      <c r="C8181">
        <v>31556140</v>
      </c>
      <c r="D8181" t="s">
        <v>213</v>
      </c>
      <c r="E8181">
        <v>92.373999999999995</v>
      </c>
      <c r="F8181" t="s">
        <v>21</v>
      </c>
      <c r="G8181" t="s">
        <v>26</v>
      </c>
      <c r="H8181" t="s">
        <v>21</v>
      </c>
      <c r="I8181" t="s">
        <v>20</v>
      </c>
      <c r="J8181" t="s">
        <v>20</v>
      </c>
      <c r="K8181" t="s">
        <v>27</v>
      </c>
      <c r="L8181" t="s">
        <v>173</v>
      </c>
      <c r="M8181" t="s">
        <v>214</v>
      </c>
      <c r="N8181">
        <v>39.382019999999997</v>
      </c>
      <c r="O8181">
        <v>-112.523921</v>
      </c>
      <c r="P8181">
        <v>4675.2116429999996</v>
      </c>
      <c r="Q8181">
        <v>1332</v>
      </c>
      <c r="R8181">
        <v>0</v>
      </c>
    </row>
    <row r="8182" spans="1:18" x14ac:dyDescent="0.25">
      <c r="A8182">
        <v>8031</v>
      </c>
      <c r="B8182">
        <v>94</v>
      </c>
      <c r="C8182">
        <v>31430927</v>
      </c>
      <c r="D8182" t="s">
        <v>288</v>
      </c>
      <c r="E8182">
        <v>92.528999999999996</v>
      </c>
      <c r="F8182" t="s">
        <v>21</v>
      </c>
      <c r="G8182" t="s">
        <v>20</v>
      </c>
      <c r="H8182" t="s">
        <v>21</v>
      </c>
      <c r="I8182" t="s">
        <v>20</v>
      </c>
      <c r="J8182" t="s">
        <v>20</v>
      </c>
      <c r="K8182" t="s">
        <v>27</v>
      </c>
      <c r="L8182" t="s">
        <v>146</v>
      </c>
      <c r="M8182" t="s">
        <v>147</v>
      </c>
      <c r="N8182">
        <v>38.164270999999999</v>
      </c>
      <c r="O8182">
        <v>-109.37736700000001</v>
      </c>
      <c r="P8182">
        <v>5838.8393889999998</v>
      </c>
      <c r="Q8182">
        <v>350</v>
      </c>
      <c r="R8182">
        <v>0</v>
      </c>
    </row>
    <row r="8183" spans="1:18" x14ac:dyDescent="0.25">
      <c r="A8183">
        <v>8032</v>
      </c>
      <c r="B8183">
        <v>94</v>
      </c>
      <c r="C8183">
        <v>31775221</v>
      </c>
      <c r="D8183" t="s">
        <v>290</v>
      </c>
      <c r="E8183">
        <v>92.875</v>
      </c>
      <c r="F8183" t="s">
        <v>21</v>
      </c>
      <c r="G8183" t="s">
        <v>20</v>
      </c>
      <c r="H8183" t="s">
        <v>21</v>
      </c>
      <c r="I8183" t="s">
        <v>20</v>
      </c>
      <c r="J8183" t="s">
        <v>20</v>
      </c>
      <c r="K8183" t="s">
        <v>41</v>
      </c>
      <c r="L8183" t="s">
        <v>223</v>
      </c>
      <c r="M8183" t="s">
        <v>152</v>
      </c>
      <c r="N8183">
        <v>41.78537</v>
      </c>
      <c r="O8183">
        <v>-112.130448</v>
      </c>
      <c r="P8183">
        <v>4300.205207</v>
      </c>
      <c r="Q8183">
        <v>1343</v>
      </c>
      <c r="R8183">
        <v>0</v>
      </c>
    </row>
    <row r="8184" spans="1:18" x14ac:dyDescent="0.25">
      <c r="A8184">
        <v>8033</v>
      </c>
      <c r="B8184">
        <v>94</v>
      </c>
      <c r="C8184">
        <v>31541700</v>
      </c>
      <c r="D8184" t="s">
        <v>348</v>
      </c>
      <c r="E8184">
        <v>92.932000000000002</v>
      </c>
      <c r="F8184" t="s">
        <v>21</v>
      </c>
      <c r="G8184" t="s">
        <v>26</v>
      </c>
      <c r="H8184" t="s">
        <v>19</v>
      </c>
      <c r="I8184">
        <v>261</v>
      </c>
      <c r="J8184" t="s">
        <v>20</v>
      </c>
      <c r="K8184" t="s">
        <v>27</v>
      </c>
      <c r="L8184" t="s">
        <v>327</v>
      </c>
      <c r="M8184" t="s">
        <v>123</v>
      </c>
      <c r="N8184">
        <v>37.579467000000001</v>
      </c>
      <c r="O8184">
        <v>-109.88623699999999</v>
      </c>
      <c r="P8184">
        <v>6817.9770630000003</v>
      </c>
      <c r="Q8184">
        <v>1388</v>
      </c>
      <c r="R8184">
        <v>0</v>
      </c>
    </row>
    <row r="8185" spans="1:18" x14ac:dyDescent="0.25">
      <c r="A8185">
        <v>8034</v>
      </c>
      <c r="B8185">
        <v>94</v>
      </c>
      <c r="C8185">
        <v>31430938</v>
      </c>
      <c r="D8185" t="s">
        <v>288</v>
      </c>
      <c r="E8185">
        <v>92.954999999999998</v>
      </c>
      <c r="F8185" t="s">
        <v>21</v>
      </c>
      <c r="G8185" t="s">
        <v>26</v>
      </c>
      <c r="H8185" t="s">
        <v>21</v>
      </c>
      <c r="I8185" t="s">
        <v>20</v>
      </c>
      <c r="J8185" t="s">
        <v>20</v>
      </c>
      <c r="K8185" t="s">
        <v>27</v>
      </c>
      <c r="L8185" t="s">
        <v>146</v>
      </c>
      <c r="M8185" t="s">
        <v>147</v>
      </c>
      <c r="N8185">
        <v>38.170333999999997</v>
      </c>
      <c r="O8185">
        <v>-109.378861</v>
      </c>
      <c r="P8185">
        <v>5821.1767710000004</v>
      </c>
      <c r="Q8185">
        <v>350</v>
      </c>
      <c r="R8185">
        <v>0</v>
      </c>
    </row>
    <row r="8186" spans="1:18" x14ac:dyDescent="0.25">
      <c r="A8186">
        <v>8035</v>
      </c>
      <c r="B8186">
        <v>94</v>
      </c>
      <c r="C8186">
        <v>31476535</v>
      </c>
      <c r="D8186" t="s">
        <v>320</v>
      </c>
      <c r="E8186">
        <v>92.968999999999994</v>
      </c>
      <c r="F8186" t="s">
        <v>21</v>
      </c>
      <c r="G8186" t="s">
        <v>26</v>
      </c>
      <c r="H8186" t="s">
        <v>19</v>
      </c>
      <c r="I8186">
        <v>125</v>
      </c>
      <c r="J8186">
        <v>136</v>
      </c>
      <c r="K8186" t="s">
        <v>27</v>
      </c>
      <c r="L8186" t="s">
        <v>173</v>
      </c>
      <c r="M8186" t="s">
        <v>166</v>
      </c>
      <c r="N8186">
        <v>39.353361</v>
      </c>
      <c r="O8186">
        <v>-112.496539</v>
      </c>
      <c r="P8186">
        <v>4652.577792</v>
      </c>
      <c r="Q8186">
        <v>1356</v>
      </c>
      <c r="R8186">
        <v>0</v>
      </c>
    </row>
    <row r="8187" spans="1:18" x14ac:dyDescent="0.25">
      <c r="A8187">
        <v>8036</v>
      </c>
      <c r="B8187">
        <v>94</v>
      </c>
      <c r="C8187">
        <v>31475456</v>
      </c>
      <c r="D8187" t="s">
        <v>220</v>
      </c>
      <c r="E8187">
        <v>92.981999999999999</v>
      </c>
      <c r="F8187" t="s">
        <v>21</v>
      </c>
      <c r="G8187" t="s">
        <v>20</v>
      </c>
      <c r="H8187" t="s">
        <v>21</v>
      </c>
      <c r="I8187" t="s">
        <v>20</v>
      </c>
      <c r="J8187" t="s">
        <v>20</v>
      </c>
      <c r="K8187" t="s">
        <v>27</v>
      </c>
      <c r="L8187" t="s">
        <v>28</v>
      </c>
      <c r="M8187" t="s">
        <v>366</v>
      </c>
      <c r="N8187">
        <v>37.994774999999997</v>
      </c>
      <c r="O8187">
        <v>-111.42947599999999</v>
      </c>
      <c r="P8187">
        <v>7848.9409699999997</v>
      </c>
      <c r="Q8187">
        <v>1328</v>
      </c>
      <c r="R8187">
        <v>0</v>
      </c>
    </row>
    <row r="8188" spans="1:18" x14ac:dyDescent="0.25">
      <c r="A8188">
        <v>8037</v>
      </c>
      <c r="B8188">
        <v>94</v>
      </c>
      <c r="C8188" t="e">
        <f>-IpPMI2CIa52FcigjsN4HV</f>
        <v>#NAME?</v>
      </c>
      <c r="D8188" t="s">
        <v>272</v>
      </c>
      <c r="E8188">
        <v>403.76</v>
      </c>
      <c r="F8188" t="s">
        <v>21</v>
      </c>
      <c r="G8188" t="s">
        <v>26</v>
      </c>
      <c r="H8188" t="s">
        <v>21</v>
      </c>
      <c r="I8188" t="s">
        <v>20</v>
      </c>
      <c r="J8188" t="s">
        <v>20</v>
      </c>
      <c r="K8188" t="s">
        <v>41</v>
      </c>
      <c r="L8188" t="s">
        <v>87</v>
      </c>
      <c r="M8188" t="s">
        <v>46</v>
      </c>
      <c r="N8188">
        <v>41.099865999999999</v>
      </c>
      <c r="O8188">
        <v>-111.91032</v>
      </c>
      <c r="P8188">
        <v>4836.8225000000002</v>
      </c>
      <c r="Q8188">
        <v>1384</v>
      </c>
      <c r="R8188">
        <v>0</v>
      </c>
    </row>
    <row r="8189" spans="1:18" x14ac:dyDescent="0.25">
      <c r="A8189">
        <v>8038</v>
      </c>
      <c r="B8189">
        <v>94</v>
      </c>
      <c r="C8189">
        <v>31597304</v>
      </c>
      <c r="D8189" t="s">
        <v>288</v>
      </c>
      <c r="E8189">
        <v>403.779</v>
      </c>
      <c r="F8189" t="s">
        <v>21</v>
      </c>
      <c r="G8189" t="s">
        <v>20</v>
      </c>
      <c r="H8189" t="s">
        <v>21</v>
      </c>
      <c r="I8189" t="s">
        <v>20</v>
      </c>
      <c r="J8189" t="s">
        <v>20</v>
      </c>
      <c r="K8189" t="s">
        <v>22</v>
      </c>
      <c r="L8189" t="s">
        <v>97</v>
      </c>
      <c r="M8189" t="s">
        <v>98</v>
      </c>
      <c r="N8189">
        <v>40.994571999999998</v>
      </c>
      <c r="O8189">
        <v>-109.433611</v>
      </c>
      <c r="P8189">
        <v>6292.8779089999998</v>
      </c>
      <c r="Q8189">
        <v>350</v>
      </c>
      <c r="R8189">
        <v>0</v>
      </c>
    </row>
    <row r="8190" spans="1:18" x14ac:dyDescent="0.25">
      <c r="A8190">
        <v>8039</v>
      </c>
      <c r="B8190">
        <v>94</v>
      </c>
      <c r="C8190" t="s">
        <v>951</v>
      </c>
      <c r="D8190" t="s">
        <v>272</v>
      </c>
      <c r="E8190">
        <v>404.75700000000001</v>
      </c>
      <c r="F8190" t="s">
        <v>21</v>
      </c>
      <c r="G8190" t="s">
        <v>26</v>
      </c>
      <c r="H8190" t="s">
        <v>21</v>
      </c>
      <c r="I8190" t="s">
        <v>20</v>
      </c>
      <c r="J8190" t="s">
        <v>20</v>
      </c>
      <c r="K8190" t="s">
        <v>41</v>
      </c>
      <c r="L8190" t="s">
        <v>87</v>
      </c>
      <c r="M8190" t="s">
        <v>46</v>
      </c>
      <c r="N8190">
        <v>41.114122999999999</v>
      </c>
      <c r="O8190">
        <v>-111.908958</v>
      </c>
      <c r="P8190">
        <v>4706.3719929999997</v>
      </c>
      <c r="Q8190">
        <v>1384</v>
      </c>
      <c r="R8190">
        <v>0</v>
      </c>
    </row>
    <row r="8191" spans="1:18" x14ac:dyDescent="0.25">
      <c r="A8191">
        <v>8040</v>
      </c>
      <c r="B8191">
        <v>94</v>
      </c>
      <c r="C8191" t="s">
        <v>952</v>
      </c>
      <c r="D8191" t="s">
        <v>272</v>
      </c>
      <c r="E8191">
        <v>406.35300000000001</v>
      </c>
      <c r="F8191" t="s">
        <v>19</v>
      </c>
      <c r="G8191" t="s">
        <v>20</v>
      </c>
      <c r="H8191" t="s">
        <v>21</v>
      </c>
      <c r="I8191" t="s">
        <v>20</v>
      </c>
      <c r="J8191" t="s">
        <v>20</v>
      </c>
      <c r="K8191" t="s">
        <v>41</v>
      </c>
      <c r="L8191" t="s">
        <v>81</v>
      </c>
      <c r="M8191" t="s">
        <v>46</v>
      </c>
      <c r="N8191">
        <v>41.136118000000003</v>
      </c>
      <c r="O8191">
        <v>-111.91314300000001</v>
      </c>
      <c r="P8191">
        <v>4477.8575289999999</v>
      </c>
      <c r="Q8191">
        <v>1384</v>
      </c>
      <c r="R8191">
        <v>0</v>
      </c>
    </row>
    <row r="8192" spans="1:18" x14ac:dyDescent="0.25">
      <c r="A8192">
        <v>8041</v>
      </c>
      <c r="B8192">
        <v>94</v>
      </c>
      <c r="C8192" t="e">
        <f>-JSVHNqEHau6v3oBoYl0jV</f>
        <v>#NAME?</v>
      </c>
      <c r="D8192" t="s">
        <v>272</v>
      </c>
      <c r="E8192">
        <v>406.50700000000001</v>
      </c>
      <c r="F8192" t="s">
        <v>21</v>
      </c>
      <c r="G8192" t="s">
        <v>26</v>
      </c>
      <c r="H8192" t="s">
        <v>21</v>
      </c>
      <c r="I8192" t="s">
        <v>20</v>
      </c>
      <c r="J8192" t="s">
        <v>20</v>
      </c>
      <c r="K8192" t="s">
        <v>41</v>
      </c>
      <c r="L8192" t="s">
        <v>81</v>
      </c>
      <c r="M8192" t="s">
        <v>46</v>
      </c>
      <c r="N8192">
        <v>41.138081999999997</v>
      </c>
      <c r="O8192">
        <v>-111.91448800000001</v>
      </c>
      <c r="P8192">
        <v>4470.2276469999997</v>
      </c>
      <c r="Q8192">
        <v>1384</v>
      </c>
      <c r="R8192">
        <v>0</v>
      </c>
    </row>
    <row r="8193" spans="1:18" x14ac:dyDescent="0.25">
      <c r="A8193">
        <v>8042</v>
      </c>
      <c r="B8193">
        <v>94</v>
      </c>
      <c r="C8193" t="e">
        <f>-IpPT0_PI_qd9YoZvlBtjF</f>
        <v>#NAME?</v>
      </c>
      <c r="D8193" t="s">
        <v>272</v>
      </c>
      <c r="E8193">
        <v>406.66300000000001</v>
      </c>
      <c r="F8193" t="s">
        <v>19</v>
      </c>
      <c r="G8193" t="s">
        <v>20</v>
      </c>
      <c r="H8193" t="s">
        <v>21</v>
      </c>
      <c r="I8193" t="s">
        <v>20</v>
      </c>
      <c r="J8193" t="s">
        <v>20</v>
      </c>
      <c r="K8193" t="s">
        <v>41</v>
      </c>
      <c r="L8193" t="s">
        <v>81</v>
      </c>
      <c r="M8193" t="s">
        <v>46</v>
      </c>
      <c r="N8193">
        <v>41.140082</v>
      </c>
      <c r="O8193">
        <v>-111.91580999999999</v>
      </c>
      <c r="P8193">
        <v>4477.2071930000002</v>
      </c>
      <c r="Q8193">
        <v>1384</v>
      </c>
      <c r="R8193">
        <v>0</v>
      </c>
    </row>
    <row r="8194" spans="1:18" x14ac:dyDescent="0.25">
      <c r="A8194">
        <v>8043</v>
      </c>
      <c r="B8194">
        <v>94</v>
      </c>
      <c r="C8194" t="s">
        <v>953</v>
      </c>
      <c r="D8194" t="s">
        <v>272</v>
      </c>
      <c r="E8194">
        <v>406.80599999999998</v>
      </c>
      <c r="F8194" t="s">
        <v>21</v>
      </c>
      <c r="G8194" t="s">
        <v>26</v>
      </c>
      <c r="H8194" t="s">
        <v>21</v>
      </c>
      <c r="I8194" t="s">
        <v>20</v>
      </c>
      <c r="J8194" t="s">
        <v>20</v>
      </c>
      <c r="K8194" t="s">
        <v>41</v>
      </c>
      <c r="L8194" t="s">
        <v>81</v>
      </c>
      <c r="M8194" t="s">
        <v>46</v>
      </c>
      <c r="N8194">
        <v>41.141914</v>
      </c>
      <c r="O8194">
        <v>-111.91703800000001</v>
      </c>
      <c r="P8194">
        <v>4491.1472000000003</v>
      </c>
      <c r="Q8194">
        <v>1384</v>
      </c>
      <c r="R8194">
        <v>0</v>
      </c>
    </row>
    <row r="8195" spans="1:18" x14ac:dyDescent="0.25">
      <c r="A8195">
        <v>8044</v>
      </c>
      <c r="B8195">
        <v>94</v>
      </c>
      <c r="C8195" t="e">
        <f>-IpPd0RgIfuDbIsu8TmnzV</f>
        <v>#NAME?</v>
      </c>
      <c r="D8195" t="s">
        <v>272</v>
      </c>
      <c r="E8195">
        <v>407.048</v>
      </c>
      <c r="F8195" t="s">
        <v>21</v>
      </c>
      <c r="G8195" t="s">
        <v>26</v>
      </c>
      <c r="H8195" t="s">
        <v>21</v>
      </c>
      <c r="I8195" t="s">
        <v>20</v>
      </c>
      <c r="J8195" t="s">
        <v>20</v>
      </c>
      <c r="K8195" t="s">
        <v>41</v>
      </c>
      <c r="L8195" t="s">
        <v>81</v>
      </c>
      <c r="M8195" t="s">
        <v>46</v>
      </c>
      <c r="N8195">
        <v>41.144976999999997</v>
      </c>
      <c r="O8195">
        <v>-111.919179</v>
      </c>
      <c r="P8195">
        <v>4531.6415559999996</v>
      </c>
      <c r="Q8195">
        <v>1384</v>
      </c>
      <c r="R8195">
        <v>0</v>
      </c>
    </row>
    <row r="8196" spans="1:18" x14ac:dyDescent="0.25">
      <c r="A8196">
        <v>8045</v>
      </c>
      <c r="B8196">
        <v>94</v>
      </c>
      <c r="C8196" t="s">
        <v>954</v>
      </c>
      <c r="D8196" t="s">
        <v>272</v>
      </c>
      <c r="E8196">
        <v>408.096</v>
      </c>
      <c r="F8196" t="s">
        <v>19</v>
      </c>
      <c r="G8196" t="s">
        <v>20</v>
      </c>
      <c r="H8196" t="s">
        <v>21</v>
      </c>
      <c r="I8196" t="s">
        <v>20</v>
      </c>
      <c r="J8196" t="s">
        <v>20</v>
      </c>
      <c r="K8196" t="s">
        <v>41</v>
      </c>
      <c r="L8196" t="s">
        <v>81</v>
      </c>
      <c r="M8196" t="s">
        <v>46</v>
      </c>
      <c r="N8196">
        <v>41.152061000000003</v>
      </c>
      <c r="O8196">
        <v>-111.936014</v>
      </c>
      <c r="P8196">
        <v>4757.9167289999996</v>
      </c>
      <c r="Q8196">
        <v>1384</v>
      </c>
      <c r="R8196">
        <v>0</v>
      </c>
    </row>
    <row r="8197" spans="1:18" x14ac:dyDescent="0.25">
      <c r="A8197">
        <v>8046</v>
      </c>
      <c r="B8197">
        <v>94</v>
      </c>
      <c r="C8197" t="e">
        <f>-IpPhPl7FmiKZRBej0yzmk</f>
        <v>#NAME?</v>
      </c>
      <c r="D8197" t="s">
        <v>272</v>
      </c>
      <c r="E8197">
        <v>408.375</v>
      </c>
      <c r="F8197" t="s">
        <v>19</v>
      </c>
      <c r="G8197" t="s">
        <v>20</v>
      </c>
      <c r="H8197" t="s">
        <v>19</v>
      </c>
      <c r="I8197">
        <v>203</v>
      </c>
      <c r="J8197" t="s">
        <v>20</v>
      </c>
      <c r="K8197" t="s">
        <v>41</v>
      </c>
      <c r="L8197" t="s">
        <v>81</v>
      </c>
      <c r="M8197" t="s">
        <v>46</v>
      </c>
      <c r="N8197">
        <v>41.154935999999999</v>
      </c>
      <c r="O8197">
        <v>-111.939694</v>
      </c>
      <c r="P8197">
        <v>4755.0076840000002</v>
      </c>
      <c r="Q8197">
        <v>1384</v>
      </c>
      <c r="R8197">
        <v>0</v>
      </c>
    </row>
    <row r="8198" spans="1:18" x14ac:dyDescent="0.25">
      <c r="A8198">
        <v>8047</v>
      </c>
      <c r="B8198">
        <v>94</v>
      </c>
      <c r="C8198" t="s">
        <v>955</v>
      </c>
      <c r="D8198" t="s">
        <v>272</v>
      </c>
      <c r="E8198">
        <v>408.72699999999998</v>
      </c>
      <c r="F8198" t="s">
        <v>19</v>
      </c>
      <c r="G8198" t="s">
        <v>20</v>
      </c>
      <c r="H8198" t="s">
        <v>21</v>
      </c>
      <c r="I8198" t="s">
        <v>20</v>
      </c>
      <c r="J8198" t="s">
        <v>20</v>
      </c>
      <c r="K8198" t="s">
        <v>41</v>
      </c>
      <c r="L8198" t="s">
        <v>81</v>
      </c>
      <c r="M8198" t="s">
        <v>46</v>
      </c>
      <c r="N8198">
        <v>41.158630000000002</v>
      </c>
      <c r="O8198">
        <v>-111.944304</v>
      </c>
      <c r="P8198">
        <v>4741.6478930000003</v>
      </c>
      <c r="Q8198">
        <v>1384</v>
      </c>
      <c r="R8198">
        <v>0</v>
      </c>
    </row>
    <row r="8199" spans="1:18" x14ac:dyDescent="0.25">
      <c r="A8199">
        <v>8048</v>
      </c>
      <c r="B8199">
        <v>94</v>
      </c>
      <c r="C8199" t="e">
        <f>-IpQ6t2KIIL0Hl8xdAYhgk</f>
        <v>#NAME?</v>
      </c>
      <c r="D8199" t="s">
        <v>272</v>
      </c>
      <c r="E8199">
        <v>409.25099999999998</v>
      </c>
      <c r="F8199" t="s">
        <v>19</v>
      </c>
      <c r="G8199" t="s">
        <v>20</v>
      </c>
      <c r="H8199" t="s">
        <v>21</v>
      </c>
      <c r="I8199" t="s">
        <v>20</v>
      </c>
      <c r="J8199" t="s">
        <v>20</v>
      </c>
      <c r="K8199" t="s">
        <v>41</v>
      </c>
      <c r="L8199" t="s">
        <v>81</v>
      </c>
      <c r="M8199" t="s">
        <v>46</v>
      </c>
      <c r="N8199">
        <v>41.163308000000001</v>
      </c>
      <c r="O8199">
        <v>-111.95212600000001</v>
      </c>
      <c r="P8199">
        <v>4745.6461429999999</v>
      </c>
      <c r="Q8199">
        <v>1384</v>
      </c>
      <c r="R8199">
        <v>0</v>
      </c>
    </row>
    <row r="8200" spans="1:18" x14ac:dyDescent="0.25">
      <c r="A8200">
        <v>8049</v>
      </c>
      <c r="B8200">
        <v>94</v>
      </c>
      <c r="C8200" t="e">
        <f>-IpQAea3FdmwFfwQ36lIwk</f>
        <v>#NAME?</v>
      </c>
      <c r="D8200" t="s">
        <v>272</v>
      </c>
      <c r="E8200">
        <v>409.58</v>
      </c>
      <c r="F8200" t="s">
        <v>19</v>
      </c>
      <c r="G8200" t="s">
        <v>20</v>
      </c>
      <c r="H8200" t="s">
        <v>21</v>
      </c>
      <c r="I8200" t="s">
        <v>20</v>
      </c>
      <c r="J8200" t="s">
        <v>20</v>
      </c>
      <c r="K8200" t="s">
        <v>41</v>
      </c>
      <c r="L8200" t="s">
        <v>81</v>
      </c>
      <c r="M8200" t="s">
        <v>46</v>
      </c>
      <c r="N8200">
        <v>41.165621000000002</v>
      </c>
      <c r="O8200">
        <v>-111.95763100000001</v>
      </c>
      <c r="P8200">
        <v>4718.7793540000002</v>
      </c>
      <c r="Q8200">
        <v>1384</v>
      </c>
      <c r="R8200">
        <v>0</v>
      </c>
    </row>
    <row r="8201" spans="1:18" x14ac:dyDescent="0.25">
      <c r="A8201">
        <v>8050</v>
      </c>
      <c r="B8201">
        <v>94</v>
      </c>
      <c r="C8201">
        <v>31399467</v>
      </c>
      <c r="D8201" t="s">
        <v>124</v>
      </c>
      <c r="E8201">
        <v>41.027000000000001</v>
      </c>
      <c r="F8201" t="s">
        <v>21</v>
      </c>
      <c r="G8201" t="s">
        <v>26</v>
      </c>
      <c r="H8201" t="s">
        <v>21</v>
      </c>
      <c r="I8201" t="s">
        <v>20</v>
      </c>
      <c r="J8201" t="s">
        <v>20</v>
      </c>
      <c r="K8201" t="s">
        <v>31</v>
      </c>
      <c r="L8201" t="s">
        <v>89</v>
      </c>
      <c r="M8201" t="s">
        <v>125</v>
      </c>
      <c r="N8201">
        <v>40.503611999999997</v>
      </c>
      <c r="O8201">
        <v>-111.938731</v>
      </c>
      <c r="P8201">
        <v>4394.4170819999999</v>
      </c>
      <c r="Q8201">
        <v>1368</v>
      </c>
      <c r="R8201">
        <v>0</v>
      </c>
    </row>
    <row r="8202" spans="1:18" x14ac:dyDescent="0.25">
      <c r="A8202">
        <v>8051</v>
      </c>
      <c r="B8202">
        <v>94</v>
      </c>
      <c r="C8202">
        <v>31462483</v>
      </c>
      <c r="D8202" t="s">
        <v>319</v>
      </c>
      <c r="E8202">
        <v>44.143000000000001</v>
      </c>
      <c r="F8202" t="s">
        <v>21</v>
      </c>
      <c r="G8202" t="s">
        <v>20</v>
      </c>
      <c r="H8202" t="s">
        <v>21</v>
      </c>
      <c r="I8202" t="s">
        <v>20</v>
      </c>
      <c r="J8202" t="s">
        <v>20</v>
      </c>
      <c r="K8202" t="s">
        <v>27</v>
      </c>
      <c r="L8202" t="s">
        <v>162</v>
      </c>
      <c r="M8202" t="s">
        <v>55</v>
      </c>
      <c r="N8202">
        <v>37.609690999999998</v>
      </c>
      <c r="O8202">
        <v>-113.352188</v>
      </c>
      <c r="P8202">
        <v>6272.6918830000004</v>
      </c>
      <c r="Q8202">
        <v>314</v>
      </c>
      <c r="R8202">
        <v>0</v>
      </c>
    </row>
    <row r="8203" spans="1:18" x14ac:dyDescent="0.25">
      <c r="A8203">
        <v>8052</v>
      </c>
      <c r="B8203">
        <v>94</v>
      </c>
      <c r="C8203" t="e">
        <f>-JOdp8LCFTyQ9vke9AVqmF</f>
        <v>#NAME?</v>
      </c>
      <c r="D8203" t="s">
        <v>116</v>
      </c>
      <c r="E8203">
        <v>44.192</v>
      </c>
      <c r="F8203" t="s">
        <v>21</v>
      </c>
      <c r="G8203" t="s">
        <v>26</v>
      </c>
      <c r="H8203" t="s">
        <v>21</v>
      </c>
      <c r="I8203" t="s">
        <v>20</v>
      </c>
      <c r="J8203" t="s">
        <v>20</v>
      </c>
      <c r="K8203" t="s">
        <v>41</v>
      </c>
      <c r="L8203" t="s">
        <v>95</v>
      </c>
      <c r="M8203" t="s">
        <v>117</v>
      </c>
      <c r="N8203">
        <v>41.983237000000003</v>
      </c>
      <c r="O8203">
        <v>-111.81280099999999</v>
      </c>
      <c r="P8203">
        <v>4444.039291</v>
      </c>
      <c r="Q8203">
        <v>324</v>
      </c>
      <c r="R8203">
        <v>0</v>
      </c>
    </row>
    <row r="8204" spans="1:18" x14ac:dyDescent="0.25">
      <c r="A8204">
        <v>8053</v>
      </c>
      <c r="B8204">
        <v>94</v>
      </c>
      <c r="C8204">
        <v>27730294</v>
      </c>
      <c r="D8204" t="s">
        <v>217</v>
      </c>
      <c r="E8204">
        <v>44.241</v>
      </c>
      <c r="F8204" t="s">
        <v>21</v>
      </c>
      <c r="G8204" t="s">
        <v>20</v>
      </c>
      <c r="H8204" t="s">
        <v>21</v>
      </c>
      <c r="I8204" t="s">
        <v>20</v>
      </c>
      <c r="J8204" t="s">
        <v>20</v>
      </c>
      <c r="K8204" t="s">
        <v>27</v>
      </c>
      <c r="L8204" t="s">
        <v>162</v>
      </c>
      <c r="M8204" t="s">
        <v>163</v>
      </c>
      <c r="N8204">
        <v>37.612205000000003</v>
      </c>
      <c r="O8204">
        <v>-113.661226</v>
      </c>
      <c r="P8204">
        <v>5189.435356</v>
      </c>
      <c r="Q8204">
        <v>304</v>
      </c>
      <c r="R8204">
        <v>0</v>
      </c>
    </row>
    <row r="8205" spans="1:18" x14ac:dyDescent="0.25">
      <c r="A8205">
        <v>8054</v>
      </c>
      <c r="B8205">
        <v>94</v>
      </c>
      <c r="C8205" t="e">
        <f>-IpZ0IKVHmTcfwHUgg-ifF</f>
        <v>#NAME?</v>
      </c>
      <c r="D8205" t="s">
        <v>272</v>
      </c>
      <c r="E8205">
        <v>464.45800000000003</v>
      </c>
      <c r="F8205" t="s">
        <v>21</v>
      </c>
      <c r="G8205" t="s">
        <v>26</v>
      </c>
      <c r="H8205" t="s">
        <v>21</v>
      </c>
      <c r="I8205" t="s">
        <v>20</v>
      </c>
      <c r="J8205" t="s">
        <v>20</v>
      </c>
      <c r="K8205" t="s">
        <v>41</v>
      </c>
      <c r="L8205" t="s">
        <v>95</v>
      </c>
      <c r="M8205" t="s">
        <v>152</v>
      </c>
      <c r="N8205">
        <v>41.748320999999997</v>
      </c>
      <c r="O8205">
        <v>-111.733581</v>
      </c>
      <c r="P8205">
        <v>4912.9071729999996</v>
      </c>
      <c r="Q8205">
        <v>1384</v>
      </c>
      <c r="R8205">
        <v>0</v>
      </c>
    </row>
    <row r="8206" spans="1:18" x14ac:dyDescent="0.25">
      <c r="A8206">
        <v>8055</v>
      </c>
      <c r="B8206">
        <v>94</v>
      </c>
      <c r="C8206">
        <v>28637778</v>
      </c>
      <c r="D8206" t="s">
        <v>142</v>
      </c>
      <c r="E8206">
        <v>41.28</v>
      </c>
      <c r="F8206" t="s">
        <v>21</v>
      </c>
      <c r="G8206" t="s">
        <v>26</v>
      </c>
      <c r="H8206" t="s">
        <v>21</v>
      </c>
      <c r="I8206" t="s">
        <v>20</v>
      </c>
      <c r="J8206" t="s">
        <v>20</v>
      </c>
      <c r="K8206" t="s">
        <v>27</v>
      </c>
      <c r="L8206" t="s">
        <v>143</v>
      </c>
      <c r="M8206" t="s">
        <v>106</v>
      </c>
      <c r="N8206">
        <v>38.505893999999998</v>
      </c>
      <c r="O8206">
        <v>-113.607643</v>
      </c>
      <c r="P8206">
        <v>5623.5377019999996</v>
      </c>
      <c r="Q8206">
        <v>305</v>
      </c>
      <c r="R8206">
        <v>0</v>
      </c>
    </row>
    <row r="8207" spans="1:18" x14ac:dyDescent="0.25">
      <c r="A8207">
        <v>8056</v>
      </c>
      <c r="B8207">
        <v>94</v>
      </c>
      <c r="C8207">
        <v>31693095</v>
      </c>
      <c r="D8207" t="s">
        <v>217</v>
      </c>
      <c r="E8207">
        <v>41.304000000000002</v>
      </c>
      <c r="F8207" t="s">
        <v>21</v>
      </c>
      <c r="G8207" t="s">
        <v>20</v>
      </c>
      <c r="H8207" t="s">
        <v>21</v>
      </c>
      <c r="I8207" t="s">
        <v>20</v>
      </c>
      <c r="J8207" t="s">
        <v>20</v>
      </c>
      <c r="K8207" t="s">
        <v>27</v>
      </c>
      <c r="L8207" t="s">
        <v>162</v>
      </c>
      <c r="M8207" t="s">
        <v>163</v>
      </c>
      <c r="N8207">
        <v>37.580464999999997</v>
      </c>
      <c r="O8207">
        <v>-113.689239</v>
      </c>
      <c r="P8207">
        <v>5274.4345069999999</v>
      </c>
      <c r="Q8207">
        <v>304</v>
      </c>
      <c r="R8207">
        <v>0</v>
      </c>
    </row>
    <row r="8208" spans="1:18" x14ac:dyDescent="0.25">
      <c r="A8208">
        <v>8057</v>
      </c>
      <c r="B8208">
        <v>94</v>
      </c>
      <c r="C8208">
        <v>31421073</v>
      </c>
      <c r="D8208" t="s">
        <v>288</v>
      </c>
      <c r="E8208">
        <v>75.55</v>
      </c>
      <c r="F8208" t="s">
        <v>21</v>
      </c>
      <c r="G8208" t="s">
        <v>26</v>
      </c>
      <c r="H8208" t="s">
        <v>21</v>
      </c>
      <c r="I8208" t="s">
        <v>20</v>
      </c>
      <c r="J8208" t="s">
        <v>20</v>
      </c>
      <c r="K8208" t="s">
        <v>27</v>
      </c>
      <c r="L8208" t="s">
        <v>146</v>
      </c>
      <c r="M8208" t="s">
        <v>147</v>
      </c>
      <c r="N8208">
        <v>37.925655999999996</v>
      </c>
      <c r="O8208">
        <v>-109.34609399999999</v>
      </c>
      <c r="P8208">
        <v>6899.7468470000003</v>
      </c>
      <c r="Q8208">
        <v>350</v>
      </c>
      <c r="R8208">
        <v>0</v>
      </c>
    </row>
    <row r="8209" spans="1:18" x14ac:dyDescent="0.25">
      <c r="A8209">
        <v>8058</v>
      </c>
      <c r="B8209">
        <v>94</v>
      </c>
      <c r="C8209">
        <v>31768123</v>
      </c>
      <c r="D8209" t="s">
        <v>290</v>
      </c>
      <c r="E8209">
        <v>75.792000000000002</v>
      </c>
      <c r="F8209" t="s">
        <v>21</v>
      </c>
      <c r="G8209" t="s">
        <v>20</v>
      </c>
      <c r="H8209" t="s">
        <v>21</v>
      </c>
      <c r="I8209" t="s">
        <v>20</v>
      </c>
      <c r="J8209" t="s">
        <v>20</v>
      </c>
      <c r="K8209" t="s">
        <v>41</v>
      </c>
      <c r="L8209" t="s">
        <v>291</v>
      </c>
      <c r="M8209" t="s">
        <v>238</v>
      </c>
      <c r="N8209">
        <v>41.965442000000003</v>
      </c>
      <c r="O8209">
        <v>-113.039203</v>
      </c>
      <c r="P8209">
        <v>4707.3503739999996</v>
      </c>
      <c r="Q8209">
        <v>1343</v>
      </c>
      <c r="R8209">
        <v>0</v>
      </c>
    </row>
    <row r="8210" spans="1:18" x14ac:dyDescent="0.25">
      <c r="A8210">
        <v>8059</v>
      </c>
      <c r="B8210">
        <v>94</v>
      </c>
      <c r="C8210">
        <v>28706570</v>
      </c>
      <c r="D8210" t="s">
        <v>142</v>
      </c>
      <c r="E8210">
        <v>75.947999999999993</v>
      </c>
      <c r="F8210" t="s">
        <v>21</v>
      </c>
      <c r="G8210" t="s">
        <v>26</v>
      </c>
      <c r="H8210" t="s">
        <v>21</v>
      </c>
      <c r="I8210" t="s">
        <v>20</v>
      </c>
      <c r="J8210" t="s">
        <v>20</v>
      </c>
      <c r="K8210" t="s">
        <v>27</v>
      </c>
      <c r="L8210" t="s">
        <v>143</v>
      </c>
      <c r="M8210" t="s">
        <v>106</v>
      </c>
      <c r="N8210">
        <v>38.398401999999997</v>
      </c>
      <c r="O8210">
        <v>-113.02838</v>
      </c>
      <c r="P8210">
        <v>4977.6508480000002</v>
      </c>
      <c r="Q8210">
        <v>305</v>
      </c>
      <c r="R8210">
        <v>0</v>
      </c>
    </row>
    <row r="8211" spans="1:18" x14ac:dyDescent="0.25">
      <c r="A8211">
        <v>8060</v>
      </c>
      <c r="B8211">
        <v>94</v>
      </c>
      <c r="C8211">
        <v>31848496</v>
      </c>
      <c r="D8211" t="s">
        <v>272</v>
      </c>
      <c r="E8211">
        <v>75.98</v>
      </c>
      <c r="F8211" t="s">
        <v>21</v>
      </c>
      <c r="G8211" t="s">
        <v>26</v>
      </c>
      <c r="H8211" t="s">
        <v>21</v>
      </c>
      <c r="I8211" t="s">
        <v>20</v>
      </c>
      <c r="J8211" t="s">
        <v>20</v>
      </c>
      <c r="K8211" t="s">
        <v>27</v>
      </c>
      <c r="L8211" t="s">
        <v>279</v>
      </c>
      <c r="M8211" t="s">
        <v>214</v>
      </c>
      <c r="N8211">
        <v>37.177039000000001</v>
      </c>
      <c r="O8211">
        <v>-112.628552</v>
      </c>
      <c r="P8211">
        <v>6066.0820979999999</v>
      </c>
      <c r="Q8211">
        <v>1384</v>
      </c>
      <c r="R8211">
        <v>0</v>
      </c>
    </row>
    <row r="8212" spans="1:18" x14ac:dyDescent="0.25">
      <c r="A8212">
        <v>8061</v>
      </c>
      <c r="B8212">
        <v>94</v>
      </c>
      <c r="C8212">
        <v>31769870</v>
      </c>
      <c r="D8212" t="s">
        <v>118</v>
      </c>
      <c r="E8212">
        <v>75.989000000000004</v>
      </c>
      <c r="F8212" t="s">
        <v>21</v>
      </c>
      <c r="G8212" t="s">
        <v>20</v>
      </c>
      <c r="H8212" t="s">
        <v>21</v>
      </c>
      <c r="I8212" t="s">
        <v>20</v>
      </c>
      <c r="J8212" t="s">
        <v>20</v>
      </c>
      <c r="K8212" t="s">
        <v>22</v>
      </c>
      <c r="L8212" t="s">
        <v>253</v>
      </c>
      <c r="M8212" t="s">
        <v>120</v>
      </c>
      <c r="N8212">
        <v>40.175204999999998</v>
      </c>
      <c r="O8212">
        <v>-110.593341</v>
      </c>
      <c r="P8212">
        <v>6389.542692</v>
      </c>
      <c r="Q8212">
        <v>310</v>
      </c>
      <c r="R8212">
        <v>0</v>
      </c>
    </row>
    <row r="8213" spans="1:18" x14ac:dyDescent="0.25">
      <c r="A8213">
        <v>8062</v>
      </c>
      <c r="B8213">
        <v>94</v>
      </c>
      <c r="C8213">
        <v>27508072</v>
      </c>
      <c r="D8213" t="s">
        <v>96</v>
      </c>
      <c r="E8213">
        <v>7.6440000000000001</v>
      </c>
      <c r="F8213" t="s">
        <v>21</v>
      </c>
      <c r="G8213" t="s">
        <v>26</v>
      </c>
      <c r="H8213" t="s">
        <v>21</v>
      </c>
      <c r="I8213" t="s">
        <v>20</v>
      </c>
      <c r="J8213" t="s">
        <v>20</v>
      </c>
      <c r="K8213" t="s">
        <v>22</v>
      </c>
      <c r="L8213" t="s">
        <v>97</v>
      </c>
      <c r="M8213" t="s">
        <v>98</v>
      </c>
      <c r="N8213">
        <v>40.988230000000001</v>
      </c>
      <c r="O8213">
        <v>-109.72821500000001</v>
      </c>
      <c r="P8213">
        <v>6361.5832950000004</v>
      </c>
      <c r="Q8213">
        <v>311</v>
      </c>
      <c r="R8213">
        <v>0</v>
      </c>
    </row>
    <row r="8214" spans="1:18" x14ac:dyDescent="0.25">
      <c r="A8214">
        <v>8063</v>
      </c>
      <c r="B8214">
        <v>94</v>
      </c>
      <c r="C8214">
        <v>1376213</v>
      </c>
      <c r="D8214" t="s">
        <v>363</v>
      </c>
      <c r="E8214">
        <v>7.6449999999999996</v>
      </c>
      <c r="F8214" t="s">
        <v>21</v>
      </c>
      <c r="G8214" t="s">
        <v>26</v>
      </c>
      <c r="H8214" t="s">
        <v>21</v>
      </c>
      <c r="I8214" t="s">
        <v>20</v>
      </c>
      <c r="J8214" t="s">
        <v>20</v>
      </c>
      <c r="K8214" t="s">
        <v>41</v>
      </c>
      <c r="L8214" t="s">
        <v>95</v>
      </c>
      <c r="M8214" t="s">
        <v>73</v>
      </c>
      <c r="N8214">
        <v>41.838740000000001</v>
      </c>
      <c r="O8214">
        <v>-111.843825</v>
      </c>
      <c r="P8214">
        <v>4500.2711740000004</v>
      </c>
      <c r="Q8214">
        <v>356</v>
      </c>
      <c r="R8214">
        <v>0</v>
      </c>
    </row>
    <row r="8215" spans="1:18" x14ac:dyDescent="0.25">
      <c r="A8215">
        <v>8064</v>
      </c>
      <c r="B8215">
        <v>94</v>
      </c>
      <c r="C8215">
        <v>31757515</v>
      </c>
      <c r="D8215" t="s">
        <v>65</v>
      </c>
      <c r="E8215">
        <v>7.6470000000000002</v>
      </c>
      <c r="F8215" t="s">
        <v>21</v>
      </c>
      <c r="G8215" t="s">
        <v>26</v>
      </c>
      <c r="H8215" t="s">
        <v>21</v>
      </c>
      <c r="I8215" t="s">
        <v>20</v>
      </c>
      <c r="J8215" t="s">
        <v>20</v>
      </c>
      <c r="K8215" t="s">
        <v>31</v>
      </c>
      <c r="L8215" t="s">
        <v>188</v>
      </c>
      <c r="M8215" t="s">
        <v>67</v>
      </c>
      <c r="N8215">
        <v>40.730206000000003</v>
      </c>
      <c r="O8215">
        <v>-111.81778199999999</v>
      </c>
      <c r="P8215">
        <v>4692.4937559999998</v>
      </c>
      <c r="Q8215">
        <v>402</v>
      </c>
      <c r="R8215">
        <v>0</v>
      </c>
    </row>
    <row r="8216" spans="1:18" x14ac:dyDescent="0.25">
      <c r="A8216">
        <v>8065</v>
      </c>
      <c r="B8216">
        <v>94</v>
      </c>
      <c r="C8216" t="s">
        <v>956</v>
      </c>
      <c r="D8216" t="s">
        <v>304</v>
      </c>
      <c r="E8216">
        <v>7.6520000000000001</v>
      </c>
      <c r="F8216" t="s">
        <v>21</v>
      </c>
      <c r="G8216" t="s">
        <v>20</v>
      </c>
      <c r="H8216" t="s">
        <v>21</v>
      </c>
      <c r="I8216" t="s">
        <v>20</v>
      </c>
      <c r="J8216" t="s">
        <v>20</v>
      </c>
      <c r="K8216" t="s">
        <v>41</v>
      </c>
      <c r="L8216" t="s">
        <v>177</v>
      </c>
      <c r="M8216" t="s">
        <v>43</v>
      </c>
      <c r="N8216">
        <v>41.626243000000002</v>
      </c>
      <c r="O8216">
        <v>-112.07468</v>
      </c>
      <c r="P8216">
        <v>4233.9302170000001</v>
      </c>
      <c r="Q8216">
        <v>1348</v>
      </c>
      <c r="R8216">
        <v>0</v>
      </c>
    </row>
    <row r="8217" spans="1:18" x14ac:dyDescent="0.25">
      <c r="A8217">
        <v>8066</v>
      </c>
      <c r="B8217">
        <v>94</v>
      </c>
      <c r="C8217">
        <v>31194581</v>
      </c>
      <c r="D8217" t="s">
        <v>126</v>
      </c>
      <c r="E8217">
        <v>7.6639999999999997</v>
      </c>
      <c r="F8217" t="s">
        <v>21</v>
      </c>
      <c r="G8217" t="s">
        <v>26</v>
      </c>
      <c r="H8217" t="s">
        <v>21</v>
      </c>
      <c r="I8217" t="s">
        <v>20</v>
      </c>
      <c r="J8217" t="s">
        <v>20</v>
      </c>
      <c r="K8217" t="s">
        <v>41</v>
      </c>
      <c r="L8217" t="s">
        <v>57</v>
      </c>
      <c r="M8217" t="s">
        <v>93</v>
      </c>
      <c r="N8217">
        <v>41.297991000000003</v>
      </c>
      <c r="O8217">
        <v>-112.08635</v>
      </c>
      <c r="P8217">
        <v>4187.0836719999998</v>
      </c>
      <c r="Q8217">
        <v>1412</v>
      </c>
      <c r="R8217">
        <v>0</v>
      </c>
    </row>
    <row r="8218" spans="1:18" x14ac:dyDescent="0.25">
      <c r="A8218">
        <v>8067</v>
      </c>
      <c r="B8218">
        <v>94</v>
      </c>
      <c r="C8218">
        <v>27692115</v>
      </c>
      <c r="D8218" t="s">
        <v>217</v>
      </c>
      <c r="E8218">
        <v>7.6639999999999997</v>
      </c>
      <c r="F8218" t="s">
        <v>21</v>
      </c>
      <c r="G8218" t="s">
        <v>26</v>
      </c>
      <c r="H8218" t="s">
        <v>21</v>
      </c>
      <c r="I8218" t="s">
        <v>20</v>
      </c>
      <c r="J8218" t="s">
        <v>20</v>
      </c>
      <c r="K8218" t="s">
        <v>27</v>
      </c>
      <c r="L8218" t="s">
        <v>72</v>
      </c>
      <c r="M8218" t="s">
        <v>163</v>
      </c>
      <c r="N8218">
        <v>37.181905999999998</v>
      </c>
      <c r="O8218">
        <v>-113.619167</v>
      </c>
      <c r="P8218">
        <v>3638.7490269999998</v>
      </c>
      <c r="Q8218">
        <v>304</v>
      </c>
      <c r="R8218">
        <v>0</v>
      </c>
    </row>
    <row r="8219" spans="1:18" x14ac:dyDescent="0.25">
      <c r="A8219">
        <v>8068</v>
      </c>
      <c r="B8219">
        <v>94</v>
      </c>
      <c r="C8219">
        <v>851713</v>
      </c>
      <c r="D8219" t="s">
        <v>68</v>
      </c>
      <c r="E8219">
        <v>7.665</v>
      </c>
      <c r="F8219" t="s">
        <v>21</v>
      </c>
      <c r="G8219" t="s">
        <v>26</v>
      </c>
      <c r="H8219" t="s">
        <v>21</v>
      </c>
      <c r="I8219" t="s">
        <v>20</v>
      </c>
      <c r="J8219" t="s">
        <v>20</v>
      </c>
      <c r="K8219" t="s">
        <v>31</v>
      </c>
      <c r="L8219" t="s">
        <v>32</v>
      </c>
      <c r="M8219" t="s">
        <v>70</v>
      </c>
      <c r="N8219">
        <v>40.675097000000001</v>
      </c>
      <c r="O8219">
        <v>-111.810125</v>
      </c>
      <c r="P8219">
        <v>4642.4200709999996</v>
      </c>
      <c r="Q8219">
        <v>431</v>
      </c>
      <c r="R8219">
        <v>0</v>
      </c>
    </row>
    <row r="8220" spans="1:18" x14ac:dyDescent="0.25">
      <c r="A8220">
        <v>8069</v>
      </c>
      <c r="B8220">
        <v>94</v>
      </c>
      <c r="C8220">
        <v>1013442</v>
      </c>
      <c r="D8220" t="s">
        <v>65</v>
      </c>
      <c r="E8220">
        <v>7.6669999999999998</v>
      </c>
      <c r="F8220" t="s">
        <v>21</v>
      </c>
      <c r="G8220" t="s">
        <v>26</v>
      </c>
      <c r="H8220" t="s">
        <v>21</v>
      </c>
      <c r="I8220" t="s">
        <v>20</v>
      </c>
      <c r="J8220" t="s">
        <v>20</v>
      </c>
      <c r="K8220" t="s">
        <v>31</v>
      </c>
      <c r="L8220" t="s">
        <v>188</v>
      </c>
      <c r="M8220" t="s">
        <v>67</v>
      </c>
      <c r="N8220">
        <v>40.729940999999997</v>
      </c>
      <c r="O8220">
        <v>-111.817612</v>
      </c>
      <c r="P8220">
        <v>4692.5849799999996</v>
      </c>
      <c r="Q8220">
        <v>402</v>
      </c>
      <c r="R8220">
        <v>0</v>
      </c>
    </row>
    <row r="8221" spans="1:18" x14ac:dyDescent="0.25">
      <c r="A8221">
        <v>8070</v>
      </c>
      <c r="B8221">
        <v>94</v>
      </c>
      <c r="C8221" t="s">
        <v>957</v>
      </c>
      <c r="D8221" t="s">
        <v>210</v>
      </c>
      <c r="E8221">
        <v>7.6760000000000002</v>
      </c>
      <c r="F8221" t="s">
        <v>21</v>
      </c>
      <c r="G8221" t="s">
        <v>20</v>
      </c>
      <c r="H8221" t="s">
        <v>21</v>
      </c>
      <c r="I8221" t="s">
        <v>20</v>
      </c>
      <c r="J8221" t="s">
        <v>20</v>
      </c>
      <c r="K8221" t="s">
        <v>27</v>
      </c>
      <c r="L8221" t="s">
        <v>211</v>
      </c>
      <c r="M8221" t="s">
        <v>212</v>
      </c>
      <c r="N8221">
        <v>37.292222000000002</v>
      </c>
      <c r="O8221">
        <v>-109.41950799999999</v>
      </c>
      <c r="P8221">
        <v>4456.423863</v>
      </c>
      <c r="Q8221">
        <v>344</v>
      </c>
      <c r="R8221">
        <v>0</v>
      </c>
    </row>
    <row r="8222" spans="1:18" x14ac:dyDescent="0.25">
      <c r="A8222">
        <v>8071</v>
      </c>
      <c r="B8222">
        <v>94</v>
      </c>
      <c r="C8222">
        <v>27868047</v>
      </c>
      <c r="D8222" t="s">
        <v>91</v>
      </c>
      <c r="E8222">
        <v>7.6779999999999999</v>
      </c>
      <c r="F8222" t="s">
        <v>21</v>
      </c>
      <c r="G8222" t="s">
        <v>26</v>
      </c>
      <c r="H8222" t="s">
        <v>21</v>
      </c>
      <c r="I8222" t="s">
        <v>20</v>
      </c>
      <c r="J8222" t="s">
        <v>20</v>
      </c>
      <c r="K8222" t="s">
        <v>41</v>
      </c>
      <c r="L8222" t="s">
        <v>42</v>
      </c>
      <c r="M8222" t="s">
        <v>73</v>
      </c>
      <c r="N8222">
        <v>41.716242000000001</v>
      </c>
      <c r="O8222">
        <v>-111.97895</v>
      </c>
      <c r="P8222">
        <v>4490.4280120000003</v>
      </c>
      <c r="Q8222">
        <v>1339</v>
      </c>
      <c r="R8222">
        <v>0</v>
      </c>
    </row>
    <row r="8223" spans="1:18" x14ac:dyDescent="0.25">
      <c r="A8223">
        <v>8072</v>
      </c>
      <c r="B8223">
        <v>94</v>
      </c>
      <c r="C8223">
        <v>31389558</v>
      </c>
      <c r="D8223" t="s">
        <v>364</v>
      </c>
      <c r="E8223">
        <v>7.6790000000000003</v>
      </c>
      <c r="F8223" t="s">
        <v>21</v>
      </c>
      <c r="G8223" t="s">
        <v>26</v>
      </c>
      <c r="H8223" t="s">
        <v>21</v>
      </c>
      <c r="I8223" t="s">
        <v>20</v>
      </c>
      <c r="J8223" t="s">
        <v>20</v>
      </c>
      <c r="K8223" t="s">
        <v>22</v>
      </c>
      <c r="L8223" t="s">
        <v>140</v>
      </c>
      <c r="M8223" t="s">
        <v>85</v>
      </c>
      <c r="N8223">
        <v>40.108015000000002</v>
      </c>
      <c r="O8223">
        <v>-111.665498</v>
      </c>
      <c r="P8223">
        <v>4517.3663820000002</v>
      </c>
      <c r="Q8223">
        <v>1401</v>
      </c>
      <c r="R8223">
        <v>0</v>
      </c>
    </row>
    <row r="8224" spans="1:18" x14ac:dyDescent="0.25">
      <c r="A8224">
        <v>8073</v>
      </c>
      <c r="B8224">
        <v>94</v>
      </c>
      <c r="C8224">
        <v>31325134</v>
      </c>
      <c r="D8224" t="s">
        <v>413</v>
      </c>
      <c r="E8224">
        <v>7.681</v>
      </c>
      <c r="F8224" t="s">
        <v>19</v>
      </c>
      <c r="G8224" t="s">
        <v>20</v>
      </c>
      <c r="H8224" t="s">
        <v>21</v>
      </c>
      <c r="I8224" t="s">
        <v>20</v>
      </c>
      <c r="J8224" t="s">
        <v>20</v>
      </c>
      <c r="K8224" t="s">
        <v>31</v>
      </c>
      <c r="L8224" t="s">
        <v>78</v>
      </c>
      <c r="M8224" t="s">
        <v>206</v>
      </c>
      <c r="N8224">
        <v>40.718316000000002</v>
      </c>
      <c r="O8224">
        <v>-112.082268</v>
      </c>
      <c r="P8224">
        <v>4181.0015400000002</v>
      </c>
      <c r="Q8224">
        <v>411</v>
      </c>
      <c r="R8224">
        <v>0</v>
      </c>
    </row>
    <row r="8225" spans="1:18" x14ac:dyDescent="0.25">
      <c r="A8225">
        <v>8074</v>
      </c>
      <c r="B8225">
        <v>94</v>
      </c>
      <c r="C8225">
        <v>27508083</v>
      </c>
      <c r="D8225" t="s">
        <v>96</v>
      </c>
      <c r="E8225">
        <v>7.6829999999999998</v>
      </c>
      <c r="F8225" t="s">
        <v>21</v>
      </c>
      <c r="G8225" t="s">
        <v>26</v>
      </c>
      <c r="H8225" t="s">
        <v>21</v>
      </c>
      <c r="I8225" t="s">
        <v>20</v>
      </c>
      <c r="J8225" t="s">
        <v>20</v>
      </c>
      <c r="K8225" t="s">
        <v>22</v>
      </c>
      <c r="L8225" t="s">
        <v>97</v>
      </c>
      <c r="M8225" t="s">
        <v>98</v>
      </c>
      <c r="N8225">
        <v>40.988236000000001</v>
      </c>
      <c r="O8225">
        <v>-109.727448</v>
      </c>
      <c r="P8225">
        <v>6352.3612549999998</v>
      </c>
      <c r="Q8225">
        <v>311</v>
      </c>
      <c r="R8225">
        <v>0</v>
      </c>
    </row>
    <row r="8226" spans="1:18" x14ac:dyDescent="0.25">
      <c r="A8226">
        <v>8075</v>
      </c>
      <c r="B8226">
        <v>94</v>
      </c>
      <c r="C8226">
        <v>851720</v>
      </c>
      <c r="D8226" t="s">
        <v>68</v>
      </c>
      <c r="E8226">
        <v>7.6879999999999997</v>
      </c>
      <c r="F8226" t="s">
        <v>21</v>
      </c>
      <c r="G8226" t="s">
        <v>20</v>
      </c>
      <c r="H8226" t="s">
        <v>21</v>
      </c>
      <c r="I8226" t="s">
        <v>20</v>
      </c>
      <c r="J8226" t="s">
        <v>20</v>
      </c>
      <c r="K8226" t="s">
        <v>31</v>
      </c>
      <c r="L8226" t="s">
        <v>32</v>
      </c>
      <c r="M8226" t="s">
        <v>70</v>
      </c>
      <c r="N8226">
        <v>40.675072999999998</v>
      </c>
      <c r="O8226">
        <v>-111.809685</v>
      </c>
      <c r="P8226">
        <v>4650.2583320000003</v>
      </c>
      <c r="Q8226">
        <v>431</v>
      </c>
      <c r="R8226">
        <v>0</v>
      </c>
    </row>
    <row r="8227" spans="1:18" x14ac:dyDescent="0.25">
      <c r="A8227">
        <v>8076</v>
      </c>
      <c r="B8227">
        <v>94</v>
      </c>
      <c r="C8227">
        <v>31626747</v>
      </c>
      <c r="D8227" t="s">
        <v>50</v>
      </c>
      <c r="E8227">
        <v>50.991</v>
      </c>
      <c r="F8227" t="s">
        <v>21</v>
      </c>
      <c r="G8227" t="s">
        <v>26</v>
      </c>
      <c r="H8227" t="s">
        <v>21</v>
      </c>
      <c r="I8227" t="s">
        <v>20</v>
      </c>
      <c r="J8227" t="s">
        <v>20</v>
      </c>
      <c r="K8227" t="s">
        <v>27</v>
      </c>
      <c r="L8227" t="s">
        <v>247</v>
      </c>
      <c r="M8227" t="s">
        <v>52</v>
      </c>
      <c r="N8227">
        <v>37.81964</v>
      </c>
      <c r="O8227">
        <v>-112.435602</v>
      </c>
      <c r="P8227">
        <v>6565.2631220000003</v>
      </c>
      <c r="Q8227">
        <v>1418</v>
      </c>
      <c r="R8227">
        <v>0</v>
      </c>
    </row>
    <row r="8228" spans="1:18" x14ac:dyDescent="0.25">
      <c r="A8228">
        <v>8077</v>
      </c>
      <c r="B8228">
        <v>94</v>
      </c>
      <c r="C8228">
        <v>28000481</v>
      </c>
      <c r="D8228" t="s">
        <v>281</v>
      </c>
      <c r="E8228">
        <v>48.036000000000001</v>
      </c>
      <c r="F8228" t="s">
        <v>21</v>
      </c>
      <c r="G8228" t="s">
        <v>26</v>
      </c>
      <c r="H8228" t="s">
        <v>21</v>
      </c>
      <c r="I8228" t="s">
        <v>20</v>
      </c>
      <c r="J8228" t="s">
        <v>20</v>
      </c>
      <c r="K8228" t="s">
        <v>31</v>
      </c>
      <c r="L8228" t="s">
        <v>282</v>
      </c>
      <c r="M8228" t="s">
        <v>283</v>
      </c>
      <c r="N8228">
        <v>40.455413</v>
      </c>
      <c r="O8228">
        <v>-112.36008</v>
      </c>
      <c r="P8228">
        <v>5033.5850010000004</v>
      </c>
      <c r="Q8228">
        <v>1347</v>
      </c>
      <c r="R8228">
        <v>0</v>
      </c>
    </row>
    <row r="8229" spans="1:18" x14ac:dyDescent="0.25">
      <c r="A8229">
        <v>8078</v>
      </c>
      <c r="B8229">
        <v>94</v>
      </c>
      <c r="C8229">
        <v>31405287</v>
      </c>
      <c r="D8229" t="s">
        <v>124</v>
      </c>
      <c r="E8229">
        <v>48.046999999999997</v>
      </c>
      <c r="F8229" t="s">
        <v>19</v>
      </c>
      <c r="G8229" t="s">
        <v>20</v>
      </c>
      <c r="H8229" t="s">
        <v>21</v>
      </c>
      <c r="I8229" t="s">
        <v>20</v>
      </c>
      <c r="J8229" t="s">
        <v>20</v>
      </c>
      <c r="K8229" t="s">
        <v>31</v>
      </c>
      <c r="L8229" t="s">
        <v>48</v>
      </c>
      <c r="M8229" t="s">
        <v>125</v>
      </c>
      <c r="N8229">
        <v>40.605623000000001</v>
      </c>
      <c r="O8229">
        <v>-111.938743</v>
      </c>
      <c r="P8229">
        <v>4312.9751859999997</v>
      </c>
      <c r="Q8229">
        <v>1368</v>
      </c>
      <c r="R8229">
        <v>0</v>
      </c>
    </row>
    <row r="8230" spans="1:18" x14ac:dyDescent="0.25">
      <c r="A8230">
        <v>8079</v>
      </c>
      <c r="B8230">
        <v>94</v>
      </c>
      <c r="C8230" t="e">
        <f>-JP9uv1vIbD3ay65v7Us8k</f>
        <v>#NAME?</v>
      </c>
      <c r="D8230" t="s">
        <v>124</v>
      </c>
      <c r="E8230">
        <v>48.104999999999997</v>
      </c>
      <c r="F8230" t="s">
        <v>21</v>
      </c>
      <c r="G8230" t="s">
        <v>26</v>
      </c>
      <c r="H8230" t="s">
        <v>21</v>
      </c>
      <c r="I8230" t="s">
        <v>20</v>
      </c>
      <c r="J8230" t="s">
        <v>20</v>
      </c>
      <c r="K8230" t="s">
        <v>31</v>
      </c>
      <c r="L8230" t="s">
        <v>48</v>
      </c>
      <c r="M8230" t="s">
        <v>194</v>
      </c>
      <c r="N8230">
        <v>40.606467000000002</v>
      </c>
      <c r="O8230">
        <v>-111.938858</v>
      </c>
      <c r="P8230">
        <v>4315.4208159999998</v>
      </c>
      <c r="Q8230">
        <v>1368</v>
      </c>
      <c r="R8230">
        <v>0</v>
      </c>
    </row>
    <row r="8231" spans="1:18" x14ac:dyDescent="0.25">
      <c r="A8231">
        <v>8080</v>
      </c>
      <c r="B8231">
        <v>94</v>
      </c>
      <c r="C8231">
        <v>28000492</v>
      </c>
      <c r="D8231" t="s">
        <v>281</v>
      </c>
      <c r="E8231">
        <v>48.125999999999998</v>
      </c>
      <c r="F8231" t="s">
        <v>21</v>
      </c>
      <c r="G8231" t="s">
        <v>26</v>
      </c>
      <c r="H8231" t="s">
        <v>21</v>
      </c>
      <c r="I8231" t="s">
        <v>20</v>
      </c>
      <c r="J8231" t="s">
        <v>20</v>
      </c>
      <c r="K8231" t="s">
        <v>31</v>
      </c>
      <c r="L8231" t="s">
        <v>282</v>
      </c>
      <c r="M8231" t="s">
        <v>283</v>
      </c>
      <c r="N8231">
        <v>40.456569999999999</v>
      </c>
      <c r="O8231">
        <v>-112.35932099999999</v>
      </c>
      <c r="P8231">
        <v>5042.7660480000004</v>
      </c>
      <c r="Q8231">
        <v>1347</v>
      </c>
      <c r="R8231">
        <v>0</v>
      </c>
    </row>
    <row r="8232" spans="1:18" x14ac:dyDescent="0.25">
      <c r="A8232">
        <v>8081</v>
      </c>
      <c r="B8232">
        <v>94</v>
      </c>
      <c r="C8232">
        <v>31580585</v>
      </c>
      <c r="D8232" t="s">
        <v>172</v>
      </c>
      <c r="E8232">
        <v>48.146000000000001</v>
      </c>
      <c r="F8232" t="s">
        <v>21</v>
      </c>
      <c r="G8232" t="s">
        <v>26</v>
      </c>
      <c r="H8232" t="s">
        <v>21</v>
      </c>
      <c r="I8232" t="s">
        <v>20</v>
      </c>
      <c r="J8232" t="s">
        <v>20</v>
      </c>
      <c r="K8232" t="s">
        <v>27</v>
      </c>
      <c r="L8232" t="s">
        <v>230</v>
      </c>
      <c r="M8232" t="s">
        <v>174</v>
      </c>
      <c r="N8232">
        <v>39.620201000000002</v>
      </c>
      <c r="O8232">
        <v>-111.63166699999999</v>
      </c>
      <c r="P8232">
        <v>5766.4415079999999</v>
      </c>
      <c r="Q8232">
        <v>1411</v>
      </c>
      <c r="R8232">
        <v>0</v>
      </c>
    </row>
    <row r="8233" spans="1:18" x14ac:dyDescent="0.25">
      <c r="A8233">
        <v>8082</v>
      </c>
      <c r="B8233">
        <v>94</v>
      </c>
      <c r="C8233" t="e">
        <f>-JS6NSypGi1_z909RgC7WF</f>
        <v>#NAME?</v>
      </c>
      <c r="D8233" t="s">
        <v>288</v>
      </c>
      <c r="E8233">
        <v>48.152999999999999</v>
      </c>
      <c r="F8233" t="s">
        <v>21</v>
      </c>
      <c r="G8233" t="s">
        <v>20</v>
      </c>
      <c r="H8233" t="s">
        <v>21</v>
      </c>
      <c r="I8233" t="s">
        <v>20</v>
      </c>
      <c r="J8233" t="s">
        <v>20</v>
      </c>
      <c r="K8233" t="s">
        <v>27</v>
      </c>
      <c r="L8233" t="s">
        <v>327</v>
      </c>
      <c r="M8233" t="s">
        <v>212</v>
      </c>
      <c r="N8233">
        <v>37.580987999999998</v>
      </c>
      <c r="O8233">
        <v>-109.478128</v>
      </c>
      <c r="P8233">
        <v>5734.1758730000001</v>
      </c>
      <c r="Q8233">
        <v>350</v>
      </c>
      <c r="R8233">
        <v>0</v>
      </c>
    </row>
    <row r="8234" spans="1:18" x14ac:dyDescent="0.25">
      <c r="A8234">
        <v>8083</v>
      </c>
      <c r="B8234">
        <v>94</v>
      </c>
      <c r="C8234">
        <v>31333925</v>
      </c>
      <c r="D8234" t="s">
        <v>288</v>
      </c>
      <c r="E8234">
        <v>48.161000000000001</v>
      </c>
      <c r="F8234" t="s">
        <v>21</v>
      </c>
      <c r="G8234" t="s">
        <v>26</v>
      </c>
      <c r="H8234" t="s">
        <v>21</v>
      </c>
      <c r="I8234" t="s">
        <v>20</v>
      </c>
      <c r="J8234" t="s">
        <v>20</v>
      </c>
      <c r="K8234" t="s">
        <v>27</v>
      </c>
      <c r="L8234" t="s">
        <v>327</v>
      </c>
      <c r="M8234" t="s">
        <v>212</v>
      </c>
      <c r="N8234">
        <v>37.581111999999997</v>
      </c>
      <c r="O8234">
        <v>-109.47821</v>
      </c>
      <c r="P8234">
        <v>5736.0114460000004</v>
      </c>
      <c r="Q8234">
        <v>350</v>
      </c>
      <c r="R8234">
        <v>0</v>
      </c>
    </row>
    <row r="8235" spans="1:18" x14ac:dyDescent="0.25">
      <c r="A8235">
        <v>8084</v>
      </c>
      <c r="B8235">
        <v>94</v>
      </c>
      <c r="C8235">
        <v>31580596</v>
      </c>
      <c r="D8235" t="s">
        <v>172</v>
      </c>
      <c r="E8235">
        <v>48.164000000000001</v>
      </c>
      <c r="F8235" t="s">
        <v>21</v>
      </c>
      <c r="G8235" t="s">
        <v>26</v>
      </c>
      <c r="H8235" t="s">
        <v>21</v>
      </c>
      <c r="I8235" t="s">
        <v>20</v>
      </c>
      <c r="J8235" t="s">
        <v>20</v>
      </c>
      <c r="K8235" t="s">
        <v>27</v>
      </c>
      <c r="L8235" t="s">
        <v>230</v>
      </c>
      <c r="M8235" t="s">
        <v>174</v>
      </c>
      <c r="N8235">
        <v>39.620004000000002</v>
      </c>
      <c r="O8235">
        <v>-111.631462</v>
      </c>
      <c r="P8235">
        <v>5764.537491</v>
      </c>
      <c r="Q8235">
        <v>1411</v>
      </c>
      <c r="R8235">
        <v>0</v>
      </c>
    </row>
    <row r="8236" spans="1:18" x14ac:dyDescent="0.25">
      <c r="A8236">
        <v>8085</v>
      </c>
      <c r="B8236">
        <v>94</v>
      </c>
      <c r="C8236" t="s">
        <v>958</v>
      </c>
      <c r="D8236" t="s">
        <v>203</v>
      </c>
      <c r="E8236">
        <v>48.165999999999997</v>
      </c>
      <c r="F8236" t="s">
        <v>21</v>
      </c>
      <c r="G8236" t="s">
        <v>20</v>
      </c>
      <c r="H8236" t="s">
        <v>21</v>
      </c>
      <c r="I8236" t="s">
        <v>20</v>
      </c>
      <c r="J8236" t="s">
        <v>20</v>
      </c>
      <c r="K8236" t="s">
        <v>41</v>
      </c>
      <c r="L8236" t="s">
        <v>325</v>
      </c>
      <c r="M8236" t="s">
        <v>204</v>
      </c>
      <c r="N8236">
        <v>41.468415</v>
      </c>
      <c r="O8236">
        <v>-111.491849</v>
      </c>
      <c r="P8236">
        <v>8784.4649570000001</v>
      </c>
      <c r="Q8236">
        <v>1349</v>
      </c>
      <c r="R8236">
        <v>0</v>
      </c>
    </row>
    <row r="8237" spans="1:18" x14ac:dyDescent="0.25">
      <c r="A8237">
        <v>8086</v>
      </c>
      <c r="B8237">
        <v>94</v>
      </c>
      <c r="C8237">
        <v>27732005</v>
      </c>
      <c r="D8237" t="s">
        <v>217</v>
      </c>
      <c r="E8237">
        <v>48.247999999999998</v>
      </c>
      <c r="F8237" t="s">
        <v>21</v>
      </c>
      <c r="G8237" t="s">
        <v>26</v>
      </c>
      <c r="H8237" t="s">
        <v>21</v>
      </c>
      <c r="I8237" t="s">
        <v>20</v>
      </c>
      <c r="J8237" t="s">
        <v>20</v>
      </c>
      <c r="K8237" t="s">
        <v>27</v>
      </c>
      <c r="L8237" t="s">
        <v>162</v>
      </c>
      <c r="M8237" t="s">
        <v>163</v>
      </c>
      <c r="N8237">
        <v>37.670304999999999</v>
      </c>
      <c r="O8237">
        <v>-113.66100400000001</v>
      </c>
      <c r="P8237">
        <v>5127.470585</v>
      </c>
      <c r="Q8237">
        <v>304</v>
      </c>
      <c r="R8237">
        <v>0</v>
      </c>
    </row>
    <row r="8238" spans="1:18" x14ac:dyDescent="0.25">
      <c r="A8238">
        <v>8087</v>
      </c>
      <c r="B8238">
        <v>94</v>
      </c>
      <c r="C8238">
        <v>31399500</v>
      </c>
      <c r="D8238" t="s">
        <v>124</v>
      </c>
      <c r="E8238">
        <v>41.31</v>
      </c>
      <c r="F8238" t="s">
        <v>19</v>
      </c>
      <c r="G8238" t="s">
        <v>20</v>
      </c>
      <c r="H8238" t="s">
        <v>21</v>
      </c>
      <c r="I8238" t="s">
        <v>20</v>
      </c>
      <c r="J8238" t="s">
        <v>20</v>
      </c>
      <c r="K8238" t="s">
        <v>31</v>
      </c>
      <c r="L8238" t="s">
        <v>89</v>
      </c>
      <c r="M8238" t="s">
        <v>125</v>
      </c>
      <c r="N8238">
        <v>40.507736999999999</v>
      </c>
      <c r="O8238">
        <v>-111.938705</v>
      </c>
      <c r="P8238">
        <v>4393.9898000000003</v>
      </c>
      <c r="Q8238">
        <v>1368</v>
      </c>
      <c r="R8238">
        <v>0</v>
      </c>
    </row>
    <row r="8239" spans="1:18" x14ac:dyDescent="0.25">
      <c r="A8239">
        <v>8088</v>
      </c>
      <c r="B8239">
        <v>94</v>
      </c>
      <c r="C8239" t="e">
        <f>-IoqTgg_H8yv9huVyRxLhF</f>
        <v>#NAME?</v>
      </c>
      <c r="D8239" t="s">
        <v>241</v>
      </c>
      <c r="E8239">
        <v>41.335000000000001</v>
      </c>
      <c r="F8239" t="s">
        <v>21</v>
      </c>
      <c r="G8239" t="s">
        <v>20</v>
      </c>
      <c r="H8239" t="s">
        <v>21</v>
      </c>
      <c r="I8239" t="s">
        <v>20</v>
      </c>
      <c r="J8239" t="s">
        <v>20</v>
      </c>
      <c r="K8239" t="s">
        <v>27</v>
      </c>
      <c r="L8239" t="s">
        <v>111</v>
      </c>
      <c r="M8239" t="s">
        <v>243</v>
      </c>
      <c r="N8239">
        <v>39.246912000000002</v>
      </c>
      <c r="O8239">
        <v>-110.987821</v>
      </c>
      <c r="P8239">
        <v>5651.8461159999997</v>
      </c>
      <c r="Q8239">
        <v>1327</v>
      </c>
      <c r="R8239">
        <v>0</v>
      </c>
    </row>
    <row r="8240" spans="1:18" x14ac:dyDescent="0.25">
      <c r="A8240">
        <v>8089</v>
      </c>
      <c r="B8240">
        <v>94</v>
      </c>
      <c r="C8240">
        <v>28637789</v>
      </c>
      <c r="D8240" t="s">
        <v>142</v>
      </c>
      <c r="E8240">
        <v>41.356000000000002</v>
      </c>
      <c r="F8240" t="s">
        <v>21</v>
      </c>
      <c r="G8240" t="s">
        <v>20</v>
      </c>
      <c r="H8240" t="s">
        <v>21</v>
      </c>
      <c r="I8240" t="s">
        <v>20</v>
      </c>
      <c r="J8240" t="s">
        <v>20</v>
      </c>
      <c r="K8240" t="s">
        <v>27</v>
      </c>
      <c r="L8240" t="s">
        <v>143</v>
      </c>
      <c r="M8240" t="s">
        <v>106</v>
      </c>
      <c r="N8240">
        <v>38.505823999999997</v>
      </c>
      <c r="O8240">
        <v>-113.60625</v>
      </c>
      <c r="P8240">
        <v>5637.7620610000004</v>
      </c>
      <c r="Q8240">
        <v>305</v>
      </c>
      <c r="R8240">
        <v>0</v>
      </c>
    </row>
    <row r="8241" spans="1:18" x14ac:dyDescent="0.25">
      <c r="A8241">
        <v>8090</v>
      </c>
      <c r="B8241">
        <v>94</v>
      </c>
      <c r="C8241">
        <v>31437342</v>
      </c>
      <c r="D8241" t="s">
        <v>221</v>
      </c>
      <c r="E8241">
        <v>41.359000000000002</v>
      </c>
      <c r="F8241" t="s">
        <v>21</v>
      </c>
      <c r="G8241" t="s">
        <v>26</v>
      </c>
      <c r="H8241" t="s">
        <v>21</v>
      </c>
      <c r="I8241" t="s">
        <v>20</v>
      </c>
      <c r="J8241" t="s">
        <v>20</v>
      </c>
      <c r="K8241" t="s">
        <v>22</v>
      </c>
      <c r="L8241" t="s">
        <v>155</v>
      </c>
      <c r="M8241" t="s">
        <v>174</v>
      </c>
      <c r="N8241">
        <v>39.718746000000003</v>
      </c>
      <c r="O8241">
        <v>-111.83614799999999</v>
      </c>
      <c r="P8241">
        <v>5068.2166340000003</v>
      </c>
      <c r="Q8241">
        <v>1342</v>
      </c>
      <c r="R8241">
        <v>0</v>
      </c>
    </row>
    <row r="8242" spans="1:18" x14ac:dyDescent="0.25">
      <c r="A8242">
        <v>8091</v>
      </c>
      <c r="B8242">
        <v>94</v>
      </c>
      <c r="C8242">
        <v>31578931</v>
      </c>
      <c r="D8242" t="s">
        <v>172</v>
      </c>
      <c r="E8242">
        <v>44.738</v>
      </c>
      <c r="F8242" t="s">
        <v>21</v>
      </c>
      <c r="G8242" t="s">
        <v>26</v>
      </c>
      <c r="H8242" t="s">
        <v>21</v>
      </c>
      <c r="I8242" t="s">
        <v>20</v>
      </c>
      <c r="J8242" t="s">
        <v>20</v>
      </c>
      <c r="K8242" t="s">
        <v>27</v>
      </c>
      <c r="L8242" t="s">
        <v>230</v>
      </c>
      <c r="M8242" t="s">
        <v>174</v>
      </c>
      <c r="N8242">
        <v>39.662790000000001</v>
      </c>
      <c r="O8242">
        <v>-111.656874</v>
      </c>
      <c r="P8242">
        <v>6210.0755870000003</v>
      </c>
      <c r="Q8242">
        <v>1411</v>
      </c>
      <c r="R8242">
        <v>0</v>
      </c>
    </row>
    <row r="8243" spans="1:18" x14ac:dyDescent="0.25">
      <c r="A8243">
        <v>8092</v>
      </c>
      <c r="B8243">
        <v>94</v>
      </c>
      <c r="C8243">
        <v>31402189</v>
      </c>
      <c r="D8243" t="s">
        <v>124</v>
      </c>
      <c r="E8243">
        <v>44.802999999999997</v>
      </c>
      <c r="F8243" t="s">
        <v>19</v>
      </c>
      <c r="G8243" t="s">
        <v>20</v>
      </c>
      <c r="H8243" t="s">
        <v>21</v>
      </c>
      <c r="I8243" t="s">
        <v>20</v>
      </c>
      <c r="J8243" t="s">
        <v>20</v>
      </c>
      <c r="K8243" t="s">
        <v>31</v>
      </c>
      <c r="L8243" t="s">
        <v>48</v>
      </c>
      <c r="M8243" t="s">
        <v>125</v>
      </c>
      <c r="N8243">
        <v>40.558523000000001</v>
      </c>
      <c r="O8243">
        <v>-111.93866</v>
      </c>
      <c r="P8243">
        <v>4400.15481</v>
      </c>
      <c r="Q8243">
        <v>1368</v>
      </c>
      <c r="R8243">
        <v>0</v>
      </c>
    </row>
    <row r="8244" spans="1:18" x14ac:dyDescent="0.25">
      <c r="A8244">
        <v>8093</v>
      </c>
      <c r="B8244">
        <v>94</v>
      </c>
      <c r="C8244">
        <v>31287661</v>
      </c>
      <c r="D8244" t="s">
        <v>241</v>
      </c>
      <c r="E8244">
        <v>44.860999999999997</v>
      </c>
      <c r="F8244" t="s">
        <v>21</v>
      </c>
      <c r="G8244" t="s">
        <v>26</v>
      </c>
      <c r="H8244" t="s">
        <v>21</v>
      </c>
      <c r="I8244" t="s">
        <v>20</v>
      </c>
      <c r="J8244" t="s">
        <v>20</v>
      </c>
      <c r="K8244" t="s">
        <v>27</v>
      </c>
      <c r="L8244" t="s">
        <v>111</v>
      </c>
      <c r="M8244" t="s">
        <v>243</v>
      </c>
      <c r="N8244">
        <v>39.295116</v>
      </c>
      <c r="O8244">
        <v>-110.966262</v>
      </c>
      <c r="P8244">
        <v>5638.0445399999999</v>
      </c>
      <c r="Q8244">
        <v>1327</v>
      </c>
      <c r="R8244">
        <v>0</v>
      </c>
    </row>
    <row r="8245" spans="1:18" x14ac:dyDescent="0.25">
      <c r="A8245">
        <v>8094</v>
      </c>
      <c r="B8245">
        <v>94</v>
      </c>
      <c r="C8245">
        <v>31744549</v>
      </c>
      <c r="D8245" t="s">
        <v>290</v>
      </c>
      <c r="E8245">
        <v>44.865000000000002</v>
      </c>
      <c r="F8245" t="s">
        <v>21</v>
      </c>
      <c r="G8245" t="s">
        <v>26</v>
      </c>
      <c r="H8245" t="s">
        <v>21</v>
      </c>
      <c r="I8245" t="s">
        <v>20</v>
      </c>
      <c r="J8245" t="s">
        <v>20</v>
      </c>
      <c r="K8245" t="s">
        <v>41</v>
      </c>
      <c r="L8245" t="s">
        <v>291</v>
      </c>
      <c r="M8245" t="s">
        <v>238</v>
      </c>
      <c r="N8245">
        <v>41.772533000000003</v>
      </c>
      <c r="O8245">
        <v>-113.498655</v>
      </c>
      <c r="P8245">
        <v>5243.8842489999997</v>
      </c>
      <c r="Q8245">
        <v>1343</v>
      </c>
      <c r="R8245">
        <v>0</v>
      </c>
    </row>
    <row r="8246" spans="1:18" x14ac:dyDescent="0.25">
      <c r="A8246">
        <v>8095</v>
      </c>
      <c r="B8246">
        <v>94</v>
      </c>
      <c r="C8246">
        <v>31421956</v>
      </c>
      <c r="D8246" t="s">
        <v>288</v>
      </c>
      <c r="E8246">
        <v>77.186000000000007</v>
      </c>
      <c r="F8246" t="s">
        <v>21</v>
      </c>
      <c r="G8246" t="s">
        <v>26</v>
      </c>
      <c r="H8246" t="s">
        <v>21</v>
      </c>
      <c r="I8246" t="s">
        <v>20</v>
      </c>
      <c r="J8246" t="s">
        <v>20</v>
      </c>
      <c r="K8246" t="s">
        <v>27</v>
      </c>
      <c r="L8246" t="s">
        <v>146</v>
      </c>
      <c r="M8246" t="s">
        <v>147</v>
      </c>
      <c r="N8246">
        <v>37.949368</v>
      </c>
      <c r="O8246">
        <v>-109.34635900000001</v>
      </c>
      <c r="P8246">
        <v>6873.0418970000001</v>
      </c>
      <c r="Q8246">
        <v>350</v>
      </c>
      <c r="R8246">
        <v>0</v>
      </c>
    </row>
    <row r="8247" spans="1:18" x14ac:dyDescent="0.25">
      <c r="A8247">
        <v>8096</v>
      </c>
      <c r="B8247">
        <v>94</v>
      </c>
      <c r="C8247">
        <v>28760598</v>
      </c>
      <c r="D8247" t="s">
        <v>142</v>
      </c>
      <c r="E8247">
        <v>77.218999999999994</v>
      </c>
      <c r="F8247" t="s">
        <v>21</v>
      </c>
      <c r="G8247" t="s">
        <v>26</v>
      </c>
      <c r="H8247" t="s">
        <v>21</v>
      </c>
      <c r="I8247" t="s">
        <v>20</v>
      </c>
      <c r="J8247" t="s">
        <v>20</v>
      </c>
      <c r="K8247" t="s">
        <v>27</v>
      </c>
      <c r="L8247" t="s">
        <v>143</v>
      </c>
      <c r="M8247" t="s">
        <v>106</v>
      </c>
      <c r="N8247">
        <v>38.392767999999997</v>
      </c>
      <c r="O8247">
        <v>-113.01174</v>
      </c>
      <c r="P8247">
        <v>4891.8418019999999</v>
      </c>
      <c r="Q8247">
        <v>305</v>
      </c>
      <c r="R8247">
        <v>0</v>
      </c>
    </row>
    <row r="8248" spans="1:18" x14ac:dyDescent="0.25">
      <c r="A8248">
        <v>8097</v>
      </c>
      <c r="B8248">
        <v>94</v>
      </c>
      <c r="C8248">
        <v>28760809</v>
      </c>
      <c r="D8248" t="s">
        <v>142</v>
      </c>
      <c r="E8248">
        <v>77.27</v>
      </c>
      <c r="F8248" t="s">
        <v>21</v>
      </c>
      <c r="G8248" t="s">
        <v>26</v>
      </c>
      <c r="H8248" t="s">
        <v>21</v>
      </c>
      <c r="I8248" t="s">
        <v>20</v>
      </c>
      <c r="J8248" t="s">
        <v>20</v>
      </c>
      <c r="K8248" t="s">
        <v>27</v>
      </c>
      <c r="L8248" t="s">
        <v>143</v>
      </c>
      <c r="M8248" t="s">
        <v>106</v>
      </c>
      <c r="N8248">
        <v>38.392063</v>
      </c>
      <c r="O8248">
        <v>-113.011951</v>
      </c>
      <c r="P8248">
        <v>4892.3604269999996</v>
      </c>
      <c r="Q8248">
        <v>305</v>
      </c>
      <c r="R8248">
        <v>0</v>
      </c>
    </row>
    <row r="8249" spans="1:18" x14ac:dyDescent="0.25">
      <c r="A8249">
        <v>8098</v>
      </c>
      <c r="B8249">
        <v>94</v>
      </c>
      <c r="C8249">
        <v>31713705</v>
      </c>
      <c r="D8249" t="s">
        <v>244</v>
      </c>
      <c r="E8249">
        <v>63.16</v>
      </c>
      <c r="F8249" t="s">
        <v>21</v>
      </c>
      <c r="G8249" t="s">
        <v>26</v>
      </c>
      <c r="H8249" t="s">
        <v>21</v>
      </c>
      <c r="I8249" t="s">
        <v>20</v>
      </c>
      <c r="J8249" t="s">
        <v>20</v>
      </c>
      <c r="K8249" t="s">
        <v>27</v>
      </c>
      <c r="L8249" t="s">
        <v>266</v>
      </c>
      <c r="M8249" t="s">
        <v>386</v>
      </c>
      <c r="N8249">
        <v>38.309367000000002</v>
      </c>
      <c r="O8249">
        <v>-111.517769</v>
      </c>
      <c r="P8249">
        <v>6866.1862879999999</v>
      </c>
      <c r="Q8249">
        <v>1340</v>
      </c>
      <c r="R8249">
        <v>0</v>
      </c>
    </row>
    <row r="8250" spans="1:18" x14ac:dyDescent="0.25">
      <c r="A8250">
        <v>8099</v>
      </c>
      <c r="B8250">
        <v>94</v>
      </c>
      <c r="C8250">
        <v>31736064</v>
      </c>
      <c r="D8250" t="s">
        <v>118</v>
      </c>
      <c r="E8250">
        <v>63.183999999999997</v>
      </c>
      <c r="F8250" t="s">
        <v>21</v>
      </c>
      <c r="G8250" t="s">
        <v>20</v>
      </c>
      <c r="H8250" t="s">
        <v>21</v>
      </c>
      <c r="I8250" t="s">
        <v>20</v>
      </c>
      <c r="J8250" t="s">
        <v>20</v>
      </c>
      <c r="K8250" t="s">
        <v>22</v>
      </c>
      <c r="L8250" t="s">
        <v>168</v>
      </c>
      <c r="M8250" t="s">
        <v>120</v>
      </c>
      <c r="N8250">
        <v>40.207833999999998</v>
      </c>
      <c r="O8250">
        <v>-110.81845300000001</v>
      </c>
      <c r="P8250">
        <v>6565.0400909999998</v>
      </c>
      <c r="Q8250">
        <v>310</v>
      </c>
      <c r="R8250">
        <v>0</v>
      </c>
    </row>
    <row r="8251" spans="1:18" x14ac:dyDescent="0.25">
      <c r="A8251">
        <v>8100</v>
      </c>
      <c r="B8251">
        <v>94</v>
      </c>
      <c r="C8251" t="e">
        <f>-JOapDvZImun75N4k8TG3V</f>
        <v>#NAME?</v>
      </c>
      <c r="D8251" t="s">
        <v>124</v>
      </c>
      <c r="E8251">
        <v>63.344000000000001</v>
      </c>
      <c r="F8251" t="s">
        <v>21</v>
      </c>
      <c r="G8251" t="s">
        <v>26</v>
      </c>
      <c r="H8251" t="s">
        <v>21</v>
      </c>
      <c r="I8251" t="s">
        <v>20</v>
      </c>
      <c r="J8251" t="s">
        <v>20</v>
      </c>
      <c r="K8251" t="s">
        <v>41</v>
      </c>
      <c r="L8251" t="s">
        <v>45</v>
      </c>
      <c r="M8251" t="s">
        <v>365</v>
      </c>
      <c r="N8251">
        <v>40.827869</v>
      </c>
      <c r="O8251">
        <v>-111.93728299999999</v>
      </c>
      <c r="P8251">
        <v>4162.0626060000004</v>
      </c>
      <c r="Q8251">
        <v>1368</v>
      </c>
      <c r="R8251">
        <v>0</v>
      </c>
    </row>
    <row r="8252" spans="1:18" x14ac:dyDescent="0.25">
      <c r="A8252">
        <v>8101</v>
      </c>
      <c r="B8252">
        <v>94</v>
      </c>
      <c r="C8252">
        <v>31352043</v>
      </c>
      <c r="D8252" t="s">
        <v>288</v>
      </c>
      <c r="E8252">
        <v>63.392000000000003</v>
      </c>
      <c r="F8252" t="s">
        <v>21</v>
      </c>
      <c r="G8252" t="s">
        <v>20</v>
      </c>
      <c r="H8252" t="s">
        <v>21</v>
      </c>
      <c r="I8252" t="s">
        <v>20</v>
      </c>
      <c r="J8252" t="s">
        <v>20</v>
      </c>
      <c r="K8252" t="s">
        <v>27</v>
      </c>
      <c r="L8252" t="s">
        <v>146</v>
      </c>
      <c r="M8252" t="s">
        <v>147</v>
      </c>
      <c r="N8252">
        <v>37.767856999999999</v>
      </c>
      <c r="O8252">
        <v>-109.37821700000001</v>
      </c>
      <c r="P8252">
        <v>7104.4429049999999</v>
      </c>
      <c r="Q8252">
        <v>350</v>
      </c>
      <c r="R8252">
        <v>0</v>
      </c>
    </row>
    <row r="8253" spans="1:18" x14ac:dyDescent="0.25">
      <c r="A8253">
        <v>8102</v>
      </c>
      <c r="B8253">
        <v>94</v>
      </c>
      <c r="C8253" t="e">
        <f>-IoqrNYvG8XLoM52AP_xok</f>
        <v>#NAME?</v>
      </c>
      <c r="D8253" t="s">
        <v>241</v>
      </c>
      <c r="E8253">
        <v>63.421999999999997</v>
      </c>
      <c r="F8253" t="s">
        <v>21</v>
      </c>
      <c r="G8253" t="s">
        <v>26</v>
      </c>
      <c r="H8253" t="s">
        <v>21</v>
      </c>
      <c r="I8253" t="s">
        <v>20</v>
      </c>
      <c r="J8253" t="s">
        <v>20</v>
      </c>
      <c r="K8253" t="s">
        <v>27</v>
      </c>
      <c r="L8253" t="s">
        <v>158</v>
      </c>
      <c r="M8253" t="s">
        <v>243</v>
      </c>
      <c r="N8253">
        <v>39.524954000000001</v>
      </c>
      <c r="O8253">
        <v>-110.82304999999999</v>
      </c>
      <c r="P8253">
        <v>5565.0969500000001</v>
      </c>
      <c r="Q8253">
        <v>1327</v>
      </c>
      <c r="R8253">
        <v>0</v>
      </c>
    </row>
    <row r="8254" spans="1:18" x14ac:dyDescent="0.25">
      <c r="A8254">
        <v>8103</v>
      </c>
      <c r="B8254">
        <v>94</v>
      </c>
      <c r="C8254">
        <v>31828937</v>
      </c>
      <c r="D8254" t="s">
        <v>272</v>
      </c>
      <c r="E8254">
        <v>63.472000000000001</v>
      </c>
      <c r="F8254" t="s">
        <v>21</v>
      </c>
      <c r="G8254" t="s">
        <v>26</v>
      </c>
      <c r="H8254" t="s">
        <v>21</v>
      </c>
      <c r="I8254" t="s">
        <v>20</v>
      </c>
      <c r="J8254" t="s">
        <v>20</v>
      </c>
      <c r="K8254" t="s">
        <v>27</v>
      </c>
      <c r="L8254" t="s">
        <v>259</v>
      </c>
      <c r="M8254" t="s">
        <v>214</v>
      </c>
      <c r="N8254">
        <v>37.043002999999999</v>
      </c>
      <c r="O8254">
        <v>-112.519845</v>
      </c>
      <c r="P8254">
        <v>4876.7022930000003</v>
      </c>
      <c r="Q8254">
        <v>1384</v>
      </c>
      <c r="R8254">
        <v>0</v>
      </c>
    </row>
    <row r="8255" spans="1:18" x14ac:dyDescent="0.25">
      <c r="A8255">
        <v>8104</v>
      </c>
      <c r="B8255">
        <v>94</v>
      </c>
      <c r="C8255">
        <v>31512353</v>
      </c>
      <c r="D8255" t="s">
        <v>124</v>
      </c>
      <c r="E8255">
        <v>63.502000000000002</v>
      </c>
      <c r="F8255" t="s">
        <v>21</v>
      </c>
      <c r="G8255" t="s">
        <v>26</v>
      </c>
      <c r="H8255" t="s">
        <v>21</v>
      </c>
      <c r="I8255" t="s">
        <v>20</v>
      </c>
      <c r="J8255" t="s">
        <v>20</v>
      </c>
      <c r="K8255" t="s">
        <v>41</v>
      </c>
      <c r="L8255" t="s">
        <v>45</v>
      </c>
      <c r="M8255" t="s">
        <v>365</v>
      </c>
      <c r="N8255">
        <v>40.830148999999999</v>
      </c>
      <c r="O8255">
        <v>-111.93705</v>
      </c>
      <c r="P8255">
        <v>4162.1995569999999</v>
      </c>
      <c r="Q8255">
        <v>1368</v>
      </c>
      <c r="R8255">
        <v>0</v>
      </c>
    </row>
    <row r="8256" spans="1:18" x14ac:dyDescent="0.25">
      <c r="A8256">
        <v>8105</v>
      </c>
      <c r="B8256">
        <v>94</v>
      </c>
      <c r="C8256">
        <v>31828948</v>
      </c>
      <c r="D8256" t="s">
        <v>272</v>
      </c>
      <c r="E8256">
        <v>63.524999999999999</v>
      </c>
      <c r="F8256" t="s">
        <v>21</v>
      </c>
      <c r="G8256" t="s">
        <v>26</v>
      </c>
      <c r="H8256" t="s">
        <v>21</v>
      </c>
      <c r="I8256" t="s">
        <v>20</v>
      </c>
      <c r="J8256" t="s">
        <v>20</v>
      </c>
      <c r="K8256" t="s">
        <v>27</v>
      </c>
      <c r="L8256" t="s">
        <v>259</v>
      </c>
      <c r="M8256" t="s">
        <v>214</v>
      </c>
      <c r="N8256">
        <v>37.042999999999999</v>
      </c>
      <c r="O8256">
        <v>-112.520822</v>
      </c>
      <c r="P8256">
        <v>4872.3496349999996</v>
      </c>
      <c r="Q8256">
        <v>1384</v>
      </c>
      <c r="R8256">
        <v>0</v>
      </c>
    </row>
    <row r="8257" spans="1:18" x14ac:dyDescent="0.25">
      <c r="A8257">
        <v>8106</v>
      </c>
      <c r="B8257">
        <v>94</v>
      </c>
      <c r="C8257">
        <v>31832659</v>
      </c>
      <c r="D8257" t="s">
        <v>272</v>
      </c>
      <c r="E8257">
        <v>63.594999999999999</v>
      </c>
      <c r="F8257" t="s">
        <v>21</v>
      </c>
      <c r="G8257" t="s">
        <v>26</v>
      </c>
      <c r="H8257" t="s">
        <v>21</v>
      </c>
      <c r="I8257" t="s">
        <v>20</v>
      </c>
      <c r="J8257" t="s">
        <v>20</v>
      </c>
      <c r="K8257" t="s">
        <v>27</v>
      </c>
      <c r="L8257" t="s">
        <v>259</v>
      </c>
      <c r="M8257" t="s">
        <v>214</v>
      </c>
      <c r="N8257">
        <v>37.042993000000003</v>
      </c>
      <c r="O8257">
        <v>-112.52208</v>
      </c>
      <c r="P8257">
        <v>4869.773228</v>
      </c>
      <c r="Q8257">
        <v>1384</v>
      </c>
      <c r="R8257">
        <v>0</v>
      </c>
    </row>
    <row r="8258" spans="1:18" x14ac:dyDescent="0.25">
      <c r="A8258">
        <v>8107</v>
      </c>
      <c r="B8258">
        <v>94</v>
      </c>
      <c r="C8258">
        <v>31512364</v>
      </c>
      <c r="D8258" t="s">
        <v>124</v>
      </c>
      <c r="E8258">
        <v>63.65</v>
      </c>
      <c r="F8258" t="s">
        <v>19</v>
      </c>
      <c r="G8258" t="s">
        <v>20</v>
      </c>
      <c r="H8258" t="s">
        <v>21</v>
      </c>
      <c r="I8258" t="s">
        <v>20</v>
      </c>
      <c r="J8258" t="s">
        <v>20</v>
      </c>
      <c r="K8258" t="s">
        <v>41</v>
      </c>
      <c r="L8258" t="s">
        <v>45</v>
      </c>
      <c r="M8258" t="s">
        <v>365</v>
      </c>
      <c r="N8258">
        <v>40.832273999999998</v>
      </c>
      <c r="O8258">
        <v>-111.93655800000001</v>
      </c>
      <c r="P8258">
        <v>4165.9474600000003</v>
      </c>
      <c r="Q8258">
        <v>1368</v>
      </c>
      <c r="R8258">
        <v>0</v>
      </c>
    </row>
    <row r="8259" spans="1:18" x14ac:dyDescent="0.25">
      <c r="A8259">
        <v>8108</v>
      </c>
      <c r="B8259">
        <v>94</v>
      </c>
      <c r="C8259" t="e">
        <f>-Ip__9E4GV5E7LgZWeaebk</f>
        <v>#NAME?</v>
      </c>
      <c r="D8259" t="s">
        <v>272</v>
      </c>
      <c r="E8259">
        <v>63.664000000000001</v>
      </c>
      <c r="F8259" t="s">
        <v>21</v>
      </c>
      <c r="G8259" t="s">
        <v>26</v>
      </c>
      <c r="H8259" t="s">
        <v>21</v>
      </c>
      <c r="I8259" t="s">
        <v>20</v>
      </c>
      <c r="J8259" t="s">
        <v>20</v>
      </c>
      <c r="K8259" t="s">
        <v>27</v>
      </c>
      <c r="L8259" t="s">
        <v>259</v>
      </c>
      <c r="M8259" t="s">
        <v>214</v>
      </c>
      <c r="N8259">
        <v>37.042991000000001</v>
      </c>
      <c r="O8259">
        <v>-112.523342</v>
      </c>
      <c r="P8259">
        <v>4867.9898929999999</v>
      </c>
      <c r="Q8259">
        <v>1384</v>
      </c>
      <c r="R8259">
        <v>0</v>
      </c>
    </row>
    <row r="8260" spans="1:18" x14ac:dyDescent="0.25">
      <c r="A8260">
        <v>8109</v>
      </c>
      <c r="B8260">
        <v>94</v>
      </c>
      <c r="C8260">
        <v>31785884</v>
      </c>
      <c r="D8260" t="s">
        <v>281</v>
      </c>
      <c r="E8260">
        <v>63.686</v>
      </c>
      <c r="F8260" t="s">
        <v>21</v>
      </c>
      <c r="G8260" t="s">
        <v>26</v>
      </c>
      <c r="H8260" t="s">
        <v>21</v>
      </c>
      <c r="I8260" t="s">
        <v>20</v>
      </c>
      <c r="J8260" t="s">
        <v>20</v>
      </c>
      <c r="K8260" t="s">
        <v>31</v>
      </c>
      <c r="L8260" t="s">
        <v>285</v>
      </c>
      <c r="M8260" t="s">
        <v>283</v>
      </c>
      <c r="N8260">
        <v>40.664181999999997</v>
      </c>
      <c r="O8260">
        <v>-112.286964</v>
      </c>
      <c r="P8260">
        <v>4198.373638</v>
      </c>
      <c r="Q8260">
        <v>1347</v>
      </c>
      <c r="R8260">
        <v>0</v>
      </c>
    </row>
    <row r="8261" spans="1:18" x14ac:dyDescent="0.25">
      <c r="A8261">
        <v>8110</v>
      </c>
      <c r="B8261">
        <v>94</v>
      </c>
      <c r="C8261">
        <v>31832670</v>
      </c>
      <c r="D8261" t="s">
        <v>272</v>
      </c>
      <c r="E8261">
        <v>63.710999999999999</v>
      </c>
      <c r="F8261" t="s">
        <v>21</v>
      </c>
      <c r="G8261" t="s">
        <v>26</v>
      </c>
      <c r="H8261" t="s">
        <v>21</v>
      </c>
      <c r="I8261" t="s">
        <v>20</v>
      </c>
      <c r="J8261" t="s">
        <v>20</v>
      </c>
      <c r="K8261" t="s">
        <v>27</v>
      </c>
      <c r="L8261" t="s">
        <v>259</v>
      </c>
      <c r="M8261" t="s">
        <v>214</v>
      </c>
      <c r="N8261">
        <v>37.042988000000001</v>
      </c>
      <c r="O8261">
        <v>-112.524199</v>
      </c>
      <c r="P8261">
        <v>4867.2658860000001</v>
      </c>
      <c r="Q8261">
        <v>1384</v>
      </c>
      <c r="R8261">
        <v>0</v>
      </c>
    </row>
    <row r="8262" spans="1:18" x14ac:dyDescent="0.25">
      <c r="A8262">
        <v>8111</v>
      </c>
      <c r="B8262">
        <v>94</v>
      </c>
      <c r="C8262" t="e">
        <f>-JOid_ZPF5ySMFhc6YE7yV</f>
        <v>#NAME?</v>
      </c>
      <c r="D8262" t="s">
        <v>244</v>
      </c>
      <c r="E8262">
        <v>63.735999999999997</v>
      </c>
      <c r="F8262" t="s">
        <v>21</v>
      </c>
      <c r="G8262" t="s">
        <v>20</v>
      </c>
      <c r="H8262" t="s">
        <v>21</v>
      </c>
      <c r="I8262" t="s">
        <v>20</v>
      </c>
      <c r="J8262" t="s">
        <v>20</v>
      </c>
      <c r="K8262" t="s">
        <v>27</v>
      </c>
      <c r="L8262" t="s">
        <v>266</v>
      </c>
      <c r="M8262" t="s">
        <v>386</v>
      </c>
      <c r="N8262">
        <v>38.306849</v>
      </c>
      <c r="O8262">
        <v>-111.507806</v>
      </c>
      <c r="P8262">
        <v>6830.2349059999997</v>
      </c>
      <c r="Q8262">
        <v>1340</v>
      </c>
      <c r="R8262">
        <v>0</v>
      </c>
    </row>
    <row r="8263" spans="1:18" x14ac:dyDescent="0.25">
      <c r="A8263">
        <v>8112</v>
      </c>
      <c r="B8263">
        <v>94</v>
      </c>
      <c r="C8263" t="e">
        <f>-JPa8HIEHBmnhgP5h_ABkF</f>
        <v>#NAME?</v>
      </c>
      <c r="D8263" t="s">
        <v>68</v>
      </c>
      <c r="E8263">
        <v>7.6890000000000001</v>
      </c>
      <c r="F8263" t="s">
        <v>21</v>
      </c>
      <c r="G8263" t="s">
        <v>26</v>
      </c>
      <c r="H8263" t="s">
        <v>21</v>
      </c>
      <c r="I8263" t="s">
        <v>20</v>
      </c>
      <c r="J8263" t="s">
        <v>20</v>
      </c>
      <c r="K8263" t="s">
        <v>31</v>
      </c>
      <c r="L8263" t="s">
        <v>32</v>
      </c>
      <c r="M8263" t="s">
        <v>70</v>
      </c>
      <c r="N8263">
        <v>40.675082000000003</v>
      </c>
      <c r="O8263">
        <v>-111.809659</v>
      </c>
      <c r="P8263">
        <v>4651.2873829999999</v>
      </c>
      <c r="Q8263">
        <v>431</v>
      </c>
      <c r="R8263">
        <v>0</v>
      </c>
    </row>
    <row r="8264" spans="1:18" x14ac:dyDescent="0.25">
      <c r="A8264">
        <v>8113</v>
      </c>
      <c r="B8264">
        <v>94</v>
      </c>
      <c r="C8264">
        <v>28355137</v>
      </c>
      <c r="D8264" t="s">
        <v>323</v>
      </c>
      <c r="E8264">
        <v>7.7</v>
      </c>
      <c r="F8264" t="s">
        <v>21</v>
      </c>
      <c r="G8264" t="s">
        <v>26</v>
      </c>
      <c r="H8264" t="s">
        <v>21</v>
      </c>
      <c r="I8264" t="s">
        <v>20</v>
      </c>
      <c r="J8264" t="s">
        <v>20</v>
      </c>
      <c r="K8264" t="s">
        <v>31</v>
      </c>
      <c r="L8264" t="s">
        <v>35</v>
      </c>
      <c r="M8264" t="s">
        <v>131</v>
      </c>
      <c r="N8264">
        <v>40.601654000000003</v>
      </c>
      <c r="O8264">
        <v>-111.32864499999999</v>
      </c>
      <c r="P8264">
        <v>6183.8397430000005</v>
      </c>
      <c r="Q8264">
        <v>1345</v>
      </c>
      <c r="R8264">
        <v>0</v>
      </c>
    </row>
    <row r="8265" spans="1:18" x14ac:dyDescent="0.25">
      <c r="A8265">
        <v>8114</v>
      </c>
      <c r="B8265">
        <v>94</v>
      </c>
      <c r="C8265">
        <v>31480970</v>
      </c>
      <c r="D8265" t="s">
        <v>244</v>
      </c>
      <c r="E8265">
        <v>7.7060000000000004</v>
      </c>
      <c r="F8265" t="s">
        <v>21</v>
      </c>
      <c r="G8265" t="s">
        <v>26</v>
      </c>
      <c r="H8265" t="s">
        <v>19</v>
      </c>
      <c r="I8265">
        <v>259</v>
      </c>
      <c r="J8265" t="s">
        <v>20</v>
      </c>
      <c r="K8265" t="s">
        <v>27</v>
      </c>
      <c r="L8265" t="s">
        <v>183</v>
      </c>
      <c r="M8265" t="s">
        <v>58</v>
      </c>
      <c r="N8265">
        <v>38.871156999999997</v>
      </c>
      <c r="O8265">
        <v>-111.961854</v>
      </c>
      <c r="P8265">
        <v>5181.7763519999999</v>
      </c>
      <c r="Q8265">
        <v>1340</v>
      </c>
      <c r="R8265">
        <v>0</v>
      </c>
    </row>
    <row r="8266" spans="1:18" x14ac:dyDescent="0.25">
      <c r="A8266">
        <v>8115</v>
      </c>
      <c r="B8266">
        <v>94</v>
      </c>
      <c r="C8266">
        <v>31262675</v>
      </c>
      <c r="D8266" t="s">
        <v>303</v>
      </c>
      <c r="E8266">
        <v>7.7110000000000003</v>
      </c>
      <c r="F8266" t="s">
        <v>21</v>
      </c>
      <c r="G8266" t="s">
        <v>26</v>
      </c>
      <c r="H8266" t="s">
        <v>21</v>
      </c>
      <c r="I8266" t="s">
        <v>20</v>
      </c>
      <c r="J8266" t="s">
        <v>20</v>
      </c>
      <c r="K8266" t="s">
        <v>27</v>
      </c>
      <c r="L8266" t="s">
        <v>72</v>
      </c>
      <c r="M8266" t="s">
        <v>73</v>
      </c>
      <c r="N8266">
        <v>37.176378</v>
      </c>
      <c r="O8266">
        <v>-113.325553</v>
      </c>
      <c r="P8266">
        <v>3187.3772049999998</v>
      </c>
      <c r="Q8266">
        <v>1326</v>
      </c>
      <c r="R8266">
        <v>0</v>
      </c>
    </row>
    <row r="8267" spans="1:18" x14ac:dyDescent="0.25">
      <c r="A8267">
        <v>8116</v>
      </c>
      <c r="B8267">
        <v>94</v>
      </c>
      <c r="C8267">
        <v>31262664</v>
      </c>
      <c r="D8267" t="s">
        <v>303</v>
      </c>
      <c r="E8267">
        <v>7.609</v>
      </c>
      <c r="F8267" t="s">
        <v>21</v>
      </c>
      <c r="G8267" t="s">
        <v>26</v>
      </c>
      <c r="H8267" t="s">
        <v>21</v>
      </c>
      <c r="I8267" t="s">
        <v>20</v>
      </c>
      <c r="J8267" t="s">
        <v>20</v>
      </c>
      <c r="K8267" t="s">
        <v>27</v>
      </c>
      <c r="L8267" t="s">
        <v>72</v>
      </c>
      <c r="M8267" t="s">
        <v>73</v>
      </c>
      <c r="N8267">
        <v>37.176372999999998</v>
      </c>
      <c r="O8267">
        <v>-113.32740200000001</v>
      </c>
      <c r="P8267">
        <v>3190.2490859999998</v>
      </c>
      <c r="Q8267">
        <v>1326</v>
      </c>
      <c r="R8267">
        <v>0</v>
      </c>
    </row>
    <row r="8268" spans="1:18" x14ac:dyDescent="0.25">
      <c r="A8268">
        <v>8117</v>
      </c>
      <c r="B8268">
        <v>94</v>
      </c>
      <c r="C8268">
        <v>31767221</v>
      </c>
      <c r="D8268" t="s">
        <v>312</v>
      </c>
      <c r="E8268">
        <v>48.265999999999998</v>
      </c>
      <c r="F8268" t="s">
        <v>21</v>
      </c>
      <c r="G8268" t="s">
        <v>20</v>
      </c>
      <c r="H8268" t="s">
        <v>21</v>
      </c>
      <c r="I8268" t="s">
        <v>20</v>
      </c>
      <c r="J8268" t="s">
        <v>20</v>
      </c>
      <c r="K8268" t="s">
        <v>27</v>
      </c>
      <c r="L8268" t="s">
        <v>173</v>
      </c>
      <c r="M8268" t="s">
        <v>313</v>
      </c>
      <c r="N8268">
        <v>39.045217999999998</v>
      </c>
      <c r="O8268">
        <v>-112.769525</v>
      </c>
      <c r="P8268">
        <v>4558.3873270000004</v>
      </c>
      <c r="Q8268">
        <v>255</v>
      </c>
      <c r="R8268">
        <v>0</v>
      </c>
    </row>
    <row r="8269" spans="1:18" x14ac:dyDescent="0.25">
      <c r="A8269">
        <v>8118</v>
      </c>
      <c r="B8269">
        <v>94</v>
      </c>
      <c r="C8269">
        <v>31320317</v>
      </c>
      <c r="D8269" t="s">
        <v>241</v>
      </c>
      <c r="E8269">
        <v>48.295000000000002</v>
      </c>
      <c r="F8269" t="s">
        <v>21</v>
      </c>
      <c r="G8269" t="s">
        <v>26</v>
      </c>
      <c r="H8269" t="s">
        <v>21</v>
      </c>
      <c r="I8269" t="s">
        <v>20</v>
      </c>
      <c r="J8269" t="s">
        <v>20</v>
      </c>
      <c r="K8269" t="s">
        <v>27</v>
      </c>
      <c r="L8269" t="s">
        <v>111</v>
      </c>
      <c r="M8269" t="s">
        <v>243</v>
      </c>
      <c r="N8269">
        <v>39.339280000000002</v>
      </c>
      <c r="O8269">
        <v>-110.95530100000001</v>
      </c>
      <c r="P8269">
        <v>5706.0008539999999</v>
      </c>
      <c r="Q8269">
        <v>1327</v>
      </c>
      <c r="R8269">
        <v>0</v>
      </c>
    </row>
    <row r="8270" spans="1:18" x14ac:dyDescent="0.25">
      <c r="A8270">
        <v>8119</v>
      </c>
      <c r="B8270">
        <v>94</v>
      </c>
      <c r="C8270">
        <v>27724169</v>
      </c>
      <c r="D8270" t="s">
        <v>217</v>
      </c>
      <c r="E8270">
        <v>39.604999999999997</v>
      </c>
      <c r="F8270" t="s">
        <v>21</v>
      </c>
      <c r="G8270" t="s">
        <v>26</v>
      </c>
      <c r="H8270" t="s">
        <v>21</v>
      </c>
      <c r="I8270" t="s">
        <v>20</v>
      </c>
      <c r="J8270" t="s">
        <v>20</v>
      </c>
      <c r="K8270" t="s">
        <v>27</v>
      </c>
      <c r="L8270" t="s">
        <v>162</v>
      </c>
      <c r="M8270" t="s">
        <v>163</v>
      </c>
      <c r="N8270">
        <v>37.566654</v>
      </c>
      <c r="O8270">
        <v>-113.694987</v>
      </c>
      <c r="P8270">
        <v>5364.7946460000003</v>
      </c>
      <c r="Q8270">
        <v>304</v>
      </c>
      <c r="R8270">
        <v>0</v>
      </c>
    </row>
    <row r="8271" spans="1:18" x14ac:dyDescent="0.25">
      <c r="A8271">
        <v>8120</v>
      </c>
      <c r="B8271">
        <v>94</v>
      </c>
      <c r="C8271">
        <v>31377084</v>
      </c>
      <c r="D8271" t="s">
        <v>199</v>
      </c>
      <c r="E8271">
        <v>39.631</v>
      </c>
      <c r="F8271" t="s">
        <v>21</v>
      </c>
      <c r="G8271" t="s">
        <v>26</v>
      </c>
      <c r="H8271" t="s">
        <v>21</v>
      </c>
      <c r="I8271" t="s">
        <v>20</v>
      </c>
      <c r="J8271" t="s">
        <v>20</v>
      </c>
      <c r="K8271" t="s">
        <v>27</v>
      </c>
      <c r="L8271" t="s">
        <v>64</v>
      </c>
      <c r="M8271" t="s">
        <v>200</v>
      </c>
      <c r="N8271">
        <v>38.243958999999997</v>
      </c>
      <c r="O8271">
        <v>-112.23272299999999</v>
      </c>
      <c r="P8271">
        <v>6030.1956760000003</v>
      </c>
      <c r="Q8271">
        <v>341</v>
      </c>
      <c r="R8271">
        <v>0</v>
      </c>
    </row>
    <row r="8272" spans="1:18" x14ac:dyDescent="0.25">
      <c r="A8272">
        <v>8121</v>
      </c>
      <c r="B8272">
        <v>94</v>
      </c>
      <c r="C8272">
        <v>31325944</v>
      </c>
      <c r="D8272" t="s">
        <v>288</v>
      </c>
      <c r="E8272">
        <v>39.649000000000001</v>
      </c>
      <c r="F8272" t="s">
        <v>21</v>
      </c>
      <c r="G8272" t="s">
        <v>26</v>
      </c>
      <c r="H8272" t="s">
        <v>21</v>
      </c>
      <c r="I8272" t="s">
        <v>20</v>
      </c>
      <c r="J8272" t="s">
        <v>20</v>
      </c>
      <c r="K8272" t="s">
        <v>27</v>
      </c>
      <c r="L8272" t="s">
        <v>327</v>
      </c>
      <c r="M8272" t="s">
        <v>212</v>
      </c>
      <c r="N8272">
        <v>37.468907000000002</v>
      </c>
      <c r="O8272">
        <v>-109.466978</v>
      </c>
      <c r="P8272">
        <v>5231.3758939999998</v>
      </c>
      <c r="Q8272">
        <v>350</v>
      </c>
      <c r="R8272">
        <v>0</v>
      </c>
    </row>
    <row r="8273" spans="1:18" x14ac:dyDescent="0.25">
      <c r="A8273">
        <v>8122</v>
      </c>
      <c r="B8273">
        <v>94</v>
      </c>
      <c r="C8273" t="s">
        <v>959</v>
      </c>
      <c r="D8273" t="s">
        <v>199</v>
      </c>
      <c r="E8273">
        <v>39.670999999999999</v>
      </c>
      <c r="F8273" t="s">
        <v>21</v>
      </c>
      <c r="G8273" t="s">
        <v>20</v>
      </c>
      <c r="H8273" t="s">
        <v>21</v>
      </c>
      <c r="I8273" t="s">
        <v>20</v>
      </c>
      <c r="J8273" t="s">
        <v>20</v>
      </c>
      <c r="K8273" t="s">
        <v>27</v>
      </c>
      <c r="L8273" t="s">
        <v>64</v>
      </c>
      <c r="M8273" t="s">
        <v>200</v>
      </c>
      <c r="N8273">
        <v>38.243496999999998</v>
      </c>
      <c r="O8273">
        <v>-112.232274</v>
      </c>
      <c r="P8273">
        <v>6024.6785220000002</v>
      </c>
      <c r="Q8273">
        <v>341</v>
      </c>
      <c r="R8273">
        <v>0</v>
      </c>
    </row>
    <row r="8274" spans="1:18" x14ac:dyDescent="0.25">
      <c r="A8274">
        <v>8123</v>
      </c>
      <c r="B8274">
        <v>94</v>
      </c>
      <c r="C8274" t="e">
        <f>-JOZUQrtFuDEFe8Z0AyEgk</f>
        <v>#NAME?</v>
      </c>
      <c r="D8274" t="s">
        <v>241</v>
      </c>
      <c r="E8274">
        <v>39.707999999999998</v>
      </c>
      <c r="F8274" t="s">
        <v>21</v>
      </c>
      <c r="G8274" t="s">
        <v>26</v>
      </c>
      <c r="H8274" t="s">
        <v>21</v>
      </c>
      <c r="I8274" t="s">
        <v>20</v>
      </c>
      <c r="J8274" t="s">
        <v>20</v>
      </c>
      <c r="K8274" t="s">
        <v>27</v>
      </c>
      <c r="L8274" t="s">
        <v>111</v>
      </c>
      <c r="M8274" t="s">
        <v>243</v>
      </c>
      <c r="N8274">
        <v>39.224240999999999</v>
      </c>
      <c r="O8274">
        <v>-110.996296</v>
      </c>
      <c r="P8274">
        <v>5630.524402</v>
      </c>
      <c r="Q8274">
        <v>1327</v>
      </c>
      <c r="R8274">
        <v>0</v>
      </c>
    </row>
    <row r="8275" spans="1:18" x14ac:dyDescent="0.25">
      <c r="A8275">
        <v>8124</v>
      </c>
      <c r="B8275">
        <v>94</v>
      </c>
      <c r="C8275">
        <v>31384367</v>
      </c>
      <c r="D8275" t="s">
        <v>116</v>
      </c>
      <c r="E8275">
        <v>39.716000000000001</v>
      </c>
      <c r="F8275" t="s">
        <v>21</v>
      </c>
      <c r="G8275" t="s">
        <v>26</v>
      </c>
      <c r="H8275" t="s">
        <v>21</v>
      </c>
      <c r="I8275" t="s">
        <v>20</v>
      </c>
      <c r="J8275" t="s">
        <v>20</v>
      </c>
      <c r="K8275" t="s">
        <v>41</v>
      </c>
      <c r="L8275" t="s">
        <v>95</v>
      </c>
      <c r="M8275" t="s">
        <v>117</v>
      </c>
      <c r="N8275">
        <v>41.918508000000003</v>
      </c>
      <c r="O8275">
        <v>-111.814425</v>
      </c>
      <c r="P8275">
        <v>4535.3103629999996</v>
      </c>
      <c r="Q8275">
        <v>324</v>
      </c>
      <c r="R8275">
        <v>0</v>
      </c>
    </row>
    <row r="8276" spans="1:18" x14ac:dyDescent="0.25">
      <c r="A8276">
        <v>8125</v>
      </c>
      <c r="B8276">
        <v>94</v>
      </c>
      <c r="C8276" t="e">
        <f>-Ip0gEqpFdPEDbfXMOVBYV</f>
        <v>#NAME?</v>
      </c>
      <c r="D8276" t="s">
        <v>272</v>
      </c>
      <c r="E8276">
        <v>376.44200000000001</v>
      </c>
      <c r="F8276" t="s">
        <v>19</v>
      </c>
      <c r="G8276" t="s">
        <v>20</v>
      </c>
      <c r="H8276" t="s">
        <v>21</v>
      </c>
      <c r="I8276" t="s">
        <v>20</v>
      </c>
      <c r="J8276" t="s">
        <v>20</v>
      </c>
      <c r="K8276" t="s">
        <v>31</v>
      </c>
      <c r="L8276" t="s">
        <v>66</v>
      </c>
      <c r="M8276" t="s">
        <v>49</v>
      </c>
      <c r="N8276">
        <v>40.728701999999998</v>
      </c>
      <c r="O8276">
        <v>-111.888217</v>
      </c>
      <c r="P8276">
        <v>4197.2214270000004</v>
      </c>
      <c r="Q8276">
        <v>1384</v>
      </c>
      <c r="R8276">
        <v>0</v>
      </c>
    </row>
    <row r="8277" spans="1:18" x14ac:dyDescent="0.25">
      <c r="A8277">
        <v>8126</v>
      </c>
      <c r="B8277">
        <v>94</v>
      </c>
      <c r="C8277" t="s">
        <v>960</v>
      </c>
      <c r="D8277" t="s">
        <v>272</v>
      </c>
      <c r="E8277">
        <v>376.54700000000003</v>
      </c>
      <c r="F8277" t="s">
        <v>21</v>
      </c>
      <c r="G8277" t="s">
        <v>26</v>
      </c>
      <c r="H8277" t="s">
        <v>21</v>
      </c>
      <c r="I8277" t="s">
        <v>20</v>
      </c>
      <c r="J8277" t="s">
        <v>20</v>
      </c>
      <c r="K8277" t="s">
        <v>31</v>
      </c>
      <c r="L8277" t="s">
        <v>66</v>
      </c>
      <c r="M8277" t="s">
        <v>49</v>
      </c>
      <c r="N8277">
        <v>40.730238</v>
      </c>
      <c r="O8277">
        <v>-111.888149</v>
      </c>
      <c r="P8277">
        <v>4197.7496099999998</v>
      </c>
      <c r="Q8277">
        <v>1384</v>
      </c>
      <c r="R8277">
        <v>0</v>
      </c>
    </row>
    <row r="8278" spans="1:18" x14ac:dyDescent="0.25">
      <c r="A8278">
        <v>8127</v>
      </c>
      <c r="B8278">
        <v>94</v>
      </c>
      <c r="C8278" t="e">
        <f>-IpPVnTFHGD3L1ryg4HX9F</f>
        <v>#NAME?</v>
      </c>
      <c r="D8278" t="s">
        <v>124</v>
      </c>
      <c r="E8278">
        <v>48.814</v>
      </c>
      <c r="F8278" t="s">
        <v>21</v>
      </c>
      <c r="G8278" t="s">
        <v>26</v>
      </c>
      <c r="H8278" t="s">
        <v>21</v>
      </c>
      <c r="I8278" t="s">
        <v>20</v>
      </c>
      <c r="J8278" t="s">
        <v>20</v>
      </c>
      <c r="K8278" t="s">
        <v>31</v>
      </c>
      <c r="L8278" t="s">
        <v>48</v>
      </c>
      <c r="M8278" t="s">
        <v>125</v>
      </c>
      <c r="N8278">
        <v>40.616805999999997</v>
      </c>
      <c r="O8278">
        <v>-111.938774</v>
      </c>
      <c r="P8278">
        <v>4314.7112200000001</v>
      </c>
      <c r="Q8278">
        <v>1368</v>
      </c>
      <c r="R8278">
        <v>0</v>
      </c>
    </row>
    <row r="8279" spans="1:18" x14ac:dyDescent="0.25">
      <c r="A8279">
        <v>8128</v>
      </c>
      <c r="B8279">
        <v>94</v>
      </c>
      <c r="C8279">
        <v>31696328</v>
      </c>
      <c r="D8279" t="s">
        <v>217</v>
      </c>
      <c r="E8279">
        <v>48.817999999999998</v>
      </c>
      <c r="F8279" t="s">
        <v>21</v>
      </c>
      <c r="G8279" t="s">
        <v>20</v>
      </c>
      <c r="H8279" t="s">
        <v>21</v>
      </c>
      <c r="I8279" t="s">
        <v>20</v>
      </c>
      <c r="J8279" t="s">
        <v>20</v>
      </c>
      <c r="K8279" t="s">
        <v>27</v>
      </c>
      <c r="L8279" t="s">
        <v>162</v>
      </c>
      <c r="M8279" t="s">
        <v>163</v>
      </c>
      <c r="N8279">
        <v>37.677694000000002</v>
      </c>
      <c r="O8279">
        <v>-113.656597</v>
      </c>
      <c r="P8279">
        <v>5124.4578780000002</v>
      </c>
      <c r="Q8279">
        <v>304</v>
      </c>
      <c r="R8279">
        <v>0</v>
      </c>
    </row>
    <row r="8280" spans="1:18" x14ac:dyDescent="0.25">
      <c r="A8280">
        <v>8129</v>
      </c>
      <c r="B8280">
        <v>94</v>
      </c>
      <c r="C8280">
        <v>31407836</v>
      </c>
      <c r="D8280" t="s">
        <v>124</v>
      </c>
      <c r="E8280">
        <v>48.837000000000003</v>
      </c>
      <c r="F8280" t="s">
        <v>21</v>
      </c>
      <c r="G8280" t="s">
        <v>26</v>
      </c>
      <c r="H8280" t="s">
        <v>21</v>
      </c>
      <c r="I8280" t="s">
        <v>20</v>
      </c>
      <c r="J8280" t="s">
        <v>20</v>
      </c>
      <c r="K8280" t="s">
        <v>31</v>
      </c>
      <c r="L8280" t="s">
        <v>48</v>
      </c>
      <c r="M8280" t="s">
        <v>125</v>
      </c>
      <c r="N8280">
        <v>40.617134</v>
      </c>
      <c r="O8280">
        <v>-111.938772</v>
      </c>
      <c r="P8280">
        <v>4314.7449399999996</v>
      </c>
      <c r="Q8280">
        <v>1368</v>
      </c>
      <c r="R8280">
        <v>0</v>
      </c>
    </row>
    <row r="8281" spans="1:18" x14ac:dyDescent="0.25">
      <c r="A8281">
        <v>8130</v>
      </c>
      <c r="B8281">
        <v>94</v>
      </c>
      <c r="C8281">
        <v>31580907</v>
      </c>
      <c r="D8281" t="s">
        <v>172</v>
      </c>
      <c r="E8281">
        <v>48.845999999999997</v>
      </c>
      <c r="F8281" t="s">
        <v>21</v>
      </c>
      <c r="G8281" t="s">
        <v>26</v>
      </c>
      <c r="H8281" t="s">
        <v>21</v>
      </c>
      <c r="I8281" t="s">
        <v>20</v>
      </c>
      <c r="J8281" t="s">
        <v>20</v>
      </c>
      <c r="K8281" t="s">
        <v>27</v>
      </c>
      <c r="L8281" t="s">
        <v>230</v>
      </c>
      <c r="M8281" t="s">
        <v>174</v>
      </c>
      <c r="N8281">
        <v>39.610784000000002</v>
      </c>
      <c r="O8281">
        <v>-111.626828</v>
      </c>
      <c r="P8281">
        <v>5684.8880310000004</v>
      </c>
      <c r="Q8281">
        <v>1411</v>
      </c>
      <c r="R8281">
        <v>0</v>
      </c>
    </row>
    <row r="8282" spans="1:18" x14ac:dyDescent="0.25">
      <c r="A8282">
        <v>8131</v>
      </c>
      <c r="B8282">
        <v>94</v>
      </c>
      <c r="C8282" t="e">
        <f>-IpZKguhFVqgw-d5dgLcfk</f>
        <v>#NAME?</v>
      </c>
      <c r="D8282" t="s">
        <v>288</v>
      </c>
      <c r="E8282">
        <v>391.959</v>
      </c>
      <c r="F8282" t="s">
        <v>21</v>
      </c>
      <c r="G8282" t="s">
        <v>20</v>
      </c>
      <c r="H8282" t="s">
        <v>21</v>
      </c>
      <c r="I8282" t="s">
        <v>20</v>
      </c>
      <c r="J8282" t="s">
        <v>20</v>
      </c>
      <c r="K8282" t="s">
        <v>22</v>
      </c>
      <c r="L8282" t="s">
        <v>97</v>
      </c>
      <c r="M8282" t="s">
        <v>98</v>
      </c>
      <c r="N8282">
        <v>40.903782</v>
      </c>
      <c r="O8282">
        <v>-109.439672</v>
      </c>
      <c r="P8282">
        <v>6183.7902240000003</v>
      </c>
      <c r="Q8282">
        <v>350</v>
      </c>
      <c r="R8282">
        <v>0</v>
      </c>
    </row>
    <row r="8283" spans="1:18" x14ac:dyDescent="0.25">
      <c r="A8283">
        <v>8132</v>
      </c>
      <c r="B8283">
        <v>94</v>
      </c>
      <c r="C8283">
        <v>31591778</v>
      </c>
      <c r="D8283" t="s">
        <v>288</v>
      </c>
      <c r="E8283">
        <v>393.82499999999999</v>
      </c>
      <c r="F8283" t="s">
        <v>21</v>
      </c>
      <c r="G8283" t="s">
        <v>26</v>
      </c>
      <c r="H8283" t="s">
        <v>21</v>
      </c>
      <c r="I8283" t="s">
        <v>20</v>
      </c>
      <c r="J8283" t="s">
        <v>20</v>
      </c>
      <c r="K8283" t="s">
        <v>22</v>
      </c>
      <c r="L8283" t="s">
        <v>97</v>
      </c>
      <c r="M8283" t="s">
        <v>98</v>
      </c>
      <c r="N8283">
        <v>40.91198</v>
      </c>
      <c r="O8283">
        <v>-109.41761</v>
      </c>
      <c r="P8283">
        <v>6049.4731949999996</v>
      </c>
      <c r="Q8283">
        <v>350</v>
      </c>
      <c r="R8283">
        <v>0</v>
      </c>
    </row>
    <row r="8284" spans="1:18" x14ac:dyDescent="0.25">
      <c r="A8284">
        <v>8133</v>
      </c>
      <c r="B8284">
        <v>94</v>
      </c>
      <c r="C8284">
        <v>31593961</v>
      </c>
      <c r="D8284" t="s">
        <v>288</v>
      </c>
      <c r="E8284">
        <v>395.13</v>
      </c>
      <c r="F8284" t="s">
        <v>21</v>
      </c>
      <c r="G8284" t="s">
        <v>26</v>
      </c>
      <c r="H8284" t="s">
        <v>21</v>
      </c>
      <c r="I8284" t="s">
        <v>20</v>
      </c>
      <c r="J8284" t="s">
        <v>20</v>
      </c>
      <c r="K8284" t="s">
        <v>22</v>
      </c>
      <c r="L8284" t="s">
        <v>97</v>
      </c>
      <c r="M8284" t="s">
        <v>98</v>
      </c>
      <c r="N8284">
        <v>40.924109999999999</v>
      </c>
      <c r="O8284">
        <v>-109.417288</v>
      </c>
      <c r="P8284">
        <v>6351.1688679999997</v>
      </c>
      <c r="Q8284">
        <v>350</v>
      </c>
      <c r="R8284">
        <v>0</v>
      </c>
    </row>
    <row r="8285" spans="1:18" x14ac:dyDescent="0.25">
      <c r="A8285">
        <v>8134</v>
      </c>
      <c r="B8285">
        <v>94</v>
      </c>
      <c r="C8285">
        <v>31593972</v>
      </c>
      <c r="D8285" t="s">
        <v>288</v>
      </c>
      <c r="E8285">
        <v>395.767</v>
      </c>
      <c r="F8285" t="s">
        <v>21</v>
      </c>
      <c r="G8285" t="s">
        <v>26</v>
      </c>
      <c r="H8285" t="s">
        <v>21</v>
      </c>
      <c r="I8285" t="s">
        <v>20</v>
      </c>
      <c r="J8285" t="s">
        <v>20</v>
      </c>
      <c r="K8285" t="s">
        <v>22</v>
      </c>
      <c r="L8285" t="s">
        <v>97</v>
      </c>
      <c r="M8285" t="s">
        <v>98</v>
      </c>
      <c r="N8285">
        <v>40.930964000000003</v>
      </c>
      <c r="O8285">
        <v>-109.409499</v>
      </c>
      <c r="P8285">
        <v>6204.2677009999998</v>
      </c>
      <c r="Q8285">
        <v>350</v>
      </c>
      <c r="R8285">
        <v>0</v>
      </c>
    </row>
    <row r="8286" spans="1:18" x14ac:dyDescent="0.25">
      <c r="A8286">
        <v>8135</v>
      </c>
      <c r="B8286">
        <v>94</v>
      </c>
      <c r="C8286">
        <v>31593983</v>
      </c>
      <c r="D8286" t="s">
        <v>288</v>
      </c>
      <c r="E8286">
        <v>396.00900000000001</v>
      </c>
      <c r="F8286" t="s">
        <v>21</v>
      </c>
      <c r="G8286" t="s">
        <v>26</v>
      </c>
      <c r="H8286" t="s">
        <v>21</v>
      </c>
      <c r="I8286" t="s">
        <v>20</v>
      </c>
      <c r="J8286" t="s">
        <v>20</v>
      </c>
      <c r="K8286" t="s">
        <v>22</v>
      </c>
      <c r="L8286" t="s">
        <v>97</v>
      </c>
      <c r="M8286" t="s">
        <v>98</v>
      </c>
      <c r="N8286">
        <v>40.932613000000003</v>
      </c>
      <c r="O8286">
        <v>-109.405506</v>
      </c>
      <c r="P8286">
        <v>6211.3234599999996</v>
      </c>
      <c r="Q8286">
        <v>350</v>
      </c>
      <c r="R8286">
        <v>0</v>
      </c>
    </row>
    <row r="8287" spans="1:18" x14ac:dyDescent="0.25">
      <c r="A8287">
        <v>8136</v>
      </c>
      <c r="B8287">
        <v>94</v>
      </c>
      <c r="C8287">
        <v>31768711</v>
      </c>
      <c r="D8287" t="s">
        <v>290</v>
      </c>
      <c r="E8287">
        <v>85.385000000000005</v>
      </c>
      <c r="F8287" t="s">
        <v>21</v>
      </c>
      <c r="G8287" t="s">
        <v>20</v>
      </c>
      <c r="H8287" t="s">
        <v>21</v>
      </c>
      <c r="I8287" t="s">
        <v>20</v>
      </c>
      <c r="J8287" t="s">
        <v>20</v>
      </c>
      <c r="K8287" t="s">
        <v>41</v>
      </c>
      <c r="L8287" t="s">
        <v>291</v>
      </c>
      <c r="M8287" t="s">
        <v>238</v>
      </c>
      <c r="N8287">
        <v>41.967148999999999</v>
      </c>
      <c r="O8287">
        <v>-112.853053</v>
      </c>
      <c r="P8287">
        <v>4347.2045090000001</v>
      </c>
      <c r="Q8287">
        <v>1343</v>
      </c>
      <c r="R8287">
        <v>0</v>
      </c>
    </row>
    <row r="8288" spans="1:18" x14ac:dyDescent="0.25">
      <c r="A8288">
        <v>8137</v>
      </c>
      <c r="B8288">
        <v>94</v>
      </c>
      <c r="C8288">
        <v>31894600</v>
      </c>
      <c r="D8288" t="s">
        <v>272</v>
      </c>
      <c r="E8288">
        <v>85.388999999999996</v>
      </c>
      <c r="F8288" t="s">
        <v>21</v>
      </c>
      <c r="G8288" t="s">
        <v>26</v>
      </c>
      <c r="H8288" t="s">
        <v>21</v>
      </c>
      <c r="I8288" t="s">
        <v>20</v>
      </c>
      <c r="J8288" t="s">
        <v>20</v>
      </c>
      <c r="K8288" t="s">
        <v>27</v>
      </c>
      <c r="L8288" t="s">
        <v>279</v>
      </c>
      <c r="M8288" t="s">
        <v>214</v>
      </c>
      <c r="N8288">
        <v>37.274433000000002</v>
      </c>
      <c r="O8288">
        <v>-112.64368</v>
      </c>
      <c r="P8288">
        <v>5405.2840669999996</v>
      </c>
      <c r="Q8288">
        <v>1384</v>
      </c>
      <c r="R8288">
        <v>0</v>
      </c>
    </row>
    <row r="8289" spans="1:18" x14ac:dyDescent="0.25">
      <c r="A8289">
        <v>8138</v>
      </c>
      <c r="B8289">
        <v>94</v>
      </c>
      <c r="C8289">
        <v>31895911</v>
      </c>
      <c r="D8289" t="s">
        <v>272</v>
      </c>
      <c r="E8289">
        <v>85.590999999999994</v>
      </c>
      <c r="F8289" t="s">
        <v>21</v>
      </c>
      <c r="G8289" t="s">
        <v>26</v>
      </c>
      <c r="H8289" t="s">
        <v>21</v>
      </c>
      <c r="I8289" t="s">
        <v>20</v>
      </c>
      <c r="J8289" t="s">
        <v>20</v>
      </c>
      <c r="K8289" t="s">
        <v>27</v>
      </c>
      <c r="L8289" t="s">
        <v>279</v>
      </c>
      <c r="M8289" t="s">
        <v>214</v>
      </c>
      <c r="N8289">
        <v>37.275989000000003</v>
      </c>
      <c r="O8289">
        <v>-112.640626</v>
      </c>
      <c r="P8289">
        <v>5395.5232509999996</v>
      </c>
      <c r="Q8289">
        <v>1384</v>
      </c>
      <c r="R8289">
        <v>0</v>
      </c>
    </row>
    <row r="8290" spans="1:18" x14ac:dyDescent="0.25">
      <c r="A8290">
        <v>8139</v>
      </c>
      <c r="B8290">
        <v>94</v>
      </c>
      <c r="C8290">
        <v>31895922</v>
      </c>
      <c r="D8290" t="s">
        <v>272</v>
      </c>
      <c r="E8290">
        <v>85.697999999999993</v>
      </c>
      <c r="F8290" t="s">
        <v>21</v>
      </c>
      <c r="G8290" t="s">
        <v>26</v>
      </c>
      <c r="H8290" t="s">
        <v>21</v>
      </c>
      <c r="I8290" t="s">
        <v>20</v>
      </c>
      <c r="J8290" t="s">
        <v>20</v>
      </c>
      <c r="K8290" t="s">
        <v>27</v>
      </c>
      <c r="L8290" t="s">
        <v>279</v>
      </c>
      <c r="M8290" t="s">
        <v>214</v>
      </c>
      <c r="N8290">
        <v>37.275998999999999</v>
      </c>
      <c r="O8290">
        <v>-112.638689</v>
      </c>
      <c r="P8290">
        <v>5391.9726909999999</v>
      </c>
      <c r="Q8290">
        <v>1384</v>
      </c>
      <c r="R8290">
        <v>0</v>
      </c>
    </row>
    <row r="8291" spans="1:18" x14ac:dyDescent="0.25">
      <c r="A8291">
        <v>8140</v>
      </c>
      <c r="B8291">
        <v>94</v>
      </c>
      <c r="C8291">
        <v>31477714</v>
      </c>
      <c r="D8291" t="s">
        <v>320</v>
      </c>
      <c r="E8291">
        <v>94.840999999999994</v>
      </c>
      <c r="F8291" t="s">
        <v>21</v>
      </c>
      <c r="G8291" t="s">
        <v>26</v>
      </c>
      <c r="H8291" t="s">
        <v>21</v>
      </c>
      <c r="I8291" t="s">
        <v>20</v>
      </c>
      <c r="J8291" t="s">
        <v>20</v>
      </c>
      <c r="K8291" t="s">
        <v>27</v>
      </c>
      <c r="L8291" t="s">
        <v>173</v>
      </c>
      <c r="M8291" t="s">
        <v>166</v>
      </c>
      <c r="N8291">
        <v>39.327855999999997</v>
      </c>
      <c r="O8291">
        <v>-112.48565499999999</v>
      </c>
      <c r="P8291">
        <v>4602.2897869999997</v>
      </c>
      <c r="Q8291">
        <v>1356</v>
      </c>
      <c r="R8291">
        <v>0</v>
      </c>
    </row>
    <row r="8292" spans="1:18" x14ac:dyDescent="0.25">
      <c r="A8292">
        <v>8141</v>
      </c>
      <c r="B8292">
        <v>94</v>
      </c>
      <c r="C8292">
        <v>31775976</v>
      </c>
      <c r="D8292" t="s">
        <v>290</v>
      </c>
      <c r="E8292">
        <v>94.95</v>
      </c>
      <c r="F8292" t="s">
        <v>21</v>
      </c>
      <c r="G8292" t="s">
        <v>26</v>
      </c>
      <c r="H8292" t="s">
        <v>19</v>
      </c>
      <c r="I8292">
        <v>38</v>
      </c>
      <c r="J8292" t="s">
        <v>20</v>
      </c>
      <c r="K8292" t="s">
        <v>41</v>
      </c>
      <c r="L8292" t="s">
        <v>223</v>
      </c>
      <c r="M8292" t="s">
        <v>152</v>
      </c>
      <c r="N8292">
        <v>41.785272999999997</v>
      </c>
      <c r="O8292">
        <v>-112.090808</v>
      </c>
      <c r="P8292">
        <v>4441.3686660000003</v>
      </c>
      <c r="Q8292">
        <v>1343</v>
      </c>
      <c r="R8292">
        <v>0</v>
      </c>
    </row>
    <row r="8293" spans="1:18" x14ac:dyDescent="0.25">
      <c r="A8293">
        <v>8142</v>
      </c>
      <c r="B8293">
        <v>94</v>
      </c>
      <c r="C8293">
        <v>31374164</v>
      </c>
      <c r="D8293" t="s">
        <v>142</v>
      </c>
      <c r="E8293">
        <v>95.073999999999998</v>
      </c>
      <c r="F8293" t="s">
        <v>21</v>
      </c>
      <c r="G8293" t="s">
        <v>26</v>
      </c>
      <c r="H8293" t="s">
        <v>21</v>
      </c>
      <c r="I8293" t="s">
        <v>20</v>
      </c>
      <c r="J8293" t="s">
        <v>20</v>
      </c>
      <c r="K8293" t="s">
        <v>27</v>
      </c>
      <c r="L8293" t="s">
        <v>143</v>
      </c>
      <c r="M8293" t="s">
        <v>106</v>
      </c>
      <c r="N8293">
        <v>38.218727000000001</v>
      </c>
      <c r="O8293">
        <v>-112.843424</v>
      </c>
      <c r="P8293">
        <v>5351.6899430000003</v>
      </c>
      <c r="Q8293">
        <v>305</v>
      </c>
      <c r="R8293">
        <v>0</v>
      </c>
    </row>
    <row r="8294" spans="1:18" x14ac:dyDescent="0.25">
      <c r="A8294">
        <v>8143</v>
      </c>
      <c r="B8294">
        <v>94</v>
      </c>
      <c r="C8294">
        <v>31558723</v>
      </c>
      <c r="D8294" t="s">
        <v>213</v>
      </c>
      <c r="E8294">
        <v>95.084999999999994</v>
      </c>
      <c r="F8294" t="s">
        <v>21</v>
      </c>
      <c r="G8294" t="s">
        <v>26</v>
      </c>
      <c r="H8294" t="s">
        <v>21</v>
      </c>
      <c r="I8294" t="s">
        <v>20</v>
      </c>
      <c r="J8294" t="s">
        <v>20</v>
      </c>
      <c r="K8294" t="s">
        <v>27</v>
      </c>
      <c r="L8294" t="s">
        <v>173</v>
      </c>
      <c r="M8294" t="s">
        <v>214</v>
      </c>
      <c r="N8294">
        <v>39.409878999999997</v>
      </c>
      <c r="O8294">
        <v>-112.488365</v>
      </c>
      <c r="P8294">
        <v>4681.9800750000004</v>
      </c>
      <c r="Q8294">
        <v>1332</v>
      </c>
      <c r="R8294">
        <v>0</v>
      </c>
    </row>
    <row r="8295" spans="1:18" x14ac:dyDescent="0.25">
      <c r="A8295">
        <v>8144</v>
      </c>
      <c r="B8295">
        <v>94</v>
      </c>
      <c r="C8295">
        <v>31900931</v>
      </c>
      <c r="D8295" t="s">
        <v>272</v>
      </c>
      <c r="E8295">
        <v>95.18</v>
      </c>
      <c r="F8295" t="s">
        <v>21</v>
      </c>
      <c r="G8295" t="s">
        <v>26</v>
      </c>
      <c r="H8295" t="s">
        <v>21</v>
      </c>
      <c r="I8295" t="s">
        <v>20</v>
      </c>
      <c r="J8295" t="s">
        <v>20</v>
      </c>
      <c r="K8295" t="s">
        <v>27</v>
      </c>
      <c r="L8295" t="s">
        <v>279</v>
      </c>
      <c r="M8295" t="s">
        <v>214</v>
      </c>
      <c r="N8295">
        <v>37.382891000000001</v>
      </c>
      <c r="O8295">
        <v>-112.57700199999999</v>
      </c>
      <c r="P8295">
        <v>6357.5826390000002</v>
      </c>
      <c r="Q8295">
        <v>1384</v>
      </c>
      <c r="R8295">
        <v>0</v>
      </c>
    </row>
    <row r="8296" spans="1:18" x14ac:dyDescent="0.25">
      <c r="A8296">
        <v>8145</v>
      </c>
      <c r="B8296">
        <v>94</v>
      </c>
      <c r="C8296">
        <v>31430951</v>
      </c>
      <c r="D8296" t="s">
        <v>288</v>
      </c>
      <c r="E8296">
        <v>95.218999999999994</v>
      </c>
      <c r="F8296" t="s">
        <v>21</v>
      </c>
      <c r="G8296" t="s">
        <v>26</v>
      </c>
      <c r="H8296" t="s">
        <v>21</v>
      </c>
      <c r="I8296" t="s">
        <v>20</v>
      </c>
      <c r="J8296" t="s">
        <v>20</v>
      </c>
      <c r="K8296" t="s">
        <v>27</v>
      </c>
      <c r="L8296" t="s">
        <v>146</v>
      </c>
      <c r="M8296" t="s">
        <v>147</v>
      </c>
      <c r="N8296">
        <v>38.201974999999997</v>
      </c>
      <c r="O8296">
        <v>-109.374888</v>
      </c>
      <c r="P8296">
        <v>5638.8515909999996</v>
      </c>
      <c r="Q8296">
        <v>350</v>
      </c>
      <c r="R8296">
        <v>0</v>
      </c>
    </row>
    <row r="8297" spans="1:18" x14ac:dyDescent="0.25">
      <c r="A8297">
        <v>8146</v>
      </c>
      <c r="B8297">
        <v>94</v>
      </c>
      <c r="C8297">
        <v>31390128</v>
      </c>
      <c r="D8297" t="s">
        <v>184</v>
      </c>
      <c r="E8297">
        <v>7.609</v>
      </c>
      <c r="F8297" t="s">
        <v>21</v>
      </c>
      <c r="G8297" t="s">
        <v>20</v>
      </c>
      <c r="H8297" t="s">
        <v>21</v>
      </c>
      <c r="I8297" t="s">
        <v>20</v>
      </c>
      <c r="J8297" t="s">
        <v>20</v>
      </c>
      <c r="K8297" t="s">
        <v>27</v>
      </c>
      <c r="L8297" t="s">
        <v>54</v>
      </c>
      <c r="M8297" t="s">
        <v>55</v>
      </c>
      <c r="N8297">
        <v>37.748243000000002</v>
      </c>
      <c r="O8297">
        <v>-113.055262</v>
      </c>
      <c r="P8297">
        <v>5470.1863400000002</v>
      </c>
      <c r="Q8297">
        <v>1410</v>
      </c>
      <c r="R8297">
        <v>0</v>
      </c>
    </row>
    <row r="8298" spans="1:18" x14ac:dyDescent="0.25">
      <c r="A8298">
        <v>8147</v>
      </c>
      <c r="B8298">
        <v>94</v>
      </c>
      <c r="C8298">
        <v>31504539</v>
      </c>
      <c r="D8298" t="s">
        <v>292</v>
      </c>
      <c r="E8298">
        <v>7.61</v>
      </c>
      <c r="F8298" t="s">
        <v>21</v>
      </c>
      <c r="G8298" t="s">
        <v>26</v>
      </c>
      <c r="H8298" t="s">
        <v>21</v>
      </c>
      <c r="I8298" t="s">
        <v>20</v>
      </c>
      <c r="J8298" t="s">
        <v>20</v>
      </c>
      <c r="K8298" t="s">
        <v>22</v>
      </c>
      <c r="L8298" t="s">
        <v>253</v>
      </c>
      <c r="M8298" t="s">
        <v>134</v>
      </c>
      <c r="N8298">
        <v>40.271420999999997</v>
      </c>
      <c r="O8298">
        <v>-110.380792</v>
      </c>
      <c r="P8298">
        <v>6051.4331350000002</v>
      </c>
      <c r="Q8298">
        <v>323</v>
      </c>
      <c r="R8298">
        <v>0</v>
      </c>
    </row>
    <row r="8299" spans="1:18" x14ac:dyDescent="0.25">
      <c r="A8299">
        <v>8148</v>
      </c>
      <c r="B8299">
        <v>94</v>
      </c>
      <c r="C8299">
        <v>27692104</v>
      </c>
      <c r="D8299" t="s">
        <v>217</v>
      </c>
      <c r="E8299">
        <v>7.6189999999999998</v>
      </c>
      <c r="F8299" t="s">
        <v>21</v>
      </c>
      <c r="G8299" t="s">
        <v>26</v>
      </c>
      <c r="H8299" t="s">
        <v>21</v>
      </c>
      <c r="I8299" t="s">
        <v>20</v>
      </c>
      <c r="J8299" t="s">
        <v>20</v>
      </c>
      <c r="K8299" t="s">
        <v>27</v>
      </c>
      <c r="L8299" t="s">
        <v>72</v>
      </c>
      <c r="M8299" t="s">
        <v>163</v>
      </c>
      <c r="N8299">
        <v>37.181249999999999</v>
      </c>
      <c r="O8299">
        <v>-113.61913199999999</v>
      </c>
      <c r="P8299">
        <v>3637.8848240000002</v>
      </c>
      <c r="Q8299">
        <v>304</v>
      </c>
      <c r="R8299">
        <v>0</v>
      </c>
    </row>
    <row r="8300" spans="1:18" x14ac:dyDescent="0.25">
      <c r="A8300">
        <v>8149</v>
      </c>
      <c r="B8300">
        <v>94</v>
      </c>
      <c r="C8300">
        <v>1013435</v>
      </c>
      <c r="D8300" t="s">
        <v>65</v>
      </c>
      <c r="E8300">
        <v>7.6269999999999998</v>
      </c>
      <c r="F8300" t="s">
        <v>21</v>
      </c>
      <c r="G8300" t="s">
        <v>26</v>
      </c>
      <c r="H8300" t="s">
        <v>21</v>
      </c>
      <c r="I8300" t="s">
        <v>20</v>
      </c>
      <c r="J8300" t="s">
        <v>20</v>
      </c>
      <c r="K8300" t="s">
        <v>31</v>
      </c>
      <c r="L8300" t="s">
        <v>188</v>
      </c>
      <c r="M8300" t="s">
        <v>67</v>
      </c>
      <c r="N8300">
        <v>40.730465000000002</v>
      </c>
      <c r="O8300">
        <v>-111.81796300000001</v>
      </c>
      <c r="P8300">
        <v>4692.2140259999996</v>
      </c>
      <c r="Q8300">
        <v>402</v>
      </c>
      <c r="R8300">
        <v>0</v>
      </c>
    </row>
    <row r="8301" spans="1:18" x14ac:dyDescent="0.25">
      <c r="A8301">
        <v>8150</v>
      </c>
      <c r="B8301">
        <v>94</v>
      </c>
      <c r="C8301" t="e">
        <f>-IovX9BKHY9sHZA99jPvAk</f>
        <v>#NAME?</v>
      </c>
      <c r="D8301" t="s">
        <v>308</v>
      </c>
      <c r="E8301">
        <v>7.6310000000000002</v>
      </c>
      <c r="F8301" t="s">
        <v>21</v>
      </c>
      <c r="G8301" t="s">
        <v>20</v>
      </c>
      <c r="H8301" t="s">
        <v>21</v>
      </c>
      <c r="I8301" t="s">
        <v>20</v>
      </c>
      <c r="J8301" t="s">
        <v>20</v>
      </c>
      <c r="K8301" t="s">
        <v>27</v>
      </c>
      <c r="L8301" t="s">
        <v>230</v>
      </c>
      <c r="M8301" t="s">
        <v>82</v>
      </c>
      <c r="N8301">
        <v>39.676575</v>
      </c>
      <c r="O8301">
        <v>-111.32746299999999</v>
      </c>
      <c r="P8301">
        <v>8517.3906189999998</v>
      </c>
      <c r="Q8301">
        <v>1344</v>
      </c>
      <c r="R8301">
        <v>0</v>
      </c>
    </row>
    <row r="8302" spans="1:18" x14ac:dyDescent="0.25">
      <c r="A8302">
        <v>8151</v>
      </c>
      <c r="B8302">
        <v>94</v>
      </c>
      <c r="C8302">
        <v>539970</v>
      </c>
      <c r="D8302" t="s">
        <v>44</v>
      </c>
      <c r="E8302">
        <v>7.6310000000000002</v>
      </c>
      <c r="F8302" t="s">
        <v>21</v>
      </c>
      <c r="G8302" t="s">
        <v>26</v>
      </c>
      <c r="H8302" t="s">
        <v>21</v>
      </c>
      <c r="I8302" t="s">
        <v>20</v>
      </c>
      <c r="J8302" t="s">
        <v>20</v>
      </c>
      <c r="K8302" t="s">
        <v>41</v>
      </c>
      <c r="L8302" t="s">
        <v>87</v>
      </c>
      <c r="M8302" t="s">
        <v>46</v>
      </c>
      <c r="N8302">
        <v>40.985410999999999</v>
      </c>
      <c r="O8302">
        <v>-111.887541</v>
      </c>
      <c r="P8302">
        <v>4260.3311359999998</v>
      </c>
      <c r="Q8302">
        <v>1395</v>
      </c>
      <c r="R8302">
        <v>0</v>
      </c>
    </row>
    <row r="8303" spans="1:18" x14ac:dyDescent="0.25">
      <c r="A8303">
        <v>8152</v>
      </c>
      <c r="B8303">
        <v>94</v>
      </c>
      <c r="C8303">
        <v>31845334</v>
      </c>
      <c r="D8303" t="s">
        <v>272</v>
      </c>
      <c r="E8303">
        <v>64.825999999999993</v>
      </c>
      <c r="F8303" t="s">
        <v>21</v>
      </c>
      <c r="G8303" t="s">
        <v>26</v>
      </c>
      <c r="H8303" t="s">
        <v>21</v>
      </c>
      <c r="I8303" t="s">
        <v>20</v>
      </c>
      <c r="J8303" t="s">
        <v>20</v>
      </c>
      <c r="K8303" t="s">
        <v>27</v>
      </c>
      <c r="L8303" t="s">
        <v>259</v>
      </c>
      <c r="M8303" t="s">
        <v>214</v>
      </c>
      <c r="N8303">
        <v>37.051552000000001</v>
      </c>
      <c r="O8303">
        <v>-112.535025</v>
      </c>
      <c r="P8303">
        <v>4885.9479350000001</v>
      </c>
      <c r="Q8303">
        <v>1384</v>
      </c>
      <c r="R8303">
        <v>0</v>
      </c>
    </row>
    <row r="8304" spans="1:18" x14ac:dyDescent="0.25">
      <c r="A8304">
        <v>8153</v>
      </c>
      <c r="B8304">
        <v>94</v>
      </c>
      <c r="C8304">
        <v>31775232</v>
      </c>
      <c r="D8304" t="s">
        <v>290</v>
      </c>
      <c r="E8304">
        <v>93.15</v>
      </c>
      <c r="F8304" t="s">
        <v>21</v>
      </c>
      <c r="G8304" t="s">
        <v>26</v>
      </c>
      <c r="H8304" t="s">
        <v>19</v>
      </c>
      <c r="I8304">
        <v>81</v>
      </c>
      <c r="J8304" t="s">
        <v>20</v>
      </c>
      <c r="K8304" t="s">
        <v>41</v>
      </c>
      <c r="L8304" t="s">
        <v>223</v>
      </c>
      <c r="M8304" t="s">
        <v>152</v>
      </c>
      <c r="N8304">
        <v>41.785437999999999</v>
      </c>
      <c r="O8304">
        <v>-112.125124</v>
      </c>
      <c r="P8304">
        <v>4305.5952180000004</v>
      </c>
      <c r="Q8304">
        <v>1343</v>
      </c>
      <c r="R8304">
        <v>0</v>
      </c>
    </row>
    <row r="8305" spans="1:18" x14ac:dyDescent="0.25">
      <c r="A8305">
        <v>8154</v>
      </c>
      <c r="B8305">
        <v>94</v>
      </c>
      <c r="C8305">
        <v>31775954</v>
      </c>
      <c r="D8305" t="s">
        <v>290</v>
      </c>
      <c r="E8305">
        <v>93.460999999999999</v>
      </c>
      <c r="F8305" t="s">
        <v>21</v>
      </c>
      <c r="G8305" t="s">
        <v>20</v>
      </c>
      <c r="H8305" t="s">
        <v>21</v>
      </c>
      <c r="I8305" t="s">
        <v>20</v>
      </c>
      <c r="J8305" t="s">
        <v>20</v>
      </c>
      <c r="K8305" t="s">
        <v>41</v>
      </c>
      <c r="L8305" t="s">
        <v>223</v>
      </c>
      <c r="M8305" t="s">
        <v>152</v>
      </c>
      <c r="N8305">
        <v>41.785519000000001</v>
      </c>
      <c r="O8305">
        <v>-112.11909799999999</v>
      </c>
      <c r="P8305">
        <v>4311.2199549999996</v>
      </c>
      <c r="Q8305">
        <v>1343</v>
      </c>
      <c r="R8305">
        <v>0</v>
      </c>
    </row>
    <row r="8306" spans="1:18" x14ac:dyDescent="0.25">
      <c r="A8306">
        <v>8155</v>
      </c>
      <c r="B8306">
        <v>94</v>
      </c>
      <c r="C8306">
        <v>31371778</v>
      </c>
      <c r="D8306" t="s">
        <v>142</v>
      </c>
      <c r="E8306">
        <v>78.539000000000001</v>
      </c>
      <c r="F8306" t="s">
        <v>21</v>
      </c>
      <c r="G8306" t="s">
        <v>26</v>
      </c>
      <c r="H8306" t="s">
        <v>21</v>
      </c>
      <c r="I8306" t="s">
        <v>20</v>
      </c>
      <c r="J8306" t="s">
        <v>20</v>
      </c>
      <c r="K8306" t="s">
        <v>27</v>
      </c>
      <c r="L8306" t="s">
        <v>143</v>
      </c>
      <c r="M8306" t="s">
        <v>106</v>
      </c>
      <c r="N8306">
        <v>38.379513000000003</v>
      </c>
      <c r="O8306">
        <v>-113.002728</v>
      </c>
      <c r="P8306">
        <v>4894.0745180000004</v>
      </c>
      <c r="Q8306">
        <v>305</v>
      </c>
      <c r="R8306">
        <v>0</v>
      </c>
    </row>
    <row r="8307" spans="1:18" x14ac:dyDescent="0.25">
      <c r="A8307">
        <v>8156</v>
      </c>
      <c r="B8307">
        <v>94</v>
      </c>
      <c r="C8307">
        <v>31768134</v>
      </c>
      <c r="D8307" t="s">
        <v>290</v>
      </c>
      <c r="E8307">
        <v>78.813000000000002</v>
      </c>
      <c r="F8307" t="s">
        <v>21</v>
      </c>
      <c r="G8307" t="s">
        <v>20</v>
      </c>
      <c r="H8307" t="s">
        <v>21</v>
      </c>
      <c r="I8307" t="s">
        <v>20</v>
      </c>
      <c r="J8307" t="s">
        <v>20</v>
      </c>
      <c r="K8307" t="s">
        <v>41</v>
      </c>
      <c r="L8307" t="s">
        <v>291</v>
      </c>
      <c r="M8307" t="s">
        <v>238</v>
      </c>
      <c r="N8307">
        <v>41.965972000000001</v>
      </c>
      <c r="O8307">
        <v>-112.98048199999999</v>
      </c>
      <c r="P8307">
        <v>4473.4541360000003</v>
      </c>
      <c r="Q8307">
        <v>1343</v>
      </c>
      <c r="R8307">
        <v>0</v>
      </c>
    </row>
    <row r="8308" spans="1:18" x14ac:dyDescent="0.25">
      <c r="A8308">
        <v>8157</v>
      </c>
      <c r="B8308">
        <v>94</v>
      </c>
      <c r="C8308">
        <v>31771058</v>
      </c>
      <c r="D8308" t="s">
        <v>118</v>
      </c>
      <c r="E8308">
        <v>78.918000000000006</v>
      </c>
      <c r="F8308" t="s">
        <v>21</v>
      </c>
      <c r="G8308" t="s">
        <v>20</v>
      </c>
      <c r="H8308" t="s">
        <v>21</v>
      </c>
      <c r="I8308" t="s">
        <v>20</v>
      </c>
      <c r="J8308" t="s">
        <v>20</v>
      </c>
      <c r="K8308" t="s">
        <v>22</v>
      </c>
      <c r="L8308" t="s">
        <v>253</v>
      </c>
      <c r="M8308" t="s">
        <v>120</v>
      </c>
      <c r="N8308">
        <v>40.176034000000001</v>
      </c>
      <c r="O8308">
        <v>-110.539704</v>
      </c>
      <c r="P8308">
        <v>5991.9129110000003</v>
      </c>
      <c r="Q8308">
        <v>310</v>
      </c>
      <c r="R8308">
        <v>0</v>
      </c>
    </row>
    <row r="8309" spans="1:18" x14ac:dyDescent="0.25">
      <c r="A8309">
        <v>8158</v>
      </c>
      <c r="B8309">
        <v>94</v>
      </c>
      <c r="C8309">
        <v>31771069</v>
      </c>
      <c r="D8309" t="s">
        <v>118</v>
      </c>
      <c r="E8309">
        <v>79.028999999999996</v>
      </c>
      <c r="F8309" t="s">
        <v>21</v>
      </c>
      <c r="G8309" t="s">
        <v>20</v>
      </c>
      <c r="H8309" t="s">
        <v>21</v>
      </c>
      <c r="I8309" t="s">
        <v>20</v>
      </c>
      <c r="J8309" t="s">
        <v>20</v>
      </c>
      <c r="K8309" t="s">
        <v>22</v>
      </c>
      <c r="L8309" t="s">
        <v>253</v>
      </c>
      <c r="M8309" t="s">
        <v>120</v>
      </c>
      <c r="N8309">
        <v>40.176851999999997</v>
      </c>
      <c r="O8309">
        <v>-110.53789500000001</v>
      </c>
      <c r="P8309">
        <v>5976.7547070000001</v>
      </c>
      <c r="Q8309">
        <v>310</v>
      </c>
      <c r="R8309">
        <v>0</v>
      </c>
    </row>
    <row r="8310" spans="1:18" x14ac:dyDescent="0.25">
      <c r="A8310">
        <v>8159</v>
      </c>
      <c r="B8310">
        <v>94</v>
      </c>
      <c r="C8310">
        <v>31421989</v>
      </c>
      <c r="D8310" t="s">
        <v>288</v>
      </c>
      <c r="E8310">
        <v>79.09</v>
      </c>
      <c r="F8310" t="s">
        <v>21</v>
      </c>
      <c r="G8310" t="s">
        <v>20</v>
      </c>
      <c r="H8310" t="s">
        <v>21</v>
      </c>
      <c r="I8310" t="s">
        <v>20</v>
      </c>
      <c r="J8310" t="s">
        <v>20</v>
      </c>
      <c r="K8310" t="s">
        <v>27</v>
      </c>
      <c r="L8310" t="s">
        <v>146</v>
      </c>
      <c r="M8310" t="s">
        <v>147</v>
      </c>
      <c r="N8310">
        <v>37.974640999999998</v>
      </c>
      <c r="O8310">
        <v>-109.35494799999999</v>
      </c>
      <c r="P8310">
        <v>6784.1214980000004</v>
      </c>
      <c r="Q8310">
        <v>350</v>
      </c>
      <c r="R8310">
        <v>0</v>
      </c>
    </row>
    <row r="8311" spans="1:18" x14ac:dyDescent="0.25">
      <c r="A8311">
        <v>8160</v>
      </c>
      <c r="B8311">
        <v>94</v>
      </c>
      <c r="C8311">
        <v>31718641</v>
      </c>
      <c r="D8311" t="s">
        <v>244</v>
      </c>
      <c r="E8311">
        <v>79.286000000000001</v>
      </c>
      <c r="F8311" t="s">
        <v>21</v>
      </c>
      <c r="G8311" t="s">
        <v>26</v>
      </c>
      <c r="H8311" t="s">
        <v>21</v>
      </c>
      <c r="I8311" t="s">
        <v>20</v>
      </c>
      <c r="J8311" t="s">
        <v>20</v>
      </c>
      <c r="K8311" t="s">
        <v>27</v>
      </c>
      <c r="L8311" t="s">
        <v>266</v>
      </c>
      <c r="M8311" t="s">
        <v>270</v>
      </c>
      <c r="N8311">
        <v>38.291592000000001</v>
      </c>
      <c r="O8311">
        <v>-111.261244</v>
      </c>
      <c r="P8311">
        <v>5430.5379709999997</v>
      </c>
      <c r="Q8311">
        <v>1340</v>
      </c>
      <c r="R8311">
        <v>0</v>
      </c>
    </row>
    <row r="8312" spans="1:18" x14ac:dyDescent="0.25">
      <c r="A8312">
        <v>8161</v>
      </c>
      <c r="B8312">
        <v>94</v>
      </c>
      <c r="C8312">
        <v>31771438</v>
      </c>
      <c r="D8312" t="s">
        <v>290</v>
      </c>
      <c r="E8312">
        <v>90.272999999999996</v>
      </c>
      <c r="F8312" t="s">
        <v>21</v>
      </c>
      <c r="G8312" t="s">
        <v>26</v>
      </c>
      <c r="H8312" t="s">
        <v>21</v>
      </c>
      <c r="I8312" t="s">
        <v>20</v>
      </c>
      <c r="J8312" t="s">
        <v>20</v>
      </c>
      <c r="K8312" t="s">
        <v>41</v>
      </c>
      <c r="L8312" t="s">
        <v>291</v>
      </c>
      <c r="M8312" t="s">
        <v>238</v>
      </c>
      <c r="N8312">
        <v>41.963712999999998</v>
      </c>
      <c r="O8312">
        <v>-112.759416</v>
      </c>
      <c r="P8312">
        <v>4489.626029</v>
      </c>
      <c r="Q8312">
        <v>1343</v>
      </c>
      <c r="R8312">
        <v>0</v>
      </c>
    </row>
    <row r="8313" spans="1:18" x14ac:dyDescent="0.25">
      <c r="A8313">
        <v>8162</v>
      </c>
      <c r="B8313">
        <v>94</v>
      </c>
      <c r="C8313" t="e">
        <f>-JSZ1P15IOeeWlsKL0KZIk</f>
        <v>#NAME?</v>
      </c>
      <c r="D8313" t="s">
        <v>272</v>
      </c>
      <c r="E8313">
        <v>90.400999999999996</v>
      </c>
      <c r="F8313" t="s">
        <v>21</v>
      </c>
      <c r="G8313" t="s">
        <v>20</v>
      </c>
      <c r="H8313" t="s">
        <v>21</v>
      </c>
      <c r="I8313" t="s">
        <v>20</v>
      </c>
      <c r="J8313" t="s">
        <v>20</v>
      </c>
      <c r="K8313" t="s">
        <v>27</v>
      </c>
      <c r="L8313" t="s">
        <v>279</v>
      </c>
      <c r="M8313" t="s">
        <v>214</v>
      </c>
      <c r="N8313">
        <v>37.327610999999997</v>
      </c>
      <c r="O8313">
        <v>-112.599839</v>
      </c>
      <c r="P8313">
        <v>5765.7274690000004</v>
      </c>
      <c r="Q8313">
        <v>1384</v>
      </c>
      <c r="R8313">
        <v>0</v>
      </c>
    </row>
    <row r="8314" spans="1:18" x14ac:dyDescent="0.25">
      <c r="A8314">
        <v>8163</v>
      </c>
      <c r="B8314">
        <v>94</v>
      </c>
      <c r="C8314">
        <v>31556118</v>
      </c>
      <c r="D8314" t="s">
        <v>213</v>
      </c>
      <c r="E8314">
        <v>90.444000000000003</v>
      </c>
      <c r="F8314" t="s">
        <v>21</v>
      </c>
      <c r="G8314" t="s">
        <v>26</v>
      </c>
      <c r="H8314" t="s">
        <v>21</v>
      </c>
      <c r="I8314" t="s">
        <v>20</v>
      </c>
      <c r="J8314" t="s">
        <v>20</v>
      </c>
      <c r="K8314" t="s">
        <v>27</v>
      </c>
      <c r="L8314" t="s">
        <v>173</v>
      </c>
      <c r="M8314" t="s">
        <v>214</v>
      </c>
      <c r="N8314">
        <v>39.363213999999999</v>
      </c>
      <c r="O8314">
        <v>-112.55065500000001</v>
      </c>
      <c r="P8314">
        <v>4598.3575989999999</v>
      </c>
      <c r="Q8314">
        <v>1332</v>
      </c>
      <c r="R8314">
        <v>0</v>
      </c>
    </row>
    <row r="8315" spans="1:18" x14ac:dyDescent="0.25">
      <c r="A8315">
        <v>8164</v>
      </c>
      <c r="B8315">
        <v>94</v>
      </c>
      <c r="C8315">
        <v>31373348</v>
      </c>
      <c r="D8315" t="s">
        <v>142</v>
      </c>
      <c r="E8315">
        <v>90.501000000000005</v>
      </c>
      <c r="F8315" t="s">
        <v>21</v>
      </c>
      <c r="G8315" t="s">
        <v>26</v>
      </c>
      <c r="H8315" t="s">
        <v>19</v>
      </c>
      <c r="I8315">
        <v>130</v>
      </c>
      <c r="J8315" t="s">
        <v>20</v>
      </c>
      <c r="K8315" t="s">
        <v>27</v>
      </c>
      <c r="L8315" t="s">
        <v>143</v>
      </c>
      <c r="M8315" t="s">
        <v>106</v>
      </c>
      <c r="N8315">
        <v>38.220241000000001</v>
      </c>
      <c r="O8315">
        <v>-112.924046</v>
      </c>
      <c r="P8315">
        <v>5208.6266580000001</v>
      </c>
      <c r="Q8315">
        <v>305</v>
      </c>
      <c r="R8315">
        <v>0</v>
      </c>
    </row>
    <row r="8316" spans="1:18" x14ac:dyDescent="0.25">
      <c r="A8316">
        <v>8165</v>
      </c>
      <c r="B8316">
        <v>94</v>
      </c>
      <c r="C8316">
        <v>27867451</v>
      </c>
      <c r="D8316" t="s">
        <v>91</v>
      </c>
      <c r="E8316">
        <v>6.1429999999999998</v>
      </c>
      <c r="F8316" t="s">
        <v>21</v>
      </c>
      <c r="G8316" t="s">
        <v>26</v>
      </c>
      <c r="H8316" t="s">
        <v>21</v>
      </c>
      <c r="I8316" t="s">
        <v>20</v>
      </c>
      <c r="J8316" t="s">
        <v>20</v>
      </c>
      <c r="K8316" t="s">
        <v>41</v>
      </c>
      <c r="L8316" t="s">
        <v>42</v>
      </c>
      <c r="M8316" t="s">
        <v>73</v>
      </c>
      <c r="N8316">
        <v>41.695331000000003</v>
      </c>
      <c r="O8316">
        <v>-111.972883</v>
      </c>
      <c r="P8316">
        <v>4438.9767169999996</v>
      </c>
      <c r="Q8316">
        <v>1339</v>
      </c>
      <c r="R8316">
        <v>0</v>
      </c>
    </row>
    <row r="8317" spans="1:18" x14ac:dyDescent="0.25">
      <c r="A8317">
        <v>8166</v>
      </c>
      <c r="B8317">
        <v>94</v>
      </c>
      <c r="C8317">
        <v>31644253</v>
      </c>
      <c r="D8317" t="s">
        <v>393</v>
      </c>
      <c r="E8317">
        <v>6.1440000000000001</v>
      </c>
      <c r="F8317" t="s">
        <v>21</v>
      </c>
      <c r="G8317" t="s">
        <v>20</v>
      </c>
      <c r="H8317" t="s">
        <v>21</v>
      </c>
      <c r="I8317" t="s">
        <v>20</v>
      </c>
      <c r="J8317" t="s">
        <v>20</v>
      </c>
      <c r="K8317" t="s">
        <v>27</v>
      </c>
      <c r="L8317" t="s">
        <v>158</v>
      </c>
      <c r="M8317" t="s">
        <v>190</v>
      </c>
      <c r="N8317">
        <v>39.525005999999998</v>
      </c>
      <c r="O8317">
        <v>-110.398146</v>
      </c>
      <c r="P8317">
        <v>6064.9098979999999</v>
      </c>
      <c r="Q8317">
        <v>333</v>
      </c>
      <c r="R8317">
        <v>0</v>
      </c>
    </row>
    <row r="8318" spans="1:18" x14ac:dyDescent="0.25">
      <c r="A8318">
        <v>8167</v>
      </c>
      <c r="B8318">
        <v>94</v>
      </c>
      <c r="C8318">
        <v>31396001</v>
      </c>
      <c r="D8318" t="s">
        <v>210</v>
      </c>
      <c r="E8318">
        <v>6.1470000000000002</v>
      </c>
      <c r="F8318" t="s">
        <v>21</v>
      </c>
      <c r="G8318" t="s">
        <v>20</v>
      </c>
      <c r="H8318" t="s">
        <v>21</v>
      </c>
      <c r="I8318" t="s">
        <v>20</v>
      </c>
      <c r="J8318" t="s">
        <v>20</v>
      </c>
      <c r="K8318" t="s">
        <v>27</v>
      </c>
      <c r="L8318" t="s">
        <v>211</v>
      </c>
      <c r="M8318" t="s">
        <v>212</v>
      </c>
      <c r="N8318">
        <v>37.301419000000003</v>
      </c>
      <c r="O8318">
        <v>-109.444013</v>
      </c>
      <c r="P8318">
        <v>4508.8897690000003</v>
      </c>
      <c r="Q8318">
        <v>344</v>
      </c>
      <c r="R8318">
        <v>0</v>
      </c>
    </row>
    <row r="8319" spans="1:18" x14ac:dyDescent="0.25">
      <c r="A8319">
        <v>8168</v>
      </c>
      <c r="B8319">
        <v>94</v>
      </c>
      <c r="C8319">
        <v>31780706</v>
      </c>
      <c r="D8319" t="s">
        <v>272</v>
      </c>
      <c r="E8319">
        <v>6.1520000000000001</v>
      </c>
      <c r="F8319" t="s">
        <v>21</v>
      </c>
      <c r="G8319" t="s">
        <v>26</v>
      </c>
      <c r="H8319" t="s">
        <v>21</v>
      </c>
      <c r="I8319" t="s">
        <v>20</v>
      </c>
      <c r="J8319" t="s">
        <v>20</v>
      </c>
      <c r="K8319" t="s">
        <v>27</v>
      </c>
      <c r="L8319" t="s">
        <v>259</v>
      </c>
      <c r="M8319" t="s">
        <v>214</v>
      </c>
      <c r="N8319">
        <v>37.066811999999999</v>
      </c>
      <c r="O8319">
        <v>-111.64722500000001</v>
      </c>
      <c r="P8319">
        <v>3959.4524219999998</v>
      </c>
      <c r="Q8319">
        <v>1384</v>
      </c>
      <c r="R8319">
        <v>0</v>
      </c>
    </row>
    <row r="8320" spans="1:18" x14ac:dyDescent="0.25">
      <c r="A8320">
        <v>8169</v>
      </c>
      <c r="B8320">
        <v>94</v>
      </c>
      <c r="C8320">
        <v>2363551</v>
      </c>
      <c r="D8320" t="s">
        <v>113</v>
      </c>
      <c r="E8320">
        <v>6.157</v>
      </c>
      <c r="F8320" t="s">
        <v>21</v>
      </c>
      <c r="G8320" t="s">
        <v>26</v>
      </c>
      <c r="H8320" t="s">
        <v>21</v>
      </c>
      <c r="I8320" t="s">
        <v>20</v>
      </c>
      <c r="J8320" t="s">
        <v>20</v>
      </c>
      <c r="K8320" t="s">
        <v>41</v>
      </c>
      <c r="L8320" t="s">
        <v>87</v>
      </c>
      <c r="M8320" t="s">
        <v>58</v>
      </c>
      <c r="N8320">
        <v>41.132477000000002</v>
      </c>
      <c r="O8320">
        <v>-111.92632500000001</v>
      </c>
      <c r="P8320">
        <v>4459.9130779999996</v>
      </c>
      <c r="Q8320">
        <v>1363</v>
      </c>
      <c r="R8320">
        <v>0</v>
      </c>
    </row>
    <row r="8321" spans="1:18" x14ac:dyDescent="0.25">
      <c r="A8321">
        <v>8170</v>
      </c>
      <c r="B8321">
        <v>94</v>
      </c>
      <c r="C8321">
        <v>28001143</v>
      </c>
      <c r="D8321" t="s">
        <v>346</v>
      </c>
      <c r="E8321">
        <v>6.1589999999999998</v>
      </c>
      <c r="F8321" t="s">
        <v>21</v>
      </c>
      <c r="G8321" t="s">
        <v>20</v>
      </c>
      <c r="H8321" t="s">
        <v>21</v>
      </c>
      <c r="I8321" t="s">
        <v>20</v>
      </c>
      <c r="J8321" t="s">
        <v>20</v>
      </c>
      <c r="K8321" t="s">
        <v>27</v>
      </c>
      <c r="L8321" t="s">
        <v>307</v>
      </c>
      <c r="M8321" t="s">
        <v>159</v>
      </c>
      <c r="N8321">
        <v>39.728631999999998</v>
      </c>
      <c r="O8321">
        <v>-111.16012499999999</v>
      </c>
      <c r="P8321">
        <v>7632.4950500000004</v>
      </c>
      <c r="Q8321">
        <v>1389</v>
      </c>
      <c r="R8321">
        <v>0</v>
      </c>
    </row>
    <row r="8322" spans="1:18" x14ac:dyDescent="0.25">
      <c r="A8322">
        <v>8171</v>
      </c>
      <c r="B8322">
        <v>94</v>
      </c>
      <c r="C8322">
        <v>1374541</v>
      </c>
      <c r="D8322" t="s">
        <v>100</v>
      </c>
      <c r="E8322">
        <v>6.1630000000000003</v>
      </c>
      <c r="F8322" t="s">
        <v>21</v>
      </c>
      <c r="G8322" t="s">
        <v>26</v>
      </c>
      <c r="H8322" t="s">
        <v>21</v>
      </c>
      <c r="I8322" t="s">
        <v>20</v>
      </c>
      <c r="J8322" t="s">
        <v>20</v>
      </c>
      <c r="K8322" t="s">
        <v>41</v>
      </c>
      <c r="L8322" t="s">
        <v>57</v>
      </c>
      <c r="M8322" t="s">
        <v>46</v>
      </c>
      <c r="N8322">
        <v>41.120420000000003</v>
      </c>
      <c r="O8322">
        <v>-112.064511</v>
      </c>
      <c r="P8322">
        <v>4314.1379489999999</v>
      </c>
      <c r="Q8322">
        <v>1396</v>
      </c>
      <c r="R8322">
        <v>0</v>
      </c>
    </row>
    <row r="8323" spans="1:18" x14ac:dyDescent="0.25">
      <c r="A8323">
        <v>8172</v>
      </c>
      <c r="B8323">
        <v>94</v>
      </c>
      <c r="C8323">
        <v>31403812</v>
      </c>
      <c r="D8323" t="s">
        <v>309</v>
      </c>
      <c r="E8323">
        <v>6.1689999999999996</v>
      </c>
      <c r="F8323" t="s">
        <v>21</v>
      </c>
      <c r="G8323" t="s">
        <v>26</v>
      </c>
      <c r="H8323" t="s">
        <v>21</v>
      </c>
      <c r="I8323" t="s">
        <v>20</v>
      </c>
      <c r="J8323" t="s">
        <v>20</v>
      </c>
      <c r="K8323" t="s">
        <v>22</v>
      </c>
      <c r="L8323" t="s">
        <v>198</v>
      </c>
      <c r="M8323" t="s">
        <v>125</v>
      </c>
      <c r="N8323">
        <v>40.098008999999998</v>
      </c>
      <c r="O8323">
        <v>-111.74552799999999</v>
      </c>
      <c r="P8323">
        <v>4459.0680480000001</v>
      </c>
      <c r="Q8323">
        <v>339</v>
      </c>
      <c r="R8323">
        <v>0</v>
      </c>
    </row>
    <row r="8324" spans="1:18" x14ac:dyDescent="0.25">
      <c r="A8324">
        <v>8173</v>
      </c>
      <c r="B8324">
        <v>94</v>
      </c>
      <c r="C8324">
        <v>31405397</v>
      </c>
      <c r="D8324" t="s">
        <v>224</v>
      </c>
      <c r="E8324">
        <v>6.1710000000000003</v>
      </c>
      <c r="F8324" t="s">
        <v>21</v>
      </c>
      <c r="G8324" t="s">
        <v>26</v>
      </c>
      <c r="H8324" t="s">
        <v>21</v>
      </c>
      <c r="I8324" t="s">
        <v>20</v>
      </c>
      <c r="J8324" t="s">
        <v>20</v>
      </c>
      <c r="K8324" t="s">
        <v>22</v>
      </c>
      <c r="L8324" t="s">
        <v>198</v>
      </c>
      <c r="M8324" t="s">
        <v>194</v>
      </c>
      <c r="N8324">
        <v>40.044499000000002</v>
      </c>
      <c r="O8324">
        <v>-111.717592</v>
      </c>
      <c r="P8324">
        <v>4560.0658819999999</v>
      </c>
      <c r="Q8324">
        <v>408</v>
      </c>
      <c r="R8324">
        <v>0</v>
      </c>
    </row>
    <row r="8325" spans="1:18" x14ac:dyDescent="0.25">
      <c r="A8325">
        <v>8174</v>
      </c>
      <c r="B8325">
        <v>94</v>
      </c>
      <c r="C8325">
        <v>31525031</v>
      </c>
      <c r="D8325" t="s">
        <v>390</v>
      </c>
      <c r="E8325">
        <v>6.1719999999999997</v>
      </c>
      <c r="F8325" t="s">
        <v>21</v>
      </c>
      <c r="G8325" t="s">
        <v>26</v>
      </c>
      <c r="H8325" t="s">
        <v>21</v>
      </c>
      <c r="I8325" t="s">
        <v>20</v>
      </c>
      <c r="J8325" t="s">
        <v>20</v>
      </c>
      <c r="K8325" t="s">
        <v>22</v>
      </c>
      <c r="L8325" t="s">
        <v>84</v>
      </c>
      <c r="M8325" t="s">
        <v>335</v>
      </c>
      <c r="N8325">
        <v>40.431980000000003</v>
      </c>
      <c r="O8325">
        <v>-111.778667</v>
      </c>
      <c r="P8325">
        <v>4878.9382660000001</v>
      </c>
      <c r="Q8325">
        <v>1386</v>
      </c>
      <c r="R8325">
        <v>0</v>
      </c>
    </row>
    <row r="8326" spans="1:18" x14ac:dyDescent="0.25">
      <c r="A8326">
        <v>8175</v>
      </c>
      <c r="B8326">
        <v>94</v>
      </c>
      <c r="C8326" t="e">
        <f>-IpV3_7OIt1rmaAxKUnWqV</f>
        <v>#NAME?</v>
      </c>
      <c r="D8326" t="s">
        <v>68</v>
      </c>
      <c r="E8326">
        <v>6.1719999999999997</v>
      </c>
      <c r="F8326" t="s">
        <v>21</v>
      </c>
      <c r="G8326" t="s">
        <v>20</v>
      </c>
      <c r="H8326" t="s">
        <v>21</v>
      </c>
      <c r="I8326" t="s">
        <v>20</v>
      </c>
      <c r="J8326" t="s">
        <v>20</v>
      </c>
      <c r="K8326" t="s">
        <v>31</v>
      </c>
      <c r="L8326" t="s">
        <v>32</v>
      </c>
      <c r="M8326" t="s">
        <v>70</v>
      </c>
      <c r="N8326">
        <v>40.674278999999999</v>
      </c>
      <c r="O8326">
        <v>-111.838204</v>
      </c>
      <c r="P8326">
        <v>4367.897575</v>
      </c>
      <c r="Q8326">
        <v>431</v>
      </c>
      <c r="R8326">
        <v>0</v>
      </c>
    </row>
    <row r="8327" spans="1:18" x14ac:dyDescent="0.25">
      <c r="A8327">
        <v>8176</v>
      </c>
      <c r="B8327">
        <v>94</v>
      </c>
      <c r="C8327">
        <v>31433512</v>
      </c>
      <c r="D8327" t="s">
        <v>288</v>
      </c>
      <c r="E8327">
        <v>95.281999999999996</v>
      </c>
      <c r="F8327" t="s">
        <v>21</v>
      </c>
      <c r="G8327" t="s">
        <v>26</v>
      </c>
      <c r="H8327" t="s">
        <v>21</v>
      </c>
      <c r="I8327" t="s">
        <v>20</v>
      </c>
      <c r="J8327" t="s">
        <v>20</v>
      </c>
      <c r="K8327" t="s">
        <v>27</v>
      </c>
      <c r="L8327" t="s">
        <v>146</v>
      </c>
      <c r="M8327" t="s">
        <v>147</v>
      </c>
      <c r="N8327">
        <v>38.202882000000002</v>
      </c>
      <c r="O8327">
        <v>-109.374752</v>
      </c>
      <c r="P8327">
        <v>5644.7765840000002</v>
      </c>
      <c r="Q8327">
        <v>350</v>
      </c>
      <c r="R8327">
        <v>0</v>
      </c>
    </row>
    <row r="8328" spans="1:18" x14ac:dyDescent="0.25">
      <c r="A8328">
        <v>8177</v>
      </c>
      <c r="B8328">
        <v>94</v>
      </c>
      <c r="C8328">
        <v>31374175</v>
      </c>
      <c r="D8328" t="s">
        <v>142</v>
      </c>
      <c r="E8328">
        <v>95.46</v>
      </c>
      <c r="F8328" t="s">
        <v>21</v>
      </c>
      <c r="G8328" t="s">
        <v>20</v>
      </c>
      <c r="H8328" t="s">
        <v>21</v>
      </c>
      <c r="I8328" t="s">
        <v>20</v>
      </c>
      <c r="J8328" t="s">
        <v>20</v>
      </c>
      <c r="K8328" t="s">
        <v>27</v>
      </c>
      <c r="L8328" t="s">
        <v>143</v>
      </c>
      <c r="M8328" t="s">
        <v>106</v>
      </c>
      <c r="N8328">
        <v>38.216496999999997</v>
      </c>
      <c r="O8328">
        <v>-112.837119</v>
      </c>
      <c r="P8328">
        <v>5382.512401</v>
      </c>
      <c r="Q8328">
        <v>305</v>
      </c>
      <c r="R8328">
        <v>0</v>
      </c>
    </row>
    <row r="8329" spans="1:18" x14ac:dyDescent="0.25">
      <c r="A8329">
        <v>8178</v>
      </c>
      <c r="B8329">
        <v>94</v>
      </c>
      <c r="C8329">
        <v>31775987</v>
      </c>
      <c r="D8329" t="s">
        <v>290</v>
      </c>
      <c r="E8329">
        <v>95.73</v>
      </c>
      <c r="F8329" t="s">
        <v>21</v>
      </c>
      <c r="G8329" t="s">
        <v>26</v>
      </c>
      <c r="H8329" t="s">
        <v>21</v>
      </c>
      <c r="I8329" t="s">
        <v>20</v>
      </c>
      <c r="J8329" t="s">
        <v>20</v>
      </c>
      <c r="K8329" t="s">
        <v>41</v>
      </c>
      <c r="L8329" t="s">
        <v>223</v>
      </c>
      <c r="M8329" t="s">
        <v>152</v>
      </c>
      <c r="N8329">
        <v>41.789073999999999</v>
      </c>
      <c r="O8329">
        <v>-112.07663700000001</v>
      </c>
      <c r="P8329">
        <v>4515.845781</v>
      </c>
      <c r="Q8329">
        <v>1343</v>
      </c>
      <c r="R8329">
        <v>0</v>
      </c>
    </row>
    <row r="8330" spans="1:18" x14ac:dyDescent="0.25">
      <c r="A8330">
        <v>8179</v>
      </c>
      <c r="B8330">
        <v>94</v>
      </c>
      <c r="C8330">
        <v>31374186</v>
      </c>
      <c r="D8330" t="s">
        <v>142</v>
      </c>
      <c r="E8330">
        <v>95.75</v>
      </c>
      <c r="F8330" t="s">
        <v>21</v>
      </c>
      <c r="G8330" t="s">
        <v>20</v>
      </c>
      <c r="H8330" t="s">
        <v>21</v>
      </c>
      <c r="I8330" t="s">
        <v>20</v>
      </c>
      <c r="J8330" t="s">
        <v>20</v>
      </c>
      <c r="K8330" t="s">
        <v>27</v>
      </c>
      <c r="L8330" t="s">
        <v>143</v>
      </c>
      <c r="M8330" t="s">
        <v>106</v>
      </c>
      <c r="N8330">
        <v>38.214008999999997</v>
      </c>
      <c r="O8330">
        <v>-112.832853</v>
      </c>
      <c r="P8330">
        <v>5432.7897000000003</v>
      </c>
      <c r="Q8330">
        <v>305</v>
      </c>
      <c r="R8330">
        <v>0</v>
      </c>
    </row>
    <row r="8331" spans="1:18" x14ac:dyDescent="0.25">
      <c r="A8331">
        <v>8180</v>
      </c>
      <c r="B8331">
        <v>94</v>
      </c>
      <c r="C8331">
        <v>31374197</v>
      </c>
      <c r="D8331" t="s">
        <v>142</v>
      </c>
      <c r="E8331">
        <v>96.004000000000005</v>
      </c>
      <c r="F8331" t="s">
        <v>21</v>
      </c>
      <c r="G8331" t="s">
        <v>26</v>
      </c>
      <c r="H8331" t="s">
        <v>21</v>
      </c>
      <c r="I8331" t="s">
        <v>20</v>
      </c>
      <c r="J8331" t="s">
        <v>20</v>
      </c>
      <c r="K8331" t="s">
        <v>27</v>
      </c>
      <c r="L8331" t="s">
        <v>143</v>
      </c>
      <c r="M8331" t="s">
        <v>106</v>
      </c>
      <c r="N8331">
        <v>38.213639999999998</v>
      </c>
      <c r="O8331">
        <v>-112.828299</v>
      </c>
      <c r="P8331">
        <v>5484.8446569999996</v>
      </c>
      <c r="Q8331">
        <v>305</v>
      </c>
      <c r="R8331">
        <v>0</v>
      </c>
    </row>
    <row r="8332" spans="1:18" x14ac:dyDescent="0.25">
      <c r="A8332">
        <v>8181</v>
      </c>
      <c r="B8332">
        <v>94</v>
      </c>
      <c r="C8332">
        <v>31262697</v>
      </c>
      <c r="D8332" t="s">
        <v>303</v>
      </c>
      <c r="E8332">
        <v>8.0299999999999994</v>
      </c>
      <c r="F8332" t="s">
        <v>21</v>
      </c>
      <c r="G8332" t="s">
        <v>26</v>
      </c>
      <c r="H8332" t="s">
        <v>21</v>
      </c>
      <c r="I8332" t="s">
        <v>20</v>
      </c>
      <c r="J8332" t="s">
        <v>20</v>
      </c>
      <c r="K8332" t="s">
        <v>27</v>
      </c>
      <c r="L8332" t="s">
        <v>72</v>
      </c>
      <c r="M8332" t="s">
        <v>73</v>
      </c>
      <c r="N8332">
        <v>37.176412999999997</v>
      </c>
      <c r="O8332">
        <v>-113.319789</v>
      </c>
      <c r="P8332">
        <v>3130.3949080000002</v>
      </c>
      <c r="Q8332">
        <v>1326</v>
      </c>
      <c r="R8332">
        <v>0</v>
      </c>
    </row>
    <row r="8333" spans="1:18" x14ac:dyDescent="0.25">
      <c r="A8333">
        <v>8182</v>
      </c>
      <c r="B8333">
        <v>94</v>
      </c>
      <c r="C8333">
        <v>31195075</v>
      </c>
      <c r="D8333" t="s">
        <v>126</v>
      </c>
      <c r="E8333">
        <v>8.0310000000000006</v>
      </c>
      <c r="F8333" t="s">
        <v>21</v>
      </c>
      <c r="G8333" t="s">
        <v>26</v>
      </c>
      <c r="H8333" t="s">
        <v>21</v>
      </c>
      <c r="I8333" t="s">
        <v>20</v>
      </c>
      <c r="J8333" t="s">
        <v>20</v>
      </c>
      <c r="K8333" t="s">
        <v>41</v>
      </c>
      <c r="L8333" t="s">
        <v>57</v>
      </c>
      <c r="M8333" t="s">
        <v>93</v>
      </c>
      <c r="N8333">
        <v>41.302008000000001</v>
      </c>
      <c r="O8333">
        <v>-112.08448300000001</v>
      </c>
      <c r="P8333">
        <v>4184.3798489999999</v>
      </c>
      <c r="Q8333">
        <v>1412</v>
      </c>
      <c r="R8333">
        <v>0</v>
      </c>
    </row>
    <row r="8334" spans="1:18" x14ac:dyDescent="0.25">
      <c r="A8334">
        <v>8183</v>
      </c>
      <c r="B8334">
        <v>94</v>
      </c>
      <c r="C8334">
        <v>862324</v>
      </c>
      <c r="D8334" t="s">
        <v>68</v>
      </c>
      <c r="E8334">
        <v>8.0329999999999995</v>
      </c>
      <c r="F8334" t="s">
        <v>21</v>
      </c>
      <c r="G8334" t="s">
        <v>26</v>
      </c>
      <c r="H8334" t="s">
        <v>21</v>
      </c>
      <c r="I8334" t="s">
        <v>20</v>
      </c>
      <c r="J8334" t="s">
        <v>20</v>
      </c>
      <c r="K8334" t="s">
        <v>31</v>
      </c>
      <c r="L8334" t="s">
        <v>32</v>
      </c>
      <c r="M8334" t="s">
        <v>70</v>
      </c>
      <c r="N8334">
        <v>40.674655999999999</v>
      </c>
      <c r="O8334">
        <v>-111.803201</v>
      </c>
      <c r="P8334">
        <v>4830.5772280000001</v>
      </c>
      <c r="Q8334">
        <v>431</v>
      </c>
      <c r="R8334">
        <v>0</v>
      </c>
    </row>
    <row r="8335" spans="1:18" x14ac:dyDescent="0.25">
      <c r="A8335">
        <v>8184</v>
      </c>
      <c r="B8335">
        <v>94</v>
      </c>
      <c r="C8335">
        <v>31392924</v>
      </c>
      <c r="D8335" t="s">
        <v>352</v>
      </c>
      <c r="E8335">
        <v>8.0419999999999998</v>
      </c>
      <c r="F8335" t="s">
        <v>21</v>
      </c>
      <c r="G8335" t="s">
        <v>26</v>
      </c>
      <c r="H8335" t="s">
        <v>21</v>
      </c>
      <c r="I8335" t="s">
        <v>20</v>
      </c>
      <c r="J8335" t="s">
        <v>20</v>
      </c>
      <c r="K8335" t="s">
        <v>31</v>
      </c>
      <c r="L8335" t="s">
        <v>282</v>
      </c>
      <c r="M8335" t="s">
        <v>206</v>
      </c>
      <c r="N8335">
        <v>40.321311000000001</v>
      </c>
      <c r="O8335">
        <v>-112.626884</v>
      </c>
      <c r="P8335">
        <v>5134.7450259999996</v>
      </c>
      <c r="Q8335">
        <v>409</v>
      </c>
      <c r="R8335">
        <v>0</v>
      </c>
    </row>
    <row r="8336" spans="1:18" x14ac:dyDescent="0.25">
      <c r="A8336">
        <v>8185</v>
      </c>
      <c r="B8336">
        <v>94</v>
      </c>
      <c r="C8336">
        <v>31409264</v>
      </c>
      <c r="D8336" t="s">
        <v>224</v>
      </c>
      <c r="E8336">
        <v>8.048</v>
      </c>
      <c r="F8336" t="s">
        <v>21</v>
      </c>
      <c r="G8336" t="s">
        <v>26</v>
      </c>
      <c r="H8336" t="s">
        <v>21</v>
      </c>
      <c r="I8336" t="s">
        <v>20</v>
      </c>
      <c r="J8336" t="s">
        <v>20</v>
      </c>
      <c r="K8336" t="s">
        <v>22</v>
      </c>
      <c r="L8336" t="s">
        <v>198</v>
      </c>
      <c r="M8336" t="s">
        <v>194</v>
      </c>
      <c r="N8336">
        <v>40.050989000000001</v>
      </c>
      <c r="O8336">
        <v>-111.683536</v>
      </c>
      <c r="P8336">
        <v>4530.0770030000003</v>
      </c>
      <c r="Q8336">
        <v>408</v>
      </c>
      <c r="R8336">
        <v>0</v>
      </c>
    </row>
    <row r="8337" spans="1:18" x14ac:dyDescent="0.25">
      <c r="A8337">
        <v>8186</v>
      </c>
      <c r="B8337">
        <v>94</v>
      </c>
      <c r="C8337">
        <v>540072</v>
      </c>
      <c r="D8337" t="s">
        <v>44</v>
      </c>
      <c r="E8337">
        <v>8.0500000000000007</v>
      </c>
      <c r="F8337" t="s">
        <v>21</v>
      </c>
      <c r="G8337" t="s">
        <v>26</v>
      </c>
      <c r="H8337" t="s">
        <v>21</v>
      </c>
      <c r="I8337" t="s">
        <v>20</v>
      </c>
      <c r="J8337" t="s">
        <v>20</v>
      </c>
      <c r="K8337" t="s">
        <v>41</v>
      </c>
      <c r="L8337" t="s">
        <v>87</v>
      </c>
      <c r="M8337" t="s">
        <v>46</v>
      </c>
      <c r="N8337">
        <v>40.990231000000001</v>
      </c>
      <c r="O8337">
        <v>-111.889556</v>
      </c>
      <c r="P8337">
        <v>4272.6099329999997</v>
      </c>
      <c r="Q8337">
        <v>1395</v>
      </c>
      <c r="R8337">
        <v>0</v>
      </c>
    </row>
    <row r="8338" spans="1:18" x14ac:dyDescent="0.25">
      <c r="A8338">
        <v>8187</v>
      </c>
      <c r="B8338">
        <v>94</v>
      </c>
      <c r="C8338">
        <v>31698483</v>
      </c>
      <c r="D8338" t="s">
        <v>96</v>
      </c>
      <c r="E8338">
        <v>8.0530000000000008</v>
      </c>
      <c r="F8338" t="s">
        <v>21</v>
      </c>
      <c r="G8338" t="s">
        <v>26</v>
      </c>
      <c r="H8338" t="s">
        <v>21</v>
      </c>
      <c r="I8338" t="s">
        <v>20</v>
      </c>
      <c r="J8338" t="s">
        <v>20</v>
      </c>
      <c r="K8338" t="s">
        <v>22</v>
      </c>
      <c r="L8338" t="s">
        <v>97</v>
      </c>
      <c r="M8338" t="s">
        <v>98</v>
      </c>
      <c r="N8338">
        <v>40.988273</v>
      </c>
      <c r="O8338">
        <v>-109.720392</v>
      </c>
      <c r="P8338">
        <v>6282.6755499999999</v>
      </c>
      <c r="Q8338">
        <v>311</v>
      </c>
      <c r="R8338">
        <v>0</v>
      </c>
    </row>
    <row r="8339" spans="1:18" x14ac:dyDescent="0.25">
      <c r="A8339">
        <v>8188</v>
      </c>
      <c r="B8339">
        <v>94</v>
      </c>
      <c r="C8339">
        <v>27737457</v>
      </c>
      <c r="D8339" t="s">
        <v>217</v>
      </c>
      <c r="E8339">
        <v>51</v>
      </c>
      <c r="F8339" t="s">
        <v>21</v>
      </c>
      <c r="G8339" t="s">
        <v>26</v>
      </c>
      <c r="H8339" t="s">
        <v>19</v>
      </c>
      <c r="I8339">
        <v>56</v>
      </c>
      <c r="J8339" t="s">
        <v>20</v>
      </c>
      <c r="K8339" t="s">
        <v>27</v>
      </c>
      <c r="L8339" t="s">
        <v>162</v>
      </c>
      <c r="M8339" t="s">
        <v>163</v>
      </c>
      <c r="N8339">
        <v>37.709409000000001</v>
      </c>
      <c r="O8339">
        <v>-113.656165</v>
      </c>
      <c r="P8339">
        <v>5102.8937660000001</v>
      </c>
      <c r="Q8339">
        <v>304</v>
      </c>
      <c r="R8339">
        <v>0</v>
      </c>
    </row>
    <row r="8340" spans="1:18" x14ac:dyDescent="0.25">
      <c r="A8340">
        <v>8189</v>
      </c>
      <c r="B8340">
        <v>94</v>
      </c>
      <c r="C8340" t="e">
        <f>-Iq22dDPFpLN29gC-tCJAV</f>
        <v>#NAME?</v>
      </c>
      <c r="D8340" t="s">
        <v>272</v>
      </c>
      <c r="E8340">
        <v>500.11200000000002</v>
      </c>
      <c r="F8340" t="s">
        <v>21</v>
      </c>
      <c r="G8340" t="s">
        <v>20</v>
      </c>
      <c r="H8340" t="s">
        <v>21</v>
      </c>
      <c r="I8340" t="s">
        <v>20</v>
      </c>
      <c r="J8340" t="s">
        <v>20</v>
      </c>
      <c r="K8340" t="s">
        <v>41</v>
      </c>
      <c r="L8340" t="s">
        <v>325</v>
      </c>
      <c r="M8340" t="s">
        <v>152</v>
      </c>
      <c r="N8340">
        <v>41.967832999999999</v>
      </c>
      <c r="O8340">
        <v>-111.40022</v>
      </c>
      <c r="P8340">
        <v>5887.004011</v>
      </c>
      <c r="Q8340">
        <v>1384</v>
      </c>
      <c r="R8340">
        <v>0</v>
      </c>
    </row>
    <row r="8341" spans="1:18" x14ac:dyDescent="0.25">
      <c r="A8341">
        <v>8190</v>
      </c>
      <c r="B8341">
        <v>94</v>
      </c>
      <c r="C8341" t="s">
        <v>961</v>
      </c>
      <c r="D8341" t="s">
        <v>272</v>
      </c>
      <c r="E8341">
        <v>500.75200000000001</v>
      </c>
      <c r="F8341" t="s">
        <v>21</v>
      </c>
      <c r="G8341" t="s">
        <v>20</v>
      </c>
      <c r="H8341" t="s">
        <v>21</v>
      </c>
      <c r="I8341" t="s">
        <v>20</v>
      </c>
      <c r="J8341" t="s">
        <v>20</v>
      </c>
      <c r="K8341" t="s">
        <v>41</v>
      </c>
      <c r="L8341" t="s">
        <v>325</v>
      </c>
      <c r="M8341" t="s">
        <v>152</v>
      </c>
      <c r="N8341">
        <v>41.976678</v>
      </c>
      <c r="O8341">
        <v>-111.402761</v>
      </c>
      <c r="P8341">
        <v>5886.4115949999996</v>
      </c>
      <c r="Q8341">
        <v>1384</v>
      </c>
      <c r="R8341">
        <v>0</v>
      </c>
    </row>
    <row r="8342" spans="1:18" x14ac:dyDescent="0.25">
      <c r="A8342">
        <v>8191</v>
      </c>
      <c r="B8342">
        <v>94</v>
      </c>
      <c r="C8342" t="s">
        <v>962</v>
      </c>
      <c r="D8342" t="s">
        <v>272</v>
      </c>
      <c r="E8342">
        <v>501.02100000000002</v>
      </c>
      <c r="F8342" t="s">
        <v>21</v>
      </c>
      <c r="G8342" t="s">
        <v>26</v>
      </c>
      <c r="H8342" t="s">
        <v>21</v>
      </c>
      <c r="I8342" t="s">
        <v>20</v>
      </c>
      <c r="J8342" t="s">
        <v>20</v>
      </c>
      <c r="K8342" t="s">
        <v>41</v>
      </c>
      <c r="L8342" t="s">
        <v>325</v>
      </c>
      <c r="M8342" t="s">
        <v>152</v>
      </c>
      <c r="N8342">
        <v>41.980038</v>
      </c>
      <c r="O8342">
        <v>-111.40501399999999</v>
      </c>
      <c r="P8342">
        <v>5899.3611419999997</v>
      </c>
      <c r="Q8342">
        <v>1384</v>
      </c>
      <c r="R8342">
        <v>0</v>
      </c>
    </row>
    <row r="8343" spans="1:18" x14ac:dyDescent="0.25">
      <c r="A8343">
        <v>8192</v>
      </c>
      <c r="B8343">
        <v>94</v>
      </c>
      <c r="C8343" t="s">
        <v>963</v>
      </c>
      <c r="D8343" t="s">
        <v>272</v>
      </c>
      <c r="E8343">
        <v>501.51400000000001</v>
      </c>
      <c r="F8343" t="s">
        <v>21</v>
      </c>
      <c r="G8343" t="s">
        <v>26</v>
      </c>
      <c r="H8343" t="s">
        <v>21</v>
      </c>
      <c r="I8343" t="s">
        <v>20</v>
      </c>
      <c r="J8343" t="s">
        <v>20</v>
      </c>
      <c r="K8343" t="s">
        <v>41</v>
      </c>
      <c r="L8343" t="s">
        <v>325</v>
      </c>
      <c r="M8343" t="s">
        <v>152</v>
      </c>
      <c r="N8343">
        <v>41.985548999999999</v>
      </c>
      <c r="O8343">
        <v>-111.410719</v>
      </c>
      <c r="P8343">
        <v>5899.5068689999998</v>
      </c>
      <c r="Q8343">
        <v>1384</v>
      </c>
      <c r="R8343">
        <v>0</v>
      </c>
    </row>
    <row r="8344" spans="1:18" x14ac:dyDescent="0.25">
      <c r="A8344">
        <v>8193</v>
      </c>
      <c r="B8344">
        <v>94</v>
      </c>
      <c r="C8344" t="s">
        <v>964</v>
      </c>
      <c r="D8344" t="s">
        <v>272</v>
      </c>
      <c r="E8344">
        <v>501.58</v>
      </c>
      <c r="F8344" t="s">
        <v>21</v>
      </c>
      <c r="G8344" t="s">
        <v>26</v>
      </c>
      <c r="H8344" t="s">
        <v>21</v>
      </c>
      <c r="I8344" t="s">
        <v>20</v>
      </c>
      <c r="J8344" t="s">
        <v>20</v>
      </c>
      <c r="K8344" t="s">
        <v>41</v>
      </c>
      <c r="L8344" t="s">
        <v>325</v>
      </c>
      <c r="M8344" t="s">
        <v>152</v>
      </c>
      <c r="N8344">
        <v>41.986505000000001</v>
      </c>
      <c r="O8344">
        <v>-111.41091400000001</v>
      </c>
      <c r="P8344">
        <v>5902.7292390000002</v>
      </c>
      <c r="Q8344">
        <v>1384</v>
      </c>
      <c r="R8344">
        <v>0</v>
      </c>
    </row>
    <row r="8345" spans="1:18" x14ac:dyDescent="0.25">
      <c r="A8345">
        <v>8194</v>
      </c>
      <c r="B8345">
        <v>94</v>
      </c>
      <c r="C8345">
        <v>31758062</v>
      </c>
      <c r="D8345" t="s">
        <v>44</v>
      </c>
      <c r="E8345">
        <v>7.93</v>
      </c>
      <c r="F8345" t="s">
        <v>21</v>
      </c>
      <c r="G8345" t="s">
        <v>20</v>
      </c>
      <c r="H8345" t="s">
        <v>21</v>
      </c>
      <c r="I8345" t="s">
        <v>20</v>
      </c>
      <c r="J8345" t="s">
        <v>20</v>
      </c>
      <c r="K8345" t="s">
        <v>41</v>
      </c>
      <c r="L8345" t="s">
        <v>87</v>
      </c>
      <c r="M8345" t="s">
        <v>46</v>
      </c>
      <c r="N8345">
        <v>40.989733000000001</v>
      </c>
      <c r="O8345">
        <v>-111.88758900000001</v>
      </c>
      <c r="P8345">
        <v>4295.6716839999999</v>
      </c>
      <c r="Q8345">
        <v>1395</v>
      </c>
      <c r="R8345">
        <v>0</v>
      </c>
    </row>
    <row r="8346" spans="1:18" x14ac:dyDescent="0.25">
      <c r="A8346">
        <v>8195</v>
      </c>
      <c r="B8346">
        <v>94</v>
      </c>
      <c r="C8346">
        <v>31593994</v>
      </c>
      <c r="D8346" t="s">
        <v>288</v>
      </c>
      <c r="E8346">
        <v>396.18700000000001</v>
      </c>
      <c r="F8346" t="s">
        <v>21</v>
      </c>
      <c r="G8346" t="s">
        <v>26</v>
      </c>
      <c r="H8346" t="s">
        <v>21</v>
      </c>
      <c r="I8346" t="s">
        <v>20</v>
      </c>
      <c r="J8346" t="s">
        <v>20</v>
      </c>
      <c r="K8346" t="s">
        <v>22</v>
      </c>
      <c r="L8346" t="s">
        <v>97</v>
      </c>
      <c r="M8346" t="s">
        <v>98</v>
      </c>
      <c r="N8346">
        <v>40.935090000000002</v>
      </c>
      <c r="O8346">
        <v>-109.405621</v>
      </c>
      <c r="P8346">
        <v>6214.6355270000004</v>
      </c>
      <c r="Q8346">
        <v>350</v>
      </c>
      <c r="R8346">
        <v>0</v>
      </c>
    </row>
    <row r="8347" spans="1:18" x14ac:dyDescent="0.25">
      <c r="A8347">
        <v>8196</v>
      </c>
      <c r="B8347">
        <v>94</v>
      </c>
      <c r="C8347" t="e">
        <f>-Ip45JsJGyy3Gk2Z7FW1UF</f>
        <v>#NAME?</v>
      </c>
      <c r="D8347" t="s">
        <v>272</v>
      </c>
      <c r="E8347">
        <v>377.76499999999999</v>
      </c>
      <c r="F8347" t="s">
        <v>21</v>
      </c>
      <c r="G8347" t="s">
        <v>26</v>
      </c>
      <c r="H8347" t="s">
        <v>21</v>
      </c>
      <c r="I8347" t="s">
        <v>20</v>
      </c>
      <c r="J8347" t="s">
        <v>20</v>
      </c>
      <c r="K8347" t="s">
        <v>31</v>
      </c>
      <c r="L8347" t="s">
        <v>66</v>
      </c>
      <c r="M8347" t="s">
        <v>49</v>
      </c>
      <c r="N8347">
        <v>40.748035000000002</v>
      </c>
      <c r="O8347">
        <v>-111.88822999999999</v>
      </c>
      <c r="P8347">
        <v>4181.674876</v>
      </c>
      <c r="Q8347">
        <v>1384</v>
      </c>
      <c r="R8347">
        <v>0</v>
      </c>
    </row>
    <row r="8348" spans="1:18" x14ac:dyDescent="0.25">
      <c r="A8348">
        <v>8197</v>
      </c>
      <c r="B8348">
        <v>94</v>
      </c>
      <c r="C8348" t="s">
        <v>965</v>
      </c>
      <c r="D8348" t="s">
        <v>272</v>
      </c>
      <c r="E8348">
        <v>377.88499999999999</v>
      </c>
      <c r="F8348" t="s">
        <v>19</v>
      </c>
      <c r="G8348" t="s">
        <v>20</v>
      </c>
      <c r="H8348" t="s">
        <v>21</v>
      </c>
      <c r="I8348" t="s">
        <v>20</v>
      </c>
      <c r="J8348" t="s">
        <v>20</v>
      </c>
      <c r="K8348" t="s">
        <v>31</v>
      </c>
      <c r="L8348" t="s">
        <v>66</v>
      </c>
      <c r="M8348" t="s">
        <v>49</v>
      </c>
      <c r="N8348">
        <v>40.749791999999999</v>
      </c>
      <c r="O8348">
        <v>-111.888216</v>
      </c>
      <c r="P8348">
        <v>4182.0706060000002</v>
      </c>
      <c r="Q8348">
        <v>1384</v>
      </c>
      <c r="R8348">
        <v>0</v>
      </c>
    </row>
    <row r="8349" spans="1:18" x14ac:dyDescent="0.25">
      <c r="A8349">
        <v>8198</v>
      </c>
      <c r="B8349">
        <v>94</v>
      </c>
      <c r="C8349" t="e">
        <f>-Ip48NRPIeyrKhXAw43ygV</f>
        <v>#NAME?</v>
      </c>
      <c r="D8349" t="s">
        <v>272</v>
      </c>
      <c r="E8349">
        <v>378.03300000000002</v>
      </c>
      <c r="F8349" t="s">
        <v>19</v>
      </c>
      <c r="G8349" t="s">
        <v>20</v>
      </c>
      <c r="H8349" t="s">
        <v>21</v>
      </c>
      <c r="I8349" t="s">
        <v>20</v>
      </c>
      <c r="J8349" t="s">
        <v>20</v>
      </c>
      <c r="K8349" t="s">
        <v>31</v>
      </c>
      <c r="L8349" t="s">
        <v>66</v>
      </c>
      <c r="M8349" t="s">
        <v>49</v>
      </c>
      <c r="N8349">
        <v>40.751966000000003</v>
      </c>
      <c r="O8349">
        <v>-111.888192</v>
      </c>
      <c r="P8349">
        <v>4181.8843999999999</v>
      </c>
      <c r="Q8349">
        <v>1384</v>
      </c>
      <c r="R8349">
        <v>0</v>
      </c>
    </row>
    <row r="8350" spans="1:18" x14ac:dyDescent="0.25">
      <c r="A8350">
        <v>8199</v>
      </c>
      <c r="B8350">
        <v>94</v>
      </c>
      <c r="C8350">
        <v>31588600</v>
      </c>
      <c r="D8350" t="s">
        <v>288</v>
      </c>
      <c r="E8350">
        <v>378.142</v>
      </c>
      <c r="F8350" t="s">
        <v>21</v>
      </c>
      <c r="G8350" t="s">
        <v>20</v>
      </c>
      <c r="H8350" t="s">
        <v>21</v>
      </c>
      <c r="I8350" t="s">
        <v>20</v>
      </c>
      <c r="J8350" t="s">
        <v>20</v>
      </c>
      <c r="K8350" t="s">
        <v>22</v>
      </c>
      <c r="L8350" t="s">
        <v>234</v>
      </c>
      <c r="M8350" t="s">
        <v>98</v>
      </c>
      <c r="N8350">
        <v>40.744487999999997</v>
      </c>
      <c r="O8350">
        <v>-109.471925</v>
      </c>
      <c r="P8350">
        <v>8446.7226109999992</v>
      </c>
      <c r="Q8350">
        <v>350</v>
      </c>
      <c r="R8350">
        <v>0</v>
      </c>
    </row>
    <row r="8351" spans="1:18" x14ac:dyDescent="0.25">
      <c r="A8351">
        <v>8200</v>
      </c>
      <c r="B8351">
        <v>94</v>
      </c>
      <c r="C8351" t="s">
        <v>966</v>
      </c>
      <c r="D8351" t="s">
        <v>272</v>
      </c>
      <c r="E8351">
        <v>378.18299999999999</v>
      </c>
      <c r="F8351" t="s">
        <v>19</v>
      </c>
      <c r="G8351" t="s">
        <v>20</v>
      </c>
      <c r="H8351" t="s">
        <v>21</v>
      </c>
      <c r="I8351" t="s">
        <v>20</v>
      </c>
      <c r="J8351" t="s">
        <v>20</v>
      </c>
      <c r="K8351" t="s">
        <v>31</v>
      </c>
      <c r="L8351" t="s">
        <v>66</v>
      </c>
      <c r="M8351" t="s">
        <v>49</v>
      </c>
      <c r="N8351">
        <v>40.754148999999998</v>
      </c>
      <c r="O8351">
        <v>-111.88822</v>
      </c>
      <c r="P8351">
        <v>4186.805805</v>
      </c>
      <c r="Q8351">
        <v>1384</v>
      </c>
      <c r="R8351">
        <v>0</v>
      </c>
    </row>
    <row r="8352" spans="1:18" x14ac:dyDescent="0.25">
      <c r="A8352">
        <v>8201</v>
      </c>
      <c r="B8352">
        <v>94</v>
      </c>
      <c r="C8352" t="e">
        <f>-Ip4Etf7GsPBOeR1Nba8Rk</f>
        <v>#NAME?</v>
      </c>
      <c r="D8352" t="s">
        <v>272</v>
      </c>
      <c r="E8352">
        <v>378.33100000000002</v>
      </c>
      <c r="F8352" t="s">
        <v>19</v>
      </c>
      <c r="G8352" t="s">
        <v>20</v>
      </c>
      <c r="H8352" t="s">
        <v>19</v>
      </c>
      <c r="I8352">
        <v>269</v>
      </c>
      <c r="J8352" t="s">
        <v>20</v>
      </c>
      <c r="K8352" t="s">
        <v>31</v>
      </c>
      <c r="L8352" t="s">
        <v>66</v>
      </c>
      <c r="M8352" t="s">
        <v>49</v>
      </c>
      <c r="N8352">
        <v>40.756320000000002</v>
      </c>
      <c r="O8352">
        <v>-111.888209</v>
      </c>
      <c r="P8352">
        <v>4193.4035759999997</v>
      </c>
      <c r="Q8352">
        <v>1384</v>
      </c>
      <c r="R8352">
        <v>0</v>
      </c>
    </row>
    <row r="8353" spans="1:18" x14ac:dyDescent="0.25">
      <c r="A8353">
        <v>8202</v>
      </c>
      <c r="B8353">
        <v>94</v>
      </c>
      <c r="C8353" t="e">
        <f>-Ip4LH_xHW1zXXX1-idL8F</f>
        <v>#NAME?</v>
      </c>
      <c r="D8353" t="s">
        <v>272</v>
      </c>
      <c r="E8353">
        <v>378.48200000000003</v>
      </c>
      <c r="F8353" t="s">
        <v>19</v>
      </c>
      <c r="G8353" t="s">
        <v>20</v>
      </c>
      <c r="H8353" t="s">
        <v>21</v>
      </c>
      <c r="I8353" t="s">
        <v>20</v>
      </c>
      <c r="J8353" t="s">
        <v>20</v>
      </c>
      <c r="K8353" t="s">
        <v>31</v>
      </c>
      <c r="L8353" t="s">
        <v>66</v>
      </c>
      <c r="M8353" t="s">
        <v>49</v>
      </c>
      <c r="N8353">
        <v>40.758507999999999</v>
      </c>
      <c r="O8353">
        <v>-111.888194</v>
      </c>
      <c r="P8353">
        <v>4197.6842130000005</v>
      </c>
      <c r="Q8353">
        <v>1384</v>
      </c>
      <c r="R8353">
        <v>0</v>
      </c>
    </row>
    <row r="8354" spans="1:18" x14ac:dyDescent="0.25">
      <c r="A8354">
        <v>8203</v>
      </c>
      <c r="B8354">
        <v>94</v>
      </c>
      <c r="C8354" t="s">
        <v>967</v>
      </c>
      <c r="D8354" t="s">
        <v>272</v>
      </c>
      <c r="E8354">
        <v>378.62599999999998</v>
      </c>
      <c r="F8354" t="s">
        <v>19</v>
      </c>
      <c r="G8354" t="s">
        <v>20</v>
      </c>
      <c r="H8354" t="s">
        <v>19</v>
      </c>
      <c r="I8354">
        <v>186</v>
      </c>
      <c r="J8354" t="s">
        <v>20</v>
      </c>
      <c r="K8354" t="s">
        <v>31</v>
      </c>
      <c r="L8354" t="s">
        <v>66</v>
      </c>
      <c r="M8354" t="s">
        <v>49</v>
      </c>
      <c r="N8354">
        <v>40.760632000000001</v>
      </c>
      <c r="O8354">
        <v>-111.888215</v>
      </c>
      <c r="P8354">
        <v>4205.3347659999999</v>
      </c>
      <c r="Q8354">
        <v>1384</v>
      </c>
      <c r="R8354">
        <v>0</v>
      </c>
    </row>
    <row r="8355" spans="1:18" x14ac:dyDescent="0.25">
      <c r="A8355">
        <v>8204</v>
      </c>
      <c r="B8355">
        <v>94</v>
      </c>
      <c r="C8355">
        <v>27376392</v>
      </c>
      <c r="D8355" t="s">
        <v>185</v>
      </c>
      <c r="E8355">
        <v>6.173</v>
      </c>
      <c r="F8355" t="s">
        <v>21</v>
      </c>
      <c r="G8355" t="s">
        <v>26</v>
      </c>
      <c r="H8355" t="s">
        <v>21</v>
      </c>
      <c r="I8355" t="s">
        <v>20</v>
      </c>
      <c r="J8355" t="s">
        <v>20</v>
      </c>
      <c r="K8355" t="s">
        <v>41</v>
      </c>
      <c r="L8355" t="s">
        <v>57</v>
      </c>
      <c r="M8355" t="s">
        <v>58</v>
      </c>
      <c r="N8355">
        <v>41.156467999999997</v>
      </c>
      <c r="O8355">
        <v>-112.122908</v>
      </c>
      <c r="P8355">
        <v>4183.5102440000001</v>
      </c>
      <c r="Q8355">
        <v>309</v>
      </c>
      <c r="R8355">
        <v>0</v>
      </c>
    </row>
    <row r="8356" spans="1:18" x14ac:dyDescent="0.25">
      <c r="A8356">
        <v>8205</v>
      </c>
      <c r="B8356">
        <v>94</v>
      </c>
      <c r="C8356">
        <v>31448114</v>
      </c>
      <c r="D8356" t="s">
        <v>254</v>
      </c>
      <c r="E8356">
        <v>6.1740000000000004</v>
      </c>
      <c r="F8356" t="s">
        <v>21</v>
      </c>
      <c r="G8356" t="s">
        <v>20</v>
      </c>
      <c r="H8356" t="s">
        <v>21</v>
      </c>
      <c r="I8356" t="s">
        <v>20</v>
      </c>
      <c r="J8356" t="s">
        <v>20</v>
      </c>
      <c r="K8356" t="s">
        <v>41</v>
      </c>
      <c r="L8356" t="s">
        <v>255</v>
      </c>
      <c r="M8356" t="s">
        <v>204</v>
      </c>
      <c r="N8356">
        <v>41.327931</v>
      </c>
      <c r="O8356">
        <v>-111.824709</v>
      </c>
      <c r="P8356">
        <v>5245.7342870000002</v>
      </c>
      <c r="Q8356">
        <v>1429</v>
      </c>
      <c r="R8356">
        <v>0</v>
      </c>
    </row>
    <row r="8357" spans="1:18" x14ac:dyDescent="0.25">
      <c r="A8357">
        <v>8206</v>
      </c>
      <c r="B8357">
        <v>94</v>
      </c>
      <c r="C8357">
        <v>31632667</v>
      </c>
      <c r="D8357" t="s">
        <v>227</v>
      </c>
      <c r="E8357">
        <v>6.1769999999999996</v>
      </c>
      <c r="F8357" t="s">
        <v>21</v>
      </c>
      <c r="G8357" t="s">
        <v>26</v>
      </c>
      <c r="H8357" t="s">
        <v>21</v>
      </c>
      <c r="I8357" t="s">
        <v>20</v>
      </c>
      <c r="J8357" t="s">
        <v>20</v>
      </c>
      <c r="K8357" t="s">
        <v>27</v>
      </c>
      <c r="L8357" t="s">
        <v>158</v>
      </c>
      <c r="M8357" t="s">
        <v>190</v>
      </c>
      <c r="N8357">
        <v>39.536332999999999</v>
      </c>
      <c r="O8357">
        <v>-110.46069300000001</v>
      </c>
      <c r="P8357">
        <v>5946.5708249999998</v>
      </c>
      <c r="Q8357">
        <v>1407</v>
      </c>
      <c r="R8357">
        <v>0</v>
      </c>
    </row>
    <row r="8358" spans="1:18" x14ac:dyDescent="0.25">
      <c r="A8358">
        <v>8207</v>
      </c>
      <c r="B8358">
        <v>94</v>
      </c>
      <c r="C8358" t="e">
        <f>-JOd-cHKGT9eR3oUSGaVkV</f>
        <v>#NAME?</v>
      </c>
      <c r="D8358" t="s">
        <v>241</v>
      </c>
      <c r="E8358">
        <v>62.841000000000001</v>
      </c>
      <c r="F8358" t="s">
        <v>21</v>
      </c>
      <c r="G8358" t="s">
        <v>20</v>
      </c>
      <c r="H8358" t="s">
        <v>21</v>
      </c>
      <c r="I8358" t="s">
        <v>20</v>
      </c>
      <c r="J8358" t="s">
        <v>20</v>
      </c>
      <c r="K8358" t="s">
        <v>27</v>
      </c>
      <c r="L8358" t="s">
        <v>158</v>
      </c>
      <c r="M8358" t="s">
        <v>243</v>
      </c>
      <c r="N8358">
        <v>39.517578</v>
      </c>
      <c r="O8358">
        <v>-110.828307</v>
      </c>
      <c r="P8358">
        <v>5573.9133069999998</v>
      </c>
      <c r="Q8358">
        <v>1327</v>
      </c>
      <c r="R8358">
        <v>0</v>
      </c>
    </row>
    <row r="8359" spans="1:18" x14ac:dyDescent="0.25">
      <c r="A8359">
        <v>8208</v>
      </c>
      <c r="B8359">
        <v>94</v>
      </c>
      <c r="C8359">
        <v>31352032</v>
      </c>
      <c r="D8359" t="s">
        <v>288</v>
      </c>
      <c r="E8359">
        <v>62.860999999999997</v>
      </c>
      <c r="F8359" t="s">
        <v>21</v>
      </c>
      <c r="G8359" t="s">
        <v>26</v>
      </c>
      <c r="H8359" t="s">
        <v>21</v>
      </c>
      <c r="I8359" t="s">
        <v>20</v>
      </c>
      <c r="J8359" t="s">
        <v>20</v>
      </c>
      <c r="K8359" t="s">
        <v>27</v>
      </c>
      <c r="L8359" t="s">
        <v>146</v>
      </c>
      <c r="M8359" t="s">
        <v>147</v>
      </c>
      <c r="N8359">
        <v>37.764150999999998</v>
      </c>
      <c r="O8359">
        <v>-109.38672</v>
      </c>
      <c r="P8359">
        <v>7163.1547250000003</v>
      </c>
      <c r="Q8359">
        <v>350</v>
      </c>
      <c r="R8359">
        <v>0</v>
      </c>
    </row>
    <row r="8360" spans="1:18" x14ac:dyDescent="0.25">
      <c r="A8360">
        <v>8209</v>
      </c>
      <c r="B8360">
        <v>94</v>
      </c>
      <c r="C8360">
        <v>28054624</v>
      </c>
      <c r="D8360" t="s">
        <v>281</v>
      </c>
      <c r="E8360">
        <v>62.898000000000003</v>
      </c>
      <c r="F8360" t="s">
        <v>19</v>
      </c>
      <c r="G8360" t="s">
        <v>20</v>
      </c>
      <c r="H8360" t="s">
        <v>19</v>
      </c>
      <c r="I8360">
        <v>138</v>
      </c>
      <c r="J8360" t="s">
        <v>20</v>
      </c>
      <c r="K8360" t="s">
        <v>31</v>
      </c>
      <c r="L8360" t="s">
        <v>282</v>
      </c>
      <c r="M8360" t="s">
        <v>283</v>
      </c>
      <c r="N8360">
        <v>40.653215000000003</v>
      </c>
      <c r="O8360">
        <v>-112.289153</v>
      </c>
      <c r="P8360">
        <v>4228.1857300000001</v>
      </c>
      <c r="Q8360">
        <v>1347</v>
      </c>
      <c r="R8360">
        <v>0</v>
      </c>
    </row>
    <row r="8361" spans="1:18" x14ac:dyDescent="0.25">
      <c r="A8361">
        <v>8210</v>
      </c>
      <c r="B8361">
        <v>94</v>
      </c>
      <c r="C8361">
        <v>31589321</v>
      </c>
      <c r="D8361" t="s">
        <v>172</v>
      </c>
      <c r="E8361">
        <v>62.9</v>
      </c>
      <c r="F8361" t="s">
        <v>21</v>
      </c>
      <c r="G8361" t="s">
        <v>26</v>
      </c>
      <c r="H8361" t="s">
        <v>21</v>
      </c>
      <c r="I8361" t="s">
        <v>20</v>
      </c>
      <c r="J8361" t="s">
        <v>20</v>
      </c>
      <c r="K8361" t="s">
        <v>27</v>
      </c>
      <c r="L8361" t="s">
        <v>230</v>
      </c>
      <c r="M8361" t="s">
        <v>174</v>
      </c>
      <c r="N8361">
        <v>39.423901999999998</v>
      </c>
      <c r="O8361">
        <v>-111.56206899999999</v>
      </c>
      <c r="P8361">
        <v>5486.4256379999997</v>
      </c>
      <c r="Q8361">
        <v>1411</v>
      </c>
      <c r="R8361">
        <v>0</v>
      </c>
    </row>
    <row r="8362" spans="1:18" x14ac:dyDescent="0.25">
      <c r="A8362">
        <v>8211</v>
      </c>
      <c r="B8362">
        <v>94</v>
      </c>
      <c r="C8362">
        <v>31303627</v>
      </c>
      <c r="D8362" t="s">
        <v>316</v>
      </c>
      <c r="E8362">
        <v>44.945</v>
      </c>
      <c r="F8362" t="s">
        <v>21</v>
      </c>
      <c r="G8362" t="s">
        <v>26</v>
      </c>
      <c r="H8362" t="s">
        <v>19</v>
      </c>
      <c r="I8362">
        <v>208</v>
      </c>
      <c r="J8362" t="s">
        <v>20</v>
      </c>
      <c r="K8362" t="s">
        <v>22</v>
      </c>
      <c r="L8362" t="s">
        <v>168</v>
      </c>
      <c r="M8362" t="s">
        <v>302</v>
      </c>
      <c r="N8362">
        <v>40.331209999999999</v>
      </c>
      <c r="O8362">
        <v>-110.671154</v>
      </c>
      <c r="P8362">
        <v>6386.823179</v>
      </c>
      <c r="Q8362">
        <v>1346</v>
      </c>
      <c r="R8362">
        <v>0</v>
      </c>
    </row>
    <row r="8363" spans="1:18" x14ac:dyDescent="0.25">
      <c r="A8363">
        <v>8212</v>
      </c>
      <c r="B8363">
        <v>94</v>
      </c>
      <c r="C8363">
        <v>31411978</v>
      </c>
      <c r="D8363" t="s">
        <v>124</v>
      </c>
      <c r="E8363">
        <v>47.247</v>
      </c>
      <c r="F8363" t="s">
        <v>21</v>
      </c>
      <c r="G8363" t="s">
        <v>26</v>
      </c>
      <c r="H8363" t="s">
        <v>21</v>
      </c>
      <c r="I8363" t="s">
        <v>20</v>
      </c>
      <c r="J8363" t="s">
        <v>20</v>
      </c>
      <c r="K8363" t="s">
        <v>31</v>
      </c>
      <c r="L8363" t="s">
        <v>48</v>
      </c>
      <c r="M8363" t="s">
        <v>125</v>
      </c>
      <c r="N8363">
        <v>40.594005000000003</v>
      </c>
      <c r="O8363">
        <v>-111.93873000000001</v>
      </c>
      <c r="P8363">
        <v>4332.1051610000004</v>
      </c>
      <c r="Q8363">
        <v>1368</v>
      </c>
      <c r="R8363">
        <v>0</v>
      </c>
    </row>
    <row r="8364" spans="1:18" x14ac:dyDescent="0.25">
      <c r="A8364">
        <v>8213</v>
      </c>
      <c r="B8364">
        <v>94</v>
      </c>
      <c r="C8364">
        <v>31319773</v>
      </c>
      <c r="D8364" t="s">
        <v>241</v>
      </c>
      <c r="E8364">
        <v>47.281999999999996</v>
      </c>
      <c r="F8364" t="s">
        <v>21</v>
      </c>
      <c r="G8364" t="s">
        <v>26</v>
      </c>
      <c r="H8364" t="s">
        <v>21</v>
      </c>
      <c r="I8364" t="s">
        <v>20</v>
      </c>
      <c r="J8364" t="s">
        <v>20</v>
      </c>
      <c r="K8364" t="s">
        <v>27</v>
      </c>
      <c r="L8364" t="s">
        <v>111</v>
      </c>
      <c r="M8364" t="s">
        <v>243</v>
      </c>
      <c r="N8364">
        <v>39.330008999999997</v>
      </c>
      <c r="O8364">
        <v>-110.964603</v>
      </c>
      <c r="P8364">
        <v>5741.56232</v>
      </c>
      <c r="Q8364">
        <v>1327</v>
      </c>
      <c r="R8364">
        <v>0</v>
      </c>
    </row>
    <row r="8365" spans="1:18" x14ac:dyDescent="0.25">
      <c r="A8365">
        <v>8214</v>
      </c>
      <c r="B8365">
        <v>94</v>
      </c>
      <c r="C8365">
        <v>31404359</v>
      </c>
      <c r="D8365" t="s">
        <v>124</v>
      </c>
      <c r="E8365">
        <v>47.317999999999998</v>
      </c>
      <c r="F8365" t="s">
        <v>21</v>
      </c>
      <c r="G8365" t="s">
        <v>26</v>
      </c>
      <c r="H8365" t="s">
        <v>21</v>
      </c>
      <c r="I8365" t="s">
        <v>20</v>
      </c>
      <c r="J8365" t="s">
        <v>20</v>
      </c>
      <c r="K8365" t="s">
        <v>31</v>
      </c>
      <c r="L8365" t="s">
        <v>48</v>
      </c>
      <c r="M8365" t="s">
        <v>125</v>
      </c>
      <c r="N8365">
        <v>40.595039999999997</v>
      </c>
      <c r="O8365">
        <v>-111.93873000000001</v>
      </c>
      <c r="P8365">
        <v>4328.8709470000003</v>
      </c>
      <c r="Q8365">
        <v>1368</v>
      </c>
      <c r="R8365">
        <v>0</v>
      </c>
    </row>
    <row r="8366" spans="1:18" x14ac:dyDescent="0.25">
      <c r="A8366">
        <v>8215</v>
      </c>
      <c r="B8366">
        <v>94</v>
      </c>
      <c r="C8366">
        <v>31579597</v>
      </c>
      <c r="D8366" t="s">
        <v>172</v>
      </c>
      <c r="E8366">
        <v>47.334000000000003</v>
      </c>
      <c r="F8366" t="s">
        <v>21</v>
      </c>
      <c r="G8366" t="s">
        <v>26</v>
      </c>
      <c r="H8366" t="s">
        <v>21</v>
      </c>
      <c r="I8366" t="s">
        <v>20</v>
      </c>
      <c r="J8366" t="s">
        <v>20</v>
      </c>
      <c r="K8366" t="s">
        <v>27</v>
      </c>
      <c r="L8366" t="s">
        <v>230</v>
      </c>
      <c r="M8366" t="s">
        <v>174</v>
      </c>
      <c r="N8366">
        <v>39.631208999999998</v>
      </c>
      <c r="O8366">
        <v>-111.63446399999999</v>
      </c>
      <c r="P8366">
        <v>5855.4057350000003</v>
      </c>
      <c r="Q8366">
        <v>1411</v>
      </c>
      <c r="R8366">
        <v>0</v>
      </c>
    </row>
    <row r="8367" spans="1:18" x14ac:dyDescent="0.25">
      <c r="A8367">
        <v>8216</v>
      </c>
      <c r="B8367">
        <v>94</v>
      </c>
      <c r="C8367">
        <v>31404370</v>
      </c>
      <c r="D8367" t="s">
        <v>124</v>
      </c>
      <c r="E8367">
        <v>47.384999999999998</v>
      </c>
      <c r="F8367" t="s">
        <v>21</v>
      </c>
      <c r="G8367" t="s">
        <v>26</v>
      </c>
      <c r="H8367" t="s">
        <v>21</v>
      </c>
      <c r="I8367" t="s">
        <v>20</v>
      </c>
      <c r="J8367" t="s">
        <v>20</v>
      </c>
      <c r="K8367" t="s">
        <v>31</v>
      </c>
      <c r="L8367" t="s">
        <v>48</v>
      </c>
      <c r="M8367" t="s">
        <v>125</v>
      </c>
      <c r="N8367">
        <v>40.596015000000001</v>
      </c>
      <c r="O8367">
        <v>-111.938732</v>
      </c>
      <c r="P8367">
        <v>4325.0211250000002</v>
      </c>
      <c r="Q8367">
        <v>1368</v>
      </c>
      <c r="R8367">
        <v>0</v>
      </c>
    </row>
    <row r="8368" spans="1:18" x14ac:dyDescent="0.25">
      <c r="A8368">
        <v>8217</v>
      </c>
      <c r="B8368">
        <v>94</v>
      </c>
      <c r="C8368">
        <v>31319784</v>
      </c>
      <c r="D8368" t="s">
        <v>241</v>
      </c>
      <c r="E8368">
        <v>47.404000000000003</v>
      </c>
      <c r="F8368" t="s">
        <v>21</v>
      </c>
      <c r="G8368" t="s">
        <v>26</v>
      </c>
      <c r="H8368" t="s">
        <v>21</v>
      </c>
      <c r="I8368" t="s">
        <v>20</v>
      </c>
      <c r="J8368" t="s">
        <v>20</v>
      </c>
      <c r="K8368" t="s">
        <v>27</v>
      </c>
      <c r="L8368" t="s">
        <v>111</v>
      </c>
      <c r="M8368" t="s">
        <v>243</v>
      </c>
      <c r="N8368">
        <v>39.331788000000003</v>
      </c>
      <c r="O8368">
        <v>-110.96464</v>
      </c>
      <c r="P8368">
        <v>5749.8591370000004</v>
      </c>
      <c r="Q8368">
        <v>1327</v>
      </c>
      <c r="R8368">
        <v>0</v>
      </c>
    </row>
    <row r="8369" spans="1:18" x14ac:dyDescent="0.25">
      <c r="A8369">
        <v>8218</v>
      </c>
      <c r="B8369">
        <v>94</v>
      </c>
      <c r="C8369">
        <v>31330342</v>
      </c>
      <c r="D8369" t="s">
        <v>288</v>
      </c>
      <c r="E8369">
        <v>47.408000000000001</v>
      </c>
      <c r="F8369" t="s">
        <v>21</v>
      </c>
      <c r="G8369" t="s">
        <v>20</v>
      </c>
      <c r="H8369" t="s">
        <v>21</v>
      </c>
      <c r="I8369" t="s">
        <v>20</v>
      </c>
      <c r="J8369" t="s">
        <v>20</v>
      </c>
      <c r="K8369" t="s">
        <v>27</v>
      </c>
      <c r="L8369" t="s">
        <v>327</v>
      </c>
      <c r="M8369" t="s">
        <v>212</v>
      </c>
      <c r="N8369">
        <v>37.573613000000002</v>
      </c>
      <c r="O8369">
        <v>-109.484621</v>
      </c>
      <c r="P8369">
        <v>5695.9606080000003</v>
      </c>
      <c r="Q8369">
        <v>350</v>
      </c>
      <c r="R8369">
        <v>0</v>
      </c>
    </row>
    <row r="8370" spans="1:18" x14ac:dyDescent="0.25">
      <c r="A8370">
        <v>8219</v>
      </c>
      <c r="B8370">
        <v>94</v>
      </c>
      <c r="C8370" t="e">
        <f>-IozzEA3I11zOf5Eg_uhHV</f>
        <v>#NAME?</v>
      </c>
      <c r="D8370" t="s">
        <v>203</v>
      </c>
      <c r="E8370">
        <v>47.414999999999999</v>
      </c>
      <c r="F8370" t="s">
        <v>21</v>
      </c>
      <c r="G8370" t="s">
        <v>20</v>
      </c>
      <c r="H8370" t="s">
        <v>21</v>
      </c>
      <c r="I8370" t="s">
        <v>20</v>
      </c>
      <c r="J8370" t="s">
        <v>20</v>
      </c>
      <c r="K8370" t="s">
        <v>41</v>
      </c>
      <c r="L8370" t="s">
        <v>325</v>
      </c>
      <c r="M8370" t="s">
        <v>204</v>
      </c>
      <c r="N8370">
        <v>41.460818000000003</v>
      </c>
      <c r="O8370">
        <v>-111.501772</v>
      </c>
      <c r="P8370">
        <v>8869.4953389999991</v>
      </c>
      <c r="Q8370">
        <v>1349</v>
      </c>
      <c r="R8370">
        <v>0</v>
      </c>
    </row>
    <row r="8371" spans="1:18" x14ac:dyDescent="0.25">
      <c r="A8371">
        <v>8220</v>
      </c>
      <c r="B8371">
        <v>94</v>
      </c>
      <c r="C8371">
        <v>31580158</v>
      </c>
      <c r="D8371" t="s">
        <v>172</v>
      </c>
      <c r="E8371">
        <v>47.433</v>
      </c>
      <c r="F8371" t="s">
        <v>21</v>
      </c>
      <c r="G8371" t="s">
        <v>26</v>
      </c>
      <c r="H8371" t="s">
        <v>21</v>
      </c>
      <c r="I8371" t="s">
        <v>20</v>
      </c>
      <c r="J8371" t="s">
        <v>20</v>
      </c>
      <c r="K8371" t="s">
        <v>27</v>
      </c>
      <c r="L8371" t="s">
        <v>230</v>
      </c>
      <c r="M8371" t="s">
        <v>174</v>
      </c>
      <c r="N8371">
        <v>39.629773</v>
      </c>
      <c r="O8371">
        <v>-111.63446500000001</v>
      </c>
      <c r="P8371">
        <v>5842.8130540000002</v>
      </c>
      <c r="Q8371">
        <v>1411</v>
      </c>
      <c r="R8371">
        <v>0</v>
      </c>
    </row>
    <row r="8372" spans="1:18" x14ac:dyDescent="0.25">
      <c r="A8372">
        <v>8221</v>
      </c>
      <c r="B8372">
        <v>94</v>
      </c>
      <c r="C8372">
        <v>27997650</v>
      </c>
      <c r="D8372" t="s">
        <v>281</v>
      </c>
      <c r="E8372">
        <v>47.447000000000003</v>
      </c>
      <c r="F8372" t="s">
        <v>21</v>
      </c>
      <c r="G8372" t="s">
        <v>26</v>
      </c>
      <c r="H8372" t="s">
        <v>21</v>
      </c>
      <c r="I8372" t="s">
        <v>20</v>
      </c>
      <c r="J8372" t="s">
        <v>20</v>
      </c>
      <c r="K8372" t="s">
        <v>31</v>
      </c>
      <c r="L8372" t="s">
        <v>282</v>
      </c>
      <c r="M8372" t="s">
        <v>283</v>
      </c>
      <c r="N8372">
        <v>40.447510000000001</v>
      </c>
      <c r="O8372">
        <v>-112.363793</v>
      </c>
      <c r="P8372">
        <v>5013.9654190000001</v>
      </c>
      <c r="Q8372">
        <v>1347</v>
      </c>
      <c r="R8372">
        <v>0</v>
      </c>
    </row>
    <row r="8373" spans="1:18" x14ac:dyDescent="0.25">
      <c r="A8373">
        <v>8222</v>
      </c>
      <c r="B8373">
        <v>94</v>
      </c>
      <c r="C8373">
        <v>31293945</v>
      </c>
      <c r="D8373" t="s">
        <v>308</v>
      </c>
      <c r="E8373">
        <v>47.460999999999999</v>
      </c>
      <c r="F8373" t="s">
        <v>21</v>
      </c>
      <c r="G8373" t="s">
        <v>26</v>
      </c>
      <c r="H8373" t="s">
        <v>21</v>
      </c>
      <c r="I8373" t="s">
        <v>20</v>
      </c>
      <c r="J8373" t="s">
        <v>20</v>
      </c>
      <c r="K8373" t="s">
        <v>27</v>
      </c>
      <c r="L8373" t="s">
        <v>111</v>
      </c>
      <c r="M8373" t="s">
        <v>82</v>
      </c>
      <c r="N8373">
        <v>39.336468000000004</v>
      </c>
      <c r="O8373">
        <v>-110.96948500000001</v>
      </c>
      <c r="P8373">
        <v>5766.6291650000003</v>
      </c>
      <c r="Q8373">
        <v>1344</v>
      </c>
      <c r="R8373">
        <v>0</v>
      </c>
    </row>
    <row r="8374" spans="1:18" x14ac:dyDescent="0.25">
      <c r="A8374">
        <v>8223</v>
      </c>
      <c r="B8374">
        <v>94</v>
      </c>
      <c r="C8374">
        <v>493210</v>
      </c>
      <c r="D8374" t="s">
        <v>83</v>
      </c>
      <c r="E8374">
        <v>4.1479999999999997</v>
      </c>
      <c r="F8374" t="s">
        <v>21</v>
      </c>
      <c r="G8374" t="s">
        <v>26</v>
      </c>
      <c r="H8374" t="s">
        <v>21</v>
      </c>
      <c r="I8374" t="s">
        <v>20</v>
      </c>
      <c r="J8374" t="s">
        <v>20</v>
      </c>
      <c r="K8374" t="s">
        <v>22</v>
      </c>
      <c r="L8374" t="s">
        <v>84</v>
      </c>
      <c r="M8374" t="s">
        <v>85</v>
      </c>
      <c r="N8374">
        <v>40.435550999999997</v>
      </c>
      <c r="O8374">
        <v>-111.784796</v>
      </c>
      <c r="P8374">
        <v>4857.0079139999998</v>
      </c>
      <c r="Q8374">
        <v>319</v>
      </c>
      <c r="R8374">
        <v>0</v>
      </c>
    </row>
    <row r="8375" spans="1:18" x14ac:dyDescent="0.25">
      <c r="A8375">
        <v>8224</v>
      </c>
      <c r="B8375">
        <v>94</v>
      </c>
      <c r="C8375">
        <v>31576598</v>
      </c>
      <c r="D8375" t="s">
        <v>172</v>
      </c>
      <c r="E8375">
        <v>41.511000000000003</v>
      </c>
      <c r="F8375" t="s">
        <v>21</v>
      </c>
      <c r="G8375" t="s">
        <v>26</v>
      </c>
      <c r="H8375" t="s">
        <v>21</v>
      </c>
      <c r="I8375" t="s">
        <v>20</v>
      </c>
      <c r="J8375" t="s">
        <v>20</v>
      </c>
      <c r="K8375" t="s">
        <v>22</v>
      </c>
      <c r="L8375" t="s">
        <v>155</v>
      </c>
      <c r="M8375" t="s">
        <v>174</v>
      </c>
      <c r="N8375">
        <v>39.698017999999998</v>
      </c>
      <c r="O8375">
        <v>-111.696096</v>
      </c>
      <c r="P8375">
        <v>6086.244968</v>
      </c>
      <c r="Q8375">
        <v>1411</v>
      </c>
      <c r="R8375">
        <v>0</v>
      </c>
    </row>
    <row r="8376" spans="1:18" x14ac:dyDescent="0.25">
      <c r="A8376">
        <v>8225</v>
      </c>
      <c r="B8376">
        <v>94</v>
      </c>
      <c r="C8376">
        <v>31399940</v>
      </c>
      <c r="D8376" t="s">
        <v>124</v>
      </c>
      <c r="E8376">
        <v>41.515999999999998</v>
      </c>
      <c r="F8376" t="s">
        <v>21</v>
      </c>
      <c r="G8376" t="s">
        <v>26</v>
      </c>
      <c r="H8376" t="s">
        <v>21</v>
      </c>
      <c r="I8376" t="s">
        <v>20</v>
      </c>
      <c r="J8376" t="s">
        <v>20</v>
      </c>
      <c r="K8376" t="s">
        <v>31</v>
      </c>
      <c r="L8376" t="s">
        <v>89</v>
      </c>
      <c r="M8376" t="s">
        <v>125</v>
      </c>
      <c r="N8376">
        <v>40.510728999999998</v>
      </c>
      <c r="O8376">
        <v>-111.938722</v>
      </c>
      <c r="P8376">
        <v>4396.9294</v>
      </c>
      <c r="Q8376">
        <v>1368</v>
      </c>
      <c r="R8376">
        <v>0</v>
      </c>
    </row>
    <row r="8377" spans="1:18" x14ac:dyDescent="0.25">
      <c r="A8377">
        <v>8226</v>
      </c>
      <c r="B8377">
        <v>94</v>
      </c>
      <c r="C8377">
        <v>31508078</v>
      </c>
      <c r="D8377" t="s">
        <v>37</v>
      </c>
      <c r="E8377">
        <v>41.53</v>
      </c>
      <c r="F8377" t="s">
        <v>21</v>
      </c>
      <c r="G8377" t="s">
        <v>26</v>
      </c>
      <c r="H8377" t="s">
        <v>21</v>
      </c>
      <c r="I8377" t="s">
        <v>20</v>
      </c>
      <c r="J8377" t="s">
        <v>20</v>
      </c>
      <c r="K8377" t="s">
        <v>27</v>
      </c>
      <c r="L8377" t="s">
        <v>405</v>
      </c>
      <c r="M8377" t="s">
        <v>39</v>
      </c>
      <c r="N8377">
        <v>38.948025000000001</v>
      </c>
      <c r="O8377">
        <v>-109.35634400000001</v>
      </c>
      <c r="P8377">
        <v>4336.6641229999996</v>
      </c>
      <c r="Q8377">
        <v>1319</v>
      </c>
      <c r="R8377">
        <v>0</v>
      </c>
    </row>
    <row r="8378" spans="1:18" x14ac:dyDescent="0.25">
      <c r="A8378">
        <v>8227</v>
      </c>
      <c r="B8378">
        <v>94</v>
      </c>
      <c r="C8378">
        <v>31437714</v>
      </c>
      <c r="D8378" t="s">
        <v>221</v>
      </c>
      <c r="E8378">
        <v>41.557000000000002</v>
      </c>
      <c r="F8378" t="s">
        <v>21</v>
      </c>
      <c r="G8378" t="s">
        <v>26</v>
      </c>
      <c r="H8378" t="s">
        <v>21</v>
      </c>
      <c r="I8378" t="s">
        <v>20</v>
      </c>
      <c r="J8378" t="s">
        <v>20</v>
      </c>
      <c r="K8378" t="s">
        <v>22</v>
      </c>
      <c r="L8378" t="s">
        <v>155</v>
      </c>
      <c r="M8378" t="s">
        <v>174</v>
      </c>
      <c r="N8378">
        <v>39.721657</v>
      </c>
      <c r="O8378">
        <v>-111.83613200000001</v>
      </c>
      <c r="P8378">
        <v>5062.2176220000001</v>
      </c>
      <c r="Q8378">
        <v>1342</v>
      </c>
      <c r="R8378">
        <v>0</v>
      </c>
    </row>
    <row r="8379" spans="1:18" x14ac:dyDescent="0.25">
      <c r="A8379">
        <v>8228</v>
      </c>
      <c r="B8379">
        <v>94</v>
      </c>
      <c r="C8379">
        <v>31399951</v>
      </c>
      <c r="D8379" t="s">
        <v>124</v>
      </c>
      <c r="E8379">
        <v>41.566000000000003</v>
      </c>
      <c r="F8379" t="s">
        <v>21</v>
      </c>
      <c r="G8379" t="s">
        <v>26</v>
      </c>
      <c r="H8379" t="s">
        <v>21</v>
      </c>
      <c r="I8379" t="s">
        <v>20</v>
      </c>
      <c r="J8379" t="s">
        <v>20</v>
      </c>
      <c r="K8379" t="s">
        <v>31</v>
      </c>
      <c r="L8379" t="s">
        <v>89</v>
      </c>
      <c r="M8379" t="s">
        <v>125</v>
      </c>
      <c r="N8379">
        <v>40.511448000000001</v>
      </c>
      <c r="O8379">
        <v>-111.938726</v>
      </c>
      <c r="P8379">
        <v>4396.8323950000004</v>
      </c>
      <c r="Q8379">
        <v>1368</v>
      </c>
      <c r="R8379">
        <v>0</v>
      </c>
    </row>
    <row r="8380" spans="1:18" x14ac:dyDescent="0.25">
      <c r="A8380">
        <v>8229</v>
      </c>
      <c r="B8380">
        <v>94</v>
      </c>
      <c r="C8380">
        <v>31400062</v>
      </c>
      <c r="D8380" t="s">
        <v>124</v>
      </c>
      <c r="E8380">
        <v>41.621000000000002</v>
      </c>
      <c r="F8380" t="s">
        <v>21</v>
      </c>
      <c r="G8380" t="s">
        <v>26</v>
      </c>
      <c r="H8380" t="s">
        <v>21</v>
      </c>
      <c r="I8380" t="s">
        <v>20</v>
      </c>
      <c r="J8380" t="s">
        <v>20</v>
      </c>
      <c r="K8380" t="s">
        <v>31</v>
      </c>
      <c r="L8380" t="s">
        <v>89</v>
      </c>
      <c r="M8380" t="s">
        <v>125</v>
      </c>
      <c r="N8380">
        <v>40.512264999999999</v>
      </c>
      <c r="O8380">
        <v>-111.938722</v>
      </c>
      <c r="P8380">
        <v>4391.4136150000004</v>
      </c>
      <c r="Q8380">
        <v>1368</v>
      </c>
      <c r="R8380">
        <v>0</v>
      </c>
    </row>
    <row r="8381" spans="1:18" x14ac:dyDescent="0.25">
      <c r="A8381">
        <v>8230</v>
      </c>
      <c r="B8381">
        <v>94</v>
      </c>
      <c r="C8381">
        <v>31728977</v>
      </c>
      <c r="D8381" t="s">
        <v>118</v>
      </c>
      <c r="E8381">
        <v>41.677999999999997</v>
      </c>
      <c r="F8381" t="s">
        <v>21</v>
      </c>
      <c r="G8381" t="s">
        <v>26</v>
      </c>
      <c r="H8381" t="s">
        <v>21</v>
      </c>
      <c r="I8381" t="s">
        <v>20</v>
      </c>
      <c r="J8381" t="s">
        <v>20</v>
      </c>
      <c r="K8381" t="s">
        <v>22</v>
      </c>
      <c r="L8381" t="s">
        <v>119</v>
      </c>
      <c r="M8381" t="s">
        <v>120</v>
      </c>
      <c r="N8381">
        <v>40.243065999999999</v>
      </c>
      <c r="O8381">
        <v>-111.15698</v>
      </c>
      <c r="P8381">
        <v>7605.330618</v>
      </c>
      <c r="Q8381">
        <v>310</v>
      </c>
      <c r="R8381">
        <v>0</v>
      </c>
    </row>
    <row r="8382" spans="1:18" x14ac:dyDescent="0.25">
      <c r="A8382">
        <v>8231</v>
      </c>
      <c r="B8382">
        <v>94</v>
      </c>
      <c r="C8382">
        <v>31302600</v>
      </c>
      <c r="D8382" t="s">
        <v>316</v>
      </c>
      <c r="E8382">
        <v>41.695999999999998</v>
      </c>
      <c r="F8382" t="s">
        <v>21</v>
      </c>
      <c r="G8382" t="s">
        <v>20</v>
      </c>
      <c r="H8382" t="s">
        <v>21</v>
      </c>
      <c r="I8382" t="s">
        <v>20</v>
      </c>
      <c r="J8382" t="s">
        <v>20</v>
      </c>
      <c r="K8382" t="s">
        <v>22</v>
      </c>
      <c r="L8382" t="s">
        <v>168</v>
      </c>
      <c r="M8382" t="s">
        <v>302</v>
      </c>
      <c r="N8382">
        <v>40.360095999999999</v>
      </c>
      <c r="O8382">
        <v>-110.718092</v>
      </c>
      <c r="P8382">
        <v>6492.403926</v>
      </c>
      <c r="Q8382">
        <v>1346</v>
      </c>
      <c r="R8382">
        <v>0</v>
      </c>
    </row>
    <row r="8383" spans="1:18" x14ac:dyDescent="0.25">
      <c r="A8383">
        <v>8232</v>
      </c>
      <c r="B8383">
        <v>94</v>
      </c>
      <c r="C8383">
        <v>31391443</v>
      </c>
      <c r="D8383" t="s">
        <v>184</v>
      </c>
      <c r="E8383">
        <v>41.707999999999998</v>
      </c>
      <c r="F8383" t="s">
        <v>21</v>
      </c>
      <c r="G8383" t="s">
        <v>26</v>
      </c>
      <c r="H8383" t="s">
        <v>21</v>
      </c>
      <c r="I8383" t="s">
        <v>20</v>
      </c>
      <c r="J8383" t="s">
        <v>20</v>
      </c>
      <c r="K8383" t="s">
        <v>27</v>
      </c>
      <c r="L8383" t="s">
        <v>143</v>
      </c>
      <c r="M8383" t="s">
        <v>55</v>
      </c>
      <c r="N8383">
        <v>38.202131000000001</v>
      </c>
      <c r="O8383">
        <v>-112.930269</v>
      </c>
      <c r="P8383">
        <v>5305.2912859999997</v>
      </c>
      <c r="Q8383">
        <v>1410</v>
      </c>
      <c r="R8383">
        <v>0</v>
      </c>
    </row>
    <row r="8384" spans="1:18" x14ac:dyDescent="0.25">
      <c r="A8384">
        <v>8233</v>
      </c>
      <c r="B8384">
        <v>94</v>
      </c>
      <c r="C8384">
        <v>31460567</v>
      </c>
      <c r="D8384" t="s">
        <v>319</v>
      </c>
      <c r="E8384">
        <v>41.720999999999997</v>
      </c>
      <c r="F8384" t="s">
        <v>21</v>
      </c>
      <c r="G8384" t="s">
        <v>20</v>
      </c>
      <c r="H8384" t="s">
        <v>21</v>
      </c>
      <c r="I8384" t="s">
        <v>20</v>
      </c>
      <c r="J8384" t="s">
        <v>20</v>
      </c>
      <c r="K8384" t="s">
        <v>27</v>
      </c>
      <c r="L8384" t="s">
        <v>162</v>
      </c>
      <c r="M8384" t="s">
        <v>55</v>
      </c>
      <c r="N8384">
        <v>37.611232999999999</v>
      </c>
      <c r="O8384">
        <v>-113.394813</v>
      </c>
      <c r="P8384">
        <v>6214.5667350000003</v>
      </c>
      <c r="Q8384">
        <v>314</v>
      </c>
      <c r="R8384">
        <v>0</v>
      </c>
    </row>
    <row r="8385" spans="1:18" x14ac:dyDescent="0.25">
      <c r="A8385">
        <v>8234</v>
      </c>
      <c r="B8385">
        <v>94</v>
      </c>
      <c r="C8385" t="e">
        <f>-Ip4VhqIFdyVG0sLo5o__k</f>
        <v>#NAME?</v>
      </c>
      <c r="D8385" t="s">
        <v>272</v>
      </c>
      <c r="E8385">
        <v>378.70299999999997</v>
      </c>
      <c r="F8385" t="s">
        <v>21</v>
      </c>
      <c r="G8385" t="s">
        <v>26</v>
      </c>
      <c r="H8385" t="s">
        <v>21</v>
      </c>
      <c r="I8385" t="s">
        <v>20</v>
      </c>
      <c r="J8385" t="s">
        <v>20</v>
      </c>
      <c r="K8385" t="s">
        <v>31</v>
      </c>
      <c r="L8385" t="s">
        <v>66</v>
      </c>
      <c r="M8385" t="s">
        <v>49</v>
      </c>
      <c r="N8385">
        <v>40.760744000000003</v>
      </c>
      <c r="O8385">
        <v>-111.889669</v>
      </c>
      <c r="P8385">
        <v>4205.4728219999997</v>
      </c>
      <c r="Q8385">
        <v>1384</v>
      </c>
      <c r="R8385">
        <v>0</v>
      </c>
    </row>
    <row r="8386" spans="1:18" x14ac:dyDescent="0.25">
      <c r="A8386">
        <v>8235</v>
      </c>
      <c r="B8386">
        <v>94</v>
      </c>
      <c r="C8386" t="e">
        <f>-Ip4YsUUHcXVuiVzdVWseF</f>
        <v>#NAME?</v>
      </c>
      <c r="D8386" t="s">
        <v>272</v>
      </c>
      <c r="E8386">
        <v>378.78</v>
      </c>
      <c r="F8386" t="s">
        <v>19</v>
      </c>
      <c r="G8386" t="s">
        <v>20</v>
      </c>
      <c r="H8386" t="s">
        <v>21</v>
      </c>
      <c r="I8386" t="s">
        <v>20</v>
      </c>
      <c r="J8386" t="s">
        <v>20</v>
      </c>
      <c r="K8386" t="s">
        <v>31</v>
      </c>
      <c r="L8386" t="s">
        <v>66</v>
      </c>
      <c r="M8386" t="s">
        <v>49</v>
      </c>
      <c r="N8386">
        <v>40.760700999999997</v>
      </c>
      <c r="O8386">
        <v>-111.891172</v>
      </c>
      <c r="P8386">
        <v>4205.6898010000004</v>
      </c>
      <c r="Q8386">
        <v>1384</v>
      </c>
      <c r="R8386">
        <v>0</v>
      </c>
    </row>
    <row r="8387" spans="1:18" x14ac:dyDescent="0.25">
      <c r="A8387">
        <v>8236</v>
      </c>
      <c r="B8387">
        <v>94</v>
      </c>
      <c r="C8387">
        <v>31589061</v>
      </c>
      <c r="D8387" t="s">
        <v>288</v>
      </c>
      <c r="E8387">
        <v>378.84699999999998</v>
      </c>
      <c r="F8387" t="s">
        <v>21</v>
      </c>
      <c r="G8387" t="s">
        <v>26</v>
      </c>
      <c r="H8387" t="s">
        <v>21</v>
      </c>
      <c r="I8387" t="s">
        <v>20</v>
      </c>
      <c r="J8387" t="s">
        <v>20</v>
      </c>
      <c r="K8387" t="s">
        <v>22</v>
      </c>
      <c r="L8387" t="s">
        <v>234</v>
      </c>
      <c r="M8387" t="s">
        <v>98</v>
      </c>
      <c r="N8387">
        <v>40.754499000000003</v>
      </c>
      <c r="O8387">
        <v>-109.470477</v>
      </c>
      <c r="P8387">
        <v>8400.7792430000009</v>
      </c>
      <c r="Q8387">
        <v>350</v>
      </c>
      <c r="R8387">
        <v>0</v>
      </c>
    </row>
    <row r="8388" spans="1:18" x14ac:dyDescent="0.25">
      <c r="A8388">
        <v>8237</v>
      </c>
      <c r="B8388">
        <v>94</v>
      </c>
      <c r="C8388" t="s">
        <v>968</v>
      </c>
      <c r="D8388" t="s">
        <v>272</v>
      </c>
      <c r="E8388">
        <v>483.608</v>
      </c>
      <c r="F8388" t="s">
        <v>21</v>
      </c>
      <c r="G8388" t="s">
        <v>20</v>
      </c>
      <c r="H8388" t="s">
        <v>21</v>
      </c>
      <c r="I8388" t="s">
        <v>20</v>
      </c>
      <c r="J8388" t="s">
        <v>20</v>
      </c>
      <c r="K8388" t="s">
        <v>41</v>
      </c>
      <c r="L8388" t="s">
        <v>95</v>
      </c>
      <c r="M8388" t="s">
        <v>152</v>
      </c>
      <c r="N8388">
        <v>41.922756999999997</v>
      </c>
      <c r="O8388">
        <v>-111.56045</v>
      </c>
      <c r="P8388">
        <v>6542.0704409999998</v>
      </c>
      <c r="Q8388">
        <v>1384</v>
      </c>
      <c r="R8388">
        <v>0</v>
      </c>
    </row>
    <row r="8389" spans="1:18" x14ac:dyDescent="0.25">
      <c r="A8389">
        <v>8238</v>
      </c>
      <c r="B8389">
        <v>94</v>
      </c>
      <c r="C8389" t="e">
        <f>-IpZIiSpF_q3N_EfLPUJOF</f>
        <v>#NAME?</v>
      </c>
      <c r="D8389" t="s">
        <v>272</v>
      </c>
      <c r="E8389">
        <v>484.21899999999999</v>
      </c>
      <c r="F8389" t="s">
        <v>21</v>
      </c>
      <c r="G8389" t="s">
        <v>20</v>
      </c>
      <c r="H8389" t="s">
        <v>21</v>
      </c>
      <c r="I8389" t="s">
        <v>20</v>
      </c>
      <c r="J8389" t="s">
        <v>20</v>
      </c>
      <c r="K8389" t="s">
        <v>41</v>
      </c>
      <c r="L8389" t="s">
        <v>95</v>
      </c>
      <c r="M8389" t="s">
        <v>152</v>
      </c>
      <c r="N8389">
        <v>41.931429999999999</v>
      </c>
      <c r="O8389">
        <v>-111.561683</v>
      </c>
      <c r="P8389">
        <v>6600.4380279999996</v>
      </c>
      <c r="Q8389">
        <v>1384</v>
      </c>
      <c r="R8389">
        <v>0</v>
      </c>
    </row>
    <row r="8390" spans="1:18" x14ac:dyDescent="0.25">
      <c r="A8390">
        <v>8239</v>
      </c>
      <c r="B8390">
        <v>94</v>
      </c>
      <c r="C8390" t="e">
        <f>-IpZKLY6FLy0Nl7cw_4WNF</f>
        <v>#NAME?</v>
      </c>
      <c r="D8390" t="s">
        <v>272</v>
      </c>
      <c r="E8390">
        <v>487.06900000000002</v>
      </c>
      <c r="F8390" t="s">
        <v>21</v>
      </c>
      <c r="G8390" t="s">
        <v>26</v>
      </c>
      <c r="H8390" t="s">
        <v>19</v>
      </c>
      <c r="I8390">
        <v>243</v>
      </c>
      <c r="J8390" t="s">
        <v>20</v>
      </c>
      <c r="K8390" t="s">
        <v>41</v>
      </c>
      <c r="L8390" t="s">
        <v>95</v>
      </c>
      <c r="M8390" t="s">
        <v>152</v>
      </c>
      <c r="N8390">
        <v>41.963140000000003</v>
      </c>
      <c r="O8390">
        <v>-111.531133</v>
      </c>
      <c r="P8390">
        <v>6916.0308210000003</v>
      </c>
      <c r="Q8390">
        <v>1384</v>
      </c>
      <c r="R8390">
        <v>0</v>
      </c>
    </row>
    <row r="8391" spans="1:18" x14ac:dyDescent="0.25">
      <c r="A8391">
        <v>8240</v>
      </c>
      <c r="B8391">
        <v>94</v>
      </c>
      <c r="C8391" t="e">
        <f>-IpZLL8CFZXlgLm-mY_JfF</f>
        <v>#NAME?</v>
      </c>
      <c r="D8391" t="s">
        <v>272</v>
      </c>
      <c r="E8391">
        <v>487.56299999999999</v>
      </c>
      <c r="F8391" t="s">
        <v>21</v>
      </c>
      <c r="G8391" t="s">
        <v>20</v>
      </c>
      <c r="H8391" t="s">
        <v>21</v>
      </c>
      <c r="I8391" t="s">
        <v>20</v>
      </c>
      <c r="J8391" t="s">
        <v>20</v>
      </c>
      <c r="K8391" t="s">
        <v>41</v>
      </c>
      <c r="L8391" t="s">
        <v>95</v>
      </c>
      <c r="M8391" t="s">
        <v>152</v>
      </c>
      <c r="N8391">
        <v>41.965085999999999</v>
      </c>
      <c r="O8391">
        <v>-111.52243300000001</v>
      </c>
      <c r="P8391">
        <v>7028.4581209999997</v>
      </c>
      <c r="Q8391">
        <v>1384</v>
      </c>
      <c r="R8391">
        <v>0</v>
      </c>
    </row>
    <row r="8392" spans="1:18" x14ac:dyDescent="0.25">
      <c r="A8392">
        <v>8241</v>
      </c>
      <c r="B8392">
        <v>94</v>
      </c>
      <c r="C8392" t="e">
        <f>-Iq1v-cmIJegxWY31K_LQk</f>
        <v>#NAME?</v>
      </c>
      <c r="D8392" t="s">
        <v>272</v>
      </c>
      <c r="E8392">
        <v>489.68299999999999</v>
      </c>
      <c r="F8392" t="s">
        <v>21</v>
      </c>
      <c r="G8392" t="s">
        <v>20</v>
      </c>
      <c r="H8392" t="s">
        <v>21</v>
      </c>
      <c r="I8392" t="s">
        <v>20</v>
      </c>
      <c r="J8392" t="s">
        <v>20</v>
      </c>
      <c r="K8392" t="s">
        <v>41</v>
      </c>
      <c r="L8392" t="s">
        <v>95</v>
      </c>
      <c r="M8392" t="s">
        <v>152</v>
      </c>
      <c r="N8392">
        <v>41.951920000000001</v>
      </c>
      <c r="O8392">
        <v>-111.491231</v>
      </c>
      <c r="P8392">
        <v>7512.6524360000003</v>
      </c>
      <c r="Q8392">
        <v>1384</v>
      </c>
      <c r="R8392">
        <v>0</v>
      </c>
    </row>
    <row r="8393" spans="1:18" x14ac:dyDescent="0.25">
      <c r="A8393">
        <v>8242</v>
      </c>
      <c r="B8393">
        <v>94</v>
      </c>
      <c r="C8393">
        <v>31408258</v>
      </c>
      <c r="D8393" t="s">
        <v>124</v>
      </c>
      <c r="E8393">
        <v>49.021000000000001</v>
      </c>
      <c r="F8393" t="s">
        <v>21</v>
      </c>
      <c r="G8393" t="s">
        <v>26</v>
      </c>
      <c r="H8393" t="s">
        <v>21</v>
      </c>
      <c r="I8393" t="s">
        <v>20</v>
      </c>
      <c r="J8393" t="s">
        <v>20</v>
      </c>
      <c r="K8393" t="s">
        <v>31</v>
      </c>
      <c r="L8393" t="s">
        <v>48</v>
      </c>
      <c r="M8393" t="s">
        <v>125</v>
      </c>
      <c r="N8393">
        <v>40.619835000000002</v>
      </c>
      <c r="O8393">
        <v>-111.938779</v>
      </c>
      <c r="P8393">
        <v>4314.3964649999998</v>
      </c>
      <c r="Q8393">
        <v>1368</v>
      </c>
      <c r="R8393">
        <v>0</v>
      </c>
    </row>
    <row r="8394" spans="1:18" x14ac:dyDescent="0.25">
      <c r="A8394">
        <v>8243</v>
      </c>
      <c r="B8394">
        <v>94</v>
      </c>
      <c r="C8394">
        <v>31580918</v>
      </c>
      <c r="D8394" t="s">
        <v>172</v>
      </c>
      <c r="E8394">
        <v>49.034999999999997</v>
      </c>
      <c r="F8394" t="s">
        <v>21</v>
      </c>
      <c r="G8394" t="s">
        <v>26</v>
      </c>
      <c r="H8394" t="s">
        <v>21</v>
      </c>
      <c r="I8394" t="s">
        <v>20</v>
      </c>
      <c r="J8394" t="s">
        <v>20</v>
      </c>
      <c r="K8394" t="s">
        <v>27</v>
      </c>
      <c r="L8394" t="s">
        <v>230</v>
      </c>
      <c r="M8394" t="s">
        <v>174</v>
      </c>
      <c r="N8394">
        <v>39.608232999999998</v>
      </c>
      <c r="O8394">
        <v>-111.62557</v>
      </c>
      <c r="P8394">
        <v>5664.9222170000003</v>
      </c>
      <c r="Q8394">
        <v>1411</v>
      </c>
      <c r="R8394">
        <v>0</v>
      </c>
    </row>
    <row r="8395" spans="1:18" x14ac:dyDescent="0.25">
      <c r="A8395">
        <v>8244</v>
      </c>
      <c r="B8395">
        <v>94</v>
      </c>
      <c r="C8395">
        <v>31696339</v>
      </c>
      <c r="D8395" t="s">
        <v>217</v>
      </c>
      <c r="E8395">
        <v>49.073</v>
      </c>
      <c r="F8395" t="s">
        <v>21</v>
      </c>
      <c r="G8395" t="s">
        <v>20</v>
      </c>
      <c r="H8395" t="s">
        <v>21</v>
      </c>
      <c r="I8395" t="s">
        <v>20</v>
      </c>
      <c r="J8395" t="s">
        <v>20</v>
      </c>
      <c r="K8395" t="s">
        <v>27</v>
      </c>
      <c r="L8395" t="s">
        <v>162</v>
      </c>
      <c r="M8395" t="s">
        <v>163</v>
      </c>
      <c r="N8395">
        <v>37.681373000000001</v>
      </c>
      <c r="O8395">
        <v>-113.65647199999999</v>
      </c>
      <c r="P8395">
        <v>5121.9278480000003</v>
      </c>
      <c r="Q8395">
        <v>304</v>
      </c>
      <c r="R8395">
        <v>0</v>
      </c>
    </row>
    <row r="8396" spans="1:18" x14ac:dyDescent="0.25">
      <c r="A8396">
        <v>8245</v>
      </c>
      <c r="B8396">
        <v>94</v>
      </c>
      <c r="C8396">
        <v>31320328</v>
      </c>
      <c r="D8396" t="s">
        <v>241</v>
      </c>
      <c r="E8396">
        <v>49.076999999999998</v>
      </c>
      <c r="F8396" t="s">
        <v>21</v>
      </c>
      <c r="G8396" t="s">
        <v>26</v>
      </c>
      <c r="H8396" t="s">
        <v>21</v>
      </c>
      <c r="I8396" t="s">
        <v>20</v>
      </c>
      <c r="J8396" t="s">
        <v>20</v>
      </c>
      <c r="K8396" t="s">
        <v>27</v>
      </c>
      <c r="L8396" t="s">
        <v>111</v>
      </c>
      <c r="M8396" t="s">
        <v>243</v>
      </c>
      <c r="N8396">
        <v>39.341349999999998</v>
      </c>
      <c r="O8396">
        <v>-110.94175799999999</v>
      </c>
      <c r="P8396">
        <v>5771.8338780000004</v>
      </c>
      <c r="Q8396">
        <v>1327</v>
      </c>
      <c r="R8396">
        <v>0</v>
      </c>
    </row>
    <row r="8397" spans="1:18" x14ac:dyDescent="0.25">
      <c r="A8397">
        <v>8246</v>
      </c>
      <c r="B8397">
        <v>94</v>
      </c>
      <c r="C8397" t="e">
        <f>-JNZSJZ4FADRHKLNkvd63V</f>
        <v>#NAME?</v>
      </c>
      <c r="D8397" t="s">
        <v>124</v>
      </c>
      <c r="E8397">
        <v>49.093000000000004</v>
      </c>
      <c r="F8397" t="s">
        <v>21</v>
      </c>
      <c r="G8397" t="s">
        <v>26</v>
      </c>
      <c r="H8397" t="s">
        <v>21</v>
      </c>
      <c r="I8397" t="s">
        <v>20</v>
      </c>
      <c r="J8397" t="s">
        <v>20</v>
      </c>
      <c r="K8397" t="s">
        <v>31</v>
      </c>
      <c r="L8397" t="s">
        <v>48</v>
      </c>
      <c r="M8397" t="s">
        <v>125</v>
      </c>
      <c r="N8397">
        <v>40.620887000000003</v>
      </c>
      <c r="O8397">
        <v>-111.938788</v>
      </c>
      <c r="P8397">
        <v>4315.0429839999997</v>
      </c>
      <c r="Q8397">
        <v>1368</v>
      </c>
      <c r="R8397">
        <v>0</v>
      </c>
    </row>
    <row r="8398" spans="1:18" x14ac:dyDescent="0.25">
      <c r="A8398">
        <v>8247</v>
      </c>
      <c r="B8398">
        <v>94</v>
      </c>
      <c r="C8398" t="e">
        <f>-JYlUZmVIcDliMY8WjJxYV</f>
        <v>#NAME?</v>
      </c>
      <c r="D8398" t="s">
        <v>129</v>
      </c>
      <c r="E8398">
        <v>49.095999999999997</v>
      </c>
      <c r="F8398" t="s">
        <v>21</v>
      </c>
      <c r="G8398" t="s">
        <v>20</v>
      </c>
      <c r="H8398" t="s">
        <v>21</v>
      </c>
      <c r="I8398" t="s">
        <v>20</v>
      </c>
      <c r="J8398" t="s">
        <v>20</v>
      </c>
      <c r="K8398" t="s">
        <v>31</v>
      </c>
      <c r="L8398" t="s">
        <v>130</v>
      </c>
      <c r="M8398" t="s">
        <v>328</v>
      </c>
      <c r="N8398">
        <v>40.92107</v>
      </c>
      <c r="O8398">
        <v>-110.827077</v>
      </c>
      <c r="P8398">
        <v>8315.2887289999999</v>
      </c>
      <c r="Q8398">
        <v>340</v>
      </c>
      <c r="R8398">
        <v>0</v>
      </c>
    </row>
    <row r="8399" spans="1:18" x14ac:dyDescent="0.25">
      <c r="A8399">
        <v>8248</v>
      </c>
      <c r="B8399">
        <v>94</v>
      </c>
      <c r="C8399">
        <v>31580929</v>
      </c>
      <c r="D8399" t="s">
        <v>172</v>
      </c>
      <c r="E8399">
        <v>49.12</v>
      </c>
      <c r="F8399" t="s">
        <v>21</v>
      </c>
      <c r="G8399" t="s">
        <v>26</v>
      </c>
      <c r="H8399" t="s">
        <v>21</v>
      </c>
      <c r="I8399" t="s">
        <v>20</v>
      </c>
      <c r="J8399" t="s">
        <v>20</v>
      </c>
      <c r="K8399" t="s">
        <v>27</v>
      </c>
      <c r="L8399" t="s">
        <v>230</v>
      </c>
      <c r="M8399" t="s">
        <v>174</v>
      </c>
      <c r="N8399">
        <v>39.607067999999998</v>
      </c>
      <c r="O8399">
        <v>-111.625007</v>
      </c>
      <c r="P8399">
        <v>5659.0189129999999</v>
      </c>
      <c r="Q8399">
        <v>1411</v>
      </c>
      <c r="R8399">
        <v>0</v>
      </c>
    </row>
    <row r="8400" spans="1:18" x14ac:dyDescent="0.25">
      <c r="A8400">
        <v>8249</v>
      </c>
      <c r="B8400">
        <v>94</v>
      </c>
      <c r="C8400" t="e">
        <f>-JYlUiwyHBa4iwR5er-sMV</f>
        <v>#NAME?</v>
      </c>
      <c r="D8400" t="s">
        <v>129</v>
      </c>
      <c r="E8400">
        <v>49.201999999999998</v>
      </c>
      <c r="F8400" t="s">
        <v>21</v>
      </c>
      <c r="G8400" t="s">
        <v>20</v>
      </c>
      <c r="H8400" t="s">
        <v>21</v>
      </c>
      <c r="I8400" t="s">
        <v>20</v>
      </c>
      <c r="J8400" t="s">
        <v>20</v>
      </c>
      <c r="K8400" t="s">
        <v>31</v>
      </c>
      <c r="L8400" t="s">
        <v>130</v>
      </c>
      <c r="M8400" t="s">
        <v>328</v>
      </c>
      <c r="N8400">
        <v>40.922558000000002</v>
      </c>
      <c r="O8400">
        <v>-110.82745</v>
      </c>
      <c r="P8400">
        <v>8306.1378789999999</v>
      </c>
      <c r="Q8400">
        <v>340</v>
      </c>
      <c r="R8400">
        <v>0</v>
      </c>
    </row>
    <row r="8401" spans="1:18" x14ac:dyDescent="0.25">
      <c r="A8401">
        <v>8250</v>
      </c>
      <c r="B8401">
        <v>94</v>
      </c>
      <c r="C8401">
        <v>31408269</v>
      </c>
      <c r="D8401" t="s">
        <v>124</v>
      </c>
      <c r="E8401">
        <v>49.308999999999997</v>
      </c>
      <c r="F8401" t="s">
        <v>19</v>
      </c>
      <c r="G8401" t="s">
        <v>20</v>
      </c>
      <c r="H8401" t="s">
        <v>19</v>
      </c>
      <c r="I8401">
        <v>48</v>
      </c>
      <c r="J8401" t="s">
        <v>20</v>
      </c>
      <c r="K8401" t="s">
        <v>31</v>
      </c>
      <c r="L8401" t="s">
        <v>48</v>
      </c>
      <c r="M8401" t="s">
        <v>125</v>
      </c>
      <c r="N8401">
        <v>40.624029999999998</v>
      </c>
      <c r="O8401">
        <v>-111.938787</v>
      </c>
      <c r="P8401">
        <v>4313.9566599999998</v>
      </c>
      <c r="Q8401">
        <v>1368</v>
      </c>
      <c r="R8401">
        <v>0</v>
      </c>
    </row>
    <row r="8402" spans="1:18" x14ac:dyDescent="0.25">
      <c r="A8402">
        <v>8251</v>
      </c>
      <c r="B8402">
        <v>94</v>
      </c>
      <c r="C8402">
        <v>31746371</v>
      </c>
      <c r="D8402" t="s">
        <v>290</v>
      </c>
      <c r="E8402">
        <v>49.320999999999998</v>
      </c>
      <c r="F8402" t="s">
        <v>21</v>
      </c>
      <c r="G8402" t="s">
        <v>26</v>
      </c>
      <c r="H8402" t="s">
        <v>21</v>
      </c>
      <c r="I8402" t="s">
        <v>20</v>
      </c>
      <c r="J8402" t="s">
        <v>20</v>
      </c>
      <c r="K8402" t="s">
        <v>41</v>
      </c>
      <c r="L8402" t="s">
        <v>291</v>
      </c>
      <c r="M8402" t="s">
        <v>238</v>
      </c>
      <c r="N8402">
        <v>41.816037999999999</v>
      </c>
      <c r="O8402">
        <v>-113.434866</v>
      </c>
      <c r="P8402">
        <v>5591.2348149999998</v>
      </c>
      <c r="Q8402">
        <v>1343</v>
      </c>
      <c r="R8402">
        <v>0</v>
      </c>
    </row>
    <row r="8403" spans="1:18" x14ac:dyDescent="0.25">
      <c r="A8403">
        <v>8252</v>
      </c>
      <c r="B8403">
        <v>94</v>
      </c>
      <c r="C8403">
        <v>1376246</v>
      </c>
      <c r="D8403" t="s">
        <v>363</v>
      </c>
      <c r="E8403">
        <v>7.9320000000000004</v>
      </c>
      <c r="F8403" t="s">
        <v>21</v>
      </c>
      <c r="G8403" t="s">
        <v>26</v>
      </c>
      <c r="H8403" t="s">
        <v>21</v>
      </c>
      <c r="I8403" t="s">
        <v>20</v>
      </c>
      <c r="J8403" t="s">
        <v>20</v>
      </c>
      <c r="K8403" t="s">
        <v>41</v>
      </c>
      <c r="L8403" t="s">
        <v>95</v>
      </c>
      <c r="M8403" t="s">
        <v>73</v>
      </c>
      <c r="N8403">
        <v>41.838678999999999</v>
      </c>
      <c r="O8403">
        <v>-111.838272</v>
      </c>
      <c r="P8403">
        <v>4524.9478079999999</v>
      </c>
      <c r="Q8403">
        <v>356</v>
      </c>
      <c r="R8403">
        <v>0</v>
      </c>
    </row>
    <row r="8404" spans="1:18" x14ac:dyDescent="0.25">
      <c r="A8404">
        <v>8253</v>
      </c>
      <c r="B8404">
        <v>94</v>
      </c>
      <c r="C8404" t="e">
        <f>-Iov0BV3GTueikqwNj32wV</f>
        <v>#NAME?</v>
      </c>
      <c r="D8404" t="s">
        <v>176</v>
      </c>
      <c r="E8404">
        <v>7.9349999999999996</v>
      </c>
      <c r="F8404" t="s">
        <v>21</v>
      </c>
      <c r="G8404" t="s">
        <v>26</v>
      </c>
      <c r="H8404" t="s">
        <v>21</v>
      </c>
      <c r="I8404" t="s">
        <v>20</v>
      </c>
      <c r="J8404" t="s">
        <v>20</v>
      </c>
      <c r="K8404" t="s">
        <v>41</v>
      </c>
      <c r="L8404" t="s">
        <v>177</v>
      </c>
      <c r="M8404" t="s">
        <v>178</v>
      </c>
      <c r="N8404">
        <v>41.550072</v>
      </c>
      <c r="O8404">
        <v>-112.107016</v>
      </c>
      <c r="P8404">
        <v>4178.4922660000002</v>
      </c>
      <c r="Q8404">
        <v>1329</v>
      </c>
      <c r="R8404">
        <v>0</v>
      </c>
    </row>
    <row r="8405" spans="1:18" x14ac:dyDescent="0.25">
      <c r="A8405">
        <v>8254</v>
      </c>
      <c r="B8405">
        <v>94</v>
      </c>
      <c r="C8405">
        <v>31262686</v>
      </c>
      <c r="D8405" t="s">
        <v>303</v>
      </c>
      <c r="E8405">
        <v>7.9349999999999996</v>
      </c>
      <c r="F8405" t="s">
        <v>21</v>
      </c>
      <c r="G8405" t="s">
        <v>26</v>
      </c>
      <c r="H8405" t="s">
        <v>21</v>
      </c>
      <c r="I8405" t="s">
        <v>20</v>
      </c>
      <c r="J8405" t="s">
        <v>20</v>
      </c>
      <c r="K8405" t="s">
        <v>27</v>
      </c>
      <c r="L8405" t="s">
        <v>72</v>
      </c>
      <c r="M8405" t="s">
        <v>73</v>
      </c>
      <c r="N8405">
        <v>37.176406999999998</v>
      </c>
      <c r="O8405">
        <v>-113.321494</v>
      </c>
      <c r="P8405">
        <v>3138.5910589999999</v>
      </c>
      <c r="Q8405">
        <v>1326</v>
      </c>
      <c r="R8405">
        <v>0</v>
      </c>
    </row>
    <row r="8406" spans="1:18" x14ac:dyDescent="0.25">
      <c r="A8406">
        <v>8255</v>
      </c>
      <c r="B8406">
        <v>94</v>
      </c>
      <c r="C8406">
        <v>31291506</v>
      </c>
      <c r="D8406" t="s">
        <v>126</v>
      </c>
      <c r="E8406">
        <v>7.9390000000000001</v>
      </c>
      <c r="F8406" t="s">
        <v>21</v>
      </c>
      <c r="G8406" t="s">
        <v>26</v>
      </c>
      <c r="H8406" t="s">
        <v>21</v>
      </c>
      <c r="I8406" t="s">
        <v>20</v>
      </c>
      <c r="J8406" t="s">
        <v>20</v>
      </c>
      <c r="K8406" t="s">
        <v>41</v>
      </c>
      <c r="L8406" t="s">
        <v>57</v>
      </c>
      <c r="M8406" t="s">
        <v>93</v>
      </c>
      <c r="N8406">
        <v>41.300657000000001</v>
      </c>
      <c r="O8406">
        <v>-112.084529</v>
      </c>
      <c r="P8406">
        <v>4185.7494509999997</v>
      </c>
      <c r="Q8406">
        <v>1412</v>
      </c>
      <c r="R8406">
        <v>0</v>
      </c>
    </row>
    <row r="8407" spans="1:18" x14ac:dyDescent="0.25">
      <c r="A8407">
        <v>8256</v>
      </c>
      <c r="B8407">
        <v>94</v>
      </c>
      <c r="C8407">
        <v>856900</v>
      </c>
      <c r="D8407" t="s">
        <v>68</v>
      </c>
      <c r="E8407">
        <v>7.94</v>
      </c>
      <c r="F8407" t="s">
        <v>21</v>
      </c>
      <c r="G8407" t="s">
        <v>26</v>
      </c>
      <c r="H8407" t="s">
        <v>21</v>
      </c>
      <c r="I8407" t="s">
        <v>20</v>
      </c>
      <c r="J8407" t="s">
        <v>20</v>
      </c>
      <c r="K8407" t="s">
        <v>31</v>
      </c>
      <c r="L8407" t="s">
        <v>32</v>
      </c>
      <c r="M8407" t="s">
        <v>70</v>
      </c>
      <c r="N8407">
        <v>40.674869000000001</v>
      </c>
      <c r="O8407">
        <v>-111.80489900000001</v>
      </c>
      <c r="P8407">
        <v>4774.426794</v>
      </c>
      <c r="Q8407">
        <v>431</v>
      </c>
      <c r="R8407">
        <v>0</v>
      </c>
    </row>
    <row r="8408" spans="1:18" x14ac:dyDescent="0.25">
      <c r="A8408">
        <v>8257</v>
      </c>
      <c r="B8408">
        <v>94</v>
      </c>
      <c r="C8408">
        <v>31531306</v>
      </c>
      <c r="D8408" t="s">
        <v>228</v>
      </c>
      <c r="E8408">
        <v>7.9429999999999996</v>
      </c>
      <c r="F8408" t="s">
        <v>21</v>
      </c>
      <c r="G8408" t="s">
        <v>20</v>
      </c>
      <c r="H8408" t="s">
        <v>21</v>
      </c>
      <c r="I8408" t="s">
        <v>20</v>
      </c>
      <c r="J8408" t="s">
        <v>20</v>
      </c>
      <c r="K8408" t="s">
        <v>22</v>
      </c>
      <c r="L8408" t="s">
        <v>155</v>
      </c>
      <c r="M8408" t="s">
        <v>76</v>
      </c>
      <c r="N8408">
        <v>39.558039999999998</v>
      </c>
      <c r="O8408">
        <v>-111.891341</v>
      </c>
      <c r="P8408">
        <v>5150.9203369999996</v>
      </c>
      <c r="Q8408">
        <v>320</v>
      </c>
      <c r="R8408">
        <v>0</v>
      </c>
    </row>
    <row r="8409" spans="1:18" x14ac:dyDescent="0.25">
      <c r="A8409">
        <v>8258</v>
      </c>
      <c r="B8409">
        <v>94</v>
      </c>
      <c r="C8409">
        <v>27613083</v>
      </c>
      <c r="D8409" t="s">
        <v>393</v>
      </c>
      <c r="E8409">
        <v>7.9450000000000003</v>
      </c>
      <c r="F8409" t="s">
        <v>21</v>
      </c>
      <c r="G8409" t="s">
        <v>26</v>
      </c>
      <c r="H8409" t="s">
        <v>19</v>
      </c>
      <c r="I8409">
        <v>123</v>
      </c>
      <c r="J8409" t="s">
        <v>20</v>
      </c>
      <c r="K8409" t="s">
        <v>27</v>
      </c>
      <c r="L8409" t="s">
        <v>158</v>
      </c>
      <c r="M8409" t="s">
        <v>190</v>
      </c>
      <c r="N8409">
        <v>39.543219000000001</v>
      </c>
      <c r="O8409">
        <v>-110.41452099999999</v>
      </c>
      <c r="P8409">
        <v>6250.8520500000004</v>
      </c>
      <c r="Q8409">
        <v>333</v>
      </c>
      <c r="R8409">
        <v>0</v>
      </c>
    </row>
    <row r="8410" spans="1:18" x14ac:dyDescent="0.25">
      <c r="A8410">
        <v>8259</v>
      </c>
      <c r="B8410">
        <v>94</v>
      </c>
      <c r="C8410" t="s">
        <v>969</v>
      </c>
      <c r="D8410" t="s">
        <v>171</v>
      </c>
      <c r="E8410">
        <v>7.9470000000000001</v>
      </c>
      <c r="F8410" t="s">
        <v>21</v>
      </c>
      <c r="G8410" t="s">
        <v>20</v>
      </c>
      <c r="H8410" t="s">
        <v>21</v>
      </c>
      <c r="I8410" t="s">
        <v>20</v>
      </c>
      <c r="J8410" t="s">
        <v>20</v>
      </c>
      <c r="K8410" t="s">
        <v>31</v>
      </c>
      <c r="L8410" t="s">
        <v>362</v>
      </c>
      <c r="M8410" t="s">
        <v>79</v>
      </c>
      <c r="N8410">
        <v>40.696626000000002</v>
      </c>
      <c r="O8410">
        <v>-111.940315</v>
      </c>
      <c r="P8410">
        <v>4197.6584409999996</v>
      </c>
      <c r="Q8410">
        <v>346</v>
      </c>
      <c r="R8410">
        <v>0</v>
      </c>
    </row>
    <row r="8411" spans="1:18" x14ac:dyDescent="0.25">
      <c r="A8411">
        <v>8260</v>
      </c>
      <c r="B8411">
        <v>94</v>
      </c>
      <c r="C8411">
        <v>574819</v>
      </c>
      <c r="D8411" t="s">
        <v>115</v>
      </c>
      <c r="E8411">
        <v>7.9480000000000004</v>
      </c>
      <c r="F8411" t="s">
        <v>21</v>
      </c>
      <c r="G8411" t="s">
        <v>26</v>
      </c>
      <c r="H8411" t="s">
        <v>21</v>
      </c>
      <c r="I8411" t="s">
        <v>20</v>
      </c>
      <c r="J8411" t="s">
        <v>20</v>
      </c>
      <c r="K8411" t="s">
        <v>31</v>
      </c>
      <c r="L8411" t="s">
        <v>69</v>
      </c>
      <c r="M8411" t="s">
        <v>70</v>
      </c>
      <c r="N8411">
        <v>40.652970000000003</v>
      </c>
      <c r="O8411">
        <v>-111.92592500000001</v>
      </c>
      <c r="P8411">
        <v>4213.3274520000004</v>
      </c>
      <c r="Q8411">
        <v>1437</v>
      </c>
      <c r="R8411">
        <v>0</v>
      </c>
    </row>
    <row r="8412" spans="1:18" x14ac:dyDescent="0.25">
      <c r="A8412">
        <v>8261</v>
      </c>
      <c r="B8412">
        <v>94</v>
      </c>
      <c r="C8412">
        <v>1497612</v>
      </c>
      <c r="D8412" t="s">
        <v>88</v>
      </c>
      <c r="E8412">
        <v>7.9569999999999999</v>
      </c>
      <c r="F8412" t="s">
        <v>21</v>
      </c>
      <c r="G8412" t="s">
        <v>26</v>
      </c>
      <c r="H8412" t="s">
        <v>21</v>
      </c>
      <c r="I8412" t="s">
        <v>20</v>
      </c>
      <c r="J8412" t="s">
        <v>20</v>
      </c>
      <c r="K8412" t="s">
        <v>31</v>
      </c>
      <c r="L8412" t="s">
        <v>89</v>
      </c>
      <c r="M8412" t="s">
        <v>90</v>
      </c>
      <c r="N8412">
        <v>40.555084000000001</v>
      </c>
      <c r="O8412">
        <v>-111.872214</v>
      </c>
      <c r="P8412">
        <v>4495.3580160000001</v>
      </c>
      <c r="Q8412">
        <v>318</v>
      </c>
      <c r="R8412">
        <v>0</v>
      </c>
    </row>
    <row r="8413" spans="1:18" x14ac:dyDescent="0.25">
      <c r="A8413">
        <v>8262</v>
      </c>
      <c r="B8413">
        <v>94</v>
      </c>
      <c r="C8413">
        <v>31345367</v>
      </c>
      <c r="D8413" t="s">
        <v>288</v>
      </c>
      <c r="E8413">
        <v>52.682000000000002</v>
      </c>
      <c r="F8413" t="s">
        <v>21</v>
      </c>
      <c r="G8413" t="s">
        <v>20</v>
      </c>
      <c r="H8413" t="s">
        <v>21</v>
      </c>
      <c r="I8413" t="s">
        <v>20</v>
      </c>
      <c r="J8413" t="s">
        <v>20</v>
      </c>
      <c r="K8413" t="s">
        <v>27</v>
      </c>
      <c r="L8413" t="s">
        <v>327</v>
      </c>
      <c r="M8413" t="s">
        <v>147</v>
      </c>
      <c r="N8413">
        <v>37.641576999999998</v>
      </c>
      <c r="O8413">
        <v>-109.463815</v>
      </c>
      <c r="P8413">
        <v>6073.6385680000003</v>
      </c>
      <c r="Q8413">
        <v>350</v>
      </c>
      <c r="R8413">
        <v>0</v>
      </c>
    </row>
    <row r="8414" spans="1:18" x14ac:dyDescent="0.25">
      <c r="A8414">
        <v>8263</v>
      </c>
      <c r="B8414">
        <v>94</v>
      </c>
      <c r="C8414">
        <v>31745768</v>
      </c>
      <c r="D8414" t="s">
        <v>336</v>
      </c>
      <c r="E8414">
        <v>17.404</v>
      </c>
      <c r="F8414" t="s">
        <v>21</v>
      </c>
      <c r="G8414" t="s">
        <v>20</v>
      </c>
      <c r="H8414" t="s">
        <v>21</v>
      </c>
      <c r="I8414" t="s">
        <v>20</v>
      </c>
      <c r="J8414" t="s">
        <v>20</v>
      </c>
      <c r="K8414" t="s">
        <v>31</v>
      </c>
      <c r="L8414" t="s">
        <v>32</v>
      </c>
      <c r="M8414" t="s">
        <v>950</v>
      </c>
      <c r="N8414">
        <v>40.615164</v>
      </c>
      <c r="O8414">
        <v>-111.580389</v>
      </c>
      <c r="P8414">
        <v>8748.820275</v>
      </c>
      <c r="Q8414">
        <v>404</v>
      </c>
      <c r="R8414">
        <v>0</v>
      </c>
    </row>
    <row r="8415" spans="1:18" x14ac:dyDescent="0.25">
      <c r="A8415">
        <v>8264</v>
      </c>
      <c r="B8415">
        <v>94</v>
      </c>
      <c r="C8415">
        <v>31430079</v>
      </c>
      <c r="D8415" t="s">
        <v>319</v>
      </c>
      <c r="E8415">
        <v>17.407</v>
      </c>
      <c r="F8415" t="s">
        <v>21</v>
      </c>
      <c r="G8415" t="s">
        <v>26</v>
      </c>
      <c r="H8415" t="s">
        <v>21</v>
      </c>
      <c r="I8415" t="s">
        <v>20</v>
      </c>
      <c r="J8415" t="s">
        <v>20</v>
      </c>
      <c r="K8415" t="s">
        <v>27</v>
      </c>
      <c r="L8415" t="s">
        <v>162</v>
      </c>
      <c r="M8415" t="s">
        <v>55</v>
      </c>
      <c r="N8415">
        <v>37.755094</v>
      </c>
      <c r="O8415">
        <v>-113.78446700000001</v>
      </c>
      <c r="P8415">
        <v>5158.7821590000003</v>
      </c>
      <c r="Q8415">
        <v>314</v>
      </c>
      <c r="R8415">
        <v>0</v>
      </c>
    </row>
    <row r="8416" spans="1:18" x14ac:dyDescent="0.25">
      <c r="A8416">
        <v>8265</v>
      </c>
      <c r="B8416">
        <v>94</v>
      </c>
      <c r="C8416" t="e">
        <f>-JYlQwrNHh9RRPHaacC32k</f>
        <v>#NAME?</v>
      </c>
      <c r="D8416" t="s">
        <v>129</v>
      </c>
      <c r="E8416">
        <v>17.408999999999999</v>
      </c>
      <c r="F8416" t="s">
        <v>21</v>
      </c>
      <c r="G8416" t="s">
        <v>20</v>
      </c>
      <c r="H8416" t="s">
        <v>21</v>
      </c>
      <c r="I8416" t="s">
        <v>20</v>
      </c>
      <c r="J8416" t="s">
        <v>20</v>
      </c>
      <c r="K8416" t="s">
        <v>31</v>
      </c>
      <c r="L8416" t="s">
        <v>130</v>
      </c>
      <c r="M8416" t="s">
        <v>131</v>
      </c>
      <c r="N8416">
        <v>40.593530999999999</v>
      </c>
      <c r="O8416">
        <v>-111.005033</v>
      </c>
      <c r="P8416">
        <v>8051.858185</v>
      </c>
      <c r="Q8416">
        <v>340</v>
      </c>
      <c r="R8416">
        <v>0</v>
      </c>
    </row>
    <row r="8417" spans="1:18" x14ac:dyDescent="0.25">
      <c r="A8417">
        <v>8266</v>
      </c>
      <c r="B8417">
        <v>94</v>
      </c>
      <c r="C8417">
        <v>31343496</v>
      </c>
      <c r="D8417" t="s">
        <v>413</v>
      </c>
      <c r="E8417">
        <v>17.420999999999999</v>
      </c>
      <c r="F8417" t="s">
        <v>19</v>
      </c>
      <c r="G8417" t="s">
        <v>20</v>
      </c>
      <c r="H8417" t="s">
        <v>19</v>
      </c>
      <c r="I8417">
        <v>400</v>
      </c>
      <c r="J8417" t="s">
        <v>20</v>
      </c>
      <c r="K8417" t="s">
        <v>31</v>
      </c>
      <c r="L8417" t="s">
        <v>66</v>
      </c>
      <c r="M8417" t="s">
        <v>206</v>
      </c>
      <c r="N8417">
        <v>40.725425999999999</v>
      </c>
      <c r="O8417">
        <v>-111.902027</v>
      </c>
      <c r="P8417">
        <v>4176.5681539999996</v>
      </c>
      <c r="Q8417">
        <v>411</v>
      </c>
      <c r="R8417">
        <v>0</v>
      </c>
    </row>
    <row r="8418" spans="1:18" x14ac:dyDescent="0.25">
      <c r="A8418">
        <v>8267</v>
      </c>
      <c r="B8418">
        <v>94</v>
      </c>
      <c r="C8418">
        <v>1734346</v>
      </c>
      <c r="D8418" t="s">
        <v>260</v>
      </c>
      <c r="E8418">
        <v>0.93600000000000005</v>
      </c>
      <c r="F8418" t="s">
        <v>21</v>
      </c>
      <c r="G8418" t="s">
        <v>26</v>
      </c>
      <c r="H8418" t="s">
        <v>21</v>
      </c>
      <c r="I8418" t="s">
        <v>20</v>
      </c>
      <c r="J8418" t="s">
        <v>20</v>
      </c>
      <c r="K8418" t="s">
        <v>41</v>
      </c>
      <c r="L8418" t="s">
        <v>81</v>
      </c>
      <c r="M8418" t="s">
        <v>46</v>
      </c>
      <c r="N8418">
        <v>41.222956000000003</v>
      </c>
      <c r="O8418">
        <v>-111.98997900000001</v>
      </c>
      <c r="P8418">
        <v>4272.5215719999997</v>
      </c>
      <c r="Q8418">
        <v>1358</v>
      </c>
      <c r="R8418">
        <v>0</v>
      </c>
    </row>
    <row r="8419" spans="1:18" x14ac:dyDescent="0.25">
      <c r="A8419">
        <v>8268</v>
      </c>
      <c r="B8419">
        <v>94</v>
      </c>
      <c r="C8419">
        <v>31409223</v>
      </c>
      <c r="D8419" t="s">
        <v>970</v>
      </c>
      <c r="E8419">
        <v>0.93799999999999994</v>
      </c>
      <c r="F8419" t="s">
        <v>19</v>
      </c>
      <c r="G8419" t="s">
        <v>20</v>
      </c>
      <c r="H8419" t="s">
        <v>21</v>
      </c>
      <c r="I8419" t="s">
        <v>20</v>
      </c>
      <c r="J8419" t="s">
        <v>20</v>
      </c>
      <c r="K8419" t="s">
        <v>22</v>
      </c>
      <c r="L8419" t="s">
        <v>23</v>
      </c>
      <c r="M8419" t="s">
        <v>24</v>
      </c>
      <c r="N8419">
        <v>40.187714999999997</v>
      </c>
      <c r="O8419">
        <v>-111.631072</v>
      </c>
      <c r="P8419">
        <v>4448.8263420000003</v>
      </c>
      <c r="Q8419">
        <v>1373</v>
      </c>
      <c r="R8419">
        <v>0</v>
      </c>
    </row>
    <row r="8420" spans="1:18" x14ac:dyDescent="0.25">
      <c r="A8420">
        <v>8269</v>
      </c>
      <c r="B8420">
        <v>94</v>
      </c>
      <c r="C8420">
        <v>31657914</v>
      </c>
      <c r="D8420" t="s">
        <v>397</v>
      </c>
      <c r="E8420">
        <v>0.93799999999999994</v>
      </c>
      <c r="F8420" t="s">
        <v>21</v>
      </c>
      <c r="G8420" t="s">
        <v>26</v>
      </c>
      <c r="H8420" t="s">
        <v>21</v>
      </c>
      <c r="I8420" t="s">
        <v>20</v>
      </c>
      <c r="J8420" t="s">
        <v>20</v>
      </c>
      <c r="K8420" t="s">
        <v>41</v>
      </c>
      <c r="L8420" t="s">
        <v>177</v>
      </c>
      <c r="M8420" t="s">
        <v>163</v>
      </c>
      <c r="N8420">
        <v>41.502912999999999</v>
      </c>
      <c r="O8420">
        <v>-111.99900599999999</v>
      </c>
      <c r="P8420">
        <v>4510.4574810000004</v>
      </c>
      <c r="Q8420">
        <v>1385</v>
      </c>
      <c r="R8420">
        <v>0</v>
      </c>
    </row>
    <row r="8421" spans="1:18" x14ac:dyDescent="0.25">
      <c r="A8421">
        <v>8270</v>
      </c>
      <c r="B8421">
        <v>94</v>
      </c>
      <c r="C8421">
        <v>31347118</v>
      </c>
      <c r="D8421" t="s">
        <v>34</v>
      </c>
      <c r="E8421">
        <v>0.93899999999999995</v>
      </c>
      <c r="F8421" t="s">
        <v>21</v>
      </c>
      <c r="G8421" t="s">
        <v>26</v>
      </c>
      <c r="H8421" t="s">
        <v>21</v>
      </c>
      <c r="I8421" t="s">
        <v>20</v>
      </c>
      <c r="J8421" t="s">
        <v>20</v>
      </c>
      <c r="K8421" t="s">
        <v>22</v>
      </c>
      <c r="L8421" t="s">
        <v>35</v>
      </c>
      <c r="M8421" t="s">
        <v>36</v>
      </c>
      <c r="N8421">
        <v>40.469178999999997</v>
      </c>
      <c r="O8421">
        <v>-111.471751</v>
      </c>
      <c r="P8421">
        <v>5378.7746649999999</v>
      </c>
      <c r="Q8421">
        <v>1400</v>
      </c>
      <c r="R8421">
        <v>0</v>
      </c>
    </row>
    <row r="8422" spans="1:18" x14ac:dyDescent="0.25">
      <c r="A8422">
        <v>8271</v>
      </c>
      <c r="B8422">
        <v>94</v>
      </c>
      <c r="C8422">
        <v>31398645</v>
      </c>
      <c r="D8422" t="s">
        <v>250</v>
      </c>
      <c r="E8422">
        <v>0.81399999999999995</v>
      </c>
      <c r="F8422" t="s">
        <v>21</v>
      </c>
      <c r="G8422" t="s">
        <v>26</v>
      </c>
      <c r="H8422" t="s">
        <v>21</v>
      </c>
      <c r="I8422" t="s">
        <v>20</v>
      </c>
      <c r="J8422" t="s">
        <v>20</v>
      </c>
      <c r="K8422" t="s">
        <v>27</v>
      </c>
      <c r="L8422" t="s">
        <v>75</v>
      </c>
      <c r="M8422" t="s">
        <v>76</v>
      </c>
      <c r="N8422">
        <v>38.772924000000003</v>
      </c>
      <c r="O8422">
        <v>-112.05373299999999</v>
      </c>
      <c r="P8422">
        <v>5198.2922630000003</v>
      </c>
      <c r="Q8422">
        <v>1404</v>
      </c>
      <c r="R8422">
        <v>0</v>
      </c>
    </row>
    <row r="8423" spans="1:18" x14ac:dyDescent="0.25">
      <c r="A8423">
        <v>8272</v>
      </c>
      <c r="B8423">
        <v>94</v>
      </c>
      <c r="C8423">
        <v>27518237</v>
      </c>
      <c r="D8423" t="s">
        <v>157</v>
      </c>
      <c r="E8423">
        <v>0.81499999999999995</v>
      </c>
      <c r="F8423" t="s">
        <v>21</v>
      </c>
      <c r="G8423" t="s">
        <v>26</v>
      </c>
      <c r="H8423" t="s">
        <v>21</v>
      </c>
      <c r="I8423" t="s">
        <v>20</v>
      </c>
      <c r="J8423" t="s">
        <v>20</v>
      </c>
      <c r="K8423" t="s">
        <v>27</v>
      </c>
      <c r="L8423" t="s">
        <v>158</v>
      </c>
      <c r="M8423" t="s">
        <v>159</v>
      </c>
      <c r="N8423">
        <v>39.601016000000001</v>
      </c>
      <c r="O8423">
        <v>-110.813124</v>
      </c>
      <c r="P8423">
        <v>5511.9300400000002</v>
      </c>
      <c r="Q8423">
        <v>1360</v>
      </c>
      <c r="R8423">
        <v>0</v>
      </c>
    </row>
    <row r="8424" spans="1:18" x14ac:dyDescent="0.25">
      <c r="A8424">
        <v>8273</v>
      </c>
      <c r="B8424">
        <v>94</v>
      </c>
      <c r="C8424" t="e">
        <f>-JQwat6YIqPDW3Ejtak8wF</f>
        <v>#NAME?</v>
      </c>
      <c r="D8424" t="s">
        <v>971</v>
      </c>
      <c r="E8424">
        <v>0</v>
      </c>
      <c r="F8424" t="s">
        <v>21</v>
      </c>
      <c r="G8424" t="s">
        <v>26</v>
      </c>
      <c r="H8424" t="s">
        <v>21</v>
      </c>
      <c r="I8424" t="s">
        <v>20</v>
      </c>
      <c r="J8424" t="s">
        <v>20</v>
      </c>
      <c r="K8424" t="s">
        <v>27</v>
      </c>
      <c r="L8424" t="s">
        <v>72</v>
      </c>
      <c r="M8424" t="s">
        <v>125</v>
      </c>
      <c r="N8424">
        <v>37.011330000000001</v>
      </c>
      <c r="O8424">
        <v>-113.616705</v>
      </c>
      <c r="P8424">
        <v>2575.7653310000001</v>
      </c>
      <c r="Q8424">
        <v>6661</v>
      </c>
      <c r="R8424">
        <v>0</v>
      </c>
    </row>
    <row r="8425" spans="1:18" x14ac:dyDescent="0.25">
      <c r="A8425">
        <v>8274</v>
      </c>
      <c r="B8425">
        <v>94</v>
      </c>
      <c r="C8425">
        <v>27816897</v>
      </c>
      <c r="D8425" t="s">
        <v>409</v>
      </c>
      <c r="E8425">
        <v>0</v>
      </c>
      <c r="F8425" t="s">
        <v>21</v>
      </c>
      <c r="G8425" t="s">
        <v>20</v>
      </c>
      <c r="H8425" t="s">
        <v>21</v>
      </c>
      <c r="I8425" t="s">
        <v>20</v>
      </c>
      <c r="J8425" t="s">
        <v>20</v>
      </c>
      <c r="K8425" t="s">
        <v>27</v>
      </c>
      <c r="L8425" t="s">
        <v>51</v>
      </c>
      <c r="M8425" t="s">
        <v>117</v>
      </c>
      <c r="N8425">
        <v>38.072420999999999</v>
      </c>
      <c r="O8425">
        <v>-112.690487</v>
      </c>
      <c r="P8425">
        <v>5855.9689920000001</v>
      </c>
      <c r="Q8425">
        <v>1337</v>
      </c>
      <c r="R8425">
        <v>0</v>
      </c>
    </row>
    <row r="8426" spans="1:18" x14ac:dyDescent="0.25">
      <c r="A8426">
        <v>8275</v>
      </c>
      <c r="B8426">
        <v>94</v>
      </c>
      <c r="C8426" t="e">
        <f>-JQyPNhiG45-SrNubhqlNV</f>
        <v>#NAME?</v>
      </c>
      <c r="D8426" t="s">
        <v>972</v>
      </c>
      <c r="E8426">
        <v>0</v>
      </c>
      <c r="F8426" t="s">
        <v>21</v>
      </c>
      <c r="G8426" t="s">
        <v>26</v>
      </c>
      <c r="H8426" t="s">
        <v>21</v>
      </c>
      <c r="I8426" t="s">
        <v>20</v>
      </c>
      <c r="J8426" t="s">
        <v>20</v>
      </c>
      <c r="K8426" t="s">
        <v>27</v>
      </c>
      <c r="L8426" t="s">
        <v>405</v>
      </c>
      <c r="M8426" t="s">
        <v>973</v>
      </c>
      <c r="N8426">
        <v>38.962870000000002</v>
      </c>
      <c r="O8426">
        <v>-109.72241</v>
      </c>
      <c r="P8426">
        <v>5026.8488710000001</v>
      </c>
      <c r="Q8426">
        <v>6662</v>
      </c>
      <c r="R8426">
        <v>0</v>
      </c>
    </row>
    <row r="8427" spans="1:18" x14ac:dyDescent="0.25">
      <c r="A8427">
        <v>8276</v>
      </c>
      <c r="B8427">
        <v>94</v>
      </c>
      <c r="C8427">
        <v>31457555</v>
      </c>
      <c r="D8427" t="s">
        <v>331</v>
      </c>
      <c r="E8427">
        <v>0</v>
      </c>
      <c r="F8427" t="s">
        <v>21</v>
      </c>
      <c r="G8427" t="s">
        <v>26</v>
      </c>
      <c r="H8427" t="s">
        <v>19</v>
      </c>
      <c r="I8427">
        <v>10</v>
      </c>
      <c r="J8427" t="s">
        <v>20</v>
      </c>
      <c r="K8427" t="s">
        <v>27</v>
      </c>
      <c r="L8427" t="s">
        <v>111</v>
      </c>
      <c r="M8427" t="s">
        <v>112</v>
      </c>
      <c r="N8427">
        <v>39.345081</v>
      </c>
      <c r="O8427">
        <v>-110.93875199999999</v>
      </c>
      <c r="P8427">
        <v>5761.9560689999998</v>
      </c>
      <c r="Q8427">
        <v>1427</v>
      </c>
      <c r="R8427">
        <v>0</v>
      </c>
    </row>
    <row r="8428" spans="1:18" x14ac:dyDescent="0.25">
      <c r="A8428">
        <v>8277</v>
      </c>
      <c r="B8428">
        <v>94</v>
      </c>
      <c r="C8428" t="e">
        <f>-IpzrNotF99WEOBWmyW-kk</f>
        <v>#NAME?</v>
      </c>
      <c r="D8428" t="s">
        <v>974</v>
      </c>
      <c r="E8428">
        <v>0</v>
      </c>
      <c r="F8428" t="s">
        <v>21</v>
      </c>
      <c r="G8428" t="s">
        <v>26</v>
      </c>
      <c r="H8428" t="s">
        <v>21</v>
      </c>
      <c r="I8428" t="s">
        <v>20</v>
      </c>
      <c r="J8428" t="s">
        <v>20</v>
      </c>
      <c r="K8428" t="s">
        <v>41</v>
      </c>
      <c r="L8428" t="s">
        <v>45</v>
      </c>
      <c r="M8428" t="s">
        <v>950</v>
      </c>
      <c r="N8428">
        <v>40.883989</v>
      </c>
      <c r="O8428">
        <v>-111.93632700000001</v>
      </c>
      <c r="P8428">
        <v>4190.5237429999997</v>
      </c>
      <c r="Q8428">
        <v>6369</v>
      </c>
      <c r="R8428">
        <v>0</v>
      </c>
    </row>
    <row r="8429" spans="1:18" x14ac:dyDescent="0.25">
      <c r="A8429">
        <v>8278</v>
      </c>
      <c r="B8429">
        <v>94</v>
      </c>
      <c r="C8429" t="e">
        <f>-JWKgLX9GbuRVKAB6o8Y6F</f>
        <v>#NAME?</v>
      </c>
      <c r="D8429" t="s">
        <v>975</v>
      </c>
      <c r="E8429">
        <v>0</v>
      </c>
      <c r="F8429" t="s">
        <v>21</v>
      </c>
      <c r="G8429" t="s">
        <v>26</v>
      </c>
      <c r="H8429" t="s">
        <v>21</v>
      </c>
      <c r="I8429" t="s">
        <v>20</v>
      </c>
      <c r="J8429" t="s">
        <v>20</v>
      </c>
      <c r="K8429" t="s">
        <v>41</v>
      </c>
      <c r="L8429" t="s">
        <v>137</v>
      </c>
      <c r="M8429" t="s">
        <v>976</v>
      </c>
      <c r="N8429">
        <v>41.057859000000001</v>
      </c>
      <c r="O8429">
        <v>-111.592803</v>
      </c>
      <c r="P8429">
        <v>5127.7337170000001</v>
      </c>
      <c r="Q8429">
        <v>6664</v>
      </c>
      <c r="R8429">
        <v>0</v>
      </c>
    </row>
    <row r="8430" spans="1:18" x14ac:dyDescent="0.25">
      <c r="A8430">
        <v>8279</v>
      </c>
      <c r="B8430">
        <v>94</v>
      </c>
      <c r="C8430">
        <v>28733081</v>
      </c>
      <c r="D8430" t="s">
        <v>18</v>
      </c>
      <c r="E8430">
        <v>0</v>
      </c>
      <c r="F8430" t="s">
        <v>19</v>
      </c>
      <c r="G8430" t="s">
        <v>20</v>
      </c>
      <c r="H8430" t="s">
        <v>19</v>
      </c>
      <c r="I8430">
        <v>114</v>
      </c>
      <c r="J8430" t="s">
        <v>20</v>
      </c>
      <c r="K8430" t="s">
        <v>22</v>
      </c>
      <c r="L8430" t="s">
        <v>23</v>
      </c>
      <c r="M8430" t="s">
        <v>24</v>
      </c>
      <c r="N8430">
        <v>40.275097000000002</v>
      </c>
      <c r="O8430">
        <v>-111.727242</v>
      </c>
      <c r="P8430">
        <v>4480.3332449999998</v>
      </c>
      <c r="Q8430">
        <v>1281</v>
      </c>
      <c r="R8430">
        <v>0</v>
      </c>
    </row>
    <row r="8431" spans="1:18" x14ac:dyDescent="0.25">
      <c r="A8431">
        <v>8280</v>
      </c>
      <c r="B8431">
        <v>94</v>
      </c>
      <c r="C8431" t="e">
        <f>-JRHXlAsFWHQrW1Cr6sywF</f>
        <v>#NAME?</v>
      </c>
      <c r="D8431" t="s">
        <v>977</v>
      </c>
      <c r="E8431">
        <v>0</v>
      </c>
      <c r="F8431" t="s">
        <v>21</v>
      </c>
      <c r="G8431" t="s">
        <v>26</v>
      </c>
      <c r="H8431" t="s">
        <v>21</v>
      </c>
      <c r="I8431" t="s">
        <v>20</v>
      </c>
      <c r="J8431" t="s">
        <v>20</v>
      </c>
      <c r="K8431" t="s">
        <v>27</v>
      </c>
      <c r="L8431" t="s">
        <v>242</v>
      </c>
      <c r="M8431" t="s">
        <v>978</v>
      </c>
      <c r="N8431">
        <v>38.855079000000003</v>
      </c>
      <c r="O8431">
        <v>-110.9141</v>
      </c>
      <c r="P8431">
        <v>7027.7162280000002</v>
      </c>
      <c r="Q8431">
        <v>1370</v>
      </c>
      <c r="R8431">
        <v>0</v>
      </c>
    </row>
    <row r="8432" spans="1:18" x14ac:dyDescent="0.25">
      <c r="A8432">
        <v>8281</v>
      </c>
      <c r="B8432">
        <v>94</v>
      </c>
      <c r="C8432" t="e">
        <f>-Iq7LWCIH4TLIR0WNCh8KF</f>
        <v>#NAME?</v>
      </c>
      <c r="D8432" t="s">
        <v>979</v>
      </c>
      <c r="E8432">
        <v>0</v>
      </c>
      <c r="F8432" t="s">
        <v>21</v>
      </c>
      <c r="G8432" t="s">
        <v>26</v>
      </c>
      <c r="H8432" t="s">
        <v>21</v>
      </c>
      <c r="I8432" t="s">
        <v>20</v>
      </c>
      <c r="J8432" t="s">
        <v>20</v>
      </c>
      <c r="K8432" t="s">
        <v>31</v>
      </c>
      <c r="L8432" t="s">
        <v>433</v>
      </c>
      <c r="M8432" t="s">
        <v>147</v>
      </c>
      <c r="N8432">
        <v>41.118836000000002</v>
      </c>
      <c r="O8432">
        <v>-111.190837</v>
      </c>
      <c r="P8432">
        <v>6270.6031039999998</v>
      </c>
      <c r="Q8432">
        <v>321</v>
      </c>
      <c r="R8432">
        <v>0</v>
      </c>
    </row>
    <row r="8433" spans="1:18" x14ac:dyDescent="0.25">
      <c r="A8433">
        <v>8282</v>
      </c>
      <c r="B8433">
        <v>94</v>
      </c>
      <c r="C8433">
        <v>31656568</v>
      </c>
      <c r="D8433" t="s">
        <v>156</v>
      </c>
      <c r="E8433">
        <v>0</v>
      </c>
      <c r="F8433" t="s">
        <v>19</v>
      </c>
      <c r="G8433" t="s">
        <v>20</v>
      </c>
      <c r="H8433" t="s">
        <v>19</v>
      </c>
      <c r="I8433">
        <v>203</v>
      </c>
      <c r="J8433" t="s">
        <v>20</v>
      </c>
      <c r="K8433" t="s">
        <v>41</v>
      </c>
      <c r="L8433" t="s">
        <v>81</v>
      </c>
      <c r="M8433" t="s">
        <v>93</v>
      </c>
      <c r="N8433">
        <v>41.259241000000003</v>
      </c>
      <c r="O8433">
        <v>-111.969605</v>
      </c>
      <c r="P8433">
        <v>4235.0303350000004</v>
      </c>
      <c r="Q8433">
        <v>424</v>
      </c>
      <c r="R8433">
        <v>0</v>
      </c>
    </row>
    <row r="8434" spans="1:18" x14ac:dyDescent="0.25">
      <c r="A8434">
        <v>8283</v>
      </c>
      <c r="B8434">
        <v>94</v>
      </c>
      <c r="C8434">
        <v>31467291</v>
      </c>
      <c r="D8434" t="s">
        <v>348</v>
      </c>
      <c r="E8434">
        <v>0</v>
      </c>
      <c r="F8434" t="s">
        <v>21</v>
      </c>
      <c r="G8434" t="s">
        <v>26</v>
      </c>
      <c r="H8434" t="s">
        <v>19</v>
      </c>
      <c r="I8434">
        <v>24</v>
      </c>
      <c r="J8434" t="s">
        <v>20</v>
      </c>
      <c r="K8434" t="s">
        <v>27</v>
      </c>
      <c r="L8434" t="s">
        <v>122</v>
      </c>
      <c r="M8434" t="s">
        <v>123</v>
      </c>
      <c r="N8434">
        <v>38.373849999999997</v>
      </c>
      <c r="O8434">
        <v>-110.705788</v>
      </c>
      <c r="P8434">
        <v>4232.419895</v>
      </c>
      <c r="Q8434">
        <v>1388</v>
      </c>
      <c r="R8434">
        <v>0</v>
      </c>
    </row>
    <row r="8435" spans="1:18" x14ac:dyDescent="0.25">
      <c r="A8435">
        <v>8284</v>
      </c>
      <c r="B8435">
        <v>94</v>
      </c>
      <c r="C8435">
        <v>27284845</v>
      </c>
      <c r="D8435" t="s">
        <v>154</v>
      </c>
      <c r="E8435">
        <v>0</v>
      </c>
      <c r="F8435" t="s">
        <v>21</v>
      </c>
      <c r="G8435" t="s">
        <v>26</v>
      </c>
      <c r="H8435" t="s">
        <v>21</v>
      </c>
      <c r="I8435" t="s">
        <v>20</v>
      </c>
      <c r="J8435" t="s">
        <v>20</v>
      </c>
      <c r="K8435" t="s">
        <v>22</v>
      </c>
      <c r="L8435" t="s">
        <v>155</v>
      </c>
      <c r="M8435" t="s">
        <v>76</v>
      </c>
      <c r="N8435">
        <v>39.81908</v>
      </c>
      <c r="O8435">
        <v>-111.855236</v>
      </c>
      <c r="P8435">
        <v>4898.8927720000002</v>
      </c>
      <c r="Q8435">
        <v>1359</v>
      </c>
      <c r="R8435">
        <v>0</v>
      </c>
    </row>
    <row r="8436" spans="1:18" x14ac:dyDescent="0.25">
      <c r="A8436">
        <v>8285</v>
      </c>
      <c r="B8436">
        <v>94</v>
      </c>
      <c r="C8436">
        <v>31532622</v>
      </c>
      <c r="D8436" t="s">
        <v>412</v>
      </c>
      <c r="E8436">
        <v>0</v>
      </c>
      <c r="F8436" t="s">
        <v>21</v>
      </c>
      <c r="G8436" t="s">
        <v>26</v>
      </c>
      <c r="H8436" t="s">
        <v>19</v>
      </c>
      <c r="I8436">
        <v>50</v>
      </c>
      <c r="J8436">
        <v>136</v>
      </c>
      <c r="K8436" t="s">
        <v>27</v>
      </c>
      <c r="L8436" t="s">
        <v>173</v>
      </c>
      <c r="M8436" t="s">
        <v>267</v>
      </c>
      <c r="N8436">
        <v>39.353340000000003</v>
      </c>
      <c r="O8436">
        <v>-112.496531</v>
      </c>
      <c r="P8436">
        <v>4652.5360440000004</v>
      </c>
      <c r="Q8436">
        <v>1408</v>
      </c>
      <c r="R8436">
        <v>0</v>
      </c>
    </row>
    <row r="8437" spans="1:18" x14ac:dyDescent="0.25">
      <c r="A8437">
        <v>8286</v>
      </c>
      <c r="B8437">
        <v>94</v>
      </c>
      <c r="C8437" t="s">
        <v>980</v>
      </c>
      <c r="D8437" t="s">
        <v>981</v>
      </c>
      <c r="E8437">
        <v>0</v>
      </c>
      <c r="F8437" t="s">
        <v>21</v>
      </c>
      <c r="G8437" t="s">
        <v>26</v>
      </c>
      <c r="H8437" t="s">
        <v>21</v>
      </c>
      <c r="I8437" t="s">
        <v>20</v>
      </c>
      <c r="J8437" t="s">
        <v>20</v>
      </c>
      <c r="K8437" t="s">
        <v>27</v>
      </c>
      <c r="L8437" t="s">
        <v>72</v>
      </c>
      <c r="M8437" t="s">
        <v>125</v>
      </c>
      <c r="N8437">
        <v>37.326459999999997</v>
      </c>
      <c r="O8437">
        <v>-113.28598</v>
      </c>
      <c r="P8437">
        <v>4056.0233170000001</v>
      </c>
      <c r="Q8437">
        <v>6661</v>
      </c>
      <c r="R8437">
        <v>0</v>
      </c>
    </row>
    <row r="8438" spans="1:18" x14ac:dyDescent="0.25">
      <c r="A8438">
        <v>8287</v>
      </c>
      <c r="B8438">
        <v>94</v>
      </c>
      <c r="C8438">
        <v>1735814</v>
      </c>
      <c r="D8438" t="s">
        <v>197</v>
      </c>
      <c r="E8438">
        <v>0</v>
      </c>
      <c r="F8438" t="s">
        <v>21</v>
      </c>
      <c r="G8438" t="s">
        <v>26</v>
      </c>
      <c r="H8438" t="s">
        <v>19</v>
      </c>
      <c r="I8438">
        <v>6</v>
      </c>
      <c r="J8438" t="s">
        <v>20</v>
      </c>
      <c r="K8438" t="s">
        <v>22</v>
      </c>
      <c r="L8438" t="s">
        <v>198</v>
      </c>
      <c r="M8438" t="s">
        <v>125</v>
      </c>
      <c r="N8438">
        <v>39.973132</v>
      </c>
      <c r="O8438">
        <v>-111.84975</v>
      </c>
      <c r="P8438">
        <v>4526.492765</v>
      </c>
      <c r="Q8438">
        <v>1416</v>
      </c>
      <c r="R8438">
        <v>0</v>
      </c>
    </row>
    <row r="8439" spans="1:18" x14ac:dyDescent="0.25">
      <c r="A8439">
        <v>8288</v>
      </c>
      <c r="B8439">
        <v>94</v>
      </c>
      <c r="C8439" t="e">
        <f>-JRbQs3gGnP0oruFizCo4F</f>
        <v>#NAME?</v>
      </c>
      <c r="D8439" t="s">
        <v>982</v>
      </c>
      <c r="E8439">
        <v>0</v>
      </c>
      <c r="F8439" t="s">
        <v>21</v>
      </c>
      <c r="G8439" t="s">
        <v>26</v>
      </c>
      <c r="H8439" t="s">
        <v>21</v>
      </c>
      <c r="I8439" t="s">
        <v>20</v>
      </c>
      <c r="J8439" t="s">
        <v>20</v>
      </c>
      <c r="K8439" t="s">
        <v>31</v>
      </c>
      <c r="L8439" t="s">
        <v>188</v>
      </c>
      <c r="M8439" t="s">
        <v>46</v>
      </c>
      <c r="N8439">
        <v>40.754418000000001</v>
      </c>
      <c r="O8439">
        <v>-111.571759</v>
      </c>
      <c r="P8439">
        <v>6264.5203620000002</v>
      </c>
      <c r="Q8439">
        <v>6663</v>
      </c>
      <c r="R8439">
        <v>0</v>
      </c>
    </row>
    <row r="8440" spans="1:18" x14ac:dyDescent="0.25">
      <c r="A8440">
        <v>8289</v>
      </c>
      <c r="B8440">
        <v>94</v>
      </c>
      <c r="C8440" t="e">
        <f>-Iq93Y0EIm9Gshcet4q_sk</f>
        <v>#NAME?</v>
      </c>
      <c r="D8440" t="s">
        <v>983</v>
      </c>
      <c r="E8440">
        <v>0</v>
      </c>
      <c r="F8440" t="s">
        <v>21</v>
      </c>
      <c r="G8440" t="s">
        <v>26</v>
      </c>
      <c r="H8440" t="s">
        <v>21</v>
      </c>
      <c r="I8440" t="s">
        <v>20</v>
      </c>
      <c r="J8440" t="s">
        <v>20</v>
      </c>
      <c r="K8440" t="s">
        <v>31</v>
      </c>
      <c r="L8440" t="s">
        <v>188</v>
      </c>
      <c r="M8440" t="s">
        <v>46</v>
      </c>
      <c r="N8440">
        <v>40.738290999999997</v>
      </c>
      <c r="O8440">
        <v>-111.672898</v>
      </c>
      <c r="P8440">
        <v>6085.8130689999998</v>
      </c>
      <c r="Q8440">
        <v>321</v>
      </c>
      <c r="R8440">
        <v>0</v>
      </c>
    </row>
    <row r="8441" spans="1:18" x14ac:dyDescent="0.25">
      <c r="A8441">
        <v>8290</v>
      </c>
      <c r="B8441">
        <v>94</v>
      </c>
      <c r="C8441" t="s">
        <v>984</v>
      </c>
      <c r="D8441" t="s">
        <v>985</v>
      </c>
      <c r="E8441">
        <v>0</v>
      </c>
      <c r="F8441" t="s">
        <v>21</v>
      </c>
      <c r="G8441" t="s">
        <v>26</v>
      </c>
      <c r="H8441" t="s">
        <v>21</v>
      </c>
      <c r="I8441" t="s">
        <v>20</v>
      </c>
      <c r="J8441" t="s">
        <v>20</v>
      </c>
      <c r="K8441" t="s">
        <v>22</v>
      </c>
      <c r="L8441" t="s">
        <v>155</v>
      </c>
      <c r="M8441" t="s">
        <v>365</v>
      </c>
      <c r="N8441">
        <v>39.821353999999999</v>
      </c>
      <c r="O8441">
        <v>-111.834394</v>
      </c>
      <c r="P8441">
        <v>5050.8565410000001</v>
      </c>
      <c r="Q8441">
        <v>6661</v>
      </c>
      <c r="R8441">
        <v>0</v>
      </c>
    </row>
    <row r="8442" spans="1:18" x14ac:dyDescent="0.25">
      <c r="A8442">
        <v>8291</v>
      </c>
      <c r="B8442">
        <v>94</v>
      </c>
      <c r="C8442" t="e">
        <f>-IqDJdsNIZDofrQj6zhCxV</f>
        <v>#NAME?</v>
      </c>
      <c r="D8442" t="s">
        <v>986</v>
      </c>
      <c r="E8442">
        <v>0</v>
      </c>
      <c r="F8442" t="s">
        <v>21</v>
      </c>
      <c r="G8442" t="s">
        <v>26</v>
      </c>
      <c r="H8442" t="s">
        <v>21</v>
      </c>
      <c r="I8442" t="s">
        <v>20</v>
      </c>
      <c r="J8442" t="s">
        <v>20</v>
      </c>
      <c r="K8442" t="s">
        <v>27</v>
      </c>
      <c r="L8442" t="s">
        <v>400</v>
      </c>
      <c r="M8442" t="s">
        <v>365</v>
      </c>
      <c r="N8442">
        <v>38.659419</v>
      </c>
      <c r="O8442">
        <v>-112.594638</v>
      </c>
      <c r="P8442">
        <v>5688.1991479999997</v>
      </c>
      <c r="Q8442">
        <v>6661</v>
      </c>
      <c r="R8442">
        <v>0</v>
      </c>
    </row>
    <row r="8443" spans="1:18" x14ac:dyDescent="0.25">
      <c r="A8443">
        <v>8292</v>
      </c>
      <c r="B8443">
        <v>94</v>
      </c>
      <c r="C8443">
        <v>31834179</v>
      </c>
      <c r="D8443" t="s">
        <v>161</v>
      </c>
      <c r="E8443">
        <v>0.106</v>
      </c>
      <c r="F8443" t="s">
        <v>21</v>
      </c>
      <c r="G8443" t="s">
        <v>26</v>
      </c>
      <c r="H8443" t="s">
        <v>21</v>
      </c>
      <c r="I8443" t="s">
        <v>20</v>
      </c>
      <c r="J8443" t="s">
        <v>20</v>
      </c>
      <c r="K8443" t="s">
        <v>27</v>
      </c>
      <c r="L8443" t="s">
        <v>162</v>
      </c>
      <c r="M8443" t="s">
        <v>163</v>
      </c>
      <c r="N8443">
        <v>37.573442</v>
      </c>
      <c r="O8443">
        <v>-113.732972</v>
      </c>
      <c r="P8443">
        <v>5245.6835279999996</v>
      </c>
      <c r="Q8443">
        <v>419</v>
      </c>
      <c r="R8443">
        <v>0</v>
      </c>
    </row>
    <row r="8444" spans="1:18" x14ac:dyDescent="0.25">
      <c r="A8444">
        <v>8293</v>
      </c>
      <c r="B8444">
        <v>94</v>
      </c>
      <c r="C8444" t="e">
        <f>-IpdxXn8F7ih-Q6izMlnHF</f>
        <v>#NAME?</v>
      </c>
      <c r="D8444" t="s">
        <v>170</v>
      </c>
      <c r="E8444">
        <v>0.107</v>
      </c>
      <c r="F8444" t="s">
        <v>19</v>
      </c>
      <c r="G8444" t="s">
        <v>20</v>
      </c>
      <c r="H8444" t="s">
        <v>19</v>
      </c>
      <c r="I8444">
        <v>203</v>
      </c>
      <c r="J8444" t="s">
        <v>20</v>
      </c>
      <c r="K8444" t="s">
        <v>41</v>
      </c>
      <c r="L8444" t="s">
        <v>81</v>
      </c>
      <c r="M8444" t="s">
        <v>82</v>
      </c>
      <c r="N8444">
        <v>41.190399999999997</v>
      </c>
      <c r="O8444">
        <v>-111.948733</v>
      </c>
      <c r="P8444">
        <v>4612.0000129999999</v>
      </c>
      <c r="Q8444">
        <v>1284</v>
      </c>
      <c r="R8444">
        <v>0</v>
      </c>
    </row>
    <row r="8445" spans="1:18" x14ac:dyDescent="0.25">
      <c r="A8445">
        <v>8294</v>
      </c>
      <c r="B8445">
        <v>94</v>
      </c>
      <c r="C8445" t="e">
        <f>-JMkcml4F8uQjxsYJN8PDk</f>
        <v>#NAME?</v>
      </c>
      <c r="D8445" t="s">
        <v>88</v>
      </c>
      <c r="E8445">
        <v>0.107</v>
      </c>
      <c r="F8445" t="s">
        <v>21</v>
      </c>
      <c r="G8445" t="s">
        <v>26</v>
      </c>
      <c r="H8445" t="s">
        <v>21</v>
      </c>
      <c r="I8445" t="s">
        <v>20</v>
      </c>
      <c r="J8445" t="s">
        <v>20</v>
      </c>
      <c r="K8445" t="s">
        <v>31</v>
      </c>
      <c r="L8445" t="s">
        <v>89</v>
      </c>
      <c r="M8445" t="s">
        <v>49</v>
      </c>
      <c r="N8445">
        <v>40.522328000000002</v>
      </c>
      <c r="O8445">
        <v>-111.982045</v>
      </c>
      <c r="P8445">
        <v>4575.6651169999996</v>
      </c>
      <c r="Q8445">
        <v>318</v>
      </c>
      <c r="R8445">
        <v>0</v>
      </c>
    </row>
    <row r="8446" spans="1:18" x14ac:dyDescent="0.25">
      <c r="A8446">
        <v>8295</v>
      </c>
      <c r="B8446">
        <v>94</v>
      </c>
      <c r="C8446">
        <v>31288808</v>
      </c>
      <c r="D8446" t="s">
        <v>315</v>
      </c>
      <c r="E8446">
        <v>0.108</v>
      </c>
      <c r="F8446" t="s">
        <v>21</v>
      </c>
      <c r="G8446" t="s">
        <v>26</v>
      </c>
      <c r="H8446" t="s">
        <v>21</v>
      </c>
      <c r="I8446" t="s">
        <v>20</v>
      </c>
      <c r="J8446" t="s">
        <v>20</v>
      </c>
      <c r="K8446" t="s">
        <v>27</v>
      </c>
      <c r="L8446" t="s">
        <v>111</v>
      </c>
      <c r="M8446" t="s">
        <v>243</v>
      </c>
      <c r="N8446">
        <v>39.299070999999998</v>
      </c>
      <c r="O8446">
        <v>-111.297544</v>
      </c>
      <c r="P8446">
        <v>7127.0858040000003</v>
      </c>
      <c r="Q8446">
        <v>307</v>
      </c>
      <c r="R8446">
        <v>0</v>
      </c>
    </row>
    <row r="8447" spans="1:18" x14ac:dyDescent="0.25">
      <c r="A8447">
        <v>8296</v>
      </c>
      <c r="B8447">
        <v>94</v>
      </c>
      <c r="C8447">
        <v>560374</v>
      </c>
      <c r="D8447" t="s">
        <v>434</v>
      </c>
      <c r="E8447">
        <v>0.108</v>
      </c>
      <c r="F8447" t="s">
        <v>21</v>
      </c>
      <c r="G8447" t="s">
        <v>26</v>
      </c>
      <c r="H8447" t="s">
        <v>21</v>
      </c>
      <c r="I8447" t="s">
        <v>20</v>
      </c>
      <c r="J8447" t="s">
        <v>20</v>
      </c>
      <c r="K8447" t="s">
        <v>31</v>
      </c>
      <c r="L8447" t="s">
        <v>32</v>
      </c>
      <c r="M8447" t="s">
        <v>70</v>
      </c>
      <c r="N8447">
        <v>40.665146999999997</v>
      </c>
      <c r="O8447">
        <v>-111.862813</v>
      </c>
      <c r="P8447">
        <v>4246.7152400000004</v>
      </c>
      <c r="Q8447">
        <v>1424</v>
      </c>
      <c r="R8447">
        <v>0</v>
      </c>
    </row>
    <row r="8448" spans="1:18" x14ac:dyDescent="0.25">
      <c r="A8448">
        <v>8297</v>
      </c>
      <c r="B8448">
        <v>94</v>
      </c>
      <c r="C8448">
        <v>27342657</v>
      </c>
      <c r="D8448" t="s">
        <v>372</v>
      </c>
      <c r="E8448">
        <v>0.108</v>
      </c>
      <c r="F8448" t="s">
        <v>21</v>
      </c>
      <c r="G8448" t="s">
        <v>26</v>
      </c>
      <c r="H8448" t="s">
        <v>21</v>
      </c>
      <c r="I8448" t="s">
        <v>20</v>
      </c>
      <c r="J8448" t="s">
        <v>20</v>
      </c>
      <c r="K8448" t="s">
        <v>31</v>
      </c>
      <c r="L8448" t="s">
        <v>373</v>
      </c>
      <c r="M8448" t="s">
        <v>283</v>
      </c>
      <c r="N8448">
        <v>40.736148999999997</v>
      </c>
      <c r="O8448">
        <v>-114.041816</v>
      </c>
      <c r="P8448">
        <v>4258.5719230000004</v>
      </c>
      <c r="Q8448">
        <v>1362</v>
      </c>
      <c r="R8448">
        <v>0</v>
      </c>
    </row>
    <row r="8449" spans="1:18" x14ac:dyDescent="0.25">
      <c r="A8449">
        <v>8298</v>
      </c>
      <c r="B8449">
        <v>94</v>
      </c>
      <c r="C8449">
        <v>31402587</v>
      </c>
      <c r="D8449" t="s">
        <v>257</v>
      </c>
      <c r="E8449">
        <v>0.108</v>
      </c>
      <c r="F8449" t="s">
        <v>21</v>
      </c>
      <c r="G8449" t="s">
        <v>26</v>
      </c>
      <c r="H8449" t="s">
        <v>21</v>
      </c>
      <c r="I8449" t="s">
        <v>20</v>
      </c>
      <c r="J8449" t="s">
        <v>20</v>
      </c>
      <c r="K8449" t="s">
        <v>22</v>
      </c>
      <c r="L8449" t="s">
        <v>140</v>
      </c>
      <c r="M8449" t="s">
        <v>76</v>
      </c>
      <c r="N8449">
        <v>40.085352</v>
      </c>
      <c r="O8449">
        <v>-111.70128</v>
      </c>
      <c r="P8449">
        <v>4483.9704099999999</v>
      </c>
      <c r="Q8449">
        <v>1433</v>
      </c>
      <c r="R8449">
        <v>0</v>
      </c>
    </row>
    <row r="8450" spans="1:18" x14ac:dyDescent="0.25">
      <c r="A8450">
        <v>8299</v>
      </c>
      <c r="B8450">
        <v>94</v>
      </c>
      <c r="C8450">
        <v>27941229</v>
      </c>
      <c r="D8450" t="s">
        <v>265</v>
      </c>
      <c r="E8450">
        <v>0.111</v>
      </c>
      <c r="F8450" t="s">
        <v>21</v>
      </c>
      <c r="G8450" t="s">
        <v>26</v>
      </c>
      <c r="H8450" t="s">
        <v>21</v>
      </c>
      <c r="I8450" t="s">
        <v>20</v>
      </c>
      <c r="J8450" t="s">
        <v>20</v>
      </c>
      <c r="K8450" t="s">
        <v>27</v>
      </c>
      <c r="L8450" t="s">
        <v>266</v>
      </c>
      <c r="M8450" t="s">
        <v>267</v>
      </c>
      <c r="N8450">
        <v>38.411368000000003</v>
      </c>
      <c r="O8450">
        <v>-111.640801</v>
      </c>
      <c r="P8450">
        <v>7017.4763290000001</v>
      </c>
      <c r="Q8450">
        <v>1371</v>
      </c>
      <c r="R8450">
        <v>0</v>
      </c>
    </row>
    <row r="8451" spans="1:18" x14ac:dyDescent="0.25">
      <c r="A8451">
        <v>8300</v>
      </c>
      <c r="B8451">
        <v>94</v>
      </c>
      <c r="C8451">
        <v>31410527</v>
      </c>
      <c r="D8451" t="s">
        <v>129</v>
      </c>
      <c r="E8451">
        <v>0.113</v>
      </c>
      <c r="F8451" t="s">
        <v>21</v>
      </c>
      <c r="G8451" t="s">
        <v>26</v>
      </c>
      <c r="H8451" t="s">
        <v>21</v>
      </c>
      <c r="I8451" t="s">
        <v>20</v>
      </c>
      <c r="J8451" t="s">
        <v>20</v>
      </c>
      <c r="K8451" t="s">
        <v>31</v>
      </c>
      <c r="L8451" t="s">
        <v>130</v>
      </c>
      <c r="M8451" t="s">
        <v>131</v>
      </c>
      <c r="N8451">
        <v>40.643158</v>
      </c>
      <c r="O8451">
        <v>-111.278638</v>
      </c>
      <c r="P8451">
        <v>6440.6003719999999</v>
      </c>
      <c r="Q8451">
        <v>340</v>
      </c>
      <c r="R8451">
        <v>0</v>
      </c>
    </row>
    <row r="8452" spans="1:18" x14ac:dyDescent="0.25">
      <c r="A8452">
        <v>8301</v>
      </c>
      <c r="B8452">
        <v>94</v>
      </c>
      <c r="C8452">
        <v>31411444</v>
      </c>
      <c r="D8452" t="s">
        <v>765</v>
      </c>
      <c r="E8452">
        <v>0.114</v>
      </c>
      <c r="F8452" t="s">
        <v>21</v>
      </c>
      <c r="G8452" t="s">
        <v>26</v>
      </c>
      <c r="H8452" t="s">
        <v>21</v>
      </c>
      <c r="I8452" t="s">
        <v>20</v>
      </c>
      <c r="J8452" t="s">
        <v>20</v>
      </c>
      <c r="K8452" t="s">
        <v>31</v>
      </c>
      <c r="L8452" t="s">
        <v>433</v>
      </c>
      <c r="M8452" t="s">
        <v>138</v>
      </c>
      <c r="N8452">
        <v>41.043764000000003</v>
      </c>
      <c r="O8452">
        <v>-111.524191</v>
      </c>
      <c r="P8452">
        <v>5222.0232239999996</v>
      </c>
      <c r="Q8452">
        <v>1382</v>
      </c>
      <c r="R8452">
        <v>0</v>
      </c>
    </row>
    <row r="8453" spans="1:18" x14ac:dyDescent="0.25">
      <c r="A8453">
        <v>8302</v>
      </c>
      <c r="B8453">
        <v>94</v>
      </c>
      <c r="C8453">
        <v>31463085</v>
      </c>
      <c r="D8453" t="s">
        <v>264</v>
      </c>
      <c r="E8453">
        <v>0.11600000000000001</v>
      </c>
      <c r="F8453" t="s">
        <v>21</v>
      </c>
      <c r="G8453" t="s">
        <v>26</v>
      </c>
      <c r="H8453" t="s">
        <v>21</v>
      </c>
      <c r="I8453" t="s">
        <v>20</v>
      </c>
      <c r="J8453" t="s">
        <v>20</v>
      </c>
      <c r="K8453" t="s">
        <v>22</v>
      </c>
      <c r="L8453" t="s">
        <v>35</v>
      </c>
      <c r="M8453" t="s">
        <v>36</v>
      </c>
      <c r="N8453">
        <v>40.512228999999998</v>
      </c>
      <c r="O8453">
        <v>-111.47443800000001</v>
      </c>
      <c r="P8453">
        <v>5539.7968510000001</v>
      </c>
      <c r="Q8453">
        <v>420</v>
      </c>
      <c r="R8453">
        <v>0</v>
      </c>
    </row>
    <row r="8454" spans="1:18" x14ac:dyDescent="0.25">
      <c r="A8454">
        <v>8303</v>
      </c>
      <c r="B8454">
        <v>94</v>
      </c>
      <c r="C8454" t="e">
        <f>-JMuTqUvI3qv8oHYE_NbzV</f>
        <v>#NAME?</v>
      </c>
      <c r="D8454" t="s">
        <v>231</v>
      </c>
      <c r="E8454">
        <v>0.11700000000000001</v>
      </c>
      <c r="F8454" t="s">
        <v>19</v>
      </c>
      <c r="G8454" t="s">
        <v>20</v>
      </c>
      <c r="H8454" t="s">
        <v>21</v>
      </c>
      <c r="I8454" t="s">
        <v>20</v>
      </c>
      <c r="J8454" t="s">
        <v>20</v>
      </c>
      <c r="K8454" t="s">
        <v>41</v>
      </c>
      <c r="L8454" t="s">
        <v>57</v>
      </c>
      <c r="M8454" t="s">
        <v>93</v>
      </c>
      <c r="N8454">
        <v>41.056050999999997</v>
      </c>
      <c r="O8454">
        <v>-111.959928</v>
      </c>
      <c r="P8454">
        <v>4308.5267350000004</v>
      </c>
      <c r="Q8454">
        <v>1409</v>
      </c>
      <c r="R8454">
        <v>0</v>
      </c>
    </row>
    <row r="8455" spans="1:18" x14ac:dyDescent="0.25">
      <c r="A8455">
        <v>8304</v>
      </c>
      <c r="B8455">
        <v>94</v>
      </c>
      <c r="C8455" t="e">
        <f>-JXBJqeGF9uKDjEuFg1VNF</f>
        <v>#NAME?</v>
      </c>
      <c r="D8455" t="s">
        <v>265</v>
      </c>
      <c r="E8455">
        <v>0.11799999999999999</v>
      </c>
      <c r="F8455" t="s">
        <v>21</v>
      </c>
      <c r="G8455" t="s">
        <v>26</v>
      </c>
      <c r="H8455" t="s">
        <v>21</v>
      </c>
      <c r="I8455" t="s">
        <v>20</v>
      </c>
      <c r="J8455" t="s">
        <v>20</v>
      </c>
      <c r="K8455" t="s">
        <v>27</v>
      </c>
      <c r="L8455" t="s">
        <v>266</v>
      </c>
      <c r="M8455" t="s">
        <v>267</v>
      </c>
      <c r="N8455">
        <v>38.411396000000003</v>
      </c>
      <c r="O8455">
        <v>-111.640677</v>
      </c>
      <c r="P8455">
        <v>7017.0382769999997</v>
      </c>
      <c r="Q8455">
        <v>1371</v>
      </c>
      <c r="R8455">
        <v>0</v>
      </c>
    </row>
    <row r="8456" spans="1:18" x14ac:dyDescent="0.25">
      <c r="A8456">
        <v>8305</v>
      </c>
      <c r="B8456">
        <v>94</v>
      </c>
      <c r="C8456">
        <v>27076812</v>
      </c>
      <c r="D8456" t="s">
        <v>351</v>
      </c>
      <c r="E8456">
        <v>0.12</v>
      </c>
      <c r="F8456" t="s">
        <v>21</v>
      </c>
      <c r="G8456" t="s">
        <v>26</v>
      </c>
      <c r="H8456" t="s">
        <v>21</v>
      </c>
      <c r="I8456" t="s">
        <v>20</v>
      </c>
      <c r="J8456" t="s">
        <v>20</v>
      </c>
      <c r="K8456" t="s">
        <v>22</v>
      </c>
      <c r="L8456" t="s">
        <v>140</v>
      </c>
      <c r="M8456" t="s">
        <v>125</v>
      </c>
      <c r="N8456">
        <v>40.116799999999998</v>
      </c>
      <c r="O8456">
        <v>-111.63462800000001</v>
      </c>
      <c r="P8456">
        <v>4582.1325230000002</v>
      </c>
      <c r="Q8456">
        <v>1357</v>
      </c>
      <c r="R8456">
        <v>0</v>
      </c>
    </row>
    <row r="8457" spans="1:18" x14ac:dyDescent="0.25">
      <c r="A8457">
        <v>8306</v>
      </c>
      <c r="B8457">
        <v>94</v>
      </c>
      <c r="C8457">
        <v>27669233</v>
      </c>
      <c r="D8457" t="s">
        <v>217</v>
      </c>
      <c r="E8457">
        <v>0.123</v>
      </c>
      <c r="F8457" t="s">
        <v>19</v>
      </c>
      <c r="G8457" t="s">
        <v>20</v>
      </c>
      <c r="H8457" t="s">
        <v>21</v>
      </c>
      <c r="I8457" t="s">
        <v>20</v>
      </c>
      <c r="J8457" t="s">
        <v>20</v>
      </c>
      <c r="K8457" t="s">
        <v>27</v>
      </c>
      <c r="L8457" t="s">
        <v>72</v>
      </c>
      <c r="M8457" t="s">
        <v>163</v>
      </c>
      <c r="N8457">
        <v>37.083221999999999</v>
      </c>
      <c r="O8457">
        <v>-113.582532</v>
      </c>
      <c r="P8457">
        <v>2502.6758300000001</v>
      </c>
      <c r="Q8457">
        <v>304</v>
      </c>
      <c r="R8457">
        <v>0</v>
      </c>
    </row>
    <row r="8458" spans="1:18" x14ac:dyDescent="0.25">
      <c r="A8458">
        <v>8307</v>
      </c>
      <c r="B8458">
        <v>94</v>
      </c>
      <c r="C8458">
        <v>31558001</v>
      </c>
      <c r="D8458" t="s">
        <v>80</v>
      </c>
      <c r="E8458">
        <v>0.44700000000000001</v>
      </c>
      <c r="F8458" t="s">
        <v>21</v>
      </c>
      <c r="G8458" t="s">
        <v>26</v>
      </c>
      <c r="H8458" t="s">
        <v>21</v>
      </c>
      <c r="I8458" t="s">
        <v>20</v>
      </c>
      <c r="J8458" t="s">
        <v>20</v>
      </c>
      <c r="K8458" t="s">
        <v>41</v>
      </c>
      <c r="L8458" t="s">
        <v>81</v>
      </c>
      <c r="M8458" t="s">
        <v>82</v>
      </c>
      <c r="N8458">
        <v>41.228707999999997</v>
      </c>
      <c r="O8458">
        <v>-112.01684899999999</v>
      </c>
      <c r="P8458">
        <v>4212.7541330000004</v>
      </c>
      <c r="Q8458">
        <v>1393</v>
      </c>
      <c r="R8458">
        <v>0</v>
      </c>
    </row>
    <row r="8459" spans="1:18" x14ac:dyDescent="0.25">
      <c r="A8459">
        <v>8308</v>
      </c>
      <c r="B8459">
        <v>94</v>
      </c>
      <c r="C8459">
        <v>31341823</v>
      </c>
      <c r="D8459" t="s">
        <v>220</v>
      </c>
      <c r="E8459">
        <v>0.44800000000000001</v>
      </c>
      <c r="F8459" t="s">
        <v>21</v>
      </c>
      <c r="G8459" t="s">
        <v>20</v>
      </c>
      <c r="H8459" t="s">
        <v>21</v>
      </c>
      <c r="I8459" t="s">
        <v>20</v>
      </c>
      <c r="J8459" t="s">
        <v>20</v>
      </c>
      <c r="K8459" t="s">
        <v>27</v>
      </c>
      <c r="L8459" t="s">
        <v>247</v>
      </c>
      <c r="M8459" t="s">
        <v>29</v>
      </c>
      <c r="N8459">
        <v>37.749101000000003</v>
      </c>
      <c r="O8459">
        <v>-112.36863099999999</v>
      </c>
      <c r="P8459">
        <v>6708.8250470000003</v>
      </c>
      <c r="Q8459">
        <v>1328</v>
      </c>
      <c r="R8459">
        <v>0</v>
      </c>
    </row>
    <row r="8460" spans="1:18" x14ac:dyDescent="0.25">
      <c r="A8460">
        <v>8309</v>
      </c>
      <c r="B8460">
        <v>94</v>
      </c>
      <c r="C8460" t="e">
        <f>-JQBN6tzFMePLig5yWkIcV</f>
        <v>#NAME?</v>
      </c>
      <c r="D8460" t="s">
        <v>987</v>
      </c>
      <c r="E8460">
        <v>0.44800000000000001</v>
      </c>
      <c r="F8460" t="s">
        <v>21</v>
      </c>
      <c r="G8460" t="s">
        <v>26</v>
      </c>
      <c r="H8460" t="s">
        <v>21</v>
      </c>
      <c r="I8460">
        <v>66</v>
      </c>
      <c r="J8460" t="s">
        <v>20</v>
      </c>
      <c r="K8460" t="s">
        <v>41</v>
      </c>
      <c r="L8460" t="s">
        <v>137</v>
      </c>
      <c r="M8460" t="s">
        <v>138</v>
      </c>
      <c r="N8460">
        <v>40.926448000000001</v>
      </c>
      <c r="O8460">
        <v>-111.58710000000001</v>
      </c>
      <c r="P8460">
        <v>5743.7699149999999</v>
      </c>
      <c r="Q8460">
        <v>367</v>
      </c>
      <c r="R8460">
        <v>0</v>
      </c>
    </row>
    <row r="8461" spans="1:18" x14ac:dyDescent="0.25">
      <c r="A8461">
        <v>8310</v>
      </c>
      <c r="B8461">
        <v>94</v>
      </c>
      <c r="C8461">
        <v>27337955</v>
      </c>
      <c r="D8461" t="s">
        <v>372</v>
      </c>
      <c r="E8461">
        <v>0.44800000000000001</v>
      </c>
      <c r="F8461" t="s">
        <v>21</v>
      </c>
      <c r="G8461" t="s">
        <v>26</v>
      </c>
      <c r="H8461" t="s">
        <v>21</v>
      </c>
      <c r="I8461" t="s">
        <v>20</v>
      </c>
      <c r="J8461" t="s">
        <v>20</v>
      </c>
      <c r="K8461" t="s">
        <v>31</v>
      </c>
      <c r="L8461" t="s">
        <v>373</v>
      </c>
      <c r="M8461" t="s">
        <v>283</v>
      </c>
      <c r="N8461">
        <v>40.737555</v>
      </c>
      <c r="O8461">
        <v>-114.035539</v>
      </c>
      <c r="P8461">
        <v>4225.8259699999999</v>
      </c>
      <c r="Q8461">
        <v>1362</v>
      </c>
      <c r="R8461">
        <v>0</v>
      </c>
    </row>
    <row r="8462" spans="1:18" x14ac:dyDescent="0.25">
      <c r="A8462">
        <v>8311</v>
      </c>
      <c r="B8462">
        <v>94</v>
      </c>
      <c r="C8462" t="e">
        <f>-IpOeOZQG59X5jX3knj_IV</f>
        <v>#NAME?</v>
      </c>
      <c r="D8462" t="s">
        <v>215</v>
      </c>
      <c r="E8462">
        <v>0.45</v>
      </c>
      <c r="F8462" t="s">
        <v>21</v>
      </c>
      <c r="G8462" t="s">
        <v>26</v>
      </c>
      <c r="H8462" t="s">
        <v>21</v>
      </c>
      <c r="I8462" t="s">
        <v>20</v>
      </c>
      <c r="J8462" t="s">
        <v>20</v>
      </c>
      <c r="K8462" t="s">
        <v>22</v>
      </c>
      <c r="L8462" t="s">
        <v>23</v>
      </c>
      <c r="M8462" t="s">
        <v>85</v>
      </c>
      <c r="N8462">
        <v>40.233749000000003</v>
      </c>
      <c r="O8462">
        <v>-111.67616700000001</v>
      </c>
      <c r="P8462">
        <v>4477.7187720000002</v>
      </c>
      <c r="Q8462">
        <v>330</v>
      </c>
      <c r="R8462">
        <v>0</v>
      </c>
    </row>
    <row r="8463" spans="1:18" x14ac:dyDescent="0.25">
      <c r="A8463">
        <v>8312</v>
      </c>
      <c r="B8463">
        <v>94</v>
      </c>
      <c r="C8463">
        <v>31399731</v>
      </c>
      <c r="D8463" t="s">
        <v>139</v>
      </c>
      <c r="E8463">
        <v>0.45</v>
      </c>
      <c r="F8463" t="s">
        <v>19</v>
      </c>
      <c r="G8463" t="s">
        <v>20</v>
      </c>
      <c r="H8463" t="s">
        <v>21</v>
      </c>
      <c r="I8463" t="s">
        <v>20</v>
      </c>
      <c r="J8463" t="s">
        <v>20</v>
      </c>
      <c r="K8463" t="s">
        <v>22</v>
      </c>
      <c r="L8463" t="s">
        <v>140</v>
      </c>
      <c r="M8463" t="s">
        <v>141</v>
      </c>
      <c r="N8463">
        <v>40.112484000000002</v>
      </c>
      <c r="O8463">
        <v>-111.654779</v>
      </c>
      <c r="P8463">
        <v>4522.63915</v>
      </c>
      <c r="Q8463">
        <v>342</v>
      </c>
      <c r="R8463">
        <v>0</v>
      </c>
    </row>
    <row r="8464" spans="1:18" x14ac:dyDescent="0.25">
      <c r="A8464">
        <v>8313</v>
      </c>
      <c r="B8464">
        <v>94</v>
      </c>
      <c r="C8464">
        <v>31590340</v>
      </c>
      <c r="D8464" t="s">
        <v>145</v>
      </c>
      <c r="E8464">
        <v>0.45100000000000001</v>
      </c>
      <c r="F8464" t="s">
        <v>21</v>
      </c>
      <c r="G8464" t="s">
        <v>26</v>
      </c>
      <c r="H8464" t="s">
        <v>21</v>
      </c>
      <c r="I8464" t="s">
        <v>20</v>
      </c>
      <c r="J8464" t="s">
        <v>20</v>
      </c>
      <c r="K8464" t="s">
        <v>27</v>
      </c>
      <c r="L8464" t="s">
        <v>146</v>
      </c>
      <c r="M8464" t="s">
        <v>147</v>
      </c>
      <c r="N8464">
        <v>37.872776999999999</v>
      </c>
      <c r="O8464">
        <v>-109.33463999999999</v>
      </c>
      <c r="P8464">
        <v>6953.7534669999995</v>
      </c>
      <c r="Q8464">
        <v>1291</v>
      </c>
      <c r="R8464">
        <v>0</v>
      </c>
    </row>
    <row r="8465" spans="1:18" x14ac:dyDescent="0.25">
      <c r="A8465">
        <v>8314</v>
      </c>
      <c r="B8465">
        <v>94</v>
      </c>
      <c r="C8465">
        <v>31464657</v>
      </c>
      <c r="D8465" t="s">
        <v>264</v>
      </c>
      <c r="E8465">
        <v>0.45100000000000001</v>
      </c>
      <c r="F8465" t="s">
        <v>21</v>
      </c>
      <c r="G8465" t="s">
        <v>26</v>
      </c>
      <c r="H8465" t="s">
        <v>21</v>
      </c>
      <c r="I8465" t="s">
        <v>20</v>
      </c>
      <c r="J8465" t="s">
        <v>20</v>
      </c>
      <c r="K8465" t="s">
        <v>22</v>
      </c>
      <c r="L8465" t="s">
        <v>35</v>
      </c>
      <c r="M8465" t="s">
        <v>36</v>
      </c>
      <c r="N8465">
        <v>40.515425999999998</v>
      </c>
      <c r="O8465">
        <v>-111.476555</v>
      </c>
      <c r="P8465">
        <v>5560.7455220000002</v>
      </c>
      <c r="Q8465">
        <v>420</v>
      </c>
      <c r="R8465">
        <v>0</v>
      </c>
    </row>
    <row r="8466" spans="1:18" x14ac:dyDescent="0.25">
      <c r="A8466">
        <v>8315</v>
      </c>
      <c r="B8466">
        <v>94</v>
      </c>
      <c r="C8466" t="e">
        <f>-IrAzNZDIdqlq8qBD5bknV</f>
        <v>#NAME?</v>
      </c>
      <c r="D8466" t="s">
        <v>92</v>
      </c>
      <c r="E8466">
        <v>0.69099999999999995</v>
      </c>
      <c r="F8466" t="s">
        <v>21</v>
      </c>
      <c r="G8466" t="s">
        <v>26</v>
      </c>
      <c r="H8466" t="s">
        <v>21</v>
      </c>
      <c r="I8466" t="s">
        <v>20</v>
      </c>
      <c r="J8466" t="s">
        <v>20</v>
      </c>
      <c r="K8466" t="s">
        <v>41</v>
      </c>
      <c r="L8466" t="s">
        <v>87</v>
      </c>
      <c r="M8466" t="s">
        <v>93</v>
      </c>
      <c r="N8466">
        <v>41.080671000000002</v>
      </c>
      <c r="O8466">
        <v>-111.97349199999999</v>
      </c>
      <c r="P8466">
        <v>4402.9001580000004</v>
      </c>
      <c r="Q8466">
        <v>252</v>
      </c>
      <c r="R8466">
        <v>0</v>
      </c>
    </row>
    <row r="8467" spans="1:18" x14ac:dyDescent="0.25">
      <c r="A8467">
        <v>8316</v>
      </c>
      <c r="B8467">
        <v>94</v>
      </c>
      <c r="C8467">
        <v>510081</v>
      </c>
      <c r="D8467" t="s">
        <v>44</v>
      </c>
      <c r="E8467">
        <v>0.69099999999999995</v>
      </c>
      <c r="F8467" t="s">
        <v>21</v>
      </c>
      <c r="G8467" t="s">
        <v>26</v>
      </c>
      <c r="H8467" t="s">
        <v>21</v>
      </c>
      <c r="I8467" t="s">
        <v>20</v>
      </c>
      <c r="J8467" t="s">
        <v>20</v>
      </c>
      <c r="K8467" t="s">
        <v>41</v>
      </c>
      <c r="L8467" t="s">
        <v>45</v>
      </c>
      <c r="M8467" t="s">
        <v>46</v>
      </c>
      <c r="N8467">
        <v>40.894002999999998</v>
      </c>
      <c r="O8467">
        <v>-111.887547</v>
      </c>
      <c r="P8467">
        <v>4265.6822389999998</v>
      </c>
      <c r="Q8467">
        <v>1395</v>
      </c>
      <c r="R8467">
        <v>0</v>
      </c>
    </row>
    <row r="8468" spans="1:18" x14ac:dyDescent="0.25">
      <c r="A8468">
        <v>8317</v>
      </c>
      <c r="B8468">
        <v>94</v>
      </c>
      <c r="C8468">
        <v>27644148</v>
      </c>
      <c r="D8468" t="s">
        <v>196</v>
      </c>
      <c r="E8468">
        <v>0.69099999999999995</v>
      </c>
      <c r="F8468" t="s">
        <v>21</v>
      </c>
      <c r="G8468" t="s">
        <v>26</v>
      </c>
      <c r="H8468" t="s">
        <v>21</v>
      </c>
      <c r="I8468" t="s">
        <v>20</v>
      </c>
      <c r="J8468" t="s">
        <v>20</v>
      </c>
      <c r="K8468" t="s">
        <v>27</v>
      </c>
      <c r="L8468" t="s">
        <v>72</v>
      </c>
      <c r="M8468" t="s">
        <v>73</v>
      </c>
      <c r="N8468">
        <v>37.109895000000002</v>
      </c>
      <c r="O8468">
        <v>-113.58116699999999</v>
      </c>
      <c r="P8468">
        <v>2673.6692330000001</v>
      </c>
      <c r="Q8468">
        <v>308</v>
      </c>
      <c r="R8468">
        <v>0</v>
      </c>
    </row>
    <row r="8469" spans="1:18" x14ac:dyDescent="0.25">
      <c r="A8469">
        <v>8318</v>
      </c>
      <c r="B8469">
        <v>94</v>
      </c>
      <c r="C8469">
        <v>980052</v>
      </c>
      <c r="D8469" t="s">
        <v>397</v>
      </c>
      <c r="E8469">
        <v>0.69199999999999995</v>
      </c>
      <c r="F8469" t="s">
        <v>21</v>
      </c>
      <c r="G8469" t="s">
        <v>26</v>
      </c>
      <c r="H8469" t="s">
        <v>21</v>
      </c>
      <c r="I8469" t="s">
        <v>20</v>
      </c>
      <c r="J8469" t="s">
        <v>20</v>
      </c>
      <c r="K8469" t="s">
        <v>41</v>
      </c>
      <c r="L8469" t="s">
        <v>177</v>
      </c>
      <c r="M8469" t="s">
        <v>163</v>
      </c>
      <c r="N8469">
        <v>41.505299999999998</v>
      </c>
      <c r="O8469">
        <v>-112.002544</v>
      </c>
      <c r="P8469">
        <v>4479.1336160000001</v>
      </c>
      <c r="Q8469">
        <v>1385</v>
      </c>
      <c r="R8469">
        <v>0</v>
      </c>
    </row>
    <row r="8470" spans="1:18" x14ac:dyDescent="0.25">
      <c r="A8470">
        <v>8319</v>
      </c>
      <c r="B8470">
        <v>94</v>
      </c>
      <c r="C8470">
        <v>1168323</v>
      </c>
      <c r="D8470" t="s">
        <v>100</v>
      </c>
      <c r="E8470">
        <v>0.69199999999999995</v>
      </c>
      <c r="F8470" t="s">
        <v>19</v>
      </c>
      <c r="G8470" t="s">
        <v>20</v>
      </c>
      <c r="H8470" t="s">
        <v>19</v>
      </c>
      <c r="I8470">
        <v>126</v>
      </c>
      <c r="J8470" t="s">
        <v>20</v>
      </c>
      <c r="K8470" t="s">
        <v>41</v>
      </c>
      <c r="L8470" t="s">
        <v>57</v>
      </c>
      <c r="M8470" t="s">
        <v>46</v>
      </c>
      <c r="N8470">
        <v>41.089157999999998</v>
      </c>
      <c r="O8470">
        <v>-112.00112</v>
      </c>
      <c r="P8470">
        <v>4403.5314250000001</v>
      </c>
      <c r="Q8470">
        <v>1396</v>
      </c>
      <c r="R8470">
        <v>0</v>
      </c>
    </row>
    <row r="8471" spans="1:18" x14ac:dyDescent="0.25">
      <c r="A8471">
        <v>8320</v>
      </c>
      <c r="B8471">
        <v>94</v>
      </c>
      <c r="C8471">
        <v>27337966</v>
      </c>
      <c r="D8471" t="s">
        <v>372</v>
      </c>
      <c r="E8471">
        <v>0.69299999999999995</v>
      </c>
      <c r="F8471" t="s">
        <v>21</v>
      </c>
      <c r="G8471" t="s">
        <v>26</v>
      </c>
      <c r="H8471" t="s">
        <v>21</v>
      </c>
      <c r="I8471" t="s">
        <v>20</v>
      </c>
      <c r="J8471" t="s">
        <v>20</v>
      </c>
      <c r="K8471" t="s">
        <v>31</v>
      </c>
      <c r="L8471" t="s">
        <v>373</v>
      </c>
      <c r="M8471" t="s">
        <v>283</v>
      </c>
      <c r="N8471">
        <v>40.737771000000002</v>
      </c>
      <c r="O8471">
        <v>-114.030877</v>
      </c>
      <c r="P8471">
        <v>4214.7965860000004</v>
      </c>
      <c r="Q8471">
        <v>1362</v>
      </c>
      <c r="R8471">
        <v>0</v>
      </c>
    </row>
    <row r="8472" spans="1:18" x14ac:dyDescent="0.25">
      <c r="A8472">
        <v>8321</v>
      </c>
      <c r="B8472">
        <v>94</v>
      </c>
      <c r="C8472" t="e">
        <f>-JST6xVIHbu22C4hphDQBV</f>
        <v>#NAME?</v>
      </c>
      <c r="D8472" t="s">
        <v>272</v>
      </c>
      <c r="E8472">
        <v>0.69299999999999995</v>
      </c>
      <c r="F8472" t="s">
        <v>21</v>
      </c>
      <c r="G8472" t="s">
        <v>20</v>
      </c>
      <c r="H8472" t="s">
        <v>21</v>
      </c>
      <c r="I8472" t="s">
        <v>20</v>
      </c>
      <c r="J8472" t="s">
        <v>20</v>
      </c>
      <c r="K8472" t="s">
        <v>27</v>
      </c>
      <c r="L8472" t="s">
        <v>259</v>
      </c>
      <c r="M8472" t="s">
        <v>214</v>
      </c>
      <c r="N8472">
        <v>37.009076</v>
      </c>
      <c r="O8472">
        <v>-111.581053</v>
      </c>
      <c r="P8472">
        <v>3870.030119</v>
      </c>
      <c r="Q8472">
        <v>1384</v>
      </c>
      <c r="R8472">
        <v>0</v>
      </c>
    </row>
    <row r="8473" spans="1:18" x14ac:dyDescent="0.25">
      <c r="A8473">
        <v>8322</v>
      </c>
      <c r="B8473">
        <v>94</v>
      </c>
      <c r="C8473">
        <v>31430101</v>
      </c>
      <c r="D8473" t="s">
        <v>319</v>
      </c>
      <c r="E8473">
        <v>18.501999999999999</v>
      </c>
      <c r="F8473" t="s">
        <v>21</v>
      </c>
      <c r="G8473" t="s">
        <v>20</v>
      </c>
      <c r="H8473" t="s">
        <v>21</v>
      </c>
      <c r="I8473" t="s">
        <v>20</v>
      </c>
      <c r="J8473" t="s">
        <v>20</v>
      </c>
      <c r="K8473" t="s">
        <v>27</v>
      </c>
      <c r="L8473" t="s">
        <v>162</v>
      </c>
      <c r="M8473" t="s">
        <v>55</v>
      </c>
      <c r="N8473">
        <v>37.748781000000001</v>
      </c>
      <c r="O8473">
        <v>-113.766125</v>
      </c>
      <c r="P8473">
        <v>5140.0805399999999</v>
      </c>
      <c r="Q8473">
        <v>314</v>
      </c>
      <c r="R8473">
        <v>0</v>
      </c>
    </row>
    <row r="8474" spans="1:18" x14ac:dyDescent="0.25">
      <c r="A8474">
        <v>8323</v>
      </c>
      <c r="B8474">
        <v>94</v>
      </c>
      <c r="C8474" t="s">
        <v>988</v>
      </c>
      <c r="D8474" t="s">
        <v>304</v>
      </c>
      <c r="E8474">
        <v>18.504999999999999</v>
      </c>
      <c r="F8474" t="s">
        <v>21</v>
      </c>
      <c r="G8474" t="s">
        <v>26</v>
      </c>
      <c r="H8474" t="s">
        <v>21</v>
      </c>
      <c r="I8474" t="s">
        <v>20</v>
      </c>
      <c r="J8474" t="s">
        <v>20</v>
      </c>
      <c r="K8474" t="s">
        <v>41</v>
      </c>
      <c r="L8474" t="s">
        <v>223</v>
      </c>
      <c r="M8474" t="s">
        <v>43</v>
      </c>
      <c r="N8474">
        <v>41.779429999999998</v>
      </c>
      <c r="O8474">
        <v>-112.093723</v>
      </c>
      <c r="P8474">
        <v>4398.582394</v>
      </c>
      <c r="Q8474">
        <v>1348</v>
      </c>
      <c r="R8474">
        <v>0</v>
      </c>
    </row>
    <row r="8475" spans="1:18" x14ac:dyDescent="0.25">
      <c r="A8475">
        <v>8324</v>
      </c>
      <c r="B8475">
        <v>94</v>
      </c>
      <c r="C8475">
        <v>27873906</v>
      </c>
      <c r="D8475" t="s">
        <v>91</v>
      </c>
      <c r="E8475">
        <v>18.521999999999998</v>
      </c>
      <c r="F8475" t="s">
        <v>21</v>
      </c>
      <c r="G8475" t="s">
        <v>26</v>
      </c>
      <c r="H8475" t="s">
        <v>21</v>
      </c>
      <c r="I8475" t="s">
        <v>20</v>
      </c>
      <c r="J8475" t="s">
        <v>20</v>
      </c>
      <c r="K8475" t="s">
        <v>41</v>
      </c>
      <c r="L8475" t="s">
        <v>95</v>
      </c>
      <c r="M8475" t="s">
        <v>73</v>
      </c>
      <c r="N8475">
        <v>41.862457999999997</v>
      </c>
      <c r="O8475">
        <v>-111.99128</v>
      </c>
      <c r="P8475">
        <v>4481.6396459999996</v>
      </c>
      <c r="Q8475">
        <v>1339</v>
      </c>
      <c r="R8475">
        <v>0</v>
      </c>
    </row>
    <row r="8476" spans="1:18" x14ac:dyDescent="0.25">
      <c r="A8476">
        <v>8325</v>
      </c>
      <c r="B8476">
        <v>94</v>
      </c>
      <c r="C8476">
        <v>31292100</v>
      </c>
      <c r="D8476" t="s">
        <v>315</v>
      </c>
      <c r="E8476">
        <v>18.524000000000001</v>
      </c>
      <c r="F8476" t="s">
        <v>21</v>
      </c>
      <c r="G8476" t="s">
        <v>26</v>
      </c>
      <c r="H8476" t="s">
        <v>21</v>
      </c>
      <c r="I8476" t="s">
        <v>20</v>
      </c>
      <c r="J8476" t="s">
        <v>20</v>
      </c>
      <c r="K8476" t="s">
        <v>27</v>
      </c>
      <c r="L8476" t="s">
        <v>111</v>
      </c>
      <c r="M8476" t="s">
        <v>243</v>
      </c>
      <c r="N8476">
        <v>39.228423999999997</v>
      </c>
      <c r="O8476">
        <v>-111.04127200000001</v>
      </c>
      <c r="P8476">
        <v>5712.2524190000004</v>
      </c>
      <c r="Q8476">
        <v>307</v>
      </c>
      <c r="R8476">
        <v>0</v>
      </c>
    </row>
    <row r="8477" spans="1:18" x14ac:dyDescent="0.25">
      <c r="A8477">
        <v>8326</v>
      </c>
      <c r="B8477">
        <v>94</v>
      </c>
      <c r="C8477">
        <v>28565188</v>
      </c>
      <c r="D8477" t="s">
        <v>323</v>
      </c>
      <c r="E8477">
        <v>18.526</v>
      </c>
      <c r="F8477" t="s">
        <v>21</v>
      </c>
      <c r="G8477" t="s">
        <v>26</v>
      </c>
      <c r="H8477" t="s">
        <v>21</v>
      </c>
      <c r="I8477" t="s">
        <v>20</v>
      </c>
      <c r="J8477" t="s">
        <v>20</v>
      </c>
      <c r="K8477" t="s">
        <v>31</v>
      </c>
      <c r="L8477" t="s">
        <v>130</v>
      </c>
      <c r="M8477" t="s">
        <v>131</v>
      </c>
      <c r="N8477">
        <v>40.720551999999998</v>
      </c>
      <c r="O8477">
        <v>-111.30029399999999</v>
      </c>
      <c r="P8477">
        <v>6453.2551510000003</v>
      </c>
      <c r="Q8477">
        <v>1345</v>
      </c>
      <c r="R8477">
        <v>0</v>
      </c>
    </row>
    <row r="8478" spans="1:18" x14ac:dyDescent="0.25">
      <c r="A8478">
        <v>8327</v>
      </c>
      <c r="B8478">
        <v>94</v>
      </c>
      <c r="C8478">
        <v>1547101</v>
      </c>
      <c r="D8478" t="s">
        <v>88</v>
      </c>
      <c r="E8478">
        <v>18.526</v>
      </c>
      <c r="F8478" t="s">
        <v>21</v>
      </c>
      <c r="G8478" t="s">
        <v>26</v>
      </c>
      <c r="H8478" t="s">
        <v>21</v>
      </c>
      <c r="I8478" t="s">
        <v>20</v>
      </c>
      <c r="J8478" t="s">
        <v>20</v>
      </c>
      <c r="K8478" t="s">
        <v>31</v>
      </c>
      <c r="L8478" t="s">
        <v>66</v>
      </c>
      <c r="M8478" t="s">
        <v>90</v>
      </c>
      <c r="N8478">
        <v>40.703496000000001</v>
      </c>
      <c r="O8478">
        <v>-111.871331</v>
      </c>
      <c r="P8478">
        <v>4226.2262849999997</v>
      </c>
      <c r="Q8478">
        <v>318</v>
      </c>
      <c r="R8478">
        <v>0</v>
      </c>
    </row>
    <row r="8479" spans="1:18" x14ac:dyDescent="0.25">
      <c r="A8479">
        <v>8328</v>
      </c>
      <c r="B8479">
        <v>94</v>
      </c>
      <c r="C8479" t="e">
        <f>-JOiEFHpIXPO7WjFeK6jlV</f>
        <v>#NAME?</v>
      </c>
      <c r="D8479" t="s">
        <v>244</v>
      </c>
      <c r="E8479">
        <v>18.536000000000001</v>
      </c>
      <c r="F8479" t="s">
        <v>21</v>
      </c>
      <c r="G8479" t="s">
        <v>26</v>
      </c>
      <c r="H8479" t="s">
        <v>21</v>
      </c>
      <c r="I8479" t="s">
        <v>20</v>
      </c>
      <c r="J8479" t="s">
        <v>20</v>
      </c>
      <c r="K8479" t="s">
        <v>27</v>
      </c>
      <c r="L8479" t="s">
        <v>75</v>
      </c>
      <c r="M8479" t="s">
        <v>58</v>
      </c>
      <c r="N8479">
        <v>38.736387999999998</v>
      </c>
      <c r="O8479">
        <v>-111.915993</v>
      </c>
      <c r="P8479">
        <v>6581.6442120000002</v>
      </c>
      <c r="Q8479">
        <v>1340</v>
      </c>
      <c r="R8479">
        <v>0</v>
      </c>
    </row>
    <row r="8480" spans="1:18" x14ac:dyDescent="0.25">
      <c r="A8480">
        <v>8329</v>
      </c>
      <c r="B8480">
        <v>94</v>
      </c>
      <c r="C8480">
        <v>31418183</v>
      </c>
      <c r="D8480" t="s">
        <v>221</v>
      </c>
      <c r="E8480">
        <v>18.536999999999999</v>
      </c>
      <c r="F8480" t="s">
        <v>21</v>
      </c>
      <c r="G8480" t="s">
        <v>26</v>
      </c>
      <c r="H8480" t="s">
        <v>21</v>
      </c>
      <c r="I8480" t="s">
        <v>20</v>
      </c>
      <c r="J8480" t="s">
        <v>20</v>
      </c>
      <c r="K8480" t="s">
        <v>22</v>
      </c>
      <c r="L8480" t="s">
        <v>155</v>
      </c>
      <c r="M8480" t="s">
        <v>174</v>
      </c>
      <c r="N8480">
        <v>39.403443000000003</v>
      </c>
      <c r="O8480">
        <v>-111.927795</v>
      </c>
      <c r="P8480">
        <v>5300.6840609999999</v>
      </c>
      <c r="Q8480">
        <v>1342</v>
      </c>
      <c r="R8480">
        <v>0</v>
      </c>
    </row>
    <row r="8481" spans="1:18" x14ac:dyDescent="0.25">
      <c r="A8481">
        <v>8330</v>
      </c>
      <c r="B8481">
        <v>94</v>
      </c>
      <c r="C8481">
        <v>31672267</v>
      </c>
      <c r="D8481" t="s">
        <v>217</v>
      </c>
      <c r="E8481">
        <v>18.542999999999999</v>
      </c>
      <c r="F8481" t="s">
        <v>21</v>
      </c>
      <c r="G8481" t="s">
        <v>20</v>
      </c>
      <c r="H8481" t="s">
        <v>21</v>
      </c>
      <c r="I8481" t="s">
        <v>20</v>
      </c>
      <c r="J8481" t="s">
        <v>20</v>
      </c>
      <c r="K8481" t="s">
        <v>27</v>
      </c>
      <c r="L8481" t="s">
        <v>162</v>
      </c>
      <c r="M8481" t="s">
        <v>163</v>
      </c>
      <c r="N8481">
        <v>37.319285000000001</v>
      </c>
      <c r="O8481">
        <v>-113.683279</v>
      </c>
      <c r="P8481">
        <v>4558.7485180000003</v>
      </c>
      <c r="Q8481">
        <v>304</v>
      </c>
      <c r="R8481">
        <v>0</v>
      </c>
    </row>
    <row r="8482" spans="1:18" x14ac:dyDescent="0.25">
      <c r="A8482">
        <v>8331</v>
      </c>
      <c r="B8482">
        <v>94</v>
      </c>
      <c r="C8482" t="s">
        <v>989</v>
      </c>
      <c r="D8482" t="s">
        <v>233</v>
      </c>
      <c r="E8482">
        <v>18.545999999999999</v>
      </c>
      <c r="F8482" t="s">
        <v>21</v>
      </c>
      <c r="G8482" t="s">
        <v>20</v>
      </c>
      <c r="H8482" t="s">
        <v>21</v>
      </c>
      <c r="I8482" t="s">
        <v>20</v>
      </c>
      <c r="J8482" t="s">
        <v>20</v>
      </c>
      <c r="K8482" t="s">
        <v>22</v>
      </c>
      <c r="L8482" t="s">
        <v>234</v>
      </c>
      <c r="M8482" t="s">
        <v>235</v>
      </c>
      <c r="N8482">
        <v>40.170726000000002</v>
      </c>
      <c r="O8482">
        <v>-109.31873899999999</v>
      </c>
      <c r="P8482">
        <v>5429.9870279999996</v>
      </c>
      <c r="Q8482">
        <v>1354</v>
      </c>
      <c r="R8482">
        <v>0</v>
      </c>
    </row>
    <row r="8483" spans="1:18" x14ac:dyDescent="0.25">
      <c r="A8483">
        <v>8332</v>
      </c>
      <c r="B8483">
        <v>94</v>
      </c>
      <c r="C8483">
        <v>1547666</v>
      </c>
      <c r="D8483" t="s">
        <v>88</v>
      </c>
      <c r="E8483">
        <v>18.553999999999998</v>
      </c>
      <c r="F8483" t="s">
        <v>21</v>
      </c>
      <c r="G8483" t="s">
        <v>26</v>
      </c>
      <c r="H8483" t="s">
        <v>21</v>
      </c>
      <c r="I8483" t="s">
        <v>20</v>
      </c>
      <c r="J8483" t="s">
        <v>20</v>
      </c>
      <c r="K8483" t="s">
        <v>31</v>
      </c>
      <c r="L8483" t="s">
        <v>66</v>
      </c>
      <c r="M8483" t="s">
        <v>90</v>
      </c>
      <c r="N8483">
        <v>40.703907000000001</v>
      </c>
      <c r="O8483">
        <v>-111.871212</v>
      </c>
      <c r="P8483">
        <v>4226.0890049999998</v>
      </c>
      <c r="Q8483">
        <v>318</v>
      </c>
      <c r="R8483">
        <v>0</v>
      </c>
    </row>
    <row r="8484" spans="1:18" x14ac:dyDescent="0.25">
      <c r="A8484">
        <v>8333</v>
      </c>
      <c r="B8484">
        <v>94</v>
      </c>
      <c r="C8484">
        <v>31843845</v>
      </c>
      <c r="D8484" t="s">
        <v>118</v>
      </c>
      <c r="E8484">
        <v>144.57400000000001</v>
      </c>
      <c r="F8484" t="s">
        <v>21</v>
      </c>
      <c r="G8484" t="s">
        <v>26</v>
      </c>
      <c r="H8484" t="s">
        <v>21</v>
      </c>
      <c r="I8484" t="s">
        <v>20</v>
      </c>
      <c r="J8484" t="s">
        <v>20</v>
      </c>
      <c r="K8484" t="s">
        <v>22</v>
      </c>
      <c r="L8484" t="s">
        <v>234</v>
      </c>
      <c r="M8484" t="s">
        <v>169</v>
      </c>
      <c r="N8484">
        <v>40.455795999999999</v>
      </c>
      <c r="O8484">
        <v>-109.52302299999999</v>
      </c>
      <c r="P8484">
        <v>5255.0696639999996</v>
      </c>
      <c r="Q8484">
        <v>310</v>
      </c>
      <c r="R8484">
        <v>0</v>
      </c>
    </row>
    <row r="8485" spans="1:18" x14ac:dyDescent="0.25">
      <c r="A8485">
        <v>8334</v>
      </c>
      <c r="B8485">
        <v>94</v>
      </c>
      <c r="C8485">
        <v>31844656</v>
      </c>
      <c r="D8485" t="s">
        <v>118</v>
      </c>
      <c r="E8485">
        <v>144.78200000000001</v>
      </c>
      <c r="F8485" t="s">
        <v>19</v>
      </c>
      <c r="G8485" t="s">
        <v>20</v>
      </c>
      <c r="H8485" t="s">
        <v>21</v>
      </c>
      <c r="I8485" t="s">
        <v>20</v>
      </c>
      <c r="J8485" t="s">
        <v>20</v>
      </c>
      <c r="K8485" t="s">
        <v>22</v>
      </c>
      <c r="L8485" t="s">
        <v>234</v>
      </c>
      <c r="M8485" t="s">
        <v>169</v>
      </c>
      <c r="N8485">
        <v>40.455824999999997</v>
      </c>
      <c r="O8485">
        <v>-109.51906</v>
      </c>
      <c r="P8485">
        <v>5243.987529</v>
      </c>
      <c r="Q8485">
        <v>310</v>
      </c>
      <c r="R8485">
        <v>0</v>
      </c>
    </row>
    <row r="8486" spans="1:18" x14ac:dyDescent="0.25">
      <c r="A8486">
        <v>8335</v>
      </c>
      <c r="B8486">
        <v>94</v>
      </c>
      <c r="C8486">
        <v>31845664</v>
      </c>
      <c r="D8486" t="s">
        <v>118</v>
      </c>
      <c r="E8486">
        <v>145.18199999999999</v>
      </c>
      <c r="F8486" t="s">
        <v>21</v>
      </c>
      <c r="G8486" t="s">
        <v>26</v>
      </c>
      <c r="H8486" t="s">
        <v>21</v>
      </c>
      <c r="I8486" t="s">
        <v>20</v>
      </c>
      <c r="J8486" t="s">
        <v>20</v>
      </c>
      <c r="K8486" t="s">
        <v>22</v>
      </c>
      <c r="L8486" t="s">
        <v>234</v>
      </c>
      <c r="M8486" t="s">
        <v>169</v>
      </c>
      <c r="N8486">
        <v>40.455675999999997</v>
      </c>
      <c r="O8486">
        <v>-109.511476</v>
      </c>
      <c r="P8486">
        <v>5220.7597260000002</v>
      </c>
      <c r="Q8486">
        <v>310</v>
      </c>
      <c r="R8486">
        <v>0</v>
      </c>
    </row>
    <row r="8487" spans="1:18" x14ac:dyDescent="0.25">
      <c r="A8487">
        <v>8336</v>
      </c>
      <c r="B8487">
        <v>94</v>
      </c>
      <c r="C8487">
        <v>31845675</v>
      </c>
      <c r="D8487" t="s">
        <v>118</v>
      </c>
      <c r="E8487">
        <v>145.30600000000001</v>
      </c>
      <c r="F8487" t="s">
        <v>21</v>
      </c>
      <c r="G8487" t="s">
        <v>26</v>
      </c>
      <c r="H8487" t="s">
        <v>21</v>
      </c>
      <c r="I8487" t="s">
        <v>20</v>
      </c>
      <c r="J8487" t="s">
        <v>20</v>
      </c>
      <c r="K8487" t="s">
        <v>22</v>
      </c>
      <c r="L8487" t="s">
        <v>234</v>
      </c>
      <c r="M8487" t="s">
        <v>169</v>
      </c>
      <c r="N8487">
        <v>40.454560999999998</v>
      </c>
      <c r="O8487">
        <v>-109.509614</v>
      </c>
      <c r="P8487">
        <v>5211.6199569999999</v>
      </c>
      <c r="Q8487">
        <v>310</v>
      </c>
      <c r="R8487">
        <v>0</v>
      </c>
    </row>
    <row r="8488" spans="1:18" x14ac:dyDescent="0.25">
      <c r="A8488">
        <v>8337</v>
      </c>
      <c r="B8488">
        <v>94</v>
      </c>
      <c r="C8488">
        <v>31712755</v>
      </c>
      <c r="D8488" t="s">
        <v>118</v>
      </c>
      <c r="E8488">
        <v>16.826000000000001</v>
      </c>
      <c r="F8488" t="s">
        <v>21</v>
      </c>
      <c r="G8488" t="s">
        <v>26</v>
      </c>
      <c r="H8488" t="s">
        <v>21</v>
      </c>
      <c r="I8488" t="s">
        <v>20</v>
      </c>
      <c r="J8488" t="s">
        <v>20</v>
      </c>
      <c r="K8488" t="s">
        <v>22</v>
      </c>
      <c r="L8488" t="s">
        <v>35</v>
      </c>
      <c r="M8488" t="s">
        <v>120</v>
      </c>
      <c r="N8488">
        <v>40.508982000000003</v>
      </c>
      <c r="O8488">
        <v>-111.413454</v>
      </c>
      <c r="P8488">
        <v>5543.6485329999996</v>
      </c>
      <c r="Q8488">
        <v>310</v>
      </c>
      <c r="R8488">
        <v>0</v>
      </c>
    </row>
    <row r="8489" spans="1:18" x14ac:dyDescent="0.25">
      <c r="A8489">
        <v>8338</v>
      </c>
      <c r="B8489">
        <v>94</v>
      </c>
      <c r="C8489">
        <v>1539476</v>
      </c>
      <c r="D8489" t="s">
        <v>88</v>
      </c>
      <c r="E8489">
        <v>16.835000000000001</v>
      </c>
      <c r="F8489" t="s">
        <v>21</v>
      </c>
      <c r="G8489" t="s">
        <v>26</v>
      </c>
      <c r="H8489" t="s">
        <v>21</v>
      </c>
      <c r="I8489" t="s">
        <v>20</v>
      </c>
      <c r="J8489" t="s">
        <v>20</v>
      </c>
      <c r="K8489" t="s">
        <v>31</v>
      </c>
      <c r="L8489" t="s">
        <v>69</v>
      </c>
      <c r="M8489" t="s">
        <v>90</v>
      </c>
      <c r="N8489">
        <v>40.679006999999999</v>
      </c>
      <c r="O8489">
        <v>-111.871436</v>
      </c>
      <c r="P8489">
        <v>4242.5133960000003</v>
      </c>
      <c r="Q8489">
        <v>318</v>
      </c>
      <c r="R8489">
        <v>0</v>
      </c>
    </row>
    <row r="8490" spans="1:18" x14ac:dyDescent="0.25">
      <c r="A8490">
        <v>8339</v>
      </c>
      <c r="B8490">
        <v>94</v>
      </c>
      <c r="C8490">
        <v>31431217</v>
      </c>
      <c r="D8490" t="s">
        <v>345</v>
      </c>
      <c r="E8490">
        <v>16.841999999999999</v>
      </c>
      <c r="F8490" t="s">
        <v>21</v>
      </c>
      <c r="G8490" t="s">
        <v>26</v>
      </c>
      <c r="H8490" t="s">
        <v>21</v>
      </c>
      <c r="I8490" t="s">
        <v>20</v>
      </c>
      <c r="J8490" t="s">
        <v>20</v>
      </c>
      <c r="K8490" t="s">
        <v>27</v>
      </c>
      <c r="L8490" t="s">
        <v>75</v>
      </c>
      <c r="M8490" t="s">
        <v>76</v>
      </c>
      <c r="N8490">
        <v>38.786439000000001</v>
      </c>
      <c r="O8490">
        <v>-112.05244399999999</v>
      </c>
      <c r="P8490">
        <v>5231.832848</v>
      </c>
      <c r="Q8490">
        <v>1403</v>
      </c>
      <c r="R8490">
        <v>0</v>
      </c>
    </row>
    <row r="8491" spans="1:18" x14ac:dyDescent="0.25">
      <c r="A8491">
        <v>8340</v>
      </c>
      <c r="B8491">
        <v>94</v>
      </c>
      <c r="C8491">
        <v>31907383</v>
      </c>
      <c r="D8491" t="s">
        <v>272</v>
      </c>
      <c r="E8491">
        <v>126.733</v>
      </c>
      <c r="F8491" t="s">
        <v>21</v>
      </c>
      <c r="G8491" t="s">
        <v>26</v>
      </c>
      <c r="H8491" t="s">
        <v>21</v>
      </c>
      <c r="I8491" t="s">
        <v>20</v>
      </c>
      <c r="J8491" t="s">
        <v>20</v>
      </c>
      <c r="K8491" t="s">
        <v>27</v>
      </c>
      <c r="L8491" t="s">
        <v>247</v>
      </c>
      <c r="M8491" t="s">
        <v>214</v>
      </c>
      <c r="N8491">
        <v>37.782887000000002</v>
      </c>
      <c r="O8491">
        <v>-112.392782</v>
      </c>
      <c r="P8491">
        <v>6641.624159</v>
      </c>
      <c r="Q8491">
        <v>1384</v>
      </c>
      <c r="R8491">
        <v>0</v>
      </c>
    </row>
    <row r="8492" spans="1:18" x14ac:dyDescent="0.25">
      <c r="A8492">
        <v>8341</v>
      </c>
      <c r="B8492">
        <v>94</v>
      </c>
      <c r="C8492">
        <v>31471689</v>
      </c>
      <c r="D8492" t="s">
        <v>288</v>
      </c>
      <c r="E8492">
        <v>126.81399999999999</v>
      </c>
      <c r="F8492" t="s">
        <v>21</v>
      </c>
      <c r="G8492" t="s">
        <v>26</v>
      </c>
      <c r="H8492" t="s">
        <v>21</v>
      </c>
      <c r="I8492" t="s">
        <v>20</v>
      </c>
      <c r="J8492" t="s">
        <v>20</v>
      </c>
      <c r="K8492" t="s">
        <v>27</v>
      </c>
      <c r="L8492" t="s">
        <v>38</v>
      </c>
      <c r="M8492" t="s">
        <v>152</v>
      </c>
      <c r="N8492">
        <v>38.587024999999997</v>
      </c>
      <c r="O8492">
        <v>-109.55862999999999</v>
      </c>
      <c r="P8492">
        <v>3944.2432659999999</v>
      </c>
      <c r="Q8492">
        <v>350</v>
      </c>
      <c r="R8492">
        <v>0</v>
      </c>
    </row>
    <row r="8493" spans="1:18" x14ac:dyDescent="0.25">
      <c r="A8493">
        <v>8342</v>
      </c>
      <c r="B8493">
        <v>94</v>
      </c>
      <c r="C8493">
        <v>31471700</v>
      </c>
      <c r="D8493" t="s">
        <v>288</v>
      </c>
      <c r="E8493">
        <v>126.982</v>
      </c>
      <c r="F8493" t="s">
        <v>19</v>
      </c>
      <c r="G8493" t="s">
        <v>20</v>
      </c>
      <c r="H8493" t="s">
        <v>21</v>
      </c>
      <c r="I8493" t="s">
        <v>20</v>
      </c>
      <c r="J8493" t="s">
        <v>20</v>
      </c>
      <c r="K8493" t="s">
        <v>27</v>
      </c>
      <c r="L8493" t="s">
        <v>38</v>
      </c>
      <c r="M8493" t="s">
        <v>152</v>
      </c>
      <c r="N8493">
        <v>38.588752999999997</v>
      </c>
      <c r="O8493">
        <v>-109.560829</v>
      </c>
      <c r="P8493">
        <v>3934.5074220000001</v>
      </c>
      <c r="Q8493">
        <v>350</v>
      </c>
      <c r="R8493">
        <v>0</v>
      </c>
    </row>
    <row r="8494" spans="1:18" x14ac:dyDescent="0.25">
      <c r="A8494">
        <v>8343</v>
      </c>
      <c r="B8494">
        <v>94</v>
      </c>
      <c r="C8494" t="e">
        <f>-IoIQNBCFaigkPCDrWlwHk</f>
        <v>#NAME?</v>
      </c>
      <c r="D8494" t="s">
        <v>272</v>
      </c>
      <c r="E8494">
        <v>178.958</v>
      </c>
      <c r="F8494" t="s">
        <v>21</v>
      </c>
      <c r="G8494" t="s">
        <v>26</v>
      </c>
      <c r="H8494" t="s">
        <v>21</v>
      </c>
      <c r="I8494" t="s">
        <v>20</v>
      </c>
      <c r="J8494" t="s">
        <v>20</v>
      </c>
      <c r="K8494" t="s">
        <v>27</v>
      </c>
      <c r="L8494" t="s">
        <v>64</v>
      </c>
      <c r="M8494" t="s">
        <v>214</v>
      </c>
      <c r="N8494">
        <v>38.447940000000003</v>
      </c>
      <c r="O8494">
        <v>-112.230248</v>
      </c>
      <c r="P8494">
        <v>5811.3076170000004</v>
      </c>
      <c r="Q8494">
        <v>1384</v>
      </c>
      <c r="R8494">
        <v>0</v>
      </c>
    </row>
    <row r="8495" spans="1:18" x14ac:dyDescent="0.25">
      <c r="A8495">
        <v>8344</v>
      </c>
      <c r="B8495">
        <v>94</v>
      </c>
      <c r="C8495" t="e">
        <f>-IoIQiLmI1LP0sjWKtgpxk</f>
        <v>#NAME?</v>
      </c>
      <c r="D8495" t="s">
        <v>272</v>
      </c>
      <c r="E8495">
        <v>179.05799999999999</v>
      </c>
      <c r="F8495" t="s">
        <v>21</v>
      </c>
      <c r="G8495" t="s">
        <v>26</v>
      </c>
      <c r="H8495" t="s">
        <v>21</v>
      </c>
      <c r="I8495" t="s">
        <v>20</v>
      </c>
      <c r="J8495" t="s">
        <v>20</v>
      </c>
      <c r="K8495" t="s">
        <v>27</v>
      </c>
      <c r="L8495" t="s">
        <v>64</v>
      </c>
      <c r="M8495" t="s">
        <v>214</v>
      </c>
      <c r="N8495">
        <v>38.449390999999999</v>
      </c>
      <c r="O8495">
        <v>-112.230361</v>
      </c>
      <c r="P8495">
        <v>5802.8010279999999</v>
      </c>
      <c r="Q8495">
        <v>1384</v>
      </c>
      <c r="R8495">
        <v>0</v>
      </c>
    </row>
    <row r="8496" spans="1:18" x14ac:dyDescent="0.25">
      <c r="A8496">
        <v>8345</v>
      </c>
      <c r="B8496">
        <v>94</v>
      </c>
      <c r="C8496" t="e">
        <f>-IoIQy-FHEeuQuzOuragRV</f>
        <v>#NAME?</v>
      </c>
      <c r="D8496" t="s">
        <v>272</v>
      </c>
      <c r="E8496">
        <v>179.12100000000001</v>
      </c>
      <c r="F8496" t="s">
        <v>21</v>
      </c>
      <c r="G8496" t="s">
        <v>26</v>
      </c>
      <c r="H8496" t="s">
        <v>21</v>
      </c>
      <c r="I8496" t="s">
        <v>20</v>
      </c>
      <c r="J8496" t="s">
        <v>20</v>
      </c>
      <c r="K8496" t="s">
        <v>27</v>
      </c>
      <c r="L8496" t="s">
        <v>64</v>
      </c>
      <c r="M8496" t="s">
        <v>214</v>
      </c>
      <c r="N8496">
        <v>38.450288</v>
      </c>
      <c r="O8496">
        <v>-112.23043</v>
      </c>
      <c r="P8496">
        <v>5796.7826249999998</v>
      </c>
      <c r="Q8496">
        <v>1384</v>
      </c>
      <c r="R8496">
        <v>0</v>
      </c>
    </row>
    <row r="8497" spans="1:18" x14ac:dyDescent="0.25">
      <c r="A8497">
        <v>8346</v>
      </c>
      <c r="B8497">
        <v>94</v>
      </c>
      <c r="C8497" t="s">
        <v>990</v>
      </c>
      <c r="D8497" t="s">
        <v>272</v>
      </c>
      <c r="E8497">
        <v>179.18299999999999</v>
      </c>
      <c r="F8497" t="s">
        <v>21</v>
      </c>
      <c r="G8497" t="s">
        <v>26</v>
      </c>
      <c r="H8497" t="s">
        <v>21</v>
      </c>
      <c r="I8497" t="s">
        <v>20</v>
      </c>
      <c r="J8497" t="s">
        <v>20</v>
      </c>
      <c r="K8497" t="s">
        <v>27</v>
      </c>
      <c r="L8497" t="s">
        <v>64</v>
      </c>
      <c r="M8497" t="s">
        <v>214</v>
      </c>
      <c r="N8497">
        <v>38.451197000000001</v>
      </c>
      <c r="O8497">
        <v>-112.230503</v>
      </c>
      <c r="P8497">
        <v>5790.8759819999996</v>
      </c>
      <c r="Q8497">
        <v>1384</v>
      </c>
      <c r="R8497">
        <v>0</v>
      </c>
    </row>
    <row r="8498" spans="1:18" x14ac:dyDescent="0.25">
      <c r="A8498">
        <v>8347</v>
      </c>
      <c r="B8498">
        <v>94</v>
      </c>
      <c r="C8498" t="e">
        <f>-IoIRO6TH0PoK8hw3SAdYk</f>
        <v>#NAME?</v>
      </c>
      <c r="D8498" t="s">
        <v>272</v>
      </c>
      <c r="E8498">
        <v>179.24700000000001</v>
      </c>
      <c r="F8498" t="s">
        <v>21</v>
      </c>
      <c r="G8498" t="s">
        <v>26</v>
      </c>
      <c r="H8498" t="s">
        <v>21</v>
      </c>
      <c r="I8498" t="s">
        <v>20</v>
      </c>
      <c r="J8498" t="s">
        <v>20</v>
      </c>
      <c r="K8498" t="s">
        <v>27</v>
      </c>
      <c r="L8498" t="s">
        <v>64</v>
      </c>
      <c r="M8498" t="s">
        <v>214</v>
      </c>
      <c r="N8498">
        <v>38.452122000000003</v>
      </c>
      <c r="O8498">
        <v>-112.230574</v>
      </c>
      <c r="P8498">
        <v>5786.0173679999998</v>
      </c>
      <c r="Q8498">
        <v>1384</v>
      </c>
      <c r="R8498">
        <v>0</v>
      </c>
    </row>
    <row r="8499" spans="1:18" x14ac:dyDescent="0.25">
      <c r="A8499">
        <v>8348</v>
      </c>
      <c r="B8499">
        <v>94</v>
      </c>
      <c r="C8499" t="e">
        <f>-IoIReCEFdaPwujfsW6yjk</f>
        <v>#NAME?</v>
      </c>
      <c r="D8499" t="s">
        <v>272</v>
      </c>
      <c r="E8499">
        <v>179.30500000000001</v>
      </c>
      <c r="F8499" t="s">
        <v>21</v>
      </c>
      <c r="G8499" t="s">
        <v>26</v>
      </c>
      <c r="H8499" t="s">
        <v>21</v>
      </c>
      <c r="I8499" t="s">
        <v>20</v>
      </c>
      <c r="J8499" t="s">
        <v>20</v>
      </c>
      <c r="K8499" t="s">
        <v>27</v>
      </c>
      <c r="L8499" t="s">
        <v>64</v>
      </c>
      <c r="M8499" t="s">
        <v>214</v>
      </c>
      <c r="N8499">
        <v>38.452955000000003</v>
      </c>
      <c r="O8499">
        <v>-112.230637</v>
      </c>
      <c r="P8499">
        <v>5787.3092779999997</v>
      </c>
      <c r="Q8499">
        <v>1384</v>
      </c>
      <c r="R8499">
        <v>0</v>
      </c>
    </row>
    <row r="8500" spans="1:18" x14ac:dyDescent="0.25">
      <c r="A8500">
        <v>8349</v>
      </c>
      <c r="B8500">
        <v>94</v>
      </c>
      <c r="C8500" t="s">
        <v>991</v>
      </c>
      <c r="D8500" t="s">
        <v>272</v>
      </c>
      <c r="E8500">
        <v>179.565</v>
      </c>
      <c r="F8500" t="s">
        <v>21</v>
      </c>
      <c r="G8500" t="s">
        <v>26</v>
      </c>
      <c r="H8500" t="s">
        <v>21</v>
      </c>
      <c r="I8500" t="s">
        <v>20</v>
      </c>
      <c r="J8500" t="s">
        <v>20</v>
      </c>
      <c r="K8500" t="s">
        <v>27</v>
      </c>
      <c r="L8500" t="s">
        <v>64</v>
      </c>
      <c r="M8500" t="s">
        <v>214</v>
      </c>
      <c r="N8500">
        <v>38.456710999999999</v>
      </c>
      <c r="O8500">
        <v>-112.231014</v>
      </c>
      <c r="P8500">
        <v>5837.1360050000003</v>
      </c>
      <c r="Q8500">
        <v>1384</v>
      </c>
      <c r="R8500">
        <v>0</v>
      </c>
    </row>
    <row r="8501" spans="1:18" x14ac:dyDescent="0.25">
      <c r="A8501">
        <v>8350</v>
      </c>
      <c r="B8501">
        <v>94</v>
      </c>
      <c r="C8501" t="e">
        <f>-IoISl6TF7DnY_mzqGEkgV</f>
        <v>#NAME?</v>
      </c>
      <c r="D8501" t="s">
        <v>272</v>
      </c>
      <c r="E8501">
        <v>179.857</v>
      </c>
      <c r="F8501" t="s">
        <v>21</v>
      </c>
      <c r="G8501" t="s">
        <v>26</v>
      </c>
      <c r="H8501" t="s">
        <v>21</v>
      </c>
      <c r="I8501" t="s">
        <v>20</v>
      </c>
      <c r="J8501" t="s">
        <v>20</v>
      </c>
      <c r="K8501" t="s">
        <v>27</v>
      </c>
      <c r="L8501" t="s">
        <v>64</v>
      </c>
      <c r="M8501" t="s">
        <v>214</v>
      </c>
      <c r="N8501">
        <v>38.460813000000002</v>
      </c>
      <c r="O8501">
        <v>-112.23235099999999</v>
      </c>
      <c r="P8501">
        <v>5848.5507440000001</v>
      </c>
      <c r="Q8501">
        <v>1384</v>
      </c>
      <c r="R8501">
        <v>0</v>
      </c>
    </row>
    <row r="8502" spans="1:18" x14ac:dyDescent="0.25">
      <c r="A8502">
        <v>8351</v>
      </c>
      <c r="B8502">
        <v>94</v>
      </c>
      <c r="C8502">
        <v>31504910</v>
      </c>
      <c r="D8502" t="s">
        <v>224</v>
      </c>
      <c r="E8502">
        <v>14.129</v>
      </c>
      <c r="F8502" t="s">
        <v>21</v>
      </c>
      <c r="G8502" t="s">
        <v>26</v>
      </c>
      <c r="H8502" t="s">
        <v>21</v>
      </c>
      <c r="I8502" t="s">
        <v>20</v>
      </c>
      <c r="J8502" t="s">
        <v>20</v>
      </c>
      <c r="K8502" t="s">
        <v>22</v>
      </c>
      <c r="L8502" t="s">
        <v>140</v>
      </c>
      <c r="M8502" t="s">
        <v>194</v>
      </c>
      <c r="N8502">
        <v>40.098100000000002</v>
      </c>
      <c r="O8502">
        <v>-111.623485</v>
      </c>
      <c r="P8502">
        <v>4674.118125</v>
      </c>
      <c r="Q8502">
        <v>408</v>
      </c>
      <c r="R8502">
        <v>0</v>
      </c>
    </row>
    <row r="8503" spans="1:18" x14ac:dyDescent="0.25">
      <c r="A8503">
        <v>8352</v>
      </c>
      <c r="B8503">
        <v>94</v>
      </c>
      <c r="C8503">
        <v>31521262</v>
      </c>
      <c r="D8503" t="s">
        <v>309</v>
      </c>
      <c r="E8503">
        <v>14.151999999999999</v>
      </c>
      <c r="F8503" t="s">
        <v>21</v>
      </c>
      <c r="G8503" t="s">
        <v>26</v>
      </c>
      <c r="H8503" t="s">
        <v>21</v>
      </c>
      <c r="I8503" t="s">
        <v>20</v>
      </c>
      <c r="J8503" t="s">
        <v>20</v>
      </c>
      <c r="K8503" t="s">
        <v>22</v>
      </c>
      <c r="L8503" t="s">
        <v>140</v>
      </c>
      <c r="M8503" t="s">
        <v>125</v>
      </c>
      <c r="N8503">
        <v>40.115439000000002</v>
      </c>
      <c r="O8503">
        <v>-111.616529</v>
      </c>
      <c r="P8503">
        <v>4666.3349410000001</v>
      </c>
      <c r="Q8503">
        <v>339</v>
      </c>
      <c r="R8503">
        <v>0</v>
      </c>
    </row>
    <row r="8504" spans="1:18" x14ac:dyDescent="0.25">
      <c r="A8504">
        <v>8353</v>
      </c>
      <c r="B8504">
        <v>94</v>
      </c>
      <c r="C8504">
        <v>31587329</v>
      </c>
      <c r="D8504" t="s">
        <v>213</v>
      </c>
      <c r="E8504">
        <v>155.93899999999999</v>
      </c>
      <c r="F8504" t="s">
        <v>21</v>
      </c>
      <c r="G8504" t="s">
        <v>26</v>
      </c>
      <c r="H8504" t="s">
        <v>19</v>
      </c>
      <c r="I8504">
        <v>141</v>
      </c>
      <c r="J8504" t="s">
        <v>20</v>
      </c>
      <c r="K8504" t="s">
        <v>22</v>
      </c>
      <c r="L8504" t="s">
        <v>198</v>
      </c>
      <c r="M8504" t="s">
        <v>214</v>
      </c>
      <c r="N8504">
        <v>39.973125000000003</v>
      </c>
      <c r="O8504">
        <v>-111.84972500000001</v>
      </c>
      <c r="P8504">
        <v>4526.5526499999996</v>
      </c>
      <c r="Q8504">
        <v>1332</v>
      </c>
      <c r="R8504">
        <v>0</v>
      </c>
    </row>
    <row r="8505" spans="1:18" x14ac:dyDescent="0.25">
      <c r="A8505">
        <v>8354</v>
      </c>
      <c r="B8505">
        <v>94</v>
      </c>
      <c r="C8505">
        <v>31501548</v>
      </c>
      <c r="D8505" t="s">
        <v>224</v>
      </c>
      <c r="E8505">
        <v>12.521000000000001</v>
      </c>
      <c r="F8505" t="s">
        <v>21</v>
      </c>
      <c r="G8505" t="s">
        <v>26</v>
      </c>
      <c r="H8505" t="s">
        <v>21</v>
      </c>
      <c r="I8505" t="s">
        <v>20</v>
      </c>
      <c r="J8505" t="s">
        <v>20</v>
      </c>
      <c r="K8505" t="s">
        <v>22</v>
      </c>
      <c r="L8505" t="s">
        <v>140</v>
      </c>
      <c r="M8505" t="s">
        <v>194</v>
      </c>
      <c r="N8505">
        <v>40.105842000000003</v>
      </c>
      <c r="O8505">
        <v>-111.651411</v>
      </c>
      <c r="P8505">
        <v>4540.1825060000001</v>
      </c>
      <c r="Q8505">
        <v>408</v>
      </c>
      <c r="R8505">
        <v>0</v>
      </c>
    </row>
    <row r="8506" spans="1:18" x14ac:dyDescent="0.25">
      <c r="A8506">
        <v>8355</v>
      </c>
      <c r="B8506">
        <v>94</v>
      </c>
      <c r="C8506">
        <v>31270667</v>
      </c>
      <c r="D8506" t="s">
        <v>241</v>
      </c>
      <c r="E8506">
        <v>12.523</v>
      </c>
      <c r="F8506" t="s">
        <v>21</v>
      </c>
      <c r="G8506" t="s">
        <v>26</v>
      </c>
      <c r="H8506" t="s">
        <v>21</v>
      </c>
      <c r="I8506" t="s">
        <v>20</v>
      </c>
      <c r="J8506" t="s">
        <v>20</v>
      </c>
      <c r="K8506" t="s">
        <v>27</v>
      </c>
      <c r="L8506" t="s">
        <v>242</v>
      </c>
      <c r="M8506" t="s">
        <v>243</v>
      </c>
      <c r="N8506">
        <v>38.923147</v>
      </c>
      <c r="O8506">
        <v>-111.25048700000001</v>
      </c>
      <c r="P8506">
        <v>6197.510182</v>
      </c>
      <c r="Q8506">
        <v>1327</v>
      </c>
      <c r="R8506">
        <v>0</v>
      </c>
    </row>
    <row r="8507" spans="1:18" x14ac:dyDescent="0.25">
      <c r="A8507">
        <v>8356</v>
      </c>
      <c r="B8507">
        <v>94</v>
      </c>
      <c r="C8507">
        <v>1110740</v>
      </c>
      <c r="D8507" t="s">
        <v>171</v>
      </c>
      <c r="E8507">
        <v>12.532</v>
      </c>
      <c r="F8507" t="s">
        <v>19</v>
      </c>
      <c r="G8507" t="s">
        <v>20</v>
      </c>
      <c r="H8507" t="s">
        <v>21</v>
      </c>
      <c r="I8507" t="s">
        <v>20</v>
      </c>
      <c r="J8507" t="s">
        <v>20</v>
      </c>
      <c r="K8507" t="s">
        <v>31</v>
      </c>
      <c r="L8507" t="s">
        <v>188</v>
      </c>
      <c r="M8507" t="s">
        <v>79</v>
      </c>
      <c r="N8507">
        <v>40.699916000000002</v>
      </c>
      <c r="O8507">
        <v>-111.85404800000001</v>
      </c>
      <c r="P8507">
        <v>4338.1996010000003</v>
      </c>
      <c r="Q8507">
        <v>346</v>
      </c>
      <c r="R8507">
        <v>0</v>
      </c>
    </row>
    <row r="8508" spans="1:18" x14ac:dyDescent="0.25">
      <c r="A8508">
        <v>8357</v>
      </c>
      <c r="B8508">
        <v>94</v>
      </c>
      <c r="C8508">
        <v>28357663</v>
      </c>
      <c r="D8508" t="s">
        <v>323</v>
      </c>
      <c r="E8508">
        <v>12.542</v>
      </c>
      <c r="F8508" t="s">
        <v>21</v>
      </c>
      <c r="G8508" t="s">
        <v>26</v>
      </c>
      <c r="H8508" t="s">
        <v>21</v>
      </c>
      <c r="I8508" t="s">
        <v>20</v>
      </c>
      <c r="J8508" t="s">
        <v>20</v>
      </c>
      <c r="K8508" t="s">
        <v>31</v>
      </c>
      <c r="L8508" t="s">
        <v>130</v>
      </c>
      <c r="M8508" t="s">
        <v>131</v>
      </c>
      <c r="N8508">
        <v>40.641513000000003</v>
      </c>
      <c r="O8508">
        <v>-111.28077500000001</v>
      </c>
      <c r="P8508">
        <v>6435.4807430000001</v>
      </c>
      <c r="Q8508">
        <v>1345</v>
      </c>
      <c r="R8508">
        <v>0</v>
      </c>
    </row>
    <row r="8509" spans="1:18" x14ac:dyDescent="0.25">
      <c r="A8509">
        <v>8358</v>
      </c>
      <c r="B8509">
        <v>94</v>
      </c>
      <c r="C8509">
        <v>1525836</v>
      </c>
      <c r="D8509" t="s">
        <v>88</v>
      </c>
      <c r="E8509">
        <v>12.545999999999999</v>
      </c>
      <c r="F8509" t="s">
        <v>19</v>
      </c>
      <c r="G8509" t="s">
        <v>20</v>
      </c>
      <c r="H8509" t="s">
        <v>21</v>
      </c>
      <c r="I8509" t="s">
        <v>20</v>
      </c>
      <c r="J8509" t="s">
        <v>20</v>
      </c>
      <c r="K8509" t="s">
        <v>31</v>
      </c>
      <c r="L8509" t="s">
        <v>32</v>
      </c>
      <c r="M8509" t="s">
        <v>90</v>
      </c>
      <c r="N8509">
        <v>40.620055000000001</v>
      </c>
      <c r="O8509">
        <v>-111.865977</v>
      </c>
      <c r="P8509">
        <v>4398.3754929999996</v>
      </c>
      <c r="Q8509">
        <v>318</v>
      </c>
      <c r="R8509">
        <v>0</v>
      </c>
    </row>
    <row r="8510" spans="1:18" x14ac:dyDescent="0.25">
      <c r="A8510">
        <v>8359</v>
      </c>
      <c r="B8510">
        <v>94</v>
      </c>
      <c r="C8510">
        <v>31415945</v>
      </c>
      <c r="D8510" t="s">
        <v>221</v>
      </c>
      <c r="E8510">
        <v>12.561</v>
      </c>
      <c r="F8510" t="s">
        <v>21</v>
      </c>
      <c r="G8510" t="s">
        <v>26</v>
      </c>
      <c r="H8510" t="s">
        <v>21</v>
      </c>
      <c r="I8510" t="s">
        <v>20</v>
      </c>
      <c r="J8510" t="s">
        <v>20</v>
      </c>
      <c r="K8510" t="s">
        <v>27</v>
      </c>
      <c r="L8510" t="s">
        <v>350</v>
      </c>
      <c r="M8510" t="s">
        <v>174</v>
      </c>
      <c r="N8510">
        <v>39.321170000000002</v>
      </c>
      <c r="O8510">
        <v>-111.907709</v>
      </c>
      <c r="P8510">
        <v>5090.5894760000001</v>
      </c>
      <c r="Q8510">
        <v>1342</v>
      </c>
      <c r="R8510">
        <v>0</v>
      </c>
    </row>
    <row r="8511" spans="1:18" x14ac:dyDescent="0.25">
      <c r="A8511">
        <v>8360</v>
      </c>
      <c r="B8511">
        <v>94</v>
      </c>
      <c r="C8511">
        <v>31639579</v>
      </c>
      <c r="D8511" t="s">
        <v>233</v>
      </c>
      <c r="E8511">
        <v>12.561999999999999</v>
      </c>
      <c r="F8511" t="s">
        <v>21</v>
      </c>
      <c r="G8511" t="s">
        <v>20</v>
      </c>
      <c r="H8511" t="s">
        <v>21</v>
      </c>
      <c r="I8511" t="s">
        <v>20</v>
      </c>
      <c r="J8511" t="s">
        <v>20</v>
      </c>
      <c r="K8511" t="s">
        <v>22</v>
      </c>
      <c r="L8511" t="s">
        <v>234</v>
      </c>
      <c r="M8511" t="s">
        <v>235</v>
      </c>
      <c r="N8511">
        <v>40.113526999999998</v>
      </c>
      <c r="O8511">
        <v>-109.239093</v>
      </c>
      <c r="P8511">
        <v>5062.0536990000001</v>
      </c>
      <c r="Q8511">
        <v>1354</v>
      </c>
      <c r="R8511">
        <v>0</v>
      </c>
    </row>
    <row r="8512" spans="1:18" x14ac:dyDescent="0.25">
      <c r="A8512">
        <v>8361</v>
      </c>
      <c r="B8512">
        <v>94</v>
      </c>
      <c r="C8512">
        <v>27719529</v>
      </c>
      <c r="D8512" t="s">
        <v>217</v>
      </c>
      <c r="E8512">
        <v>27.504000000000001</v>
      </c>
      <c r="F8512" t="s">
        <v>21</v>
      </c>
      <c r="G8512" t="s">
        <v>26</v>
      </c>
      <c r="H8512" t="s">
        <v>21</v>
      </c>
      <c r="I8512" t="s">
        <v>20</v>
      </c>
      <c r="J8512" t="s">
        <v>20</v>
      </c>
      <c r="K8512" t="s">
        <v>27</v>
      </c>
      <c r="L8512" t="s">
        <v>162</v>
      </c>
      <c r="M8512" t="s">
        <v>163</v>
      </c>
      <c r="N8512">
        <v>37.427202999999999</v>
      </c>
      <c r="O8512">
        <v>-113.62932600000001</v>
      </c>
      <c r="P8512">
        <v>5217.0707789999997</v>
      </c>
      <c r="Q8512">
        <v>304</v>
      </c>
      <c r="R8512">
        <v>0</v>
      </c>
    </row>
    <row r="8513" spans="1:18" x14ac:dyDescent="0.25">
      <c r="A8513">
        <v>8362</v>
      </c>
      <c r="B8513">
        <v>94</v>
      </c>
      <c r="C8513">
        <v>31470834</v>
      </c>
      <c r="D8513" t="s">
        <v>303</v>
      </c>
      <c r="E8513">
        <v>27.504000000000001</v>
      </c>
      <c r="F8513" t="s">
        <v>21</v>
      </c>
      <c r="G8513" t="s">
        <v>26</v>
      </c>
      <c r="H8513" t="s">
        <v>21</v>
      </c>
      <c r="I8513" t="s">
        <v>20</v>
      </c>
      <c r="J8513" t="s">
        <v>20</v>
      </c>
      <c r="K8513" t="s">
        <v>27</v>
      </c>
      <c r="L8513" t="s">
        <v>72</v>
      </c>
      <c r="M8513" t="s">
        <v>73</v>
      </c>
      <c r="N8513">
        <v>37.160919</v>
      </c>
      <c r="O8513">
        <v>-113.048556</v>
      </c>
      <c r="P8513">
        <v>3652.1949100000002</v>
      </c>
      <c r="Q8513">
        <v>1326</v>
      </c>
      <c r="R8513">
        <v>0</v>
      </c>
    </row>
    <row r="8514" spans="1:18" x14ac:dyDescent="0.25">
      <c r="A8514">
        <v>8363</v>
      </c>
      <c r="B8514">
        <v>94</v>
      </c>
      <c r="C8514">
        <v>31387203</v>
      </c>
      <c r="D8514" t="s">
        <v>369</v>
      </c>
      <c r="E8514">
        <v>0.48399999999999999</v>
      </c>
      <c r="F8514" t="s">
        <v>21</v>
      </c>
      <c r="G8514" t="s">
        <v>26</v>
      </c>
      <c r="H8514" t="s">
        <v>21</v>
      </c>
      <c r="I8514" t="s">
        <v>20</v>
      </c>
      <c r="J8514" t="s">
        <v>20</v>
      </c>
      <c r="K8514" t="s">
        <v>22</v>
      </c>
      <c r="L8514" t="s">
        <v>198</v>
      </c>
      <c r="M8514" t="s">
        <v>76</v>
      </c>
      <c r="N8514">
        <v>40.031342000000002</v>
      </c>
      <c r="O8514">
        <v>-111.749505</v>
      </c>
      <c r="P8514">
        <v>4592.8263580000003</v>
      </c>
      <c r="Q8514">
        <v>347</v>
      </c>
      <c r="R8514">
        <v>0</v>
      </c>
    </row>
    <row r="8515" spans="1:18" x14ac:dyDescent="0.25">
      <c r="A8515">
        <v>8364</v>
      </c>
      <c r="B8515">
        <v>94</v>
      </c>
      <c r="C8515">
        <v>979988</v>
      </c>
      <c r="D8515" t="s">
        <v>397</v>
      </c>
      <c r="E8515">
        <v>0.48599999999999999</v>
      </c>
      <c r="F8515" t="s">
        <v>21</v>
      </c>
      <c r="G8515" t="s">
        <v>26</v>
      </c>
      <c r="H8515" t="s">
        <v>21</v>
      </c>
      <c r="I8515" t="s">
        <v>20</v>
      </c>
      <c r="J8515" t="s">
        <v>20</v>
      </c>
      <c r="K8515" t="s">
        <v>41</v>
      </c>
      <c r="L8515" t="s">
        <v>177</v>
      </c>
      <c r="M8515" t="s">
        <v>163</v>
      </c>
      <c r="N8515">
        <v>41.505961999999997</v>
      </c>
      <c r="O8515">
        <v>-112.00638600000001</v>
      </c>
      <c r="P8515">
        <v>4460.1405290000002</v>
      </c>
      <c r="Q8515">
        <v>1385</v>
      </c>
      <c r="R8515">
        <v>0</v>
      </c>
    </row>
    <row r="8516" spans="1:18" x14ac:dyDescent="0.25">
      <c r="A8516">
        <v>8365</v>
      </c>
      <c r="B8516">
        <v>94</v>
      </c>
      <c r="C8516">
        <v>1370234</v>
      </c>
      <c r="D8516" t="s">
        <v>437</v>
      </c>
      <c r="E8516">
        <v>0.48599999999999999</v>
      </c>
      <c r="F8516" t="s">
        <v>21</v>
      </c>
      <c r="G8516" t="s">
        <v>26</v>
      </c>
      <c r="H8516" t="s">
        <v>21</v>
      </c>
      <c r="I8516" t="s">
        <v>20</v>
      </c>
      <c r="J8516" t="s">
        <v>20</v>
      </c>
      <c r="K8516" t="s">
        <v>41</v>
      </c>
      <c r="L8516" t="s">
        <v>223</v>
      </c>
      <c r="M8516" t="s">
        <v>43</v>
      </c>
      <c r="N8516">
        <v>41.792589999999997</v>
      </c>
      <c r="O8516">
        <v>-112.125317</v>
      </c>
      <c r="P8516">
        <v>4307.9414360000001</v>
      </c>
      <c r="Q8516">
        <v>1378</v>
      </c>
      <c r="R8516">
        <v>0</v>
      </c>
    </row>
    <row r="8517" spans="1:18" x14ac:dyDescent="0.25">
      <c r="A8517">
        <v>8366</v>
      </c>
      <c r="B8517">
        <v>94</v>
      </c>
      <c r="C8517">
        <v>31368858</v>
      </c>
      <c r="D8517" t="s">
        <v>345</v>
      </c>
      <c r="E8517">
        <v>0.48599999999999999</v>
      </c>
      <c r="F8517" t="s">
        <v>21</v>
      </c>
      <c r="G8517" t="s">
        <v>26</v>
      </c>
      <c r="H8517" t="s">
        <v>21</v>
      </c>
      <c r="I8517" t="s">
        <v>20</v>
      </c>
      <c r="J8517" t="s">
        <v>20</v>
      </c>
      <c r="K8517" t="s">
        <v>27</v>
      </c>
      <c r="L8517" t="s">
        <v>75</v>
      </c>
      <c r="M8517" t="s">
        <v>76</v>
      </c>
      <c r="N8517">
        <v>38.624231000000002</v>
      </c>
      <c r="O8517">
        <v>-112.21834200000001</v>
      </c>
      <c r="P8517">
        <v>5377.1328229999999</v>
      </c>
      <c r="Q8517">
        <v>1403</v>
      </c>
      <c r="R8517">
        <v>0</v>
      </c>
    </row>
    <row r="8518" spans="1:18" x14ac:dyDescent="0.25">
      <c r="A8518">
        <v>8367</v>
      </c>
      <c r="B8518">
        <v>94</v>
      </c>
      <c r="C8518" t="e">
        <f>-JMzz7LAH1uhZjwQTDmN_F</f>
        <v>#NAME?</v>
      </c>
      <c r="D8518" t="s">
        <v>184</v>
      </c>
      <c r="E8518">
        <v>0.48599999999999999</v>
      </c>
      <c r="F8518" t="s">
        <v>21</v>
      </c>
      <c r="G8518" t="s">
        <v>26</v>
      </c>
      <c r="H8518" t="s">
        <v>21</v>
      </c>
      <c r="I8518" t="s">
        <v>20</v>
      </c>
      <c r="J8518" t="s">
        <v>20</v>
      </c>
      <c r="K8518" t="s">
        <v>27</v>
      </c>
      <c r="L8518" t="s">
        <v>54</v>
      </c>
      <c r="M8518" t="s">
        <v>55</v>
      </c>
      <c r="N8518">
        <v>37.656823000000003</v>
      </c>
      <c r="O8518">
        <v>-113.076228</v>
      </c>
      <c r="P8518">
        <v>5918.0749269999997</v>
      </c>
      <c r="Q8518">
        <v>1410</v>
      </c>
      <c r="R8518">
        <v>0</v>
      </c>
    </row>
    <row r="8519" spans="1:18" x14ac:dyDescent="0.25">
      <c r="A8519">
        <v>8368</v>
      </c>
      <c r="B8519">
        <v>94</v>
      </c>
      <c r="C8519">
        <v>31319382</v>
      </c>
      <c r="D8519" t="s">
        <v>333</v>
      </c>
      <c r="E8519">
        <v>0.48699999999999999</v>
      </c>
      <c r="F8519" t="s">
        <v>19</v>
      </c>
      <c r="G8519" t="s">
        <v>20</v>
      </c>
      <c r="H8519" t="s">
        <v>19</v>
      </c>
      <c r="I8519">
        <v>15</v>
      </c>
      <c r="J8519" t="s">
        <v>20</v>
      </c>
      <c r="K8519" t="s">
        <v>31</v>
      </c>
      <c r="L8519" t="s">
        <v>89</v>
      </c>
      <c r="M8519" t="s">
        <v>49</v>
      </c>
      <c r="N8519">
        <v>40.504373999999999</v>
      </c>
      <c r="O8519">
        <v>-111.891116</v>
      </c>
      <c r="P8519">
        <v>4401.4781810000004</v>
      </c>
      <c r="Q8519">
        <v>1426</v>
      </c>
      <c r="R8519">
        <v>0</v>
      </c>
    </row>
    <row r="8520" spans="1:18" x14ac:dyDescent="0.25">
      <c r="A8520">
        <v>8369</v>
      </c>
      <c r="B8520">
        <v>94</v>
      </c>
      <c r="C8520">
        <v>31643017</v>
      </c>
      <c r="D8520" t="s">
        <v>519</v>
      </c>
      <c r="E8520">
        <v>0.48799999999999999</v>
      </c>
      <c r="F8520" t="s">
        <v>21</v>
      </c>
      <c r="G8520" t="s">
        <v>26</v>
      </c>
      <c r="H8520" t="s">
        <v>21</v>
      </c>
      <c r="I8520" t="s">
        <v>20</v>
      </c>
      <c r="J8520" t="s">
        <v>20</v>
      </c>
      <c r="K8520" t="s">
        <v>27</v>
      </c>
      <c r="L8520" t="s">
        <v>158</v>
      </c>
      <c r="M8520" t="s">
        <v>159</v>
      </c>
      <c r="N8520">
        <v>39.652565000000003</v>
      </c>
      <c r="O8520">
        <v>-110.85556800000001</v>
      </c>
      <c r="P8520">
        <v>5655.2541389999997</v>
      </c>
      <c r="Q8520">
        <v>1415</v>
      </c>
      <c r="R8520">
        <v>0</v>
      </c>
    </row>
    <row r="8521" spans="1:18" x14ac:dyDescent="0.25">
      <c r="A8521">
        <v>8370</v>
      </c>
      <c r="B8521">
        <v>94</v>
      </c>
      <c r="C8521">
        <v>31366236</v>
      </c>
      <c r="D8521" t="s">
        <v>229</v>
      </c>
      <c r="E8521">
        <v>0.49099999999999999</v>
      </c>
      <c r="F8521" t="s">
        <v>21</v>
      </c>
      <c r="G8521" t="s">
        <v>26</v>
      </c>
      <c r="H8521" t="s">
        <v>21</v>
      </c>
      <c r="I8521" t="s">
        <v>20</v>
      </c>
      <c r="J8521" t="s">
        <v>20</v>
      </c>
      <c r="K8521" t="s">
        <v>27</v>
      </c>
      <c r="L8521" t="s">
        <v>230</v>
      </c>
      <c r="M8521" t="s">
        <v>82</v>
      </c>
      <c r="N8521">
        <v>39.484050000000003</v>
      </c>
      <c r="O8521">
        <v>-111.63509000000001</v>
      </c>
      <c r="P8521">
        <v>5576.1860349999997</v>
      </c>
      <c r="Q8521">
        <v>331</v>
      </c>
      <c r="R8521">
        <v>0</v>
      </c>
    </row>
    <row r="8522" spans="1:18" x14ac:dyDescent="0.25">
      <c r="A8522">
        <v>8371</v>
      </c>
      <c r="B8522">
        <v>94</v>
      </c>
      <c r="C8522">
        <v>31503489</v>
      </c>
      <c r="D8522" t="s">
        <v>25</v>
      </c>
      <c r="E8522">
        <v>0.49099999999999999</v>
      </c>
      <c r="F8522" t="s">
        <v>21</v>
      </c>
      <c r="G8522" t="s">
        <v>20</v>
      </c>
      <c r="H8522" t="s">
        <v>21</v>
      </c>
      <c r="I8522" t="s">
        <v>20</v>
      </c>
      <c r="J8522" t="s">
        <v>20</v>
      </c>
      <c r="K8522" t="s">
        <v>27</v>
      </c>
      <c r="L8522" t="s">
        <v>28</v>
      </c>
      <c r="M8522" t="s">
        <v>29</v>
      </c>
      <c r="N8522">
        <v>37.661997</v>
      </c>
      <c r="O8522">
        <v>-112.160134</v>
      </c>
      <c r="P8522">
        <v>7661.1517940000003</v>
      </c>
      <c r="Q8522">
        <v>316</v>
      </c>
      <c r="R8522">
        <v>0</v>
      </c>
    </row>
    <row r="8523" spans="1:18" x14ac:dyDescent="0.25">
      <c r="A8523">
        <v>8372</v>
      </c>
      <c r="B8523">
        <v>94</v>
      </c>
      <c r="C8523">
        <v>31633481</v>
      </c>
      <c r="D8523" t="s">
        <v>260</v>
      </c>
      <c r="E8523">
        <v>0.49399999999999999</v>
      </c>
      <c r="F8523" t="s">
        <v>21</v>
      </c>
      <c r="G8523" t="s">
        <v>26</v>
      </c>
      <c r="H8523" t="s">
        <v>21</v>
      </c>
      <c r="I8523" t="s">
        <v>20</v>
      </c>
      <c r="J8523" t="s">
        <v>20</v>
      </c>
      <c r="K8523" t="s">
        <v>41</v>
      </c>
      <c r="L8523" t="s">
        <v>81</v>
      </c>
      <c r="M8523" t="s">
        <v>46</v>
      </c>
      <c r="N8523">
        <v>41.223080000000003</v>
      </c>
      <c r="O8523">
        <v>-111.998498</v>
      </c>
      <c r="P8523">
        <v>4270.7333769999996</v>
      </c>
      <c r="Q8523">
        <v>1358</v>
      </c>
      <c r="R8523">
        <v>0</v>
      </c>
    </row>
    <row r="8524" spans="1:18" x14ac:dyDescent="0.25">
      <c r="A8524">
        <v>8373</v>
      </c>
      <c r="B8524">
        <v>94</v>
      </c>
      <c r="C8524">
        <v>31474821</v>
      </c>
      <c r="D8524" t="s">
        <v>244</v>
      </c>
      <c r="E8524">
        <v>0.49399999999999999</v>
      </c>
      <c r="F8524" t="s">
        <v>21</v>
      </c>
      <c r="G8524" t="s">
        <v>26</v>
      </c>
      <c r="H8524" t="s">
        <v>21</v>
      </c>
      <c r="I8524" t="s">
        <v>20</v>
      </c>
      <c r="J8524" t="s">
        <v>20</v>
      </c>
      <c r="K8524" t="s">
        <v>27</v>
      </c>
      <c r="L8524" t="s">
        <v>183</v>
      </c>
      <c r="M8524" t="s">
        <v>58</v>
      </c>
      <c r="N8524">
        <v>38.949818999999998</v>
      </c>
      <c r="O8524">
        <v>-111.878266</v>
      </c>
      <c r="P8524">
        <v>5080.3817490000001</v>
      </c>
      <c r="Q8524">
        <v>1340</v>
      </c>
      <c r="R8524">
        <v>0</v>
      </c>
    </row>
    <row r="8525" spans="1:18" x14ac:dyDescent="0.25">
      <c r="A8525">
        <v>8374</v>
      </c>
      <c r="B8525">
        <v>94</v>
      </c>
      <c r="C8525">
        <v>1366838</v>
      </c>
      <c r="D8525" t="s">
        <v>100</v>
      </c>
      <c r="E8525">
        <v>0.49399999999999999</v>
      </c>
      <c r="F8525" t="s">
        <v>19</v>
      </c>
      <c r="G8525" t="s">
        <v>20</v>
      </c>
      <c r="H8525" t="s">
        <v>21</v>
      </c>
      <c r="I8525" t="s">
        <v>20</v>
      </c>
      <c r="J8525" t="s">
        <v>20</v>
      </c>
      <c r="K8525" t="s">
        <v>41</v>
      </c>
      <c r="L8525" t="s">
        <v>57</v>
      </c>
      <c r="M8525" t="s">
        <v>46</v>
      </c>
      <c r="N8525">
        <v>41.089202999999998</v>
      </c>
      <c r="O8525">
        <v>-111.99732</v>
      </c>
      <c r="P8525">
        <v>4418.4566070000001</v>
      </c>
      <c r="Q8525">
        <v>1396</v>
      </c>
      <c r="R8525">
        <v>0</v>
      </c>
    </row>
    <row r="8526" spans="1:18" x14ac:dyDescent="0.25">
      <c r="A8526">
        <v>8375</v>
      </c>
      <c r="B8526">
        <v>94</v>
      </c>
      <c r="C8526">
        <v>31835112</v>
      </c>
      <c r="D8526" t="s">
        <v>161</v>
      </c>
      <c r="E8526">
        <v>0.495</v>
      </c>
      <c r="F8526" t="s">
        <v>21</v>
      </c>
      <c r="G8526" t="s">
        <v>26</v>
      </c>
      <c r="H8526" t="s">
        <v>21</v>
      </c>
      <c r="I8526" t="s">
        <v>20</v>
      </c>
      <c r="J8526" t="s">
        <v>20</v>
      </c>
      <c r="K8526" t="s">
        <v>27</v>
      </c>
      <c r="L8526" t="s">
        <v>162</v>
      </c>
      <c r="M8526" t="s">
        <v>163</v>
      </c>
      <c r="N8526">
        <v>37.573484000000001</v>
      </c>
      <c r="O8526">
        <v>-113.725954</v>
      </c>
      <c r="P8526">
        <v>5247.215048</v>
      </c>
      <c r="Q8526">
        <v>419</v>
      </c>
      <c r="R8526">
        <v>0</v>
      </c>
    </row>
    <row r="8527" spans="1:18" x14ac:dyDescent="0.25">
      <c r="A8527">
        <v>8376</v>
      </c>
      <c r="B8527">
        <v>94</v>
      </c>
      <c r="C8527">
        <v>31597719</v>
      </c>
      <c r="D8527" t="s">
        <v>232</v>
      </c>
      <c r="E8527">
        <v>0.495</v>
      </c>
      <c r="F8527" t="s">
        <v>19</v>
      </c>
      <c r="G8527" t="s">
        <v>20</v>
      </c>
      <c r="H8527" t="s">
        <v>21</v>
      </c>
      <c r="I8527" t="s">
        <v>20</v>
      </c>
      <c r="J8527" t="s">
        <v>20</v>
      </c>
      <c r="K8527" t="s">
        <v>31</v>
      </c>
      <c r="L8527" t="s">
        <v>209</v>
      </c>
      <c r="M8527" t="s">
        <v>131</v>
      </c>
      <c r="N8527">
        <v>40.662987000000001</v>
      </c>
      <c r="O8527">
        <v>-111.500902</v>
      </c>
      <c r="P8527">
        <v>6744.7909609999997</v>
      </c>
      <c r="Q8527">
        <v>1279</v>
      </c>
      <c r="R8527">
        <v>0</v>
      </c>
    </row>
    <row r="8528" spans="1:18" x14ac:dyDescent="0.25">
      <c r="A8528">
        <v>8377</v>
      </c>
      <c r="B8528">
        <v>94</v>
      </c>
      <c r="C8528">
        <v>31288819</v>
      </c>
      <c r="D8528" t="s">
        <v>315</v>
      </c>
      <c r="E8528">
        <v>0.88</v>
      </c>
      <c r="F8528" t="s">
        <v>21</v>
      </c>
      <c r="G8528" t="s">
        <v>26</v>
      </c>
      <c r="H8528" t="s">
        <v>21</v>
      </c>
      <c r="I8528" t="s">
        <v>20</v>
      </c>
      <c r="J8528" t="s">
        <v>20</v>
      </c>
      <c r="K8528" t="s">
        <v>27</v>
      </c>
      <c r="L8528" t="s">
        <v>111</v>
      </c>
      <c r="M8528" t="s">
        <v>243</v>
      </c>
      <c r="N8528">
        <v>39.306714999999997</v>
      </c>
      <c r="O8528">
        <v>-111.28876</v>
      </c>
      <c r="P8528">
        <v>6993.6694230000003</v>
      </c>
      <c r="Q8528">
        <v>307</v>
      </c>
      <c r="R8528">
        <v>0</v>
      </c>
    </row>
    <row r="8529" spans="1:18" x14ac:dyDescent="0.25">
      <c r="A8529">
        <v>8378</v>
      </c>
      <c r="B8529">
        <v>94</v>
      </c>
      <c r="C8529">
        <v>965125</v>
      </c>
      <c r="D8529" t="s">
        <v>175</v>
      </c>
      <c r="E8529">
        <v>0.88100000000000001</v>
      </c>
      <c r="F8529" t="s">
        <v>21</v>
      </c>
      <c r="G8529" t="s">
        <v>26</v>
      </c>
      <c r="H8529" t="s">
        <v>21</v>
      </c>
      <c r="I8529" t="s">
        <v>20</v>
      </c>
      <c r="J8529" t="s">
        <v>20</v>
      </c>
      <c r="K8529" t="s">
        <v>41</v>
      </c>
      <c r="L8529" t="s">
        <v>87</v>
      </c>
      <c r="M8529" t="s">
        <v>93</v>
      </c>
      <c r="N8529">
        <v>41.060451</v>
      </c>
      <c r="O8529">
        <v>-111.94932799999999</v>
      </c>
      <c r="P8529">
        <v>4328.8851260000001</v>
      </c>
      <c r="Q8529">
        <v>1397</v>
      </c>
      <c r="R8529">
        <v>0</v>
      </c>
    </row>
    <row r="8530" spans="1:18" x14ac:dyDescent="0.25">
      <c r="A8530">
        <v>8379</v>
      </c>
      <c r="B8530">
        <v>94</v>
      </c>
      <c r="C8530" t="s">
        <v>992</v>
      </c>
      <c r="D8530" t="s">
        <v>220</v>
      </c>
      <c r="E8530">
        <v>0.88300000000000001</v>
      </c>
      <c r="F8530" t="s">
        <v>21</v>
      </c>
      <c r="G8530" t="s">
        <v>20</v>
      </c>
      <c r="H8530" t="s">
        <v>21</v>
      </c>
      <c r="I8530" t="s">
        <v>20</v>
      </c>
      <c r="J8530" t="s">
        <v>20</v>
      </c>
      <c r="K8530" t="s">
        <v>27</v>
      </c>
      <c r="L8530" t="s">
        <v>247</v>
      </c>
      <c r="M8530" t="s">
        <v>29</v>
      </c>
      <c r="N8530">
        <v>37.748564000000002</v>
      </c>
      <c r="O8530">
        <v>-112.360716</v>
      </c>
      <c r="P8530">
        <v>6776.1688370000002</v>
      </c>
      <c r="Q8530">
        <v>1328</v>
      </c>
      <c r="R8530">
        <v>0</v>
      </c>
    </row>
    <row r="8531" spans="1:18" x14ac:dyDescent="0.25">
      <c r="A8531">
        <v>8380</v>
      </c>
      <c r="B8531">
        <v>94</v>
      </c>
      <c r="C8531">
        <v>31658082</v>
      </c>
      <c r="D8531" t="s">
        <v>156</v>
      </c>
      <c r="E8531">
        <v>0.88300000000000001</v>
      </c>
      <c r="F8531" t="s">
        <v>21</v>
      </c>
      <c r="G8531" t="s">
        <v>26</v>
      </c>
      <c r="H8531" t="s">
        <v>21</v>
      </c>
      <c r="I8531" t="s">
        <v>20</v>
      </c>
      <c r="J8531" t="s">
        <v>20</v>
      </c>
      <c r="K8531" t="s">
        <v>41</v>
      </c>
      <c r="L8531" t="s">
        <v>81</v>
      </c>
      <c r="M8531" t="s">
        <v>93</v>
      </c>
      <c r="N8531">
        <v>41.272132999999997</v>
      </c>
      <c r="O8531">
        <v>-111.969376</v>
      </c>
      <c r="P8531">
        <v>4260.411975</v>
      </c>
      <c r="Q8531">
        <v>424</v>
      </c>
      <c r="R8531">
        <v>0</v>
      </c>
    </row>
    <row r="8532" spans="1:18" x14ac:dyDescent="0.25">
      <c r="A8532">
        <v>8381</v>
      </c>
      <c r="B8532">
        <v>94</v>
      </c>
      <c r="C8532">
        <v>1123600</v>
      </c>
      <c r="D8532" t="s">
        <v>56</v>
      </c>
      <c r="E8532">
        <v>0</v>
      </c>
      <c r="F8532" t="s">
        <v>21</v>
      </c>
      <c r="G8532" t="s">
        <v>26</v>
      </c>
      <c r="H8532" t="s">
        <v>19</v>
      </c>
      <c r="I8532">
        <v>37</v>
      </c>
      <c r="J8532" t="s">
        <v>20</v>
      </c>
      <c r="K8532" t="s">
        <v>41</v>
      </c>
      <c r="L8532" t="s">
        <v>57</v>
      </c>
      <c r="M8532" t="s">
        <v>58</v>
      </c>
      <c r="N8532">
        <v>41.163919999999997</v>
      </c>
      <c r="O8532">
        <v>-112.122783</v>
      </c>
      <c r="P8532">
        <v>4185.2541030000002</v>
      </c>
      <c r="Q8532">
        <v>1459</v>
      </c>
      <c r="R8532">
        <v>0</v>
      </c>
    </row>
    <row r="8533" spans="1:18" x14ac:dyDescent="0.25">
      <c r="A8533">
        <v>8382</v>
      </c>
      <c r="B8533">
        <v>94</v>
      </c>
      <c r="C8533">
        <v>31370862</v>
      </c>
      <c r="D8533" t="s">
        <v>698</v>
      </c>
      <c r="E8533">
        <v>0</v>
      </c>
      <c r="F8533" t="s">
        <v>21</v>
      </c>
      <c r="G8533" t="s">
        <v>26</v>
      </c>
      <c r="H8533" t="s">
        <v>19</v>
      </c>
      <c r="I8533">
        <v>24</v>
      </c>
      <c r="J8533" t="s">
        <v>20</v>
      </c>
      <c r="K8533" t="s">
        <v>27</v>
      </c>
      <c r="L8533" t="s">
        <v>266</v>
      </c>
      <c r="M8533" t="s">
        <v>58</v>
      </c>
      <c r="N8533">
        <v>38.472304999999999</v>
      </c>
      <c r="O8533">
        <v>-111.83311</v>
      </c>
      <c r="P8533">
        <v>8153.4850999999999</v>
      </c>
      <c r="Q8533">
        <v>306</v>
      </c>
      <c r="R8533">
        <v>0</v>
      </c>
    </row>
    <row r="8534" spans="1:18" x14ac:dyDescent="0.25">
      <c r="A8534">
        <v>8383</v>
      </c>
      <c r="B8534">
        <v>94</v>
      </c>
      <c r="C8534" t="e">
        <f>-JMR1HXDIOTCtq8m2gIqXV</f>
        <v>#NAME?</v>
      </c>
      <c r="D8534" t="s">
        <v>187</v>
      </c>
      <c r="E8534">
        <v>0.16</v>
      </c>
      <c r="F8534" t="s">
        <v>21</v>
      </c>
      <c r="G8534" t="s">
        <v>26</v>
      </c>
      <c r="H8534" t="s">
        <v>21</v>
      </c>
      <c r="I8534" t="s">
        <v>20</v>
      </c>
      <c r="J8534" t="s">
        <v>20</v>
      </c>
      <c r="K8534" t="s">
        <v>31</v>
      </c>
      <c r="L8534" t="s">
        <v>188</v>
      </c>
      <c r="M8534" t="s">
        <v>90</v>
      </c>
      <c r="N8534">
        <v>40.760612999999999</v>
      </c>
      <c r="O8534">
        <v>-111.85083400000001</v>
      </c>
      <c r="P8534">
        <v>4575.8433349999996</v>
      </c>
      <c r="Q8534">
        <v>435</v>
      </c>
      <c r="R8534">
        <v>0</v>
      </c>
    </row>
    <row r="8535" spans="1:18" x14ac:dyDescent="0.25">
      <c r="A8535">
        <v>8384</v>
      </c>
      <c r="B8535">
        <v>94</v>
      </c>
      <c r="C8535">
        <v>31266687</v>
      </c>
      <c r="D8535" t="s">
        <v>278</v>
      </c>
      <c r="E8535">
        <v>0.18</v>
      </c>
      <c r="F8535" t="s">
        <v>21</v>
      </c>
      <c r="G8535" t="s">
        <v>26</v>
      </c>
      <c r="H8535" t="s">
        <v>21</v>
      </c>
      <c r="I8535" t="s">
        <v>20</v>
      </c>
      <c r="J8535" t="s">
        <v>20</v>
      </c>
      <c r="K8535" t="s">
        <v>27</v>
      </c>
      <c r="L8535" t="s">
        <v>501</v>
      </c>
      <c r="M8535" t="s">
        <v>280</v>
      </c>
      <c r="N8535">
        <v>37.677384000000004</v>
      </c>
      <c r="O8535">
        <v>-113.058333</v>
      </c>
      <c r="P8535">
        <v>5789.0654569999997</v>
      </c>
      <c r="Q8535">
        <v>1330</v>
      </c>
      <c r="R8535">
        <v>0</v>
      </c>
    </row>
    <row r="8536" spans="1:18" x14ac:dyDescent="0.25">
      <c r="A8536">
        <v>8385</v>
      </c>
      <c r="B8536">
        <v>94</v>
      </c>
      <c r="C8536" t="e">
        <f>-IoI7Jb0GMiBO4wfTwfD5k</f>
        <v>#NAME?</v>
      </c>
      <c r="D8536" t="s">
        <v>408</v>
      </c>
      <c r="E8536">
        <v>0.18</v>
      </c>
      <c r="F8536" t="s">
        <v>21</v>
      </c>
      <c r="G8536" t="s">
        <v>26</v>
      </c>
      <c r="H8536" t="s">
        <v>21</v>
      </c>
      <c r="I8536" t="s">
        <v>20</v>
      </c>
      <c r="J8536" t="s">
        <v>20</v>
      </c>
      <c r="K8536" t="s">
        <v>27</v>
      </c>
      <c r="L8536" t="s">
        <v>75</v>
      </c>
      <c r="M8536" t="s">
        <v>366</v>
      </c>
      <c r="N8536">
        <v>38.682957000000002</v>
      </c>
      <c r="O8536">
        <v>-112.153991</v>
      </c>
      <c r="P8536">
        <v>5283.8124660000003</v>
      </c>
      <c r="Q8536">
        <v>428</v>
      </c>
      <c r="R8536">
        <v>0</v>
      </c>
    </row>
    <row r="8537" spans="1:18" x14ac:dyDescent="0.25">
      <c r="A8537">
        <v>8386</v>
      </c>
      <c r="B8537">
        <v>94</v>
      </c>
      <c r="C8537">
        <v>1252615</v>
      </c>
      <c r="D8537" t="s">
        <v>128</v>
      </c>
      <c r="E8537">
        <v>0.18099999999999999</v>
      </c>
      <c r="F8537" t="s">
        <v>21</v>
      </c>
      <c r="G8537" t="s">
        <v>26</v>
      </c>
      <c r="H8537" t="s">
        <v>21</v>
      </c>
      <c r="I8537" t="s">
        <v>20</v>
      </c>
      <c r="J8537" t="s">
        <v>20</v>
      </c>
      <c r="K8537" t="s">
        <v>41</v>
      </c>
      <c r="L8537" t="s">
        <v>42</v>
      </c>
      <c r="M8537" t="s">
        <v>73</v>
      </c>
      <c r="N8537">
        <v>41.700158000000002</v>
      </c>
      <c r="O8537">
        <v>-111.860359</v>
      </c>
      <c r="P8537">
        <v>4426.5745500000003</v>
      </c>
      <c r="Q8537">
        <v>5943</v>
      </c>
      <c r="R8537">
        <v>0</v>
      </c>
    </row>
    <row r="8538" spans="1:18" x14ac:dyDescent="0.25">
      <c r="A8538">
        <v>8387</v>
      </c>
      <c r="B8538">
        <v>94</v>
      </c>
      <c r="C8538">
        <v>998522</v>
      </c>
      <c r="D8538" t="s">
        <v>604</v>
      </c>
      <c r="E8538">
        <v>0.182</v>
      </c>
      <c r="F8538" t="s">
        <v>21</v>
      </c>
      <c r="G8538" t="s">
        <v>26</v>
      </c>
      <c r="H8538" t="s">
        <v>21</v>
      </c>
      <c r="I8538" t="s">
        <v>20</v>
      </c>
      <c r="J8538" t="s">
        <v>20</v>
      </c>
      <c r="K8538" t="s">
        <v>41</v>
      </c>
      <c r="L8538" t="s">
        <v>45</v>
      </c>
      <c r="M8538" t="s">
        <v>46</v>
      </c>
      <c r="N8538">
        <v>40.921522000000003</v>
      </c>
      <c r="O8538">
        <v>-111.89689799999999</v>
      </c>
      <c r="P8538">
        <v>4169.6776989999998</v>
      </c>
      <c r="Q8538">
        <v>1394</v>
      </c>
      <c r="R8538">
        <v>0</v>
      </c>
    </row>
    <row r="8539" spans="1:18" x14ac:dyDescent="0.25">
      <c r="A8539">
        <v>8388</v>
      </c>
      <c r="B8539">
        <v>94</v>
      </c>
      <c r="C8539" t="e">
        <f>-JQEpm21Fl9WPW4qP1VaSk</f>
        <v>#NAME?</v>
      </c>
      <c r="D8539" t="s">
        <v>993</v>
      </c>
      <c r="E8539">
        <v>0.182</v>
      </c>
      <c r="F8539" t="s">
        <v>21</v>
      </c>
      <c r="G8539" t="s">
        <v>26</v>
      </c>
      <c r="H8539" t="s">
        <v>21</v>
      </c>
      <c r="I8539" t="s">
        <v>20</v>
      </c>
      <c r="J8539" t="s">
        <v>20</v>
      </c>
      <c r="K8539" t="s">
        <v>27</v>
      </c>
      <c r="L8539" t="s">
        <v>103</v>
      </c>
      <c r="M8539" t="s">
        <v>125</v>
      </c>
      <c r="N8539">
        <v>38.129556999999998</v>
      </c>
      <c r="O8539">
        <v>-112.62613399999999</v>
      </c>
      <c r="P8539">
        <v>6210.3249980000001</v>
      </c>
      <c r="Q8539">
        <v>1333</v>
      </c>
      <c r="R8539">
        <v>0</v>
      </c>
    </row>
    <row r="8540" spans="1:18" x14ac:dyDescent="0.25">
      <c r="A8540">
        <v>8389</v>
      </c>
      <c r="B8540">
        <v>94</v>
      </c>
      <c r="C8540">
        <v>31533707</v>
      </c>
      <c r="D8540" t="s">
        <v>53</v>
      </c>
      <c r="E8540">
        <v>0.183</v>
      </c>
      <c r="F8540" t="s">
        <v>21</v>
      </c>
      <c r="G8540" t="s">
        <v>26</v>
      </c>
      <c r="H8540" t="s">
        <v>21</v>
      </c>
      <c r="I8540" t="s">
        <v>20</v>
      </c>
      <c r="J8540" t="s">
        <v>20</v>
      </c>
      <c r="K8540" t="s">
        <v>27</v>
      </c>
      <c r="L8540" t="s">
        <v>54</v>
      </c>
      <c r="M8540" t="s">
        <v>55</v>
      </c>
      <c r="N8540">
        <v>37.67736</v>
      </c>
      <c r="O8540">
        <v>-113.065192</v>
      </c>
      <c r="P8540">
        <v>5760.3379949999999</v>
      </c>
      <c r="Q8540">
        <v>1285</v>
      </c>
      <c r="R8540">
        <v>0</v>
      </c>
    </row>
    <row r="8541" spans="1:18" x14ac:dyDescent="0.25">
      <c r="A8541">
        <v>8390</v>
      </c>
      <c r="B8541">
        <v>94</v>
      </c>
      <c r="C8541">
        <v>27076834</v>
      </c>
      <c r="D8541" t="s">
        <v>351</v>
      </c>
      <c r="E8541">
        <v>0.183</v>
      </c>
      <c r="F8541" t="s">
        <v>21</v>
      </c>
      <c r="G8541" t="s">
        <v>26</v>
      </c>
      <c r="H8541" t="s">
        <v>21</v>
      </c>
      <c r="I8541" t="s">
        <v>20</v>
      </c>
      <c r="J8541" t="s">
        <v>20</v>
      </c>
      <c r="K8541" t="s">
        <v>22</v>
      </c>
      <c r="L8541" t="s">
        <v>140</v>
      </c>
      <c r="M8541" t="s">
        <v>125</v>
      </c>
      <c r="N8541">
        <v>40.117559</v>
      </c>
      <c r="O8541">
        <v>-111.63395199999999</v>
      </c>
      <c r="P8541">
        <v>4577.3546770000003</v>
      </c>
      <c r="Q8541">
        <v>1357</v>
      </c>
      <c r="R8541">
        <v>0</v>
      </c>
    </row>
    <row r="8542" spans="1:18" x14ac:dyDescent="0.25">
      <c r="A8542">
        <v>8391</v>
      </c>
      <c r="B8542">
        <v>94</v>
      </c>
      <c r="C8542">
        <v>1002356</v>
      </c>
      <c r="D8542" t="s">
        <v>171</v>
      </c>
      <c r="E8542">
        <v>0.186</v>
      </c>
      <c r="F8542" t="s">
        <v>21</v>
      </c>
      <c r="G8542" t="s">
        <v>26</v>
      </c>
      <c r="H8542" t="s">
        <v>21</v>
      </c>
      <c r="I8542" t="s">
        <v>20</v>
      </c>
      <c r="J8542" t="s">
        <v>20</v>
      </c>
      <c r="K8542" t="s">
        <v>31</v>
      </c>
      <c r="L8542" t="s">
        <v>78</v>
      </c>
      <c r="M8542" t="s">
        <v>79</v>
      </c>
      <c r="N8542">
        <v>40.696489</v>
      </c>
      <c r="O8542">
        <v>-112.088285</v>
      </c>
      <c r="P8542">
        <v>4352.5004939999999</v>
      </c>
      <c r="Q8542">
        <v>346</v>
      </c>
      <c r="R8542">
        <v>0</v>
      </c>
    </row>
    <row r="8543" spans="1:18" x14ac:dyDescent="0.25">
      <c r="A8543">
        <v>8392</v>
      </c>
      <c r="B8543">
        <v>94</v>
      </c>
      <c r="C8543">
        <v>31463405</v>
      </c>
      <c r="D8543" t="s">
        <v>710</v>
      </c>
      <c r="E8543">
        <v>0.186</v>
      </c>
      <c r="F8543" t="s">
        <v>21</v>
      </c>
      <c r="G8543" t="s">
        <v>26</v>
      </c>
      <c r="H8543" t="s">
        <v>21</v>
      </c>
      <c r="I8543" t="s">
        <v>20</v>
      </c>
      <c r="J8543" t="s">
        <v>20</v>
      </c>
      <c r="K8543" t="s">
        <v>22</v>
      </c>
      <c r="L8543" t="s">
        <v>35</v>
      </c>
      <c r="M8543" t="s">
        <v>169</v>
      </c>
      <c r="N8543">
        <v>40.626092</v>
      </c>
      <c r="O8543">
        <v>-111.438766</v>
      </c>
      <c r="P8543">
        <v>6377.4036420000002</v>
      </c>
      <c r="Q8543">
        <v>369</v>
      </c>
      <c r="R8543">
        <v>0</v>
      </c>
    </row>
    <row r="8544" spans="1:18" x14ac:dyDescent="0.25">
      <c r="A8544">
        <v>8393</v>
      </c>
      <c r="B8544">
        <v>94</v>
      </c>
      <c r="C8544" t="s">
        <v>994</v>
      </c>
      <c r="D8544" t="s">
        <v>995</v>
      </c>
      <c r="E8544">
        <v>0.187</v>
      </c>
      <c r="F8544" t="s">
        <v>21</v>
      </c>
      <c r="G8544" t="s">
        <v>26</v>
      </c>
      <c r="H8544" t="s">
        <v>21</v>
      </c>
      <c r="I8544" t="s">
        <v>20</v>
      </c>
      <c r="J8544" t="s">
        <v>20</v>
      </c>
      <c r="K8544" t="s">
        <v>41</v>
      </c>
      <c r="L8544" t="s">
        <v>223</v>
      </c>
      <c r="M8544" t="s">
        <v>43</v>
      </c>
      <c r="N8544">
        <v>41.976815999999999</v>
      </c>
      <c r="O8544">
        <v>-112.190842</v>
      </c>
      <c r="P8544">
        <v>4401.7928430000002</v>
      </c>
      <c r="Q8544">
        <v>6661</v>
      </c>
      <c r="R8544">
        <v>0</v>
      </c>
    </row>
    <row r="8545" spans="1:18" x14ac:dyDescent="0.25">
      <c r="A8545">
        <v>8394</v>
      </c>
      <c r="B8545">
        <v>94</v>
      </c>
      <c r="C8545">
        <v>27579824</v>
      </c>
      <c r="D8545" t="s">
        <v>201</v>
      </c>
      <c r="E8545">
        <v>0.188</v>
      </c>
      <c r="F8545" t="s">
        <v>21</v>
      </c>
      <c r="G8545" t="s">
        <v>26</v>
      </c>
      <c r="H8545" t="s">
        <v>21</v>
      </c>
      <c r="I8545" t="s">
        <v>20</v>
      </c>
      <c r="J8545" t="s">
        <v>20</v>
      </c>
      <c r="K8545" t="s">
        <v>27</v>
      </c>
      <c r="L8545" t="s">
        <v>202</v>
      </c>
      <c r="M8545" t="s">
        <v>104</v>
      </c>
      <c r="N8545">
        <v>39.083646000000002</v>
      </c>
      <c r="O8545">
        <v>-112.278305</v>
      </c>
      <c r="P8545">
        <v>5058.9381389999999</v>
      </c>
      <c r="Q8545">
        <v>1366</v>
      </c>
      <c r="R8545">
        <v>0</v>
      </c>
    </row>
    <row r="8546" spans="1:18" x14ac:dyDescent="0.25">
      <c r="A8546">
        <v>8395</v>
      </c>
      <c r="B8546">
        <v>94</v>
      </c>
      <c r="C8546">
        <v>31367685</v>
      </c>
      <c r="D8546" t="s">
        <v>199</v>
      </c>
      <c r="E8546">
        <v>0.188</v>
      </c>
      <c r="F8546" t="s">
        <v>21</v>
      </c>
      <c r="G8546" t="s">
        <v>26</v>
      </c>
      <c r="H8546" t="s">
        <v>21</v>
      </c>
      <c r="I8546" t="s">
        <v>20</v>
      </c>
      <c r="J8546" t="s">
        <v>20</v>
      </c>
      <c r="K8546" t="s">
        <v>27</v>
      </c>
      <c r="L8546" t="s">
        <v>103</v>
      </c>
      <c r="M8546" t="s">
        <v>200</v>
      </c>
      <c r="N8546">
        <v>38.276930999999998</v>
      </c>
      <c r="O8546">
        <v>-112.637834</v>
      </c>
      <c r="P8546">
        <v>5848.1136900000001</v>
      </c>
      <c r="Q8546">
        <v>341</v>
      </c>
      <c r="R8546">
        <v>0</v>
      </c>
    </row>
    <row r="8547" spans="1:18" x14ac:dyDescent="0.25">
      <c r="A8547">
        <v>8396</v>
      </c>
      <c r="B8547">
        <v>94</v>
      </c>
      <c r="C8547">
        <v>31366203</v>
      </c>
      <c r="D8547" t="s">
        <v>229</v>
      </c>
      <c r="E8547">
        <v>0.189</v>
      </c>
      <c r="F8547" t="s">
        <v>21</v>
      </c>
      <c r="G8547" t="s">
        <v>26</v>
      </c>
      <c r="H8547" t="s">
        <v>21</v>
      </c>
      <c r="I8547" t="s">
        <v>20</v>
      </c>
      <c r="J8547" t="s">
        <v>20</v>
      </c>
      <c r="K8547" t="s">
        <v>27</v>
      </c>
      <c r="L8547" t="s">
        <v>230</v>
      </c>
      <c r="M8547" t="s">
        <v>82</v>
      </c>
      <c r="N8547">
        <v>39.488359000000003</v>
      </c>
      <c r="O8547">
        <v>-111.635212</v>
      </c>
      <c r="P8547">
        <v>5562.0912010000002</v>
      </c>
      <c r="Q8547">
        <v>331</v>
      </c>
      <c r="R8547">
        <v>0</v>
      </c>
    </row>
    <row r="8548" spans="1:18" x14ac:dyDescent="0.25">
      <c r="A8548">
        <v>8397</v>
      </c>
      <c r="B8548">
        <v>94</v>
      </c>
      <c r="C8548">
        <v>31760892</v>
      </c>
      <c r="D8548" t="s">
        <v>86</v>
      </c>
      <c r="E8548">
        <v>0.19</v>
      </c>
      <c r="F8548" t="s">
        <v>21</v>
      </c>
      <c r="G8548" t="s">
        <v>26</v>
      </c>
      <c r="H8548" t="s">
        <v>21</v>
      </c>
      <c r="I8548" t="s">
        <v>20</v>
      </c>
      <c r="J8548" t="s">
        <v>20</v>
      </c>
      <c r="K8548" t="s">
        <v>41</v>
      </c>
      <c r="L8548" t="s">
        <v>87</v>
      </c>
      <c r="M8548" t="s">
        <v>58</v>
      </c>
      <c r="N8548">
        <v>41.012811999999997</v>
      </c>
      <c r="O8548">
        <v>-111.914101</v>
      </c>
      <c r="P8548">
        <v>4336.7240060000004</v>
      </c>
      <c r="Q8548">
        <v>258</v>
      </c>
      <c r="R8548">
        <v>0</v>
      </c>
    </row>
    <row r="8549" spans="1:18" x14ac:dyDescent="0.25">
      <c r="A8549">
        <v>8398</v>
      </c>
      <c r="B8549">
        <v>94</v>
      </c>
      <c r="C8549">
        <v>31485758</v>
      </c>
      <c r="D8549" t="s">
        <v>164</v>
      </c>
      <c r="E8549">
        <v>0.19</v>
      </c>
      <c r="F8549" t="s">
        <v>21</v>
      </c>
      <c r="G8549" t="s">
        <v>26</v>
      </c>
      <c r="H8549" t="s">
        <v>21</v>
      </c>
      <c r="I8549" t="s">
        <v>20</v>
      </c>
      <c r="J8549" t="s">
        <v>20</v>
      </c>
      <c r="K8549" t="s">
        <v>27</v>
      </c>
      <c r="L8549" t="s">
        <v>165</v>
      </c>
      <c r="M8549" t="s">
        <v>166</v>
      </c>
      <c r="N8549">
        <v>38.948177999999999</v>
      </c>
      <c r="O8549">
        <v>-112.34796900000001</v>
      </c>
      <c r="P8549">
        <v>4971.2999799999998</v>
      </c>
      <c r="Q8549">
        <v>1390</v>
      </c>
      <c r="R8549">
        <v>0</v>
      </c>
    </row>
    <row r="8550" spans="1:18" x14ac:dyDescent="0.25">
      <c r="A8550">
        <v>8399</v>
      </c>
      <c r="B8550">
        <v>94</v>
      </c>
      <c r="C8550">
        <v>1391960</v>
      </c>
      <c r="D8550" t="s">
        <v>88</v>
      </c>
      <c r="E8550">
        <v>0.191</v>
      </c>
      <c r="F8550" t="s">
        <v>19</v>
      </c>
      <c r="G8550" t="s">
        <v>20</v>
      </c>
      <c r="H8550" t="s">
        <v>21</v>
      </c>
      <c r="I8550" t="s">
        <v>20</v>
      </c>
      <c r="J8550" t="s">
        <v>20</v>
      </c>
      <c r="K8550" t="s">
        <v>31</v>
      </c>
      <c r="L8550" t="s">
        <v>89</v>
      </c>
      <c r="M8550" t="s">
        <v>90</v>
      </c>
      <c r="N8550">
        <v>40.522295999999997</v>
      </c>
      <c r="O8550">
        <v>-111.98041600000001</v>
      </c>
      <c r="P8550">
        <v>4566.9370060000001</v>
      </c>
      <c r="Q8550">
        <v>318</v>
      </c>
      <c r="R8550">
        <v>0</v>
      </c>
    </row>
    <row r="8551" spans="1:18" x14ac:dyDescent="0.25">
      <c r="A8551">
        <v>8400</v>
      </c>
      <c r="B8551">
        <v>94</v>
      </c>
      <c r="C8551">
        <v>31530640</v>
      </c>
      <c r="D8551" t="s">
        <v>228</v>
      </c>
      <c r="E8551">
        <v>0.192</v>
      </c>
      <c r="F8551" t="s">
        <v>21</v>
      </c>
      <c r="G8551" t="s">
        <v>26</v>
      </c>
      <c r="H8551" t="s">
        <v>21</v>
      </c>
      <c r="I8551" t="s">
        <v>20</v>
      </c>
      <c r="J8551" t="s">
        <v>20</v>
      </c>
      <c r="K8551" t="s">
        <v>22</v>
      </c>
      <c r="L8551" t="s">
        <v>155</v>
      </c>
      <c r="M8551" t="s">
        <v>76</v>
      </c>
      <c r="N8551">
        <v>39.483891</v>
      </c>
      <c r="O8551">
        <v>-111.979533</v>
      </c>
      <c r="P8551">
        <v>4989.8707960000002</v>
      </c>
      <c r="Q8551">
        <v>320</v>
      </c>
      <c r="R8551">
        <v>0</v>
      </c>
    </row>
    <row r="8552" spans="1:18" x14ac:dyDescent="0.25">
      <c r="A8552">
        <v>8401</v>
      </c>
      <c r="B8552">
        <v>94</v>
      </c>
      <c r="C8552">
        <v>31511024</v>
      </c>
      <c r="D8552" t="s">
        <v>390</v>
      </c>
      <c r="E8552">
        <v>0.192</v>
      </c>
      <c r="F8552" t="s">
        <v>19</v>
      </c>
      <c r="G8552" t="s">
        <v>20</v>
      </c>
      <c r="H8552" t="s">
        <v>21</v>
      </c>
      <c r="I8552" t="s">
        <v>20</v>
      </c>
      <c r="J8552" t="s">
        <v>20</v>
      </c>
      <c r="K8552" t="s">
        <v>22</v>
      </c>
      <c r="L8552" t="s">
        <v>84</v>
      </c>
      <c r="M8552" t="s">
        <v>335</v>
      </c>
      <c r="N8552">
        <v>40.431381000000002</v>
      </c>
      <c r="O8552">
        <v>-111.89203000000001</v>
      </c>
      <c r="P8552">
        <v>4548.5055339999999</v>
      </c>
      <c r="Q8552">
        <v>1386</v>
      </c>
      <c r="R8552">
        <v>0</v>
      </c>
    </row>
    <row r="8553" spans="1:18" x14ac:dyDescent="0.25">
      <c r="A8553">
        <v>8402</v>
      </c>
      <c r="B8553">
        <v>94</v>
      </c>
      <c r="C8553" t="s">
        <v>996</v>
      </c>
      <c r="D8553" t="s">
        <v>92</v>
      </c>
      <c r="E8553">
        <v>0.192</v>
      </c>
      <c r="F8553" t="s">
        <v>19</v>
      </c>
      <c r="G8553" t="s">
        <v>20</v>
      </c>
      <c r="H8553" t="s">
        <v>21</v>
      </c>
      <c r="I8553" t="s">
        <v>20</v>
      </c>
      <c r="J8553" t="s">
        <v>20</v>
      </c>
      <c r="K8553" t="s">
        <v>41</v>
      </c>
      <c r="L8553" t="s">
        <v>87</v>
      </c>
      <c r="M8553" t="s">
        <v>93</v>
      </c>
      <c r="N8553">
        <v>41.074351999999998</v>
      </c>
      <c r="O8553">
        <v>-111.975881</v>
      </c>
      <c r="P8553">
        <v>4354.0053429999998</v>
      </c>
      <c r="Q8553">
        <v>252</v>
      </c>
      <c r="R8553">
        <v>0</v>
      </c>
    </row>
    <row r="8554" spans="1:18" x14ac:dyDescent="0.25">
      <c r="A8554">
        <v>8403</v>
      </c>
      <c r="B8554">
        <v>94</v>
      </c>
      <c r="C8554">
        <v>31753359</v>
      </c>
      <c r="D8554" t="s">
        <v>600</v>
      </c>
      <c r="E8554">
        <v>0.19500000000000001</v>
      </c>
      <c r="F8554" t="s">
        <v>19</v>
      </c>
      <c r="G8554" t="s">
        <v>20</v>
      </c>
      <c r="H8554" t="s">
        <v>19</v>
      </c>
      <c r="I8554">
        <v>15</v>
      </c>
      <c r="J8554" t="s">
        <v>20</v>
      </c>
      <c r="K8554" t="s">
        <v>22</v>
      </c>
      <c r="L8554" t="s">
        <v>23</v>
      </c>
      <c r="M8554" t="s">
        <v>24</v>
      </c>
      <c r="N8554">
        <v>40.326309000000002</v>
      </c>
      <c r="O8554">
        <v>-111.733593</v>
      </c>
      <c r="P8554">
        <v>4507.9001719999997</v>
      </c>
      <c r="Q8554">
        <v>426</v>
      </c>
      <c r="R8554">
        <v>0</v>
      </c>
    </row>
    <row r="8555" spans="1:18" x14ac:dyDescent="0.25">
      <c r="A8555">
        <v>8404</v>
      </c>
      <c r="B8555">
        <v>94</v>
      </c>
      <c r="C8555">
        <v>1021569</v>
      </c>
      <c r="D8555" t="s">
        <v>715</v>
      </c>
      <c r="E8555">
        <v>0.23899999999999999</v>
      </c>
      <c r="F8555" t="s">
        <v>21</v>
      </c>
      <c r="G8555" t="s">
        <v>26</v>
      </c>
      <c r="H8555" t="s">
        <v>21</v>
      </c>
      <c r="I8555" t="s">
        <v>20</v>
      </c>
      <c r="J8555" t="s">
        <v>20</v>
      </c>
      <c r="K8555" t="s">
        <v>41</v>
      </c>
      <c r="L8555" t="s">
        <v>87</v>
      </c>
      <c r="M8555" t="s">
        <v>46</v>
      </c>
      <c r="N8555">
        <v>40.976863000000002</v>
      </c>
      <c r="O8555">
        <v>-111.891904</v>
      </c>
      <c r="P8555">
        <v>4223.785167</v>
      </c>
      <c r="Q8555">
        <v>1277</v>
      </c>
      <c r="R8555">
        <v>0</v>
      </c>
    </row>
    <row r="8556" spans="1:18" x14ac:dyDescent="0.25">
      <c r="A8556">
        <v>8405</v>
      </c>
      <c r="B8556">
        <v>94</v>
      </c>
      <c r="C8556">
        <v>506538</v>
      </c>
      <c r="D8556" t="s">
        <v>135</v>
      </c>
      <c r="E8556">
        <v>0.59299999999999997</v>
      </c>
      <c r="F8556" t="s">
        <v>21</v>
      </c>
      <c r="G8556" t="s">
        <v>26</v>
      </c>
      <c r="H8556" t="s">
        <v>21</v>
      </c>
      <c r="I8556" t="s">
        <v>20</v>
      </c>
      <c r="J8556" t="s">
        <v>20</v>
      </c>
      <c r="K8556" t="s">
        <v>31</v>
      </c>
      <c r="L8556" t="s">
        <v>48</v>
      </c>
      <c r="M8556" t="s">
        <v>144</v>
      </c>
      <c r="N8556">
        <v>40.562154</v>
      </c>
      <c r="O8556">
        <v>-111.965737</v>
      </c>
      <c r="P8556">
        <v>4547.7027760000001</v>
      </c>
      <c r="Q8556">
        <v>1423</v>
      </c>
      <c r="R8556">
        <v>0</v>
      </c>
    </row>
    <row r="8557" spans="1:18" x14ac:dyDescent="0.25">
      <c r="A8557">
        <v>8406</v>
      </c>
      <c r="B8557">
        <v>94</v>
      </c>
      <c r="C8557">
        <v>31534251</v>
      </c>
      <c r="D8557" t="s">
        <v>53</v>
      </c>
      <c r="E8557">
        <v>0.59399999999999997</v>
      </c>
      <c r="F8557" t="s">
        <v>21</v>
      </c>
      <c r="G8557" t="s">
        <v>26</v>
      </c>
      <c r="H8557" t="s">
        <v>21</v>
      </c>
      <c r="I8557" t="s">
        <v>20</v>
      </c>
      <c r="J8557" t="s">
        <v>20</v>
      </c>
      <c r="K8557" t="s">
        <v>27</v>
      </c>
      <c r="L8557" t="s">
        <v>54</v>
      </c>
      <c r="M8557" t="s">
        <v>55</v>
      </c>
      <c r="N8557">
        <v>37.677042999999998</v>
      </c>
      <c r="O8557">
        <v>-113.072687</v>
      </c>
      <c r="P8557">
        <v>5723.6206089999996</v>
      </c>
      <c r="Q8557">
        <v>1285</v>
      </c>
      <c r="R8557">
        <v>0</v>
      </c>
    </row>
    <row r="8558" spans="1:18" x14ac:dyDescent="0.25">
      <c r="A8558">
        <v>8407</v>
      </c>
      <c r="B8558">
        <v>94</v>
      </c>
      <c r="C8558">
        <v>31366358</v>
      </c>
      <c r="D8558" t="s">
        <v>229</v>
      </c>
      <c r="E8558">
        <v>0.59499999999999997</v>
      </c>
      <c r="F8558" t="s">
        <v>21</v>
      </c>
      <c r="G8558" t="s">
        <v>26</v>
      </c>
      <c r="H8558" t="s">
        <v>21</v>
      </c>
      <c r="I8558" t="s">
        <v>20</v>
      </c>
      <c r="J8558" t="s">
        <v>20</v>
      </c>
      <c r="K8558" t="s">
        <v>27</v>
      </c>
      <c r="L8558" t="s">
        <v>230</v>
      </c>
      <c r="M8558" t="s">
        <v>82</v>
      </c>
      <c r="N8558">
        <v>39.482503000000001</v>
      </c>
      <c r="O8558">
        <v>-111.635096</v>
      </c>
      <c r="P8558">
        <v>5579.083275</v>
      </c>
      <c r="Q8558">
        <v>331</v>
      </c>
      <c r="R8558">
        <v>0</v>
      </c>
    </row>
    <row r="8559" spans="1:18" x14ac:dyDescent="0.25">
      <c r="A8559">
        <v>8408</v>
      </c>
      <c r="B8559">
        <v>94</v>
      </c>
      <c r="C8559">
        <v>528378</v>
      </c>
      <c r="D8559" t="s">
        <v>47</v>
      </c>
      <c r="E8559">
        <v>0.59599999999999997</v>
      </c>
      <c r="F8559" t="s">
        <v>21</v>
      </c>
      <c r="G8559" t="s">
        <v>26</v>
      </c>
      <c r="H8559" t="s">
        <v>21</v>
      </c>
      <c r="I8559" t="s">
        <v>20</v>
      </c>
      <c r="J8559" t="s">
        <v>20</v>
      </c>
      <c r="K8559" t="s">
        <v>31</v>
      </c>
      <c r="L8559" t="s">
        <v>48</v>
      </c>
      <c r="M8559" t="s">
        <v>49</v>
      </c>
      <c r="N8559">
        <v>40.544131</v>
      </c>
      <c r="O8559">
        <v>-111.97268699999999</v>
      </c>
      <c r="P8559">
        <v>4551.6664069999997</v>
      </c>
      <c r="Q8559">
        <v>6715</v>
      </c>
      <c r="R8559">
        <v>0</v>
      </c>
    </row>
    <row r="8560" spans="1:18" x14ac:dyDescent="0.25">
      <c r="A8560">
        <v>8409</v>
      </c>
      <c r="B8560">
        <v>94</v>
      </c>
      <c r="C8560">
        <v>31387225</v>
      </c>
      <c r="D8560" t="s">
        <v>369</v>
      </c>
      <c r="E8560">
        <v>0.59699999999999998</v>
      </c>
      <c r="F8560" t="s">
        <v>21</v>
      </c>
      <c r="G8560" t="s">
        <v>26</v>
      </c>
      <c r="H8560" t="s">
        <v>21</v>
      </c>
      <c r="I8560" t="s">
        <v>20</v>
      </c>
      <c r="J8560" t="s">
        <v>20</v>
      </c>
      <c r="K8560" t="s">
        <v>22</v>
      </c>
      <c r="L8560" t="s">
        <v>198</v>
      </c>
      <c r="M8560" t="s">
        <v>76</v>
      </c>
      <c r="N8560">
        <v>40.031345000000002</v>
      </c>
      <c r="O8560">
        <v>-111.747372</v>
      </c>
      <c r="P8560">
        <v>4593.8694379999997</v>
      </c>
      <c r="Q8560">
        <v>347</v>
      </c>
      <c r="R8560">
        <v>0</v>
      </c>
    </row>
    <row r="8561" spans="1:18" x14ac:dyDescent="0.25">
      <c r="A8561">
        <v>8410</v>
      </c>
      <c r="B8561">
        <v>94</v>
      </c>
      <c r="C8561" t="s">
        <v>997</v>
      </c>
      <c r="D8561" t="s">
        <v>258</v>
      </c>
      <c r="E8561">
        <v>0.59799999999999998</v>
      </c>
      <c r="F8561" t="s">
        <v>21</v>
      </c>
      <c r="G8561" t="s">
        <v>26</v>
      </c>
      <c r="H8561" t="s">
        <v>21</v>
      </c>
      <c r="I8561" t="s">
        <v>20</v>
      </c>
      <c r="J8561" t="s">
        <v>20</v>
      </c>
      <c r="K8561" t="s">
        <v>27</v>
      </c>
      <c r="L8561" t="s">
        <v>259</v>
      </c>
      <c r="M8561" t="s">
        <v>29</v>
      </c>
      <c r="N8561">
        <v>37.009183</v>
      </c>
      <c r="O8561">
        <v>-112.527129</v>
      </c>
      <c r="P8561">
        <v>4770.0201020000004</v>
      </c>
      <c r="Q8561">
        <v>301</v>
      </c>
      <c r="R8561">
        <v>0</v>
      </c>
    </row>
    <row r="8562" spans="1:18" x14ac:dyDescent="0.25">
      <c r="A8562">
        <v>8411</v>
      </c>
      <c r="B8562">
        <v>94</v>
      </c>
      <c r="C8562" t="e">
        <f>-Iorcb90GKTsZ78slccoek</f>
        <v>#NAME?</v>
      </c>
      <c r="D8562" t="s">
        <v>175</v>
      </c>
      <c r="E8562">
        <v>0.69299999999999995</v>
      </c>
      <c r="F8562" t="s">
        <v>21</v>
      </c>
      <c r="G8562" t="s">
        <v>26</v>
      </c>
      <c r="H8562" t="s">
        <v>21</v>
      </c>
      <c r="I8562" t="s">
        <v>20</v>
      </c>
      <c r="J8562" t="s">
        <v>20</v>
      </c>
      <c r="K8562" t="s">
        <v>41</v>
      </c>
      <c r="L8562" t="s">
        <v>87</v>
      </c>
      <c r="M8562" t="s">
        <v>93</v>
      </c>
      <c r="N8562">
        <v>41.060060999999997</v>
      </c>
      <c r="O8562">
        <v>-111.95281799999999</v>
      </c>
      <c r="P8562">
        <v>4317.0559649999996</v>
      </c>
      <c r="Q8562">
        <v>1397</v>
      </c>
      <c r="R8562">
        <v>0</v>
      </c>
    </row>
    <row r="8563" spans="1:18" x14ac:dyDescent="0.25">
      <c r="A8563">
        <v>8412</v>
      </c>
      <c r="B8563">
        <v>94</v>
      </c>
      <c r="C8563">
        <v>31192020</v>
      </c>
      <c r="D8563" t="s">
        <v>153</v>
      </c>
      <c r="E8563">
        <v>0.69599999999999995</v>
      </c>
      <c r="F8563" t="s">
        <v>21</v>
      </c>
      <c r="G8563" t="s">
        <v>26</v>
      </c>
      <c r="H8563" t="s">
        <v>21</v>
      </c>
      <c r="I8563" t="s">
        <v>20</v>
      </c>
      <c r="J8563" t="s">
        <v>20</v>
      </c>
      <c r="K8563" t="s">
        <v>22</v>
      </c>
      <c r="L8563" t="s">
        <v>84</v>
      </c>
      <c r="M8563" t="s">
        <v>85</v>
      </c>
      <c r="N8563">
        <v>40.368020000000001</v>
      </c>
      <c r="O8563">
        <v>-111.738872</v>
      </c>
      <c r="P8563">
        <v>4593.6217939999997</v>
      </c>
      <c r="R8563">
        <v>0</v>
      </c>
    </row>
    <row r="8564" spans="1:18" x14ac:dyDescent="0.25">
      <c r="A8564">
        <v>8413</v>
      </c>
      <c r="B8564">
        <v>94</v>
      </c>
      <c r="C8564">
        <v>31697115</v>
      </c>
      <c r="D8564" t="s">
        <v>715</v>
      </c>
      <c r="E8564">
        <v>0.69899999999999995</v>
      </c>
      <c r="F8564" t="s">
        <v>19</v>
      </c>
      <c r="G8564" t="s">
        <v>20</v>
      </c>
      <c r="H8564" t="s">
        <v>19</v>
      </c>
      <c r="I8564">
        <v>106</v>
      </c>
      <c r="J8564" t="s">
        <v>20</v>
      </c>
      <c r="K8564" t="s">
        <v>41</v>
      </c>
      <c r="L8564" t="s">
        <v>87</v>
      </c>
      <c r="M8564" t="s">
        <v>46</v>
      </c>
      <c r="N8564">
        <v>40.980483</v>
      </c>
      <c r="O8564">
        <v>-111.88757200000001</v>
      </c>
      <c r="P8564">
        <v>4248.0121909999998</v>
      </c>
      <c r="Q8564">
        <v>1277</v>
      </c>
      <c r="R8564">
        <v>0</v>
      </c>
    </row>
    <row r="8565" spans="1:18" x14ac:dyDescent="0.25">
      <c r="A8565">
        <v>8414</v>
      </c>
      <c r="B8565">
        <v>94</v>
      </c>
      <c r="C8565">
        <v>31418712</v>
      </c>
      <c r="D8565" t="s">
        <v>319</v>
      </c>
      <c r="E8565">
        <v>0.69899999999999995</v>
      </c>
      <c r="F8565" t="s">
        <v>21</v>
      </c>
      <c r="G8565" t="s">
        <v>26</v>
      </c>
      <c r="H8565" t="s">
        <v>21</v>
      </c>
      <c r="I8565" t="s">
        <v>20</v>
      </c>
      <c r="J8565" t="s">
        <v>20</v>
      </c>
      <c r="K8565" t="s">
        <v>27</v>
      </c>
      <c r="L8565" t="s">
        <v>162</v>
      </c>
      <c r="M8565" t="s">
        <v>55</v>
      </c>
      <c r="N8565">
        <v>37.724623000000001</v>
      </c>
      <c r="O8565">
        <v>-114.039148</v>
      </c>
      <c r="P8565">
        <v>5583.438451</v>
      </c>
      <c r="Q8565">
        <v>314</v>
      </c>
      <c r="R8565">
        <v>0</v>
      </c>
    </row>
    <row r="8566" spans="1:18" x14ac:dyDescent="0.25">
      <c r="A8566">
        <v>8415</v>
      </c>
      <c r="B8566">
        <v>94</v>
      </c>
      <c r="C8566" t="e">
        <f>-JMK282vIi512goS9a-XlF</f>
        <v>#NAME?</v>
      </c>
      <c r="D8566" t="s">
        <v>417</v>
      </c>
      <c r="E8566">
        <v>0.7</v>
      </c>
      <c r="F8566" t="s">
        <v>21</v>
      </c>
      <c r="G8566" t="s">
        <v>20</v>
      </c>
      <c r="H8566" t="s">
        <v>21</v>
      </c>
      <c r="I8566" t="s">
        <v>20</v>
      </c>
      <c r="J8566" t="s">
        <v>20</v>
      </c>
      <c r="K8566" t="s">
        <v>22</v>
      </c>
      <c r="L8566" t="s">
        <v>84</v>
      </c>
      <c r="M8566" t="s">
        <v>24</v>
      </c>
      <c r="N8566">
        <v>40.412498999999997</v>
      </c>
      <c r="O8566">
        <v>-111.879593</v>
      </c>
      <c r="P8566">
        <v>4488.9578320000001</v>
      </c>
      <c r="Q8566">
        <v>6765</v>
      </c>
      <c r="R8566">
        <v>0</v>
      </c>
    </row>
    <row r="8567" spans="1:18" x14ac:dyDescent="0.25">
      <c r="A8567">
        <v>8416</v>
      </c>
      <c r="B8567">
        <v>94</v>
      </c>
      <c r="C8567">
        <v>474587</v>
      </c>
      <c r="D8567" t="s">
        <v>83</v>
      </c>
      <c r="E8567">
        <v>0.7</v>
      </c>
      <c r="F8567" t="s">
        <v>21</v>
      </c>
      <c r="G8567" t="s">
        <v>26</v>
      </c>
      <c r="H8567" t="s">
        <v>21</v>
      </c>
      <c r="I8567" t="s">
        <v>20</v>
      </c>
      <c r="J8567" t="s">
        <v>20</v>
      </c>
      <c r="K8567" t="s">
        <v>22</v>
      </c>
      <c r="L8567" t="s">
        <v>84</v>
      </c>
      <c r="M8567" t="s">
        <v>85</v>
      </c>
      <c r="N8567">
        <v>40.387042000000001</v>
      </c>
      <c r="O8567">
        <v>-111.795822</v>
      </c>
      <c r="P8567">
        <v>4591.8805970000003</v>
      </c>
      <c r="Q8567">
        <v>319</v>
      </c>
      <c r="R8567">
        <v>0</v>
      </c>
    </row>
    <row r="8568" spans="1:18" x14ac:dyDescent="0.25">
      <c r="A8568">
        <v>8417</v>
      </c>
      <c r="B8568">
        <v>94</v>
      </c>
      <c r="C8568">
        <v>1437803</v>
      </c>
      <c r="D8568" t="s">
        <v>304</v>
      </c>
      <c r="E8568">
        <v>0.70099999999999996</v>
      </c>
      <c r="F8568" t="s">
        <v>21</v>
      </c>
      <c r="G8568" t="s">
        <v>26</v>
      </c>
      <c r="H8568" t="s">
        <v>21</v>
      </c>
      <c r="I8568" t="s">
        <v>20</v>
      </c>
      <c r="J8568" t="s">
        <v>20</v>
      </c>
      <c r="K8568" t="s">
        <v>41</v>
      </c>
      <c r="L8568" t="s">
        <v>177</v>
      </c>
      <c r="M8568" t="s">
        <v>43</v>
      </c>
      <c r="N8568">
        <v>41.538530000000002</v>
      </c>
      <c r="O8568">
        <v>-112.015298</v>
      </c>
      <c r="P8568">
        <v>4205.1182470000003</v>
      </c>
      <c r="Q8568">
        <v>1348</v>
      </c>
      <c r="R8568">
        <v>0</v>
      </c>
    </row>
    <row r="8569" spans="1:18" x14ac:dyDescent="0.25">
      <c r="A8569">
        <v>8418</v>
      </c>
      <c r="B8569">
        <v>94</v>
      </c>
      <c r="C8569">
        <v>1004186</v>
      </c>
      <c r="D8569" t="s">
        <v>171</v>
      </c>
      <c r="E8569">
        <v>1.131</v>
      </c>
      <c r="F8569" t="s">
        <v>21</v>
      </c>
      <c r="G8569" t="s">
        <v>26</v>
      </c>
      <c r="H8569" t="s">
        <v>21</v>
      </c>
      <c r="I8569" t="s">
        <v>20</v>
      </c>
      <c r="J8569" t="s">
        <v>20</v>
      </c>
      <c r="K8569" t="s">
        <v>31</v>
      </c>
      <c r="L8569" t="s">
        <v>78</v>
      </c>
      <c r="M8569" t="s">
        <v>79</v>
      </c>
      <c r="N8569">
        <v>40.696494999999999</v>
      </c>
      <c r="O8569">
        <v>-112.07022000000001</v>
      </c>
      <c r="P8569">
        <v>4306.4626500000004</v>
      </c>
      <c r="Q8569">
        <v>346</v>
      </c>
      <c r="R8569">
        <v>0</v>
      </c>
    </row>
    <row r="8570" spans="1:18" x14ac:dyDescent="0.25">
      <c r="A8570">
        <v>8419</v>
      </c>
      <c r="B8570">
        <v>94</v>
      </c>
      <c r="C8570">
        <v>27864645</v>
      </c>
      <c r="D8570" t="s">
        <v>91</v>
      </c>
      <c r="E8570">
        <v>1.133</v>
      </c>
      <c r="F8570" t="s">
        <v>21</v>
      </c>
      <c r="G8570" t="s">
        <v>26</v>
      </c>
      <c r="H8570" t="s">
        <v>21</v>
      </c>
      <c r="I8570" t="s">
        <v>20</v>
      </c>
      <c r="J8570" t="s">
        <v>20</v>
      </c>
      <c r="K8570" t="s">
        <v>41</v>
      </c>
      <c r="L8570" t="s">
        <v>42</v>
      </c>
      <c r="M8570" t="s">
        <v>73</v>
      </c>
      <c r="N8570">
        <v>41.63252</v>
      </c>
      <c r="O8570">
        <v>-111.934577</v>
      </c>
      <c r="P8570">
        <v>4489.5133050000004</v>
      </c>
      <c r="Q8570">
        <v>1339</v>
      </c>
      <c r="R8570">
        <v>0</v>
      </c>
    </row>
    <row r="8571" spans="1:18" x14ac:dyDescent="0.25">
      <c r="A8571">
        <v>8420</v>
      </c>
      <c r="B8571">
        <v>94</v>
      </c>
      <c r="C8571" t="s">
        <v>998</v>
      </c>
      <c r="D8571" t="s">
        <v>208</v>
      </c>
      <c r="E8571">
        <v>1.137</v>
      </c>
      <c r="F8571" t="s">
        <v>21</v>
      </c>
      <c r="G8571" t="s">
        <v>20</v>
      </c>
      <c r="H8571" t="s">
        <v>21</v>
      </c>
      <c r="I8571" t="s">
        <v>20</v>
      </c>
      <c r="J8571" t="s">
        <v>20</v>
      </c>
      <c r="K8571" t="s">
        <v>31</v>
      </c>
      <c r="L8571" t="s">
        <v>209</v>
      </c>
      <c r="M8571" t="s">
        <v>131</v>
      </c>
      <c r="N8571">
        <v>40.615456999999999</v>
      </c>
      <c r="O8571">
        <v>-111.509366</v>
      </c>
      <c r="P8571">
        <v>8283.2421169999998</v>
      </c>
      <c r="Q8571">
        <v>357</v>
      </c>
      <c r="R8571">
        <v>0</v>
      </c>
    </row>
    <row r="8572" spans="1:18" x14ac:dyDescent="0.25">
      <c r="A8572">
        <v>8421</v>
      </c>
      <c r="B8572">
        <v>94</v>
      </c>
      <c r="C8572">
        <v>1434858</v>
      </c>
      <c r="D8572" t="s">
        <v>999</v>
      </c>
      <c r="E8572">
        <v>1.1379999999999999</v>
      </c>
      <c r="F8572" t="s">
        <v>21</v>
      </c>
      <c r="G8572" t="s">
        <v>26</v>
      </c>
      <c r="H8572" t="s">
        <v>21</v>
      </c>
      <c r="I8572" t="s">
        <v>20</v>
      </c>
      <c r="J8572" t="s">
        <v>20</v>
      </c>
      <c r="K8572" t="s">
        <v>41</v>
      </c>
      <c r="L8572" t="s">
        <v>223</v>
      </c>
      <c r="M8572" t="s">
        <v>238</v>
      </c>
      <c r="N8572">
        <v>41.634734000000002</v>
      </c>
      <c r="O8572">
        <v>-112.081046</v>
      </c>
      <c r="P8572">
        <v>4218.3982100000003</v>
      </c>
      <c r="Q8572">
        <v>425</v>
      </c>
      <c r="R8572">
        <v>0</v>
      </c>
    </row>
    <row r="8573" spans="1:18" x14ac:dyDescent="0.25">
      <c r="A8573">
        <v>8422</v>
      </c>
      <c r="B8573">
        <v>94</v>
      </c>
      <c r="C8573">
        <v>2526322</v>
      </c>
      <c r="D8573" t="s">
        <v>176</v>
      </c>
      <c r="E8573">
        <v>1.139</v>
      </c>
      <c r="F8573" t="s">
        <v>21</v>
      </c>
      <c r="G8573" t="s">
        <v>26</v>
      </c>
      <c r="H8573" t="s">
        <v>21</v>
      </c>
      <c r="I8573" t="s">
        <v>20</v>
      </c>
      <c r="J8573" t="s">
        <v>20</v>
      </c>
      <c r="K8573" t="s">
        <v>41</v>
      </c>
      <c r="L8573" t="s">
        <v>177</v>
      </c>
      <c r="M8573" t="s">
        <v>178</v>
      </c>
      <c r="N8573">
        <v>41.503123000000002</v>
      </c>
      <c r="O8573">
        <v>-112.015913</v>
      </c>
      <c r="P8573">
        <v>4400.8474079999996</v>
      </c>
      <c r="Q8573">
        <v>1329</v>
      </c>
      <c r="R8573">
        <v>0</v>
      </c>
    </row>
    <row r="8574" spans="1:18" x14ac:dyDescent="0.25">
      <c r="A8574">
        <v>8423</v>
      </c>
      <c r="B8574">
        <v>94</v>
      </c>
      <c r="C8574" t="e">
        <f>-IpZN3_VFJTve_jdiKjomV</f>
        <v>#NAME?</v>
      </c>
      <c r="D8574" t="s">
        <v>208</v>
      </c>
      <c r="E8574">
        <v>1.139</v>
      </c>
      <c r="F8574" t="s">
        <v>21</v>
      </c>
      <c r="G8574" t="s">
        <v>361</v>
      </c>
      <c r="H8574" t="s">
        <v>21</v>
      </c>
      <c r="I8574" t="s">
        <v>20</v>
      </c>
      <c r="J8574" t="s">
        <v>20</v>
      </c>
      <c r="K8574" t="s">
        <v>31</v>
      </c>
      <c r="L8574" t="s">
        <v>209</v>
      </c>
      <c r="M8574" t="s">
        <v>131</v>
      </c>
      <c r="N8574">
        <v>40.615485999999997</v>
      </c>
      <c r="O8574">
        <v>-111.509158</v>
      </c>
      <c r="P8574">
        <v>8282.7271400000009</v>
      </c>
      <c r="Q8574">
        <v>357</v>
      </c>
      <c r="R8574">
        <v>0</v>
      </c>
    </row>
    <row r="8575" spans="1:18" x14ac:dyDescent="0.25">
      <c r="A8575">
        <v>8424</v>
      </c>
      <c r="B8575">
        <v>94</v>
      </c>
      <c r="C8575" t="e">
        <f>-JPu0CpfGAqGflDEQveIDV</f>
        <v>#NAME?</v>
      </c>
      <c r="D8575" t="s">
        <v>167</v>
      </c>
      <c r="E8575">
        <v>1.1419999999999999</v>
      </c>
      <c r="F8575" t="s">
        <v>21</v>
      </c>
      <c r="G8575" t="s">
        <v>20</v>
      </c>
      <c r="H8575" t="s">
        <v>21</v>
      </c>
      <c r="I8575" t="s">
        <v>20</v>
      </c>
      <c r="J8575" t="s">
        <v>20</v>
      </c>
      <c r="K8575" t="s">
        <v>22</v>
      </c>
      <c r="L8575" t="s">
        <v>168</v>
      </c>
      <c r="M8575" t="s">
        <v>169</v>
      </c>
      <c r="N8575">
        <v>40.221831999999999</v>
      </c>
      <c r="O8575">
        <v>-110.723932</v>
      </c>
      <c r="P8575">
        <v>6507.0203920000004</v>
      </c>
      <c r="Q8575">
        <v>354</v>
      </c>
      <c r="R8575">
        <v>0</v>
      </c>
    </row>
    <row r="8576" spans="1:18" x14ac:dyDescent="0.25">
      <c r="A8576">
        <v>8425</v>
      </c>
      <c r="B8576">
        <v>94</v>
      </c>
      <c r="C8576">
        <v>31304666</v>
      </c>
      <c r="D8576" t="s">
        <v>153</v>
      </c>
      <c r="E8576">
        <v>1.1419999999999999</v>
      </c>
      <c r="F8576" t="s">
        <v>21</v>
      </c>
      <c r="G8576" t="s">
        <v>20</v>
      </c>
      <c r="H8576" t="s">
        <v>21</v>
      </c>
      <c r="I8576" t="s">
        <v>20</v>
      </c>
      <c r="J8576" t="s">
        <v>20</v>
      </c>
      <c r="K8576" t="s">
        <v>22</v>
      </c>
      <c r="L8576" t="s">
        <v>84</v>
      </c>
      <c r="M8576" t="s">
        <v>85</v>
      </c>
      <c r="N8576">
        <v>40.374364</v>
      </c>
      <c r="O8576">
        <v>-111.73984799999999</v>
      </c>
      <c r="P8576">
        <v>4585.5865800000001</v>
      </c>
      <c r="R8576">
        <v>0</v>
      </c>
    </row>
    <row r="8577" spans="1:18" x14ac:dyDescent="0.25">
      <c r="A8577">
        <v>8426</v>
      </c>
      <c r="B8577">
        <v>94</v>
      </c>
      <c r="C8577">
        <v>1419327</v>
      </c>
      <c r="D8577" t="s">
        <v>363</v>
      </c>
      <c r="E8577">
        <v>1.145</v>
      </c>
      <c r="F8577" t="s">
        <v>21</v>
      </c>
      <c r="G8577" t="s">
        <v>26</v>
      </c>
      <c r="H8577" t="s">
        <v>21</v>
      </c>
      <c r="I8577" t="s">
        <v>20</v>
      </c>
      <c r="J8577" t="s">
        <v>20</v>
      </c>
      <c r="K8577" t="s">
        <v>41</v>
      </c>
      <c r="L8577" t="s">
        <v>95</v>
      </c>
      <c r="M8577" t="s">
        <v>73</v>
      </c>
      <c r="N8577">
        <v>41.846724000000002</v>
      </c>
      <c r="O8577">
        <v>-111.966713</v>
      </c>
      <c r="P8577">
        <v>4440.8579559999998</v>
      </c>
      <c r="Q8577">
        <v>356</v>
      </c>
      <c r="R8577">
        <v>0</v>
      </c>
    </row>
    <row r="8578" spans="1:18" x14ac:dyDescent="0.25">
      <c r="A8578">
        <v>8427</v>
      </c>
      <c r="B8578">
        <v>94</v>
      </c>
      <c r="C8578">
        <v>31418307</v>
      </c>
      <c r="D8578" t="s">
        <v>107</v>
      </c>
      <c r="E8578">
        <v>1.1459999999999999</v>
      </c>
      <c r="F8578" t="s">
        <v>21</v>
      </c>
      <c r="G8578" t="s">
        <v>26</v>
      </c>
      <c r="H8578" t="s">
        <v>21</v>
      </c>
      <c r="I8578" t="s">
        <v>20</v>
      </c>
      <c r="J8578" t="s">
        <v>20</v>
      </c>
      <c r="K8578" t="s">
        <v>41</v>
      </c>
      <c r="L8578" t="s">
        <v>81</v>
      </c>
      <c r="M8578" t="s">
        <v>93</v>
      </c>
      <c r="N8578">
        <v>41.209282000000002</v>
      </c>
      <c r="O8578">
        <v>-111.979285</v>
      </c>
      <c r="P8578">
        <v>4258.5873899999997</v>
      </c>
      <c r="Q8578">
        <v>413</v>
      </c>
      <c r="R8578">
        <v>0</v>
      </c>
    </row>
    <row r="8579" spans="1:18" x14ac:dyDescent="0.25">
      <c r="A8579">
        <v>8428</v>
      </c>
      <c r="B8579">
        <v>94</v>
      </c>
      <c r="C8579">
        <v>31750030</v>
      </c>
      <c r="D8579" t="s">
        <v>370</v>
      </c>
      <c r="E8579">
        <v>1.147</v>
      </c>
      <c r="F8579" t="s">
        <v>21</v>
      </c>
      <c r="G8579" t="s">
        <v>26</v>
      </c>
      <c r="H8579" t="s">
        <v>19</v>
      </c>
      <c r="I8579">
        <v>60</v>
      </c>
      <c r="J8579" t="s">
        <v>20</v>
      </c>
      <c r="K8579" t="s">
        <v>41</v>
      </c>
      <c r="L8579" t="s">
        <v>87</v>
      </c>
      <c r="M8579" t="s">
        <v>58</v>
      </c>
      <c r="N8579">
        <v>41.166130000000003</v>
      </c>
      <c r="O8579">
        <v>-112.007621</v>
      </c>
      <c r="P8579">
        <v>4339.8651289999998</v>
      </c>
      <c r="Q8579">
        <v>1435</v>
      </c>
      <c r="R8579">
        <v>0</v>
      </c>
    </row>
    <row r="8580" spans="1:18" x14ac:dyDescent="0.25">
      <c r="A8580">
        <v>8429</v>
      </c>
      <c r="B8580">
        <v>94</v>
      </c>
      <c r="C8580">
        <v>31525083</v>
      </c>
      <c r="D8580" t="s">
        <v>252</v>
      </c>
      <c r="E8580">
        <v>1.147</v>
      </c>
      <c r="F8580" t="s">
        <v>21</v>
      </c>
      <c r="G8580" t="s">
        <v>20</v>
      </c>
      <c r="H8580" t="s">
        <v>21</v>
      </c>
      <c r="I8580" t="s">
        <v>20</v>
      </c>
      <c r="J8580" t="s">
        <v>20</v>
      </c>
      <c r="K8580" t="s">
        <v>22</v>
      </c>
      <c r="L8580" t="s">
        <v>253</v>
      </c>
      <c r="M8580" t="s">
        <v>169</v>
      </c>
      <c r="N8580">
        <v>40.173766999999998</v>
      </c>
      <c r="O8580">
        <v>-110.42848499999999</v>
      </c>
      <c r="P8580">
        <v>5496.4193009999999</v>
      </c>
      <c r="Q8580">
        <v>265</v>
      </c>
      <c r="R8580">
        <v>0</v>
      </c>
    </row>
    <row r="8581" spans="1:18" x14ac:dyDescent="0.25">
      <c r="A8581">
        <v>8430</v>
      </c>
      <c r="B8581">
        <v>94</v>
      </c>
      <c r="C8581">
        <v>31383053</v>
      </c>
      <c r="D8581" t="s">
        <v>184</v>
      </c>
      <c r="E8581">
        <v>1.147</v>
      </c>
      <c r="F8581" t="s">
        <v>19</v>
      </c>
      <c r="G8581" t="s">
        <v>20</v>
      </c>
      <c r="H8581" t="s">
        <v>21</v>
      </c>
      <c r="I8581" t="s">
        <v>20</v>
      </c>
      <c r="J8581" t="s">
        <v>20</v>
      </c>
      <c r="K8581" t="s">
        <v>27</v>
      </c>
      <c r="L8581" t="s">
        <v>54</v>
      </c>
      <c r="M8581" t="s">
        <v>55</v>
      </c>
      <c r="N8581">
        <v>37.663319000000001</v>
      </c>
      <c r="O8581">
        <v>-113.067598</v>
      </c>
      <c r="P8581">
        <v>5866.3363849999996</v>
      </c>
      <c r="Q8581">
        <v>1410</v>
      </c>
      <c r="R8581">
        <v>0</v>
      </c>
    </row>
    <row r="8582" spans="1:18" x14ac:dyDescent="0.25">
      <c r="A8582">
        <v>8431</v>
      </c>
      <c r="B8582">
        <v>94</v>
      </c>
      <c r="C8582">
        <v>27302038</v>
      </c>
      <c r="D8582" t="s">
        <v>154</v>
      </c>
      <c r="E8582">
        <v>1.1479999999999999</v>
      </c>
      <c r="F8582" t="s">
        <v>21</v>
      </c>
      <c r="G8582" t="s">
        <v>26</v>
      </c>
      <c r="H8582" t="s">
        <v>21</v>
      </c>
      <c r="I8582" t="s">
        <v>20</v>
      </c>
      <c r="J8582" t="s">
        <v>20</v>
      </c>
      <c r="K8582" t="s">
        <v>22</v>
      </c>
      <c r="L8582" t="s">
        <v>155</v>
      </c>
      <c r="M8582" t="s">
        <v>76</v>
      </c>
      <c r="N8582">
        <v>39.821368</v>
      </c>
      <c r="O8582">
        <v>-111.834405</v>
      </c>
      <c r="P8582">
        <v>5051.4892600000003</v>
      </c>
      <c r="Q8582">
        <v>1359</v>
      </c>
      <c r="R8582">
        <v>0</v>
      </c>
    </row>
    <row r="8583" spans="1:18" x14ac:dyDescent="0.25">
      <c r="A8583">
        <v>8432</v>
      </c>
      <c r="B8583">
        <v>94</v>
      </c>
      <c r="C8583">
        <v>31727734</v>
      </c>
      <c r="D8583" t="s">
        <v>290</v>
      </c>
      <c r="E8583">
        <v>1.1519999999999999</v>
      </c>
      <c r="F8583" t="s">
        <v>21</v>
      </c>
      <c r="G8583" t="s">
        <v>20</v>
      </c>
      <c r="H8583" t="s">
        <v>21</v>
      </c>
      <c r="I8583" t="s">
        <v>20</v>
      </c>
      <c r="J8583" t="s">
        <v>20</v>
      </c>
      <c r="K8583" t="s">
        <v>41</v>
      </c>
      <c r="L8583" t="s">
        <v>291</v>
      </c>
      <c r="M8583" t="s">
        <v>238</v>
      </c>
      <c r="N8583">
        <v>41.373717999999997</v>
      </c>
      <c r="O8583">
        <v>-114.019657</v>
      </c>
      <c r="P8583">
        <v>4624.2746379999999</v>
      </c>
      <c r="Q8583">
        <v>1343</v>
      </c>
      <c r="R8583">
        <v>0</v>
      </c>
    </row>
    <row r="8584" spans="1:18" x14ac:dyDescent="0.25">
      <c r="A8584">
        <v>8433</v>
      </c>
      <c r="B8584">
        <v>94</v>
      </c>
      <c r="C8584" t="e">
        <f>-JN-biMoI-DKDv3fTM3DUV</f>
        <v>#NAME?</v>
      </c>
      <c r="D8584" t="s">
        <v>312</v>
      </c>
      <c r="E8584">
        <v>0.77100000000000002</v>
      </c>
      <c r="F8584" t="s">
        <v>21</v>
      </c>
      <c r="G8584" t="s">
        <v>20</v>
      </c>
      <c r="H8584" t="s">
        <v>21</v>
      </c>
      <c r="I8584" t="s">
        <v>20</v>
      </c>
      <c r="J8584" t="s">
        <v>20</v>
      </c>
      <c r="K8584" t="s">
        <v>27</v>
      </c>
      <c r="L8584" t="s">
        <v>143</v>
      </c>
      <c r="M8584" t="s">
        <v>313</v>
      </c>
      <c r="N8584">
        <v>38.408200000000001</v>
      </c>
      <c r="O8584">
        <v>-113.00987600000001</v>
      </c>
      <c r="P8584">
        <v>4927.4429060000002</v>
      </c>
      <c r="Q8584">
        <v>255</v>
      </c>
      <c r="R8584">
        <v>0</v>
      </c>
    </row>
    <row r="8585" spans="1:18" x14ac:dyDescent="0.25">
      <c r="A8585">
        <v>8434</v>
      </c>
      <c r="B8585">
        <v>94</v>
      </c>
      <c r="C8585">
        <v>1003352</v>
      </c>
      <c r="D8585" t="s">
        <v>604</v>
      </c>
      <c r="E8585">
        <v>0.77100000000000002</v>
      </c>
      <c r="F8585" t="s">
        <v>19</v>
      </c>
      <c r="G8585" t="s">
        <v>20</v>
      </c>
      <c r="H8585" t="s">
        <v>21</v>
      </c>
      <c r="I8585" t="s">
        <v>20</v>
      </c>
      <c r="J8585" t="s">
        <v>20</v>
      </c>
      <c r="K8585" t="s">
        <v>41</v>
      </c>
      <c r="L8585" t="s">
        <v>45</v>
      </c>
      <c r="M8585" t="s">
        <v>46</v>
      </c>
      <c r="N8585">
        <v>40.921455000000002</v>
      </c>
      <c r="O8585">
        <v>-111.885572</v>
      </c>
      <c r="P8585">
        <v>4198.3125989999999</v>
      </c>
      <c r="Q8585">
        <v>1394</v>
      </c>
      <c r="R8585">
        <v>0</v>
      </c>
    </row>
    <row r="8586" spans="1:18" x14ac:dyDescent="0.25">
      <c r="A8586">
        <v>8435</v>
      </c>
      <c r="B8586">
        <v>94</v>
      </c>
      <c r="C8586">
        <v>31192031</v>
      </c>
      <c r="D8586" t="s">
        <v>153</v>
      </c>
      <c r="E8586">
        <v>0.77200000000000002</v>
      </c>
      <c r="F8586" t="s">
        <v>21</v>
      </c>
      <c r="G8586" t="s">
        <v>26</v>
      </c>
      <c r="H8586" t="s">
        <v>21</v>
      </c>
      <c r="I8586" t="s">
        <v>20</v>
      </c>
      <c r="J8586" t="s">
        <v>20</v>
      </c>
      <c r="K8586" t="s">
        <v>22</v>
      </c>
      <c r="L8586" t="s">
        <v>84</v>
      </c>
      <c r="M8586" t="s">
        <v>85</v>
      </c>
      <c r="N8586">
        <v>40.369109999999999</v>
      </c>
      <c r="O8586">
        <v>-111.73893200000001</v>
      </c>
      <c r="P8586">
        <v>4589.9052929999998</v>
      </c>
      <c r="R8586">
        <v>0</v>
      </c>
    </row>
    <row r="8587" spans="1:18" x14ac:dyDescent="0.25">
      <c r="A8587">
        <v>8436</v>
      </c>
      <c r="B8587">
        <v>94</v>
      </c>
      <c r="C8587">
        <v>31513689</v>
      </c>
      <c r="D8587" t="s">
        <v>231</v>
      </c>
      <c r="E8587">
        <v>0.77400000000000002</v>
      </c>
      <c r="F8587" t="s">
        <v>21</v>
      </c>
      <c r="G8587" t="s">
        <v>26</v>
      </c>
      <c r="H8587" t="s">
        <v>21</v>
      </c>
      <c r="I8587" t="s">
        <v>20</v>
      </c>
      <c r="J8587" t="s">
        <v>20</v>
      </c>
      <c r="K8587" t="s">
        <v>41</v>
      </c>
      <c r="L8587" t="s">
        <v>57</v>
      </c>
      <c r="M8587" t="s">
        <v>93</v>
      </c>
      <c r="N8587">
        <v>41.062080000000002</v>
      </c>
      <c r="O8587">
        <v>-111.96785800000001</v>
      </c>
      <c r="P8587">
        <v>4308.569047</v>
      </c>
      <c r="Q8587">
        <v>1409</v>
      </c>
      <c r="R8587">
        <v>0</v>
      </c>
    </row>
    <row r="8588" spans="1:18" x14ac:dyDescent="0.25">
      <c r="A8588">
        <v>8437</v>
      </c>
      <c r="B8588">
        <v>94</v>
      </c>
      <c r="C8588">
        <v>31489443</v>
      </c>
      <c r="D8588" t="s">
        <v>353</v>
      </c>
      <c r="E8588">
        <v>0.77600000000000002</v>
      </c>
      <c r="F8588" t="s">
        <v>21</v>
      </c>
      <c r="G8588" t="s">
        <v>20</v>
      </c>
      <c r="H8588" t="s">
        <v>21</v>
      </c>
      <c r="I8588" t="s">
        <v>20</v>
      </c>
      <c r="J8588" t="s">
        <v>20</v>
      </c>
      <c r="K8588" t="s">
        <v>31</v>
      </c>
      <c r="L8588" t="s">
        <v>188</v>
      </c>
      <c r="M8588" t="s">
        <v>138</v>
      </c>
      <c r="N8588">
        <v>40.76052</v>
      </c>
      <c r="O8588">
        <v>-111.70884</v>
      </c>
      <c r="P8588">
        <v>5491.4772560000001</v>
      </c>
      <c r="Q8588">
        <v>1367</v>
      </c>
      <c r="R8588">
        <v>0</v>
      </c>
    </row>
    <row r="8589" spans="1:18" x14ac:dyDescent="0.25">
      <c r="A8589">
        <v>8438</v>
      </c>
      <c r="B8589">
        <v>94</v>
      </c>
      <c r="C8589">
        <v>31657092</v>
      </c>
      <c r="D8589" t="s">
        <v>999</v>
      </c>
      <c r="E8589">
        <v>0.77600000000000002</v>
      </c>
      <c r="F8589" t="s">
        <v>21</v>
      </c>
      <c r="G8589" t="s">
        <v>26</v>
      </c>
      <c r="H8589" t="s">
        <v>21</v>
      </c>
      <c r="I8589" t="s">
        <v>20</v>
      </c>
      <c r="J8589" t="s">
        <v>20</v>
      </c>
      <c r="K8589" t="s">
        <v>41</v>
      </c>
      <c r="L8589" t="s">
        <v>223</v>
      </c>
      <c r="M8589" t="s">
        <v>238</v>
      </c>
      <c r="N8589">
        <v>41.634819</v>
      </c>
      <c r="O8589">
        <v>-112.08793900000001</v>
      </c>
      <c r="P8589">
        <v>4208.9613799999997</v>
      </c>
      <c r="Q8589">
        <v>425</v>
      </c>
      <c r="R8589">
        <v>0</v>
      </c>
    </row>
    <row r="8590" spans="1:18" x14ac:dyDescent="0.25">
      <c r="A8590">
        <v>8439</v>
      </c>
      <c r="B8590">
        <v>94</v>
      </c>
      <c r="C8590">
        <v>718895</v>
      </c>
      <c r="D8590" t="s">
        <v>68</v>
      </c>
      <c r="E8590">
        <v>0.77900000000000003</v>
      </c>
      <c r="F8590" t="s">
        <v>19</v>
      </c>
      <c r="G8590" t="s">
        <v>20</v>
      </c>
      <c r="H8590" t="s">
        <v>19</v>
      </c>
      <c r="I8590">
        <v>68</v>
      </c>
      <c r="J8590" t="s">
        <v>20</v>
      </c>
      <c r="K8590" t="s">
        <v>31</v>
      </c>
      <c r="L8590" t="s">
        <v>69</v>
      </c>
      <c r="M8590" t="s">
        <v>70</v>
      </c>
      <c r="N8590">
        <v>40.667653999999999</v>
      </c>
      <c r="O8590">
        <v>-111.93880799999999</v>
      </c>
      <c r="P8590">
        <v>4241.3605010000001</v>
      </c>
      <c r="Q8590">
        <v>431</v>
      </c>
      <c r="R8590">
        <v>0</v>
      </c>
    </row>
    <row r="8591" spans="1:18" x14ac:dyDescent="0.25">
      <c r="A8591">
        <v>8440</v>
      </c>
      <c r="B8591">
        <v>94</v>
      </c>
      <c r="C8591">
        <v>2347527</v>
      </c>
      <c r="D8591" t="s">
        <v>113</v>
      </c>
      <c r="E8591">
        <v>0.78</v>
      </c>
      <c r="F8591" t="s">
        <v>21</v>
      </c>
      <c r="G8591" t="s">
        <v>26</v>
      </c>
      <c r="H8591" t="s">
        <v>19</v>
      </c>
      <c r="I8591">
        <v>168</v>
      </c>
      <c r="J8591" t="s">
        <v>20</v>
      </c>
      <c r="K8591" t="s">
        <v>41</v>
      </c>
      <c r="L8591" t="s">
        <v>87</v>
      </c>
      <c r="M8591" t="s">
        <v>58</v>
      </c>
      <c r="N8591">
        <v>41.166139000000001</v>
      </c>
      <c r="O8591">
        <v>-112.00762899999999</v>
      </c>
      <c r="P8591">
        <v>4337.7644730000002</v>
      </c>
      <c r="Q8591">
        <v>1363</v>
      </c>
      <c r="R8591">
        <v>0</v>
      </c>
    </row>
    <row r="8592" spans="1:18" x14ac:dyDescent="0.25">
      <c r="A8592">
        <v>8441</v>
      </c>
      <c r="B8592">
        <v>94</v>
      </c>
      <c r="C8592">
        <v>28564758</v>
      </c>
      <c r="D8592" t="s">
        <v>323</v>
      </c>
      <c r="E8592">
        <v>18.001999999999999</v>
      </c>
      <c r="F8592" t="s">
        <v>21</v>
      </c>
      <c r="G8592" t="s">
        <v>26</v>
      </c>
      <c r="H8592" t="s">
        <v>21</v>
      </c>
      <c r="I8592" t="s">
        <v>20</v>
      </c>
      <c r="J8592" t="s">
        <v>20</v>
      </c>
      <c r="K8592" t="s">
        <v>31</v>
      </c>
      <c r="L8592" t="s">
        <v>130</v>
      </c>
      <c r="M8592" t="s">
        <v>131</v>
      </c>
      <c r="N8592">
        <v>40.712961999999997</v>
      </c>
      <c r="O8592">
        <v>-111.30022</v>
      </c>
      <c r="P8592">
        <v>6364.8687989999999</v>
      </c>
      <c r="Q8592">
        <v>1345</v>
      </c>
      <c r="R8592">
        <v>0</v>
      </c>
    </row>
    <row r="8593" spans="1:18" x14ac:dyDescent="0.25">
      <c r="A8593">
        <v>8442</v>
      </c>
      <c r="B8593">
        <v>94</v>
      </c>
      <c r="C8593" t="e">
        <f>-JXhgjG4HgTc0H_kjb7swF</f>
        <v>#NAME?</v>
      </c>
      <c r="D8593" t="s">
        <v>203</v>
      </c>
      <c r="E8593">
        <v>16.46</v>
      </c>
      <c r="F8593" t="s">
        <v>21</v>
      </c>
      <c r="G8593" t="s">
        <v>20</v>
      </c>
      <c r="H8593" t="s">
        <v>21</v>
      </c>
      <c r="I8593" t="s">
        <v>20</v>
      </c>
      <c r="J8593" t="s">
        <v>20</v>
      </c>
      <c r="K8593" t="s">
        <v>41</v>
      </c>
      <c r="L8593" t="s">
        <v>255</v>
      </c>
      <c r="M8593" t="s">
        <v>204</v>
      </c>
      <c r="N8593">
        <v>41.249921999999998</v>
      </c>
      <c r="O8593">
        <v>-111.795856</v>
      </c>
      <c r="P8593">
        <v>4923.7762739999998</v>
      </c>
      <c r="Q8593">
        <v>1349</v>
      </c>
      <c r="R8593">
        <v>0</v>
      </c>
    </row>
    <row r="8594" spans="1:18" x14ac:dyDescent="0.25">
      <c r="A8594">
        <v>8443</v>
      </c>
      <c r="B8594">
        <v>94</v>
      </c>
      <c r="C8594">
        <v>31710989</v>
      </c>
      <c r="D8594" t="s">
        <v>118</v>
      </c>
      <c r="E8594">
        <v>16.466000000000001</v>
      </c>
      <c r="F8594" t="s">
        <v>19</v>
      </c>
      <c r="G8594" t="s">
        <v>20</v>
      </c>
      <c r="H8594" t="s">
        <v>21</v>
      </c>
      <c r="I8594" t="s">
        <v>20</v>
      </c>
      <c r="J8594" t="s">
        <v>20</v>
      </c>
      <c r="K8594" t="s">
        <v>22</v>
      </c>
      <c r="L8594" t="s">
        <v>35</v>
      </c>
      <c r="M8594" t="s">
        <v>120</v>
      </c>
      <c r="N8594">
        <v>40.514234999999999</v>
      </c>
      <c r="O8594">
        <v>-111.413355</v>
      </c>
      <c r="P8594">
        <v>5534.0770759999996</v>
      </c>
      <c r="Q8594">
        <v>310</v>
      </c>
      <c r="R8594">
        <v>0</v>
      </c>
    </row>
    <row r="8595" spans="1:18" x14ac:dyDescent="0.25">
      <c r="A8595">
        <v>8444</v>
      </c>
      <c r="B8595">
        <v>94</v>
      </c>
      <c r="C8595">
        <v>28563262</v>
      </c>
      <c r="D8595" t="s">
        <v>323</v>
      </c>
      <c r="E8595">
        <v>16.472000000000001</v>
      </c>
      <c r="F8595" t="s">
        <v>21</v>
      </c>
      <c r="G8595" t="s">
        <v>26</v>
      </c>
      <c r="H8595" t="s">
        <v>21</v>
      </c>
      <c r="I8595" t="s">
        <v>20</v>
      </c>
      <c r="J8595" t="s">
        <v>20</v>
      </c>
      <c r="K8595" t="s">
        <v>31</v>
      </c>
      <c r="L8595" t="s">
        <v>130</v>
      </c>
      <c r="M8595" t="s">
        <v>131</v>
      </c>
      <c r="N8595">
        <v>40.698478000000001</v>
      </c>
      <c r="O8595">
        <v>-111.281031</v>
      </c>
      <c r="P8595">
        <v>6387.0246020000004</v>
      </c>
      <c r="Q8595">
        <v>1345</v>
      </c>
      <c r="R8595">
        <v>0</v>
      </c>
    </row>
    <row r="8596" spans="1:18" x14ac:dyDescent="0.25">
      <c r="A8596">
        <v>8445</v>
      </c>
      <c r="B8596">
        <v>94</v>
      </c>
      <c r="C8596">
        <v>31523268</v>
      </c>
      <c r="D8596" t="s">
        <v>309</v>
      </c>
      <c r="E8596">
        <v>16.475000000000001</v>
      </c>
      <c r="F8596" t="s">
        <v>21</v>
      </c>
      <c r="G8596" t="s">
        <v>26</v>
      </c>
      <c r="H8596" t="s">
        <v>21</v>
      </c>
      <c r="I8596" t="s">
        <v>20</v>
      </c>
      <c r="J8596" t="s">
        <v>20</v>
      </c>
      <c r="K8596" t="s">
        <v>22</v>
      </c>
      <c r="L8596" t="s">
        <v>140</v>
      </c>
      <c r="M8596" t="s">
        <v>125</v>
      </c>
      <c r="N8596">
        <v>40.120404000000001</v>
      </c>
      <c r="O8596">
        <v>-111.578703</v>
      </c>
      <c r="P8596">
        <v>4668.7683770000003</v>
      </c>
      <c r="Q8596">
        <v>339</v>
      </c>
      <c r="R8596">
        <v>0</v>
      </c>
    </row>
    <row r="8597" spans="1:18" x14ac:dyDescent="0.25">
      <c r="A8597">
        <v>8446</v>
      </c>
      <c r="B8597">
        <v>94</v>
      </c>
      <c r="C8597">
        <v>31753449</v>
      </c>
      <c r="D8597" t="s">
        <v>231</v>
      </c>
      <c r="E8597">
        <v>16.478999999999999</v>
      </c>
      <c r="F8597" t="s">
        <v>21</v>
      </c>
      <c r="G8597" t="s">
        <v>26</v>
      </c>
      <c r="H8597" t="s">
        <v>21</v>
      </c>
      <c r="I8597" t="s">
        <v>20</v>
      </c>
      <c r="J8597" t="s">
        <v>20</v>
      </c>
      <c r="K8597" t="s">
        <v>41</v>
      </c>
      <c r="L8597" t="s">
        <v>57</v>
      </c>
      <c r="M8597" t="s">
        <v>93</v>
      </c>
      <c r="N8597">
        <v>41.274061000000003</v>
      </c>
      <c r="O8597">
        <v>-112.028153</v>
      </c>
      <c r="P8597">
        <v>4187.6896980000001</v>
      </c>
      <c r="Q8597">
        <v>1409</v>
      </c>
      <c r="R8597">
        <v>0</v>
      </c>
    </row>
    <row r="8598" spans="1:18" x14ac:dyDescent="0.25">
      <c r="A8598">
        <v>8447</v>
      </c>
      <c r="B8598">
        <v>94</v>
      </c>
      <c r="C8598" t="e">
        <f>-JOiELBTF9XMPK0BRCWIpF</f>
        <v>#NAME?</v>
      </c>
      <c r="D8598" t="s">
        <v>244</v>
      </c>
      <c r="E8598">
        <v>18.596</v>
      </c>
      <c r="F8598" t="s">
        <v>21</v>
      </c>
      <c r="G8598" t="s">
        <v>26</v>
      </c>
      <c r="H8598" t="s">
        <v>21</v>
      </c>
      <c r="I8598" t="s">
        <v>20</v>
      </c>
      <c r="J8598" t="s">
        <v>20</v>
      </c>
      <c r="K8598" t="s">
        <v>27</v>
      </c>
      <c r="L8598" t="s">
        <v>75</v>
      </c>
      <c r="M8598" t="s">
        <v>58</v>
      </c>
      <c r="N8598">
        <v>38.735664</v>
      </c>
      <c r="O8598">
        <v>-111.915381</v>
      </c>
      <c r="P8598">
        <v>6590.2111459999996</v>
      </c>
      <c r="Q8598">
        <v>1340</v>
      </c>
      <c r="R8598">
        <v>0</v>
      </c>
    </row>
    <row r="8599" spans="1:18" x14ac:dyDescent="0.25">
      <c r="A8599">
        <v>8448</v>
      </c>
      <c r="B8599">
        <v>94</v>
      </c>
      <c r="C8599">
        <v>31408005</v>
      </c>
      <c r="D8599" t="s">
        <v>63</v>
      </c>
      <c r="E8599">
        <v>18.600000000000001</v>
      </c>
      <c r="F8599" t="s">
        <v>21</v>
      </c>
      <c r="G8599" t="s">
        <v>20</v>
      </c>
      <c r="H8599" t="s">
        <v>21</v>
      </c>
      <c r="I8599" t="s">
        <v>20</v>
      </c>
      <c r="J8599" t="s">
        <v>20</v>
      </c>
      <c r="K8599" t="s">
        <v>27</v>
      </c>
      <c r="L8599" t="s">
        <v>64</v>
      </c>
      <c r="M8599" t="s">
        <v>29</v>
      </c>
      <c r="N8599">
        <v>38.249273000000002</v>
      </c>
      <c r="O8599">
        <v>-111.987133</v>
      </c>
      <c r="P8599">
        <v>6381.1039639999999</v>
      </c>
      <c r="Q8599">
        <v>1365</v>
      </c>
      <c r="R8599">
        <v>0</v>
      </c>
    </row>
    <row r="8600" spans="1:18" x14ac:dyDescent="0.25">
      <c r="A8600">
        <v>8449</v>
      </c>
      <c r="B8600">
        <v>94</v>
      </c>
      <c r="C8600">
        <v>31767430</v>
      </c>
      <c r="D8600" t="s">
        <v>268</v>
      </c>
      <c r="E8600">
        <v>18.603000000000002</v>
      </c>
      <c r="F8600" t="s">
        <v>21</v>
      </c>
      <c r="G8600" t="s">
        <v>26</v>
      </c>
      <c r="H8600" t="s">
        <v>21</v>
      </c>
      <c r="I8600" t="s">
        <v>20</v>
      </c>
      <c r="J8600" t="s">
        <v>20</v>
      </c>
      <c r="K8600" t="s">
        <v>41</v>
      </c>
      <c r="L8600" t="s">
        <v>181</v>
      </c>
      <c r="M8600" t="s">
        <v>43</v>
      </c>
      <c r="N8600">
        <v>41.662492</v>
      </c>
      <c r="O8600">
        <v>-112.44338500000001</v>
      </c>
      <c r="P8600">
        <v>4334.1478340000003</v>
      </c>
      <c r="Q8600">
        <v>1380</v>
      </c>
      <c r="R8600">
        <v>0</v>
      </c>
    </row>
    <row r="8601" spans="1:18" x14ac:dyDescent="0.25">
      <c r="A8601">
        <v>8450</v>
      </c>
      <c r="B8601">
        <v>94</v>
      </c>
      <c r="C8601" t="e">
        <f>-JX8ywAcGby-kKw9hEAGBF</f>
        <v>#NAME?</v>
      </c>
      <c r="D8601" t="s">
        <v>225</v>
      </c>
      <c r="E8601">
        <v>18.605</v>
      </c>
      <c r="F8601" t="s">
        <v>21</v>
      </c>
      <c r="G8601" t="s">
        <v>20</v>
      </c>
      <c r="H8601" t="s">
        <v>21</v>
      </c>
      <c r="I8601" t="s">
        <v>20</v>
      </c>
      <c r="J8601" t="s">
        <v>20</v>
      </c>
      <c r="K8601" t="s">
        <v>27</v>
      </c>
      <c r="L8601" t="s">
        <v>146</v>
      </c>
      <c r="M8601" t="s">
        <v>226</v>
      </c>
      <c r="N8601">
        <v>38.072800000000001</v>
      </c>
      <c r="O8601">
        <v>-109.35561800000001</v>
      </c>
      <c r="P8601">
        <v>5994.435493</v>
      </c>
      <c r="Q8601">
        <v>355</v>
      </c>
      <c r="R8601">
        <v>0</v>
      </c>
    </row>
    <row r="8602" spans="1:18" x14ac:dyDescent="0.25">
      <c r="A8602">
        <v>8451</v>
      </c>
      <c r="B8602">
        <v>94</v>
      </c>
      <c r="C8602">
        <v>31653742</v>
      </c>
      <c r="D8602" t="s">
        <v>240</v>
      </c>
      <c r="E8602">
        <v>18.619</v>
      </c>
      <c r="F8602" t="s">
        <v>21</v>
      </c>
      <c r="G8602" t="s">
        <v>20</v>
      </c>
      <c r="H8602" t="s">
        <v>21</v>
      </c>
      <c r="I8602" t="s">
        <v>20</v>
      </c>
      <c r="J8602" t="s">
        <v>20</v>
      </c>
      <c r="K8602" t="s">
        <v>27</v>
      </c>
      <c r="L8602" t="s">
        <v>146</v>
      </c>
      <c r="M8602" t="s">
        <v>147</v>
      </c>
      <c r="N8602">
        <v>38.327646000000001</v>
      </c>
      <c r="O8602">
        <v>-109.103133</v>
      </c>
      <c r="P8602">
        <v>6705.1321010000001</v>
      </c>
      <c r="Q8602">
        <v>1355</v>
      </c>
      <c r="R8602">
        <v>0</v>
      </c>
    </row>
    <row r="8603" spans="1:18" x14ac:dyDescent="0.25">
      <c r="A8603">
        <v>8452</v>
      </c>
      <c r="B8603">
        <v>94</v>
      </c>
      <c r="C8603">
        <v>31446260</v>
      </c>
      <c r="D8603" t="s">
        <v>288</v>
      </c>
      <c r="E8603">
        <v>121.95399999999999</v>
      </c>
      <c r="F8603" t="s">
        <v>21</v>
      </c>
      <c r="G8603" t="s">
        <v>26</v>
      </c>
      <c r="H8603" t="s">
        <v>21</v>
      </c>
      <c r="I8603" t="s">
        <v>20</v>
      </c>
      <c r="J8603" t="s">
        <v>20</v>
      </c>
      <c r="K8603" t="s">
        <v>27</v>
      </c>
      <c r="L8603" t="s">
        <v>38</v>
      </c>
      <c r="M8603" t="s">
        <v>152</v>
      </c>
      <c r="N8603">
        <v>38.533752999999997</v>
      </c>
      <c r="O8603">
        <v>-109.508814</v>
      </c>
      <c r="P8603">
        <v>4444.9072749999996</v>
      </c>
      <c r="Q8603">
        <v>350</v>
      </c>
      <c r="R8603">
        <v>0</v>
      </c>
    </row>
    <row r="8604" spans="1:18" x14ac:dyDescent="0.25">
      <c r="A8604">
        <v>8453</v>
      </c>
      <c r="B8604">
        <v>94</v>
      </c>
      <c r="C8604" t="e">
        <f>-IpUww-uIiylN_nefPjE3k</f>
        <v>#NAME?</v>
      </c>
      <c r="D8604" t="s">
        <v>288</v>
      </c>
      <c r="E8604">
        <v>122.063</v>
      </c>
      <c r="F8604" t="s">
        <v>21</v>
      </c>
      <c r="G8604" t="s">
        <v>26</v>
      </c>
      <c r="H8604" t="s">
        <v>21</v>
      </c>
      <c r="I8604" t="s">
        <v>20</v>
      </c>
      <c r="J8604" t="s">
        <v>20</v>
      </c>
      <c r="K8604" t="s">
        <v>27</v>
      </c>
      <c r="L8604" t="s">
        <v>38</v>
      </c>
      <c r="M8604" t="s">
        <v>152</v>
      </c>
      <c r="N8604">
        <v>38.535007999999998</v>
      </c>
      <c r="O8604">
        <v>-109.510031</v>
      </c>
      <c r="P8604">
        <v>4438.3303690000002</v>
      </c>
      <c r="Q8604">
        <v>350</v>
      </c>
      <c r="R8604">
        <v>0</v>
      </c>
    </row>
    <row r="8605" spans="1:18" x14ac:dyDescent="0.25">
      <c r="A8605">
        <v>8454</v>
      </c>
      <c r="B8605">
        <v>94</v>
      </c>
      <c r="C8605">
        <v>31712583</v>
      </c>
      <c r="D8605" t="s">
        <v>118</v>
      </c>
      <c r="E8605">
        <v>16.645</v>
      </c>
      <c r="F8605" t="s">
        <v>21</v>
      </c>
      <c r="G8605" t="s">
        <v>26</v>
      </c>
      <c r="H8605" t="s">
        <v>21</v>
      </c>
      <c r="I8605" t="s">
        <v>20</v>
      </c>
      <c r="J8605" t="s">
        <v>20</v>
      </c>
      <c r="K8605" t="s">
        <v>22</v>
      </c>
      <c r="L8605" t="s">
        <v>35</v>
      </c>
      <c r="M8605" t="s">
        <v>120</v>
      </c>
      <c r="N8605">
        <v>40.511623999999998</v>
      </c>
      <c r="O8605">
        <v>-111.413404</v>
      </c>
      <c r="P8605">
        <v>5538.2603419999996</v>
      </c>
      <c r="Q8605">
        <v>310</v>
      </c>
      <c r="R8605">
        <v>0</v>
      </c>
    </row>
    <row r="8606" spans="1:18" x14ac:dyDescent="0.25">
      <c r="A8606">
        <v>8455</v>
      </c>
      <c r="B8606">
        <v>94</v>
      </c>
      <c r="C8606">
        <v>31753910</v>
      </c>
      <c r="D8606" t="s">
        <v>231</v>
      </c>
      <c r="E8606">
        <v>16.649000000000001</v>
      </c>
      <c r="F8606" t="s">
        <v>21</v>
      </c>
      <c r="G8606" t="s">
        <v>26</v>
      </c>
      <c r="H8606" t="s">
        <v>21</v>
      </c>
      <c r="I8606" t="s">
        <v>20</v>
      </c>
      <c r="J8606" t="s">
        <v>20</v>
      </c>
      <c r="K8606" t="s">
        <v>41</v>
      </c>
      <c r="L8606" t="s">
        <v>57</v>
      </c>
      <c r="M8606" t="s">
        <v>93</v>
      </c>
      <c r="N8606">
        <v>41.276522</v>
      </c>
      <c r="O8606">
        <v>-112.028139</v>
      </c>
      <c r="P8606">
        <v>4188.3238190000002</v>
      </c>
      <c r="Q8606">
        <v>1409</v>
      </c>
      <c r="R8606">
        <v>0</v>
      </c>
    </row>
    <row r="8607" spans="1:18" x14ac:dyDescent="0.25">
      <c r="A8607">
        <v>8456</v>
      </c>
      <c r="B8607">
        <v>94</v>
      </c>
      <c r="C8607" t="e">
        <f>-JXhhGScHVDAjgfhp1apjV</f>
        <v>#NAME?</v>
      </c>
      <c r="D8607" t="s">
        <v>203</v>
      </c>
      <c r="E8607">
        <v>16.66</v>
      </c>
      <c r="F8607" t="s">
        <v>21</v>
      </c>
      <c r="G8607" t="s">
        <v>26</v>
      </c>
      <c r="H8607" t="s">
        <v>21</v>
      </c>
      <c r="I8607" t="s">
        <v>20</v>
      </c>
      <c r="J8607" t="s">
        <v>20</v>
      </c>
      <c r="K8607" t="s">
        <v>41</v>
      </c>
      <c r="L8607" t="s">
        <v>255</v>
      </c>
      <c r="M8607" t="s">
        <v>204</v>
      </c>
      <c r="N8607">
        <v>41.249600999999998</v>
      </c>
      <c r="O8607">
        <v>-111.792047</v>
      </c>
      <c r="P8607">
        <v>4901.2905629999996</v>
      </c>
      <c r="Q8607">
        <v>1349</v>
      </c>
      <c r="R8607">
        <v>0</v>
      </c>
    </row>
    <row r="8608" spans="1:18" x14ac:dyDescent="0.25">
      <c r="A8608">
        <v>8457</v>
      </c>
      <c r="B8608">
        <v>94</v>
      </c>
      <c r="C8608" t="e">
        <f>-IpPwwqeFWHuLiZezYPioF</f>
        <v>#NAME?</v>
      </c>
      <c r="D8608" t="s">
        <v>309</v>
      </c>
      <c r="E8608">
        <v>16.664999999999999</v>
      </c>
      <c r="F8608" t="s">
        <v>21</v>
      </c>
      <c r="G8608" t="s">
        <v>26</v>
      </c>
      <c r="H8608" t="s">
        <v>21</v>
      </c>
      <c r="I8608" t="s">
        <v>20</v>
      </c>
      <c r="J8608" t="s">
        <v>20</v>
      </c>
      <c r="K8608" t="s">
        <v>22</v>
      </c>
      <c r="L8608" t="s">
        <v>140</v>
      </c>
      <c r="M8608" t="s">
        <v>125</v>
      </c>
      <c r="N8608">
        <v>40.123153000000002</v>
      </c>
      <c r="O8608">
        <v>-111.578745</v>
      </c>
      <c r="P8608">
        <v>4664.7125839999999</v>
      </c>
      <c r="Q8608">
        <v>339</v>
      </c>
      <c r="R8608">
        <v>0</v>
      </c>
    </row>
    <row r="8609" spans="1:18" x14ac:dyDescent="0.25">
      <c r="A8609">
        <v>8458</v>
      </c>
      <c r="B8609">
        <v>94</v>
      </c>
      <c r="C8609">
        <v>31462606</v>
      </c>
      <c r="D8609" t="s">
        <v>91</v>
      </c>
      <c r="E8609">
        <v>16.664999999999999</v>
      </c>
      <c r="F8609" t="s">
        <v>21</v>
      </c>
      <c r="G8609" t="s">
        <v>26</v>
      </c>
      <c r="H8609" t="s">
        <v>21</v>
      </c>
      <c r="I8609" t="s">
        <v>20</v>
      </c>
      <c r="J8609" t="s">
        <v>20</v>
      </c>
      <c r="K8609" t="s">
        <v>41</v>
      </c>
      <c r="L8609" t="s">
        <v>42</v>
      </c>
      <c r="M8609" t="s">
        <v>73</v>
      </c>
      <c r="N8609">
        <v>41.842571</v>
      </c>
      <c r="O8609">
        <v>-112.004053</v>
      </c>
      <c r="P8609">
        <v>4369.8645980000001</v>
      </c>
      <c r="Q8609">
        <v>1339</v>
      </c>
      <c r="R8609">
        <v>0</v>
      </c>
    </row>
    <row r="8610" spans="1:18" x14ac:dyDescent="0.25">
      <c r="A8610">
        <v>8459</v>
      </c>
      <c r="B8610">
        <v>94</v>
      </c>
      <c r="C8610" t="e">
        <f>-IoLyKrUFQH8OwCSmtkQ8F</f>
        <v>#NAME?</v>
      </c>
      <c r="D8610" t="s">
        <v>304</v>
      </c>
      <c r="E8610">
        <v>16.670000000000002</v>
      </c>
      <c r="F8610" t="s">
        <v>21</v>
      </c>
      <c r="G8610" t="s">
        <v>20</v>
      </c>
      <c r="H8610" t="s">
        <v>21</v>
      </c>
      <c r="I8610" t="s">
        <v>20</v>
      </c>
      <c r="J8610" t="s">
        <v>20</v>
      </c>
      <c r="K8610" t="s">
        <v>41</v>
      </c>
      <c r="L8610" t="s">
        <v>223</v>
      </c>
      <c r="M8610" t="s">
        <v>43</v>
      </c>
      <c r="N8610">
        <v>41.753034</v>
      </c>
      <c r="O8610">
        <v>-112.09867800000001</v>
      </c>
      <c r="P8610">
        <v>4363.840056</v>
      </c>
      <c r="Q8610">
        <v>1348</v>
      </c>
      <c r="R8610">
        <v>0</v>
      </c>
    </row>
    <row r="8611" spans="1:18" x14ac:dyDescent="0.25">
      <c r="A8611">
        <v>8460</v>
      </c>
      <c r="B8611">
        <v>94</v>
      </c>
      <c r="C8611">
        <v>31515750</v>
      </c>
      <c r="D8611" t="s">
        <v>132</v>
      </c>
      <c r="E8611">
        <v>18.745999999999999</v>
      </c>
      <c r="F8611" t="s">
        <v>21</v>
      </c>
      <c r="G8611" t="s">
        <v>20</v>
      </c>
      <c r="H8611" t="s">
        <v>21</v>
      </c>
      <c r="I8611" t="s">
        <v>20</v>
      </c>
      <c r="J8611" t="s">
        <v>20</v>
      </c>
      <c r="K8611" t="s">
        <v>22</v>
      </c>
      <c r="L8611" t="s">
        <v>133</v>
      </c>
      <c r="M8611" t="s">
        <v>134</v>
      </c>
      <c r="N8611">
        <v>40.403770999999999</v>
      </c>
      <c r="O8611">
        <v>-109.892427</v>
      </c>
      <c r="P8611">
        <v>5470.8083919999999</v>
      </c>
      <c r="Q8611">
        <v>1405</v>
      </c>
      <c r="R8611">
        <v>0</v>
      </c>
    </row>
    <row r="8612" spans="1:18" x14ac:dyDescent="0.25">
      <c r="A8612">
        <v>8461</v>
      </c>
      <c r="B8612">
        <v>94</v>
      </c>
      <c r="C8612">
        <v>31308244</v>
      </c>
      <c r="D8612" t="s">
        <v>215</v>
      </c>
      <c r="E8612">
        <v>0.54200000000000004</v>
      </c>
      <c r="F8612" t="s">
        <v>21</v>
      </c>
      <c r="G8612" t="s">
        <v>26</v>
      </c>
      <c r="H8612" t="s">
        <v>21</v>
      </c>
      <c r="I8612" t="s">
        <v>20</v>
      </c>
      <c r="J8612" t="s">
        <v>20</v>
      </c>
      <c r="K8612" t="s">
        <v>22</v>
      </c>
      <c r="L8612" t="s">
        <v>23</v>
      </c>
      <c r="M8612" t="s">
        <v>85</v>
      </c>
      <c r="N8612">
        <v>40.233615999999998</v>
      </c>
      <c r="O8612">
        <v>-111.677925</v>
      </c>
      <c r="P8612">
        <v>4478.0968659999999</v>
      </c>
      <c r="Q8612">
        <v>330</v>
      </c>
      <c r="R8612">
        <v>0</v>
      </c>
    </row>
    <row r="8613" spans="1:18" x14ac:dyDescent="0.25">
      <c r="A8613">
        <v>8462</v>
      </c>
      <c r="B8613">
        <v>94</v>
      </c>
      <c r="C8613">
        <v>31387214</v>
      </c>
      <c r="D8613" t="s">
        <v>369</v>
      </c>
      <c r="E8613">
        <v>0.54200000000000004</v>
      </c>
      <c r="F8613" t="s">
        <v>21</v>
      </c>
      <c r="G8613" t="s">
        <v>26</v>
      </c>
      <c r="H8613" t="s">
        <v>21</v>
      </c>
      <c r="I8613" t="s">
        <v>20</v>
      </c>
      <c r="J8613" t="s">
        <v>20</v>
      </c>
      <c r="K8613" t="s">
        <v>22</v>
      </c>
      <c r="L8613" t="s">
        <v>198</v>
      </c>
      <c r="M8613" t="s">
        <v>76</v>
      </c>
      <c r="N8613">
        <v>40.031346999999997</v>
      </c>
      <c r="O8613">
        <v>-111.74839799999999</v>
      </c>
      <c r="P8613">
        <v>4593.736038</v>
      </c>
      <c r="Q8613">
        <v>347</v>
      </c>
      <c r="R8613">
        <v>0</v>
      </c>
    </row>
    <row r="8614" spans="1:18" x14ac:dyDescent="0.25">
      <c r="A8614">
        <v>8463</v>
      </c>
      <c r="B8614">
        <v>94</v>
      </c>
      <c r="C8614">
        <v>31269431</v>
      </c>
      <c r="D8614" t="s">
        <v>278</v>
      </c>
      <c r="E8614">
        <v>0.54600000000000004</v>
      </c>
      <c r="F8614" t="s">
        <v>21</v>
      </c>
      <c r="G8614" t="s">
        <v>26</v>
      </c>
      <c r="H8614" t="s">
        <v>21</v>
      </c>
      <c r="I8614" t="s">
        <v>20</v>
      </c>
      <c r="J8614" t="s">
        <v>20</v>
      </c>
      <c r="K8614" t="s">
        <v>27</v>
      </c>
      <c r="L8614" t="s">
        <v>501</v>
      </c>
      <c r="M8614" t="s">
        <v>280</v>
      </c>
      <c r="N8614">
        <v>37.676921</v>
      </c>
      <c r="O8614">
        <v>-113.051877</v>
      </c>
      <c r="P8614">
        <v>5823.8000959999999</v>
      </c>
      <c r="Q8614">
        <v>1330</v>
      </c>
      <c r="R8614">
        <v>0</v>
      </c>
    </row>
    <row r="8615" spans="1:18" x14ac:dyDescent="0.25">
      <c r="A8615">
        <v>8464</v>
      </c>
      <c r="B8615">
        <v>94</v>
      </c>
      <c r="C8615">
        <v>713392</v>
      </c>
      <c r="D8615" t="s">
        <v>68</v>
      </c>
      <c r="E8615">
        <v>0.55000000000000004</v>
      </c>
      <c r="F8615" t="s">
        <v>21</v>
      </c>
      <c r="G8615" t="s">
        <v>26</v>
      </c>
      <c r="H8615" t="s">
        <v>21</v>
      </c>
      <c r="I8615" t="s">
        <v>20</v>
      </c>
      <c r="J8615" t="s">
        <v>20</v>
      </c>
      <c r="K8615" t="s">
        <v>31</v>
      </c>
      <c r="L8615" t="s">
        <v>69</v>
      </c>
      <c r="M8615" t="s">
        <v>70</v>
      </c>
      <c r="N8615">
        <v>40.667631999999998</v>
      </c>
      <c r="O8615">
        <v>-111.94329500000001</v>
      </c>
      <c r="P8615">
        <v>4246.1319659999999</v>
      </c>
      <c r="Q8615">
        <v>431</v>
      </c>
      <c r="R8615">
        <v>0</v>
      </c>
    </row>
    <row r="8616" spans="1:18" x14ac:dyDescent="0.25">
      <c r="A8616">
        <v>8465</v>
      </c>
      <c r="B8616">
        <v>94</v>
      </c>
      <c r="C8616">
        <v>31390906</v>
      </c>
      <c r="D8616" t="s">
        <v>124</v>
      </c>
      <c r="E8616">
        <v>0.55100000000000005</v>
      </c>
      <c r="F8616" t="s">
        <v>21</v>
      </c>
      <c r="G8616" t="s">
        <v>26</v>
      </c>
      <c r="H8616" t="s">
        <v>21</v>
      </c>
      <c r="I8616" t="s">
        <v>20</v>
      </c>
      <c r="J8616" t="s">
        <v>20</v>
      </c>
      <c r="K8616" t="s">
        <v>22</v>
      </c>
      <c r="L8616" t="s">
        <v>193</v>
      </c>
      <c r="M8616" t="s">
        <v>194</v>
      </c>
      <c r="N8616">
        <v>39.959980999999999</v>
      </c>
      <c r="O8616">
        <v>-111.956423</v>
      </c>
      <c r="P8616">
        <v>4623.7804290000004</v>
      </c>
      <c r="Q8616">
        <v>1368</v>
      </c>
      <c r="R8616">
        <v>0</v>
      </c>
    </row>
    <row r="8617" spans="1:18" x14ac:dyDescent="0.25">
      <c r="A8617">
        <v>8466</v>
      </c>
      <c r="B8617">
        <v>94</v>
      </c>
      <c r="C8617">
        <v>31766910</v>
      </c>
      <c r="D8617" t="s">
        <v>184</v>
      </c>
      <c r="E8617">
        <v>0.55300000000000005</v>
      </c>
      <c r="F8617" t="s">
        <v>21</v>
      </c>
      <c r="G8617" t="s">
        <v>26</v>
      </c>
      <c r="H8617" t="s">
        <v>21</v>
      </c>
      <c r="I8617" t="s">
        <v>20</v>
      </c>
      <c r="J8617" t="s">
        <v>20</v>
      </c>
      <c r="K8617" t="s">
        <v>27</v>
      </c>
      <c r="L8617" t="s">
        <v>54</v>
      </c>
      <c r="M8617" t="s">
        <v>55</v>
      </c>
      <c r="N8617">
        <v>37.657471000000001</v>
      </c>
      <c r="O8617">
        <v>-113.075367</v>
      </c>
      <c r="P8617">
        <v>5912.0755120000003</v>
      </c>
      <c r="Q8617">
        <v>1410</v>
      </c>
      <c r="R8617">
        <v>0</v>
      </c>
    </row>
    <row r="8618" spans="1:18" x14ac:dyDescent="0.25">
      <c r="A8618">
        <v>8467</v>
      </c>
      <c r="B8618">
        <v>94</v>
      </c>
      <c r="C8618" t="s">
        <v>1000</v>
      </c>
      <c r="D8618" t="s">
        <v>417</v>
      </c>
      <c r="E8618">
        <v>0.55300000000000005</v>
      </c>
      <c r="F8618" t="s">
        <v>19</v>
      </c>
      <c r="G8618" t="s">
        <v>20</v>
      </c>
      <c r="H8618" t="s">
        <v>21</v>
      </c>
      <c r="I8618" t="s">
        <v>20</v>
      </c>
      <c r="J8618" t="s">
        <v>20</v>
      </c>
      <c r="K8618" t="s">
        <v>22</v>
      </c>
      <c r="L8618" t="s">
        <v>84</v>
      </c>
      <c r="M8618" t="s">
        <v>24</v>
      </c>
      <c r="N8618">
        <v>40.412503999999998</v>
      </c>
      <c r="O8618">
        <v>-111.876806</v>
      </c>
      <c r="P8618">
        <v>4493.8006889999997</v>
      </c>
      <c r="Q8618">
        <v>6765</v>
      </c>
      <c r="R8618">
        <v>0</v>
      </c>
    </row>
    <row r="8619" spans="1:18" x14ac:dyDescent="0.25">
      <c r="A8619">
        <v>8468</v>
      </c>
      <c r="B8619">
        <v>94</v>
      </c>
      <c r="C8619">
        <v>31190835</v>
      </c>
      <c r="D8619" t="s">
        <v>339</v>
      </c>
      <c r="E8619">
        <v>0.55500000000000005</v>
      </c>
      <c r="F8619" t="s">
        <v>21</v>
      </c>
      <c r="G8619" t="s">
        <v>26</v>
      </c>
      <c r="H8619" t="s">
        <v>21</v>
      </c>
      <c r="I8619" t="s">
        <v>20</v>
      </c>
      <c r="J8619" t="s">
        <v>20</v>
      </c>
      <c r="K8619" t="s">
        <v>41</v>
      </c>
      <c r="L8619" t="s">
        <v>95</v>
      </c>
      <c r="M8619" t="s">
        <v>73</v>
      </c>
      <c r="N8619">
        <v>41.866388000000001</v>
      </c>
      <c r="O8619">
        <v>-112.008439</v>
      </c>
      <c r="P8619">
        <v>4549.560262</v>
      </c>
      <c r="Q8619">
        <v>1417</v>
      </c>
      <c r="R8619">
        <v>0</v>
      </c>
    </row>
    <row r="8620" spans="1:18" x14ac:dyDescent="0.25">
      <c r="A8620">
        <v>8469</v>
      </c>
      <c r="B8620">
        <v>94</v>
      </c>
      <c r="C8620" t="e">
        <f>-JdY4Jh6Ia5bCHbxeGjlQF</f>
        <v>#NAME?</v>
      </c>
      <c r="D8620" t="s">
        <v>403</v>
      </c>
      <c r="E8620">
        <v>0.55500000000000005</v>
      </c>
      <c r="F8620" t="s">
        <v>21</v>
      </c>
      <c r="G8620" t="s">
        <v>26</v>
      </c>
      <c r="H8620" t="s">
        <v>21</v>
      </c>
      <c r="I8620" t="s">
        <v>20</v>
      </c>
      <c r="J8620" t="s">
        <v>20</v>
      </c>
      <c r="K8620" t="s">
        <v>27</v>
      </c>
      <c r="L8620" t="s">
        <v>72</v>
      </c>
      <c r="M8620" t="s">
        <v>73</v>
      </c>
      <c r="N8620">
        <v>37.123058</v>
      </c>
      <c r="O8620">
        <v>-113.613584</v>
      </c>
      <c r="P8620">
        <v>2750.7243680000001</v>
      </c>
      <c r="Q8620">
        <v>303</v>
      </c>
      <c r="R8620">
        <v>0</v>
      </c>
    </row>
    <row r="8621" spans="1:18" x14ac:dyDescent="0.25">
      <c r="A8621">
        <v>8470</v>
      </c>
      <c r="B8621">
        <v>94</v>
      </c>
      <c r="C8621">
        <v>1734318</v>
      </c>
      <c r="D8621" t="s">
        <v>260</v>
      </c>
      <c r="E8621">
        <v>0.55700000000000005</v>
      </c>
      <c r="F8621" t="s">
        <v>21</v>
      </c>
      <c r="G8621" t="s">
        <v>26</v>
      </c>
      <c r="H8621" t="s">
        <v>21</v>
      </c>
      <c r="I8621" t="s">
        <v>20</v>
      </c>
      <c r="J8621" t="s">
        <v>20</v>
      </c>
      <c r="K8621" t="s">
        <v>41</v>
      </c>
      <c r="L8621" t="s">
        <v>81</v>
      </c>
      <c r="M8621" t="s">
        <v>46</v>
      </c>
      <c r="N8621">
        <v>41.223067999999998</v>
      </c>
      <c r="O8621">
        <v>-111.997283</v>
      </c>
      <c r="P8621">
        <v>4269.3810970000004</v>
      </c>
      <c r="Q8621">
        <v>1358</v>
      </c>
      <c r="R8621">
        <v>0</v>
      </c>
    </row>
    <row r="8622" spans="1:18" x14ac:dyDescent="0.25">
      <c r="A8622">
        <v>8471</v>
      </c>
      <c r="B8622">
        <v>94</v>
      </c>
      <c r="C8622">
        <v>1736717</v>
      </c>
      <c r="D8622" t="s">
        <v>197</v>
      </c>
      <c r="E8622">
        <v>0.88700000000000001</v>
      </c>
      <c r="F8622" t="s">
        <v>21</v>
      </c>
      <c r="G8622" t="s">
        <v>26</v>
      </c>
      <c r="H8622" t="s">
        <v>21</v>
      </c>
      <c r="I8622" t="s">
        <v>20</v>
      </c>
      <c r="J8622" t="s">
        <v>20</v>
      </c>
      <c r="K8622" t="s">
        <v>22</v>
      </c>
      <c r="L8622" t="s">
        <v>198</v>
      </c>
      <c r="M8622" t="s">
        <v>125</v>
      </c>
      <c r="N8622">
        <v>39.982129999999998</v>
      </c>
      <c r="O8622">
        <v>-111.84042100000001</v>
      </c>
      <c r="P8622">
        <v>4573.5556219999999</v>
      </c>
      <c r="Q8622">
        <v>1416</v>
      </c>
      <c r="R8622">
        <v>0</v>
      </c>
    </row>
    <row r="8623" spans="1:18" x14ac:dyDescent="0.25">
      <c r="A8623">
        <v>8472</v>
      </c>
      <c r="B8623">
        <v>94</v>
      </c>
      <c r="C8623" t="s">
        <v>1001</v>
      </c>
      <c r="D8623" t="s">
        <v>312</v>
      </c>
      <c r="E8623">
        <v>0.88800000000000001</v>
      </c>
      <c r="F8623" t="s">
        <v>21</v>
      </c>
      <c r="G8623" t="s">
        <v>20</v>
      </c>
      <c r="H8623" t="s">
        <v>21</v>
      </c>
      <c r="I8623" t="s">
        <v>20</v>
      </c>
      <c r="J8623" t="s">
        <v>20</v>
      </c>
      <c r="K8623" t="s">
        <v>27</v>
      </c>
      <c r="L8623" t="s">
        <v>143</v>
      </c>
      <c r="M8623" t="s">
        <v>313</v>
      </c>
      <c r="N8623">
        <v>38.409911000000001</v>
      </c>
      <c r="O8623">
        <v>-113.009899</v>
      </c>
      <c r="P8623">
        <v>4934.650713</v>
      </c>
      <c r="Q8623">
        <v>255</v>
      </c>
      <c r="R8623">
        <v>0</v>
      </c>
    </row>
    <row r="8624" spans="1:18" x14ac:dyDescent="0.25">
      <c r="A8624">
        <v>8473</v>
      </c>
      <c r="B8624">
        <v>94</v>
      </c>
      <c r="C8624" t="e">
        <f>-Ip5GlfHHp5jOuqqHMAVYF</f>
        <v>#NAME?</v>
      </c>
      <c r="D8624" t="s">
        <v>208</v>
      </c>
      <c r="E8624">
        <v>0.88900000000000001</v>
      </c>
      <c r="F8624" t="s">
        <v>21</v>
      </c>
      <c r="G8624" t="s">
        <v>26</v>
      </c>
      <c r="H8624" t="s">
        <v>21</v>
      </c>
      <c r="I8624" t="s">
        <v>20</v>
      </c>
      <c r="J8624" t="s">
        <v>20</v>
      </c>
      <c r="K8624" t="s">
        <v>31</v>
      </c>
      <c r="L8624" t="s">
        <v>209</v>
      </c>
      <c r="M8624" t="s">
        <v>131</v>
      </c>
      <c r="N8624">
        <v>40.615631999999998</v>
      </c>
      <c r="O8624">
        <v>-111.507497</v>
      </c>
      <c r="P8624">
        <v>8394.6306609999992</v>
      </c>
      <c r="Q8624">
        <v>357</v>
      </c>
      <c r="R8624">
        <v>0</v>
      </c>
    </row>
    <row r="8625" spans="1:18" x14ac:dyDescent="0.25">
      <c r="A8625">
        <v>8474</v>
      </c>
      <c r="B8625">
        <v>94</v>
      </c>
      <c r="C8625">
        <v>31500730</v>
      </c>
      <c r="D8625" t="s">
        <v>292</v>
      </c>
      <c r="E8625">
        <v>0.89</v>
      </c>
      <c r="F8625" t="s">
        <v>21</v>
      </c>
      <c r="G8625" t="s">
        <v>26</v>
      </c>
      <c r="H8625" t="s">
        <v>21</v>
      </c>
      <c r="I8625" t="s">
        <v>20</v>
      </c>
      <c r="J8625" t="s">
        <v>20</v>
      </c>
      <c r="K8625" t="s">
        <v>22</v>
      </c>
      <c r="L8625" t="s">
        <v>253</v>
      </c>
      <c r="M8625" t="s">
        <v>134</v>
      </c>
      <c r="N8625">
        <v>40.176375</v>
      </c>
      <c r="O8625">
        <v>-110.40053</v>
      </c>
      <c r="P8625">
        <v>5556.3410830000003</v>
      </c>
      <c r="Q8625">
        <v>323</v>
      </c>
      <c r="R8625">
        <v>0</v>
      </c>
    </row>
    <row r="8626" spans="1:18" x14ac:dyDescent="0.25">
      <c r="A8626">
        <v>8475</v>
      </c>
      <c r="B8626">
        <v>94</v>
      </c>
      <c r="C8626">
        <v>31631540</v>
      </c>
      <c r="D8626" t="s">
        <v>402</v>
      </c>
      <c r="E8626">
        <v>0.89200000000000002</v>
      </c>
      <c r="F8626" t="s">
        <v>21</v>
      </c>
      <c r="G8626" t="s">
        <v>26</v>
      </c>
      <c r="H8626" t="s">
        <v>21</v>
      </c>
      <c r="I8626" t="s">
        <v>20</v>
      </c>
      <c r="J8626" t="s">
        <v>20</v>
      </c>
      <c r="K8626" t="s">
        <v>27</v>
      </c>
      <c r="L8626" t="s">
        <v>350</v>
      </c>
      <c r="M8626" t="s">
        <v>58</v>
      </c>
      <c r="N8626">
        <v>39.359777000000001</v>
      </c>
      <c r="O8626">
        <v>-111.58183099999999</v>
      </c>
      <c r="P8626">
        <v>5501.2183910000003</v>
      </c>
      <c r="Q8626">
        <v>438</v>
      </c>
      <c r="R8626">
        <v>0</v>
      </c>
    </row>
    <row r="8627" spans="1:18" x14ac:dyDescent="0.25">
      <c r="A8627">
        <v>8476</v>
      </c>
      <c r="B8627">
        <v>94</v>
      </c>
      <c r="C8627" t="e">
        <f>-IrB17PzIXXtKkwINIGjDk</f>
        <v>#NAME?</v>
      </c>
      <c r="D8627" t="s">
        <v>92</v>
      </c>
      <c r="E8627">
        <v>0.89300000000000002</v>
      </c>
      <c r="F8627" t="s">
        <v>21</v>
      </c>
      <c r="G8627" t="s">
        <v>26</v>
      </c>
      <c r="H8627" t="s">
        <v>21</v>
      </c>
      <c r="I8627" t="s">
        <v>20</v>
      </c>
      <c r="J8627" t="s">
        <v>20</v>
      </c>
      <c r="K8627" t="s">
        <v>41</v>
      </c>
      <c r="L8627" t="s">
        <v>87</v>
      </c>
      <c r="M8627" t="s">
        <v>93</v>
      </c>
      <c r="N8627">
        <v>41.083607999999998</v>
      </c>
      <c r="O8627">
        <v>-111.973479</v>
      </c>
      <c r="P8627">
        <v>4421.1282490000003</v>
      </c>
      <c r="Q8627">
        <v>252</v>
      </c>
      <c r="R8627">
        <v>0</v>
      </c>
    </row>
    <row r="8628" spans="1:18" x14ac:dyDescent="0.25">
      <c r="A8628">
        <v>8477</v>
      </c>
      <c r="B8628">
        <v>94</v>
      </c>
      <c r="C8628">
        <v>31387599</v>
      </c>
      <c r="D8628" t="s">
        <v>369</v>
      </c>
      <c r="E8628">
        <v>0.89400000000000002</v>
      </c>
      <c r="F8628" t="s">
        <v>21</v>
      </c>
      <c r="G8628" t="s">
        <v>26</v>
      </c>
      <c r="H8628" t="s">
        <v>21</v>
      </c>
      <c r="I8628" t="s">
        <v>20</v>
      </c>
      <c r="J8628" t="s">
        <v>20</v>
      </c>
      <c r="K8628" t="s">
        <v>22</v>
      </c>
      <c r="L8628" t="s">
        <v>198</v>
      </c>
      <c r="M8628" t="s">
        <v>76</v>
      </c>
      <c r="N8628">
        <v>40.031337000000001</v>
      </c>
      <c r="O8628">
        <v>-111.74172</v>
      </c>
      <c r="P8628">
        <v>4615.7647299999999</v>
      </c>
      <c r="Q8628">
        <v>347</v>
      </c>
      <c r="R8628">
        <v>0</v>
      </c>
    </row>
    <row r="8629" spans="1:18" x14ac:dyDescent="0.25">
      <c r="A8629">
        <v>8478</v>
      </c>
      <c r="B8629">
        <v>94</v>
      </c>
      <c r="C8629">
        <v>31466321</v>
      </c>
      <c r="D8629" t="s">
        <v>404</v>
      </c>
      <c r="E8629">
        <v>0.89500000000000002</v>
      </c>
      <c r="F8629" t="s">
        <v>21</v>
      </c>
      <c r="G8629" t="s">
        <v>20</v>
      </c>
      <c r="H8629" t="s">
        <v>21</v>
      </c>
      <c r="I8629" t="s">
        <v>20</v>
      </c>
      <c r="J8629" t="s">
        <v>20</v>
      </c>
      <c r="K8629" t="s">
        <v>27</v>
      </c>
      <c r="L8629" t="s">
        <v>405</v>
      </c>
      <c r="M8629" t="s">
        <v>238</v>
      </c>
      <c r="N8629">
        <v>38.970159000000002</v>
      </c>
      <c r="O8629">
        <v>-109.71491899999999</v>
      </c>
      <c r="P8629">
        <v>5067.6575300000004</v>
      </c>
      <c r="Q8629">
        <v>325</v>
      </c>
      <c r="R8629">
        <v>0</v>
      </c>
    </row>
    <row r="8630" spans="1:18" x14ac:dyDescent="0.25">
      <c r="A8630">
        <v>8479</v>
      </c>
      <c r="B8630">
        <v>94</v>
      </c>
      <c r="C8630">
        <v>31400901</v>
      </c>
      <c r="D8630" t="s">
        <v>139</v>
      </c>
      <c r="E8630">
        <v>0.89500000000000002</v>
      </c>
      <c r="F8630" t="s">
        <v>21</v>
      </c>
      <c r="G8630" t="s">
        <v>26</v>
      </c>
      <c r="H8630" t="s">
        <v>21</v>
      </c>
      <c r="I8630" t="s">
        <v>20</v>
      </c>
      <c r="J8630" t="s">
        <v>20</v>
      </c>
      <c r="K8630" t="s">
        <v>22</v>
      </c>
      <c r="L8630" t="s">
        <v>140</v>
      </c>
      <c r="M8630" t="s">
        <v>141</v>
      </c>
      <c r="N8630">
        <v>40.118856999999998</v>
      </c>
      <c r="O8630">
        <v>-111.654731</v>
      </c>
      <c r="P8630">
        <v>4509.404751</v>
      </c>
      <c r="Q8630">
        <v>342</v>
      </c>
      <c r="R8630">
        <v>0</v>
      </c>
    </row>
    <row r="8631" spans="1:18" x14ac:dyDescent="0.25">
      <c r="A8631">
        <v>8480</v>
      </c>
      <c r="B8631">
        <v>94</v>
      </c>
      <c r="C8631" t="e">
        <f>-JXUMJk7HNLGxeW6Eq9syV</f>
        <v>#NAME?</v>
      </c>
      <c r="D8631" t="s">
        <v>258</v>
      </c>
      <c r="E8631">
        <v>0.89600000000000002</v>
      </c>
      <c r="F8631" t="s">
        <v>21</v>
      </c>
      <c r="G8631" t="s">
        <v>26</v>
      </c>
      <c r="H8631" t="s">
        <v>21</v>
      </c>
      <c r="I8631" t="s">
        <v>20</v>
      </c>
      <c r="J8631" t="s">
        <v>20</v>
      </c>
      <c r="K8631" t="s">
        <v>27</v>
      </c>
      <c r="L8631" t="s">
        <v>259</v>
      </c>
      <c r="M8631" t="s">
        <v>29</v>
      </c>
      <c r="N8631">
        <v>37.013227999999998</v>
      </c>
      <c r="O8631">
        <v>-112.525226</v>
      </c>
      <c r="P8631">
        <v>4778.8268129999997</v>
      </c>
      <c r="Q8631">
        <v>301</v>
      </c>
      <c r="R8631">
        <v>0</v>
      </c>
    </row>
    <row r="8632" spans="1:18" x14ac:dyDescent="0.25">
      <c r="A8632">
        <v>8481</v>
      </c>
      <c r="B8632">
        <v>94</v>
      </c>
      <c r="C8632">
        <v>27100432</v>
      </c>
      <c r="D8632" t="s">
        <v>351</v>
      </c>
      <c r="E8632">
        <v>0.89900000000000002</v>
      </c>
      <c r="F8632" t="s">
        <v>21</v>
      </c>
      <c r="G8632" t="s">
        <v>26</v>
      </c>
      <c r="H8632" t="s">
        <v>21</v>
      </c>
      <c r="I8632" t="s">
        <v>20</v>
      </c>
      <c r="J8632" t="s">
        <v>20</v>
      </c>
      <c r="K8632" t="s">
        <v>22</v>
      </c>
      <c r="L8632" t="s">
        <v>140</v>
      </c>
      <c r="M8632" t="s">
        <v>125</v>
      </c>
      <c r="N8632">
        <v>40.126249999999999</v>
      </c>
      <c r="O8632">
        <v>-111.626251</v>
      </c>
      <c r="P8632">
        <v>4565.6205220000002</v>
      </c>
      <c r="Q8632">
        <v>1357</v>
      </c>
      <c r="R8632">
        <v>0</v>
      </c>
    </row>
    <row r="8633" spans="1:18" x14ac:dyDescent="0.25">
      <c r="A8633">
        <v>8482</v>
      </c>
      <c r="B8633">
        <v>94</v>
      </c>
      <c r="C8633">
        <v>31597024</v>
      </c>
      <c r="D8633" t="s">
        <v>50</v>
      </c>
      <c r="E8633">
        <v>1.258</v>
      </c>
      <c r="F8633" t="s">
        <v>21</v>
      </c>
      <c r="G8633" t="s">
        <v>26</v>
      </c>
      <c r="H8633" t="s">
        <v>21</v>
      </c>
      <c r="I8633" t="s">
        <v>20</v>
      </c>
      <c r="J8633" t="s">
        <v>20</v>
      </c>
      <c r="K8633" t="s">
        <v>27</v>
      </c>
      <c r="L8633" t="s">
        <v>51</v>
      </c>
      <c r="M8633" t="s">
        <v>52</v>
      </c>
      <c r="N8633">
        <v>37.838631999999997</v>
      </c>
      <c r="O8633">
        <v>-112.848561</v>
      </c>
      <c r="P8633">
        <v>5839.7013610000004</v>
      </c>
      <c r="Q8633">
        <v>1418</v>
      </c>
      <c r="R8633">
        <v>0</v>
      </c>
    </row>
    <row r="8634" spans="1:18" x14ac:dyDescent="0.25">
      <c r="A8634">
        <v>8483</v>
      </c>
      <c r="B8634">
        <v>94</v>
      </c>
      <c r="C8634" t="s">
        <v>1002</v>
      </c>
      <c r="D8634" t="s">
        <v>88</v>
      </c>
      <c r="E8634">
        <v>1.2589999999999999</v>
      </c>
      <c r="F8634" t="s">
        <v>21</v>
      </c>
      <c r="G8634" t="s">
        <v>26</v>
      </c>
      <c r="H8634" t="s">
        <v>21</v>
      </c>
      <c r="I8634" t="s">
        <v>20</v>
      </c>
      <c r="J8634" t="s">
        <v>20</v>
      </c>
      <c r="K8634" t="s">
        <v>31</v>
      </c>
      <c r="L8634" t="s">
        <v>89</v>
      </c>
      <c r="M8634" t="s">
        <v>49</v>
      </c>
      <c r="N8634">
        <v>40.522399999999998</v>
      </c>
      <c r="O8634">
        <v>-111.959996</v>
      </c>
      <c r="P8634">
        <v>4466.7383609999997</v>
      </c>
      <c r="Q8634">
        <v>318</v>
      </c>
      <c r="R8634">
        <v>0</v>
      </c>
    </row>
    <row r="8635" spans="1:18" x14ac:dyDescent="0.25">
      <c r="A8635">
        <v>8484</v>
      </c>
      <c r="B8635">
        <v>94</v>
      </c>
      <c r="C8635" t="e">
        <f>-IovZ5L9IHeCfCyL4hOFnV</f>
        <v>#NAME?</v>
      </c>
      <c r="D8635" t="s">
        <v>187</v>
      </c>
      <c r="E8635">
        <v>1.2609999999999999</v>
      </c>
      <c r="F8635" t="s">
        <v>21</v>
      </c>
      <c r="G8635" t="s">
        <v>26</v>
      </c>
      <c r="H8635" t="s">
        <v>21</v>
      </c>
      <c r="I8635" t="s">
        <v>20</v>
      </c>
      <c r="J8635" t="s">
        <v>20</v>
      </c>
      <c r="K8635" t="s">
        <v>31</v>
      </c>
      <c r="L8635" t="s">
        <v>188</v>
      </c>
      <c r="M8635" t="s">
        <v>90</v>
      </c>
      <c r="N8635">
        <v>40.760238000000001</v>
      </c>
      <c r="O8635">
        <v>-111.834883</v>
      </c>
      <c r="P8635">
        <v>4766.5852679999998</v>
      </c>
      <c r="Q8635">
        <v>435</v>
      </c>
      <c r="R8635">
        <v>0</v>
      </c>
    </row>
    <row r="8636" spans="1:18" x14ac:dyDescent="0.25">
      <c r="A8636">
        <v>8485</v>
      </c>
      <c r="B8636">
        <v>94</v>
      </c>
      <c r="C8636">
        <v>31835528</v>
      </c>
      <c r="D8636" t="s">
        <v>161</v>
      </c>
      <c r="E8636">
        <v>1.2629999999999999</v>
      </c>
      <c r="F8636" t="s">
        <v>21</v>
      </c>
      <c r="G8636" t="s">
        <v>26</v>
      </c>
      <c r="H8636" t="s">
        <v>21</v>
      </c>
      <c r="I8636" t="s">
        <v>20</v>
      </c>
      <c r="J8636" t="s">
        <v>20</v>
      </c>
      <c r="K8636" t="s">
        <v>27</v>
      </c>
      <c r="L8636" t="s">
        <v>162</v>
      </c>
      <c r="M8636" t="s">
        <v>163</v>
      </c>
      <c r="N8636">
        <v>37.573574999999998</v>
      </c>
      <c r="O8636">
        <v>-113.71191</v>
      </c>
      <c r="P8636">
        <v>5257.3812760000001</v>
      </c>
      <c r="Q8636">
        <v>419</v>
      </c>
      <c r="R8636">
        <v>0</v>
      </c>
    </row>
    <row r="8637" spans="1:18" x14ac:dyDescent="0.25">
      <c r="A8637">
        <v>8486</v>
      </c>
      <c r="B8637">
        <v>94</v>
      </c>
      <c r="C8637">
        <v>28226651</v>
      </c>
      <c r="D8637" t="s">
        <v>240</v>
      </c>
      <c r="E8637">
        <v>0.94499999999999995</v>
      </c>
      <c r="F8637" t="s">
        <v>21</v>
      </c>
      <c r="G8637" t="s">
        <v>26</v>
      </c>
      <c r="H8637" t="s">
        <v>21</v>
      </c>
      <c r="I8637" t="s">
        <v>20</v>
      </c>
      <c r="J8637" t="s">
        <v>20</v>
      </c>
      <c r="K8637" t="s">
        <v>27</v>
      </c>
      <c r="L8637" t="s">
        <v>146</v>
      </c>
      <c r="M8637" t="s">
        <v>147</v>
      </c>
      <c r="N8637">
        <v>38.30462</v>
      </c>
      <c r="O8637">
        <v>-109.38724999999999</v>
      </c>
      <c r="P8637">
        <v>5901.2001970000001</v>
      </c>
      <c r="Q8637">
        <v>1355</v>
      </c>
      <c r="R8637">
        <v>0</v>
      </c>
    </row>
    <row r="8638" spans="1:18" x14ac:dyDescent="0.25">
      <c r="A8638">
        <v>8487</v>
      </c>
      <c r="B8638">
        <v>94</v>
      </c>
      <c r="C8638">
        <v>31390465</v>
      </c>
      <c r="D8638" t="s">
        <v>377</v>
      </c>
      <c r="E8638">
        <v>0.94599999999999995</v>
      </c>
      <c r="F8638" t="s">
        <v>21</v>
      </c>
      <c r="G8638" t="s">
        <v>26</v>
      </c>
      <c r="H8638" t="s">
        <v>21</v>
      </c>
      <c r="I8638" t="s">
        <v>20</v>
      </c>
      <c r="J8638" t="s">
        <v>20</v>
      </c>
      <c r="K8638" t="s">
        <v>22</v>
      </c>
      <c r="L8638" t="s">
        <v>84</v>
      </c>
      <c r="M8638" t="s">
        <v>24</v>
      </c>
      <c r="N8638">
        <v>40.372641000000002</v>
      </c>
      <c r="O8638">
        <v>-111.785274</v>
      </c>
      <c r="P8638">
        <v>4539.2878140000003</v>
      </c>
      <c r="Q8638">
        <v>1439</v>
      </c>
      <c r="R8638">
        <v>0</v>
      </c>
    </row>
    <row r="8639" spans="1:18" x14ac:dyDescent="0.25">
      <c r="A8639">
        <v>8488</v>
      </c>
      <c r="B8639">
        <v>94</v>
      </c>
      <c r="C8639">
        <v>1481308</v>
      </c>
      <c r="D8639" t="s">
        <v>434</v>
      </c>
      <c r="E8639">
        <v>0</v>
      </c>
      <c r="F8639" t="s">
        <v>19</v>
      </c>
      <c r="G8639" t="s">
        <v>20</v>
      </c>
      <c r="H8639" t="s">
        <v>19</v>
      </c>
      <c r="I8639">
        <v>71</v>
      </c>
      <c r="J8639" t="s">
        <v>20</v>
      </c>
      <c r="K8639" t="s">
        <v>31</v>
      </c>
      <c r="L8639" t="s">
        <v>32</v>
      </c>
      <c r="M8639" t="s">
        <v>70</v>
      </c>
      <c r="N8639">
        <v>40.665674000000003</v>
      </c>
      <c r="O8639">
        <v>-111.864834</v>
      </c>
      <c r="P8639">
        <v>4242.1312820000003</v>
      </c>
      <c r="Q8639">
        <v>1424</v>
      </c>
      <c r="R8639">
        <v>0</v>
      </c>
    </row>
    <row r="8640" spans="1:18" x14ac:dyDescent="0.25">
      <c r="A8640">
        <v>8489</v>
      </c>
      <c r="B8640">
        <v>94</v>
      </c>
      <c r="C8640">
        <v>803540</v>
      </c>
      <c r="D8640" t="s">
        <v>44</v>
      </c>
      <c r="E8640">
        <v>0</v>
      </c>
      <c r="F8640" t="s">
        <v>21</v>
      </c>
      <c r="G8640" t="s">
        <v>26</v>
      </c>
      <c r="H8640" t="s">
        <v>21</v>
      </c>
      <c r="I8640" t="s">
        <v>20</v>
      </c>
      <c r="J8640" t="s">
        <v>20</v>
      </c>
      <c r="K8640" t="s">
        <v>41</v>
      </c>
      <c r="L8640" t="s">
        <v>45</v>
      </c>
      <c r="M8640" t="s">
        <v>46</v>
      </c>
      <c r="N8640">
        <v>40.893917000000002</v>
      </c>
      <c r="O8640">
        <v>-111.90086100000001</v>
      </c>
      <c r="P8640">
        <v>4216.6285660000003</v>
      </c>
      <c r="Q8640">
        <v>1395</v>
      </c>
      <c r="R8640">
        <v>0</v>
      </c>
    </row>
    <row r="8641" spans="1:18" x14ac:dyDescent="0.25">
      <c r="A8641">
        <v>8490</v>
      </c>
      <c r="B8641">
        <v>94</v>
      </c>
      <c r="C8641" t="e">
        <f>-Iq-EoYPFiDh8kg_y39b0k</f>
        <v>#NAME?</v>
      </c>
      <c r="D8641" t="s">
        <v>1003</v>
      </c>
      <c r="E8641">
        <v>0</v>
      </c>
      <c r="F8641" t="s">
        <v>21</v>
      </c>
      <c r="G8641" t="s">
        <v>26</v>
      </c>
      <c r="H8641" t="s">
        <v>21</v>
      </c>
      <c r="I8641" t="s">
        <v>20</v>
      </c>
      <c r="J8641" t="s">
        <v>20</v>
      </c>
      <c r="K8641" t="s">
        <v>27</v>
      </c>
      <c r="L8641" t="s">
        <v>405</v>
      </c>
      <c r="M8641" t="s">
        <v>973</v>
      </c>
      <c r="N8641">
        <v>39.036971999999999</v>
      </c>
      <c r="O8641">
        <v>-109.28263200000001</v>
      </c>
      <c r="P8641">
        <v>4434.7435859999996</v>
      </c>
      <c r="Q8641">
        <v>1370</v>
      </c>
      <c r="R8641">
        <v>0</v>
      </c>
    </row>
    <row r="8642" spans="1:18" x14ac:dyDescent="0.25">
      <c r="A8642">
        <v>8491</v>
      </c>
      <c r="B8642">
        <v>94</v>
      </c>
      <c r="C8642">
        <v>27643264</v>
      </c>
      <c r="D8642" t="s">
        <v>196</v>
      </c>
      <c r="E8642">
        <v>0</v>
      </c>
      <c r="F8642" t="s">
        <v>19</v>
      </c>
      <c r="G8642" t="s">
        <v>20</v>
      </c>
      <c r="H8642" t="s">
        <v>19</v>
      </c>
      <c r="I8642">
        <v>18</v>
      </c>
      <c r="J8642" t="s">
        <v>20</v>
      </c>
      <c r="K8642" t="s">
        <v>27</v>
      </c>
      <c r="L8642" t="s">
        <v>72</v>
      </c>
      <c r="M8642" t="s">
        <v>73</v>
      </c>
      <c r="N8642">
        <v>37.109904999999998</v>
      </c>
      <c r="O8642">
        <v>-113.593852</v>
      </c>
      <c r="P8642">
        <v>2692.5955309999999</v>
      </c>
      <c r="Q8642">
        <v>308</v>
      </c>
      <c r="R8642">
        <v>0</v>
      </c>
    </row>
    <row r="8643" spans="1:18" x14ac:dyDescent="0.25">
      <c r="A8643">
        <v>8492</v>
      </c>
      <c r="B8643">
        <v>94</v>
      </c>
      <c r="C8643">
        <v>1147751</v>
      </c>
      <c r="D8643" t="s">
        <v>100</v>
      </c>
      <c r="E8643">
        <v>0</v>
      </c>
      <c r="F8643" t="s">
        <v>19</v>
      </c>
      <c r="G8643" t="s">
        <v>20</v>
      </c>
      <c r="H8643" t="s">
        <v>21</v>
      </c>
      <c r="I8643" t="s">
        <v>20</v>
      </c>
      <c r="J8643" t="s">
        <v>20</v>
      </c>
      <c r="K8643" t="s">
        <v>41</v>
      </c>
      <c r="L8643" t="s">
        <v>57</v>
      </c>
      <c r="M8643" t="s">
        <v>46</v>
      </c>
      <c r="N8643">
        <v>41.089255000000001</v>
      </c>
      <c r="O8643">
        <v>-111.987803</v>
      </c>
      <c r="P8643">
        <v>4438.979163</v>
      </c>
      <c r="Q8643">
        <v>1396</v>
      </c>
      <c r="R8643">
        <v>0</v>
      </c>
    </row>
    <row r="8644" spans="1:18" x14ac:dyDescent="0.25">
      <c r="A8644">
        <v>8493</v>
      </c>
      <c r="B8644">
        <v>94</v>
      </c>
      <c r="C8644">
        <v>31643298</v>
      </c>
      <c r="D8644" t="s">
        <v>393</v>
      </c>
      <c r="E8644">
        <v>0</v>
      </c>
      <c r="F8644" t="s">
        <v>21</v>
      </c>
      <c r="G8644" t="s">
        <v>26</v>
      </c>
      <c r="H8644" t="s">
        <v>21</v>
      </c>
      <c r="I8644" t="s">
        <v>20</v>
      </c>
      <c r="J8644" t="s">
        <v>20</v>
      </c>
      <c r="K8644" t="s">
        <v>27</v>
      </c>
      <c r="L8644" t="s">
        <v>158</v>
      </c>
      <c r="M8644" t="s">
        <v>190</v>
      </c>
      <c r="N8644">
        <v>39.452494999999999</v>
      </c>
      <c r="O8644">
        <v>-110.371999</v>
      </c>
      <c r="P8644">
        <v>6049.0101249999998</v>
      </c>
      <c r="Q8644">
        <v>333</v>
      </c>
      <c r="R8644">
        <v>0</v>
      </c>
    </row>
    <row r="8645" spans="1:18" x14ac:dyDescent="0.25">
      <c r="A8645">
        <v>8494</v>
      </c>
      <c r="B8645">
        <v>94</v>
      </c>
      <c r="C8645">
        <v>27929213</v>
      </c>
      <c r="D8645" t="s">
        <v>265</v>
      </c>
      <c r="E8645">
        <v>0</v>
      </c>
      <c r="F8645" t="s">
        <v>21</v>
      </c>
      <c r="G8645" t="s">
        <v>26</v>
      </c>
      <c r="H8645" t="s">
        <v>21</v>
      </c>
      <c r="I8645" t="s">
        <v>20</v>
      </c>
      <c r="J8645" t="s">
        <v>20</v>
      </c>
      <c r="K8645" t="s">
        <v>27</v>
      </c>
      <c r="L8645" t="s">
        <v>266</v>
      </c>
      <c r="M8645" t="s">
        <v>267</v>
      </c>
      <c r="N8645">
        <v>38.410913999999998</v>
      </c>
      <c r="O8645">
        <v>-111.64281699999999</v>
      </c>
      <c r="P8645">
        <v>7039.4608040000003</v>
      </c>
      <c r="Q8645">
        <v>1371</v>
      </c>
      <c r="R8645">
        <v>0</v>
      </c>
    </row>
    <row r="8646" spans="1:18" x14ac:dyDescent="0.25">
      <c r="A8646">
        <v>8495</v>
      </c>
      <c r="B8646">
        <v>94</v>
      </c>
      <c r="C8646">
        <v>31382519</v>
      </c>
      <c r="D8646" t="s">
        <v>364</v>
      </c>
      <c r="E8646">
        <v>0</v>
      </c>
      <c r="F8646" t="s">
        <v>19</v>
      </c>
      <c r="G8646" t="s">
        <v>20</v>
      </c>
      <c r="H8646" t="s">
        <v>19</v>
      </c>
      <c r="I8646">
        <v>198</v>
      </c>
      <c r="J8646" t="s">
        <v>20</v>
      </c>
      <c r="K8646" t="s">
        <v>22</v>
      </c>
      <c r="L8646" t="s">
        <v>198</v>
      </c>
      <c r="M8646" t="s">
        <v>85</v>
      </c>
      <c r="N8646">
        <v>40.044567999999998</v>
      </c>
      <c r="O8646">
        <v>-111.73228400000001</v>
      </c>
      <c r="P8646">
        <v>4596.0984989999997</v>
      </c>
      <c r="Q8646">
        <v>1401</v>
      </c>
      <c r="R8646">
        <v>0</v>
      </c>
    </row>
    <row r="8647" spans="1:18" x14ac:dyDescent="0.25">
      <c r="A8647">
        <v>8496</v>
      </c>
      <c r="B8647">
        <v>94</v>
      </c>
      <c r="C8647">
        <v>31288721</v>
      </c>
      <c r="D8647" t="s">
        <v>203</v>
      </c>
      <c r="E8647">
        <v>0</v>
      </c>
      <c r="F8647" t="s">
        <v>19</v>
      </c>
      <c r="G8647" t="s">
        <v>20</v>
      </c>
      <c r="H8647" t="s">
        <v>19</v>
      </c>
      <c r="I8647">
        <v>134</v>
      </c>
      <c r="J8647" t="s">
        <v>20</v>
      </c>
      <c r="K8647" t="s">
        <v>41</v>
      </c>
      <c r="L8647" t="s">
        <v>57</v>
      </c>
      <c r="M8647" t="s">
        <v>204</v>
      </c>
      <c r="N8647">
        <v>41.245879000000002</v>
      </c>
      <c r="O8647">
        <v>-112.092583</v>
      </c>
      <c r="P8647">
        <v>4180.3959850000001</v>
      </c>
      <c r="Q8647">
        <v>1349</v>
      </c>
      <c r="R8647">
        <v>0</v>
      </c>
    </row>
    <row r="8648" spans="1:18" x14ac:dyDescent="0.25">
      <c r="A8648">
        <v>8497</v>
      </c>
      <c r="B8648">
        <v>94</v>
      </c>
      <c r="C8648">
        <v>31398754</v>
      </c>
      <c r="D8648" t="s">
        <v>139</v>
      </c>
      <c r="E8648">
        <v>0</v>
      </c>
      <c r="F8648" t="s">
        <v>19</v>
      </c>
      <c r="G8648" t="s">
        <v>20</v>
      </c>
      <c r="H8648" t="s">
        <v>19</v>
      </c>
      <c r="I8648">
        <v>198</v>
      </c>
      <c r="J8648" t="s">
        <v>20</v>
      </c>
      <c r="K8648" t="s">
        <v>22</v>
      </c>
      <c r="L8648" t="s">
        <v>140</v>
      </c>
      <c r="M8648" t="s">
        <v>141</v>
      </c>
      <c r="N8648">
        <v>40.105849999999997</v>
      </c>
      <c r="O8648">
        <v>-111.654833</v>
      </c>
      <c r="P8648">
        <v>4535.4172840000001</v>
      </c>
      <c r="Q8648">
        <v>342</v>
      </c>
      <c r="R8648">
        <v>0</v>
      </c>
    </row>
    <row r="8649" spans="1:18" x14ac:dyDescent="0.25">
      <c r="A8649">
        <v>8498</v>
      </c>
      <c r="B8649">
        <v>94</v>
      </c>
      <c r="C8649">
        <v>31858486</v>
      </c>
      <c r="D8649" t="s">
        <v>135</v>
      </c>
      <c r="E8649">
        <v>0</v>
      </c>
      <c r="F8649" t="s">
        <v>19</v>
      </c>
      <c r="G8649" t="s">
        <v>20</v>
      </c>
      <c r="H8649" t="s">
        <v>19</v>
      </c>
      <c r="I8649">
        <v>154</v>
      </c>
      <c r="J8649" t="s">
        <v>20</v>
      </c>
      <c r="K8649" t="s">
        <v>31</v>
      </c>
      <c r="L8649" t="s">
        <v>48</v>
      </c>
      <c r="M8649" t="s">
        <v>144</v>
      </c>
      <c r="N8649">
        <v>40.56185</v>
      </c>
      <c r="O8649">
        <v>-111.977087</v>
      </c>
      <c r="P8649">
        <v>4596.9203020000004</v>
      </c>
      <c r="Q8649">
        <v>1423</v>
      </c>
      <c r="R8649">
        <v>0</v>
      </c>
    </row>
    <row r="8650" spans="1:18" x14ac:dyDescent="0.25">
      <c r="A8650">
        <v>8499</v>
      </c>
      <c r="B8650">
        <v>94</v>
      </c>
      <c r="C8650">
        <v>31533156</v>
      </c>
      <c r="D8650" t="s">
        <v>53</v>
      </c>
      <c r="E8650">
        <v>0</v>
      </c>
      <c r="F8650" t="s">
        <v>19</v>
      </c>
      <c r="G8650" t="s">
        <v>20</v>
      </c>
      <c r="H8650" t="s">
        <v>19</v>
      </c>
      <c r="I8650">
        <v>130</v>
      </c>
      <c r="J8650" t="s">
        <v>20</v>
      </c>
      <c r="K8650" t="s">
        <v>27</v>
      </c>
      <c r="L8650" t="s">
        <v>54</v>
      </c>
      <c r="M8650" t="s">
        <v>55</v>
      </c>
      <c r="N8650">
        <v>37.677374999999998</v>
      </c>
      <c r="O8650">
        <v>-113.06176000000001</v>
      </c>
      <c r="P8650">
        <v>5775.0576170000004</v>
      </c>
      <c r="Q8650">
        <v>1285</v>
      </c>
      <c r="R8650">
        <v>0</v>
      </c>
    </row>
    <row r="8651" spans="1:18" x14ac:dyDescent="0.25">
      <c r="A8651">
        <v>8500</v>
      </c>
      <c r="B8651">
        <v>94</v>
      </c>
      <c r="C8651">
        <v>31597744</v>
      </c>
      <c r="D8651" t="s">
        <v>232</v>
      </c>
      <c r="E8651">
        <v>0.59899999999999998</v>
      </c>
      <c r="F8651" t="s">
        <v>21</v>
      </c>
      <c r="G8651" t="s">
        <v>26</v>
      </c>
      <c r="H8651" t="s">
        <v>21</v>
      </c>
      <c r="I8651" t="s">
        <v>20</v>
      </c>
      <c r="J8651" t="s">
        <v>20</v>
      </c>
      <c r="K8651" t="s">
        <v>31</v>
      </c>
      <c r="L8651" t="s">
        <v>209</v>
      </c>
      <c r="M8651" t="s">
        <v>131</v>
      </c>
      <c r="N8651">
        <v>40.663995999999997</v>
      </c>
      <c r="O8651">
        <v>-111.499447</v>
      </c>
      <c r="P8651">
        <v>6731.3921799999998</v>
      </c>
      <c r="Q8651">
        <v>1279</v>
      </c>
      <c r="R8651">
        <v>0</v>
      </c>
    </row>
    <row r="8652" spans="1:18" x14ac:dyDescent="0.25">
      <c r="A8652">
        <v>8501</v>
      </c>
      <c r="B8652">
        <v>94</v>
      </c>
      <c r="C8652">
        <v>31610293</v>
      </c>
      <c r="D8652" t="s">
        <v>217</v>
      </c>
      <c r="E8652">
        <v>0.6</v>
      </c>
      <c r="F8652" t="s">
        <v>21</v>
      </c>
      <c r="G8652" t="s">
        <v>26</v>
      </c>
      <c r="H8652" t="s">
        <v>21</v>
      </c>
      <c r="I8652" t="s">
        <v>20</v>
      </c>
      <c r="J8652" t="s">
        <v>20</v>
      </c>
      <c r="K8652" t="s">
        <v>27</v>
      </c>
      <c r="L8652" t="s">
        <v>72</v>
      </c>
      <c r="M8652" t="s">
        <v>163</v>
      </c>
      <c r="N8652">
        <v>37.089762</v>
      </c>
      <c r="O8652">
        <v>-113.585581</v>
      </c>
      <c r="P8652">
        <v>2513.6204269999998</v>
      </c>
      <c r="Q8652">
        <v>304</v>
      </c>
      <c r="R8652">
        <v>0</v>
      </c>
    </row>
    <row r="8653" spans="1:18" x14ac:dyDescent="0.25">
      <c r="A8653">
        <v>8502</v>
      </c>
      <c r="B8653">
        <v>94</v>
      </c>
      <c r="C8653">
        <v>31309303</v>
      </c>
      <c r="D8653" t="s">
        <v>40</v>
      </c>
      <c r="E8653">
        <v>0.28399999999999997</v>
      </c>
      <c r="F8653" t="s">
        <v>21</v>
      </c>
      <c r="G8653" t="s">
        <v>26</v>
      </c>
      <c r="H8653" t="s">
        <v>21</v>
      </c>
      <c r="I8653" t="s">
        <v>20</v>
      </c>
      <c r="J8653" t="s">
        <v>20</v>
      </c>
      <c r="K8653" t="s">
        <v>41</v>
      </c>
      <c r="L8653" t="s">
        <v>42</v>
      </c>
      <c r="M8653" t="s">
        <v>43</v>
      </c>
      <c r="N8653">
        <v>41.638668000000003</v>
      </c>
      <c r="O8653">
        <v>-111.928811</v>
      </c>
      <c r="P8653">
        <v>4466.6954310000001</v>
      </c>
      <c r="Q8653">
        <v>1391</v>
      </c>
      <c r="R8653">
        <v>0</v>
      </c>
    </row>
    <row r="8654" spans="1:18" x14ac:dyDescent="0.25">
      <c r="A8654">
        <v>8503</v>
      </c>
      <c r="B8654">
        <v>94</v>
      </c>
      <c r="C8654">
        <v>27636303</v>
      </c>
      <c r="D8654" t="s">
        <v>354</v>
      </c>
      <c r="E8654">
        <v>0.28399999999999997</v>
      </c>
      <c r="F8654" t="s">
        <v>21</v>
      </c>
      <c r="G8654" t="s">
        <v>26</v>
      </c>
      <c r="H8654" t="s">
        <v>21</v>
      </c>
      <c r="I8654" t="s">
        <v>20</v>
      </c>
      <c r="J8654" t="s">
        <v>20</v>
      </c>
      <c r="K8654" t="s">
        <v>27</v>
      </c>
      <c r="L8654" t="s">
        <v>64</v>
      </c>
      <c r="M8654" t="s">
        <v>58</v>
      </c>
      <c r="N8654">
        <v>38.092272000000001</v>
      </c>
      <c r="O8654">
        <v>-111.983012</v>
      </c>
      <c r="P8654">
        <v>6462.1401539999997</v>
      </c>
      <c r="Q8654">
        <v>1338</v>
      </c>
      <c r="R8654">
        <v>0</v>
      </c>
    </row>
    <row r="8655" spans="1:18" x14ac:dyDescent="0.25">
      <c r="A8655">
        <v>8504</v>
      </c>
      <c r="B8655">
        <v>94</v>
      </c>
      <c r="C8655">
        <v>27518063</v>
      </c>
      <c r="D8655" t="s">
        <v>157</v>
      </c>
      <c r="E8655">
        <v>0.28499999999999998</v>
      </c>
      <c r="F8655" t="s">
        <v>19</v>
      </c>
      <c r="G8655" t="s">
        <v>20</v>
      </c>
      <c r="H8655" t="s">
        <v>21</v>
      </c>
      <c r="I8655" t="s">
        <v>20</v>
      </c>
      <c r="J8655" t="s">
        <v>20</v>
      </c>
      <c r="K8655" t="s">
        <v>27</v>
      </c>
      <c r="L8655" t="s">
        <v>158</v>
      </c>
      <c r="M8655" t="s">
        <v>159</v>
      </c>
      <c r="N8655">
        <v>39.600897000000003</v>
      </c>
      <c r="O8655">
        <v>-110.823043</v>
      </c>
      <c r="P8655">
        <v>5482.0785759999999</v>
      </c>
      <c r="Q8655">
        <v>1360</v>
      </c>
      <c r="R8655">
        <v>0</v>
      </c>
    </row>
    <row r="8656" spans="1:18" x14ac:dyDescent="0.25">
      <c r="A8656">
        <v>8505</v>
      </c>
      <c r="B8656">
        <v>94</v>
      </c>
      <c r="C8656" t="e">
        <f>-IrAw_WwGxizQx9MhJN84V</f>
        <v>#NAME?</v>
      </c>
      <c r="D8656" t="s">
        <v>92</v>
      </c>
      <c r="E8656">
        <v>0.28499999999999998</v>
      </c>
      <c r="F8656" t="s">
        <v>19</v>
      </c>
      <c r="G8656" t="s">
        <v>20</v>
      </c>
      <c r="H8656" t="s">
        <v>21</v>
      </c>
      <c r="I8656" t="s">
        <v>20</v>
      </c>
      <c r="J8656" t="s">
        <v>20</v>
      </c>
      <c r="K8656" t="s">
        <v>41</v>
      </c>
      <c r="L8656" t="s">
        <v>87</v>
      </c>
      <c r="M8656" t="s">
        <v>93</v>
      </c>
      <c r="N8656">
        <v>41.075111</v>
      </c>
      <c r="O8656">
        <v>-111.97443</v>
      </c>
      <c r="P8656">
        <v>4366.8002100000003</v>
      </c>
      <c r="Q8656">
        <v>252</v>
      </c>
      <c r="R8656">
        <v>0</v>
      </c>
    </row>
    <row r="8657" spans="1:18" x14ac:dyDescent="0.25">
      <c r="A8657">
        <v>8506</v>
      </c>
      <c r="B8657">
        <v>94</v>
      </c>
      <c r="C8657">
        <v>31725129</v>
      </c>
      <c r="D8657" t="s">
        <v>336</v>
      </c>
      <c r="E8657">
        <v>0.28599999999999998</v>
      </c>
      <c r="F8657" t="s">
        <v>19</v>
      </c>
      <c r="G8657" t="s">
        <v>20</v>
      </c>
      <c r="H8657" t="s">
        <v>21</v>
      </c>
      <c r="I8657" t="s">
        <v>20</v>
      </c>
      <c r="J8657" t="s">
        <v>20</v>
      </c>
      <c r="K8657" t="s">
        <v>31</v>
      </c>
      <c r="L8657" t="s">
        <v>32</v>
      </c>
      <c r="M8657" t="s">
        <v>33</v>
      </c>
      <c r="N8657">
        <v>40.635925</v>
      </c>
      <c r="O8657">
        <v>-111.80558499999999</v>
      </c>
      <c r="P8657">
        <v>4611.5086570000003</v>
      </c>
      <c r="Q8657">
        <v>404</v>
      </c>
      <c r="R8657">
        <v>0</v>
      </c>
    </row>
    <row r="8658" spans="1:18" x14ac:dyDescent="0.25">
      <c r="A8658">
        <v>8507</v>
      </c>
      <c r="B8658">
        <v>94</v>
      </c>
      <c r="C8658">
        <v>1219318</v>
      </c>
      <c r="D8658" t="s">
        <v>189</v>
      </c>
      <c r="E8658">
        <v>0.28599999999999998</v>
      </c>
      <c r="F8658" t="s">
        <v>19</v>
      </c>
      <c r="G8658" t="s">
        <v>20</v>
      </c>
      <c r="H8658" t="s">
        <v>21</v>
      </c>
      <c r="I8658" t="s">
        <v>20</v>
      </c>
      <c r="J8658" t="s">
        <v>20</v>
      </c>
      <c r="K8658" t="s">
        <v>41</v>
      </c>
      <c r="L8658" t="s">
        <v>81</v>
      </c>
      <c r="M8658" t="s">
        <v>190</v>
      </c>
      <c r="N8658">
        <v>41.159137999999999</v>
      </c>
      <c r="O8658">
        <v>-111.93972100000001</v>
      </c>
      <c r="P8658">
        <v>4756.1237080000001</v>
      </c>
      <c r="Q8658">
        <v>412</v>
      </c>
      <c r="R8658">
        <v>0</v>
      </c>
    </row>
    <row r="8659" spans="1:18" x14ac:dyDescent="0.25">
      <c r="A8659">
        <v>8508</v>
      </c>
      <c r="B8659">
        <v>94</v>
      </c>
      <c r="C8659">
        <v>472935</v>
      </c>
      <c r="D8659" t="s">
        <v>83</v>
      </c>
      <c r="E8659">
        <v>0.28699999999999998</v>
      </c>
      <c r="F8659" t="s">
        <v>21</v>
      </c>
      <c r="G8659" t="s">
        <v>26</v>
      </c>
      <c r="H8659" t="s">
        <v>21</v>
      </c>
      <c r="I8659" t="s">
        <v>20</v>
      </c>
      <c r="J8659" t="s">
        <v>20</v>
      </c>
      <c r="K8659" t="s">
        <v>22</v>
      </c>
      <c r="L8659" t="s">
        <v>84</v>
      </c>
      <c r="M8659" t="s">
        <v>85</v>
      </c>
      <c r="N8659">
        <v>40.381062999999997</v>
      </c>
      <c r="O8659">
        <v>-111.795894</v>
      </c>
      <c r="P8659">
        <v>4565.9520839999996</v>
      </c>
      <c r="Q8659">
        <v>319</v>
      </c>
      <c r="R8659">
        <v>0</v>
      </c>
    </row>
    <row r="8660" spans="1:18" x14ac:dyDescent="0.25">
      <c r="A8660">
        <v>8509</v>
      </c>
      <c r="B8660">
        <v>94</v>
      </c>
      <c r="C8660">
        <v>706751</v>
      </c>
      <c r="D8660" t="s">
        <v>68</v>
      </c>
      <c r="E8660">
        <v>0.28799999999999998</v>
      </c>
      <c r="F8660" t="s">
        <v>19</v>
      </c>
      <c r="G8660" t="s">
        <v>20</v>
      </c>
      <c r="H8660" t="s">
        <v>21</v>
      </c>
      <c r="I8660" t="s">
        <v>20</v>
      </c>
      <c r="J8660" t="s">
        <v>20</v>
      </c>
      <c r="K8660" t="s">
        <v>31</v>
      </c>
      <c r="L8660" t="s">
        <v>69</v>
      </c>
      <c r="M8660" t="s">
        <v>70</v>
      </c>
      <c r="N8660">
        <v>40.667611999999998</v>
      </c>
      <c r="O8660">
        <v>-111.94844399999999</v>
      </c>
      <c r="P8660">
        <v>4250.3461370000005</v>
      </c>
      <c r="Q8660">
        <v>431</v>
      </c>
      <c r="R8660">
        <v>0</v>
      </c>
    </row>
    <row r="8661" spans="1:18" x14ac:dyDescent="0.25">
      <c r="A8661">
        <v>8510</v>
      </c>
      <c r="B8661">
        <v>94</v>
      </c>
      <c r="C8661">
        <v>1128168</v>
      </c>
      <c r="D8661" t="s">
        <v>56</v>
      </c>
      <c r="E8661">
        <v>0.28899999999999998</v>
      </c>
      <c r="F8661" t="s">
        <v>21</v>
      </c>
      <c r="G8661" t="s">
        <v>26</v>
      </c>
      <c r="H8661" t="s">
        <v>21</v>
      </c>
      <c r="I8661" t="s">
        <v>20</v>
      </c>
      <c r="J8661" t="s">
        <v>20</v>
      </c>
      <c r="K8661" t="s">
        <v>41</v>
      </c>
      <c r="L8661" t="s">
        <v>57</v>
      </c>
      <c r="M8661" t="s">
        <v>58</v>
      </c>
      <c r="N8661">
        <v>41.163930000000001</v>
      </c>
      <c r="O8661">
        <v>-112.11723499999999</v>
      </c>
      <c r="P8661">
        <v>4186.3969569999999</v>
      </c>
      <c r="Q8661">
        <v>1459</v>
      </c>
      <c r="R8661">
        <v>0</v>
      </c>
    </row>
    <row r="8662" spans="1:18" x14ac:dyDescent="0.25">
      <c r="A8662">
        <v>8511</v>
      </c>
      <c r="B8662">
        <v>94</v>
      </c>
      <c r="C8662">
        <v>31513012</v>
      </c>
      <c r="D8662" t="s">
        <v>231</v>
      </c>
      <c r="E8662">
        <v>0.29399999999999998</v>
      </c>
      <c r="F8662" t="s">
        <v>19</v>
      </c>
      <c r="G8662" t="s">
        <v>20</v>
      </c>
      <c r="H8662" t="s">
        <v>19</v>
      </c>
      <c r="I8662">
        <v>126</v>
      </c>
      <c r="J8662" t="s">
        <v>20</v>
      </c>
      <c r="K8662" t="s">
        <v>41</v>
      </c>
      <c r="L8662" t="s">
        <v>57</v>
      </c>
      <c r="M8662" t="s">
        <v>93</v>
      </c>
      <c r="N8662">
        <v>41.055847</v>
      </c>
      <c r="O8662">
        <v>-111.96344999999999</v>
      </c>
      <c r="P8662">
        <v>4317.3741669999999</v>
      </c>
      <c r="Q8662">
        <v>1409</v>
      </c>
      <c r="R8662">
        <v>0</v>
      </c>
    </row>
    <row r="8663" spans="1:18" x14ac:dyDescent="0.25">
      <c r="A8663">
        <v>8512</v>
      </c>
      <c r="B8663">
        <v>94</v>
      </c>
      <c r="C8663">
        <v>31366214</v>
      </c>
      <c r="D8663" t="s">
        <v>229</v>
      </c>
      <c r="E8663">
        <v>0.29499999999999998</v>
      </c>
      <c r="F8663" t="s">
        <v>21</v>
      </c>
      <c r="G8663" t="s">
        <v>26</v>
      </c>
      <c r="H8663" t="s">
        <v>21</v>
      </c>
      <c r="I8663" t="s">
        <v>20</v>
      </c>
      <c r="J8663" t="s">
        <v>20</v>
      </c>
      <c r="K8663" t="s">
        <v>27</v>
      </c>
      <c r="L8663" t="s">
        <v>230</v>
      </c>
      <c r="M8663" t="s">
        <v>82</v>
      </c>
      <c r="N8663">
        <v>39.486949000000003</v>
      </c>
      <c r="O8663">
        <v>-111.635137</v>
      </c>
      <c r="P8663">
        <v>5566.7844370000003</v>
      </c>
      <c r="Q8663">
        <v>331</v>
      </c>
      <c r="R8663">
        <v>0</v>
      </c>
    </row>
    <row r="8664" spans="1:18" x14ac:dyDescent="0.25">
      <c r="A8664">
        <v>8513</v>
      </c>
      <c r="B8664">
        <v>94</v>
      </c>
      <c r="C8664">
        <v>31544034</v>
      </c>
      <c r="D8664" t="s">
        <v>102</v>
      </c>
      <c r="E8664">
        <v>0.29699999999999999</v>
      </c>
      <c r="F8664" t="s">
        <v>21</v>
      </c>
      <c r="G8664" t="s">
        <v>26</v>
      </c>
      <c r="H8664" t="s">
        <v>21</v>
      </c>
      <c r="I8664" t="s">
        <v>20</v>
      </c>
      <c r="J8664" t="s">
        <v>20</v>
      </c>
      <c r="K8664" t="s">
        <v>27</v>
      </c>
      <c r="L8664" t="s">
        <v>103</v>
      </c>
      <c r="M8664" t="s">
        <v>104</v>
      </c>
      <c r="N8664">
        <v>38.250366999999997</v>
      </c>
      <c r="O8664">
        <v>-112.647015</v>
      </c>
      <c r="P8664">
        <v>5796.5970749999997</v>
      </c>
      <c r="Q8664">
        <v>1430</v>
      </c>
      <c r="R8664">
        <v>0</v>
      </c>
    </row>
    <row r="8665" spans="1:18" x14ac:dyDescent="0.25">
      <c r="A8665">
        <v>8514</v>
      </c>
      <c r="B8665">
        <v>94</v>
      </c>
      <c r="C8665">
        <v>31590329</v>
      </c>
      <c r="D8665" t="s">
        <v>145</v>
      </c>
      <c r="E8665">
        <v>0.29799999999999999</v>
      </c>
      <c r="F8665" t="s">
        <v>21</v>
      </c>
      <c r="G8665" t="s">
        <v>26</v>
      </c>
      <c r="H8665" t="s">
        <v>21</v>
      </c>
      <c r="I8665" t="s">
        <v>20</v>
      </c>
      <c r="J8665" t="s">
        <v>20</v>
      </c>
      <c r="K8665" t="s">
        <v>27</v>
      </c>
      <c r="L8665" t="s">
        <v>146</v>
      </c>
      <c r="M8665" t="s">
        <v>147</v>
      </c>
      <c r="N8665">
        <v>37.872667999999997</v>
      </c>
      <c r="O8665">
        <v>-109.33743800000001</v>
      </c>
      <c r="P8665">
        <v>6965.9887479999998</v>
      </c>
      <c r="Q8665">
        <v>1291</v>
      </c>
      <c r="R8665">
        <v>0</v>
      </c>
    </row>
    <row r="8666" spans="1:18" x14ac:dyDescent="0.25">
      <c r="A8666">
        <v>8515</v>
      </c>
      <c r="B8666">
        <v>94</v>
      </c>
      <c r="C8666">
        <v>31517385</v>
      </c>
      <c r="D8666" t="s">
        <v>396</v>
      </c>
      <c r="E8666">
        <v>0.3</v>
      </c>
      <c r="F8666" t="s">
        <v>21</v>
      </c>
      <c r="G8666" t="s">
        <v>26</v>
      </c>
      <c r="H8666" t="s">
        <v>21</v>
      </c>
      <c r="I8666" t="s">
        <v>20</v>
      </c>
      <c r="J8666" t="s">
        <v>20</v>
      </c>
      <c r="K8666" t="s">
        <v>41</v>
      </c>
      <c r="L8666" t="s">
        <v>255</v>
      </c>
      <c r="M8666" t="s">
        <v>138</v>
      </c>
      <c r="N8666">
        <v>41.139136000000001</v>
      </c>
      <c r="O8666">
        <v>-111.824352</v>
      </c>
      <c r="P8666">
        <v>4788.9494109999996</v>
      </c>
      <c r="Q8666">
        <v>1434</v>
      </c>
      <c r="R8666">
        <v>0</v>
      </c>
    </row>
    <row r="8667" spans="1:18" x14ac:dyDescent="0.25">
      <c r="A8667">
        <v>8516</v>
      </c>
      <c r="B8667">
        <v>94</v>
      </c>
      <c r="C8667">
        <v>27337694</v>
      </c>
      <c r="D8667" t="s">
        <v>372</v>
      </c>
      <c r="E8667">
        <v>0.3</v>
      </c>
      <c r="F8667" t="s">
        <v>21</v>
      </c>
      <c r="G8667" t="s">
        <v>26</v>
      </c>
      <c r="H8667" t="s">
        <v>21</v>
      </c>
      <c r="I8667" t="s">
        <v>20</v>
      </c>
      <c r="J8667" t="s">
        <v>20</v>
      </c>
      <c r="K8667" t="s">
        <v>31</v>
      </c>
      <c r="L8667" t="s">
        <v>373</v>
      </c>
      <c r="M8667" t="s">
        <v>283</v>
      </c>
      <c r="N8667">
        <v>40.736938000000002</v>
      </c>
      <c r="O8667">
        <v>-114.038274</v>
      </c>
      <c r="P8667">
        <v>4240.3357269999997</v>
      </c>
      <c r="Q8667">
        <v>1362</v>
      </c>
      <c r="R8667">
        <v>0</v>
      </c>
    </row>
    <row r="8668" spans="1:18" x14ac:dyDescent="0.25">
      <c r="A8668">
        <v>8517</v>
      </c>
      <c r="B8668">
        <v>94</v>
      </c>
      <c r="C8668">
        <v>31398623</v>
      </c>
      <c r="D8668" t="s">
        <v>250</v>
      </c>
      <c r="E8668">
        <v>0.30099999999999999</v>
      </c>
      <c r="F8668" t="s">
        <v>21</v>
      </c>
      <c r="G8668" t="s">
        <v>26</v>
      </c>
      <c r="H8668" t="s">
        <v>21</v>
      </c>
      <c r="I8668" t="s">
        <v>20</v>
      </c>
      <c r="J8668" t="s">
        <v>20</v>
      </c>
      <c r="K8668" t="s">
        <v>27</v>
      </c>
      <c r="L8668" t="s">
        <v>75</v>
      </c>
      <c r="M8668" t="s">
        <v>76</v>
      </c>
      <c r="N8668">
        <v>38.772585999999997</v>
      </c>
      <c r="O8668">
        <v>-112.063215</v>
      </c>
      <c r="P8668">
        <v>5213.7924480000001</v>
      </c>
      <c r="Q8668">
        <v>1404</v>
      </c>
      <c r="R8668">
        <v>0</v>
      </c>
    </row>
    <row r="8669" spans="1:18" x14ac:dyDescent="0.25">
      <c r="A8669">
        <v>8518</v>
      </c>
      <c r="B8669">
        <v>94</v>
      </c>
      <c r="C8669">
        <v>28597166</v>
      </c>
      <c r="D8669" t="s">
        <v>148</v>
      </c>
      <c r="E8669">
        <v>0.30299999999999999</v>
      </c>
      <c r="F8669" t="s">
        <v>21</v>
      </c>
      <c r="G8669" t="s">
        <v>20</v>
      </c>
      <c r="H8669" t="s">
        <v>21</v>
      </c>
      <c r="I8669" t="s">
        <v>20</v>
      </c>
      <c r="J8669" t="s">
        <v>20</v>
      </c>
      <c r="K8669" t="s">
        <v>31</v>
      </c>
      <c r="L8669" t="s">
        <v>149</v>
      </c>
      <c r="M8669" t="s">
        <v>131</v>
      </c>
      <c r="N8669">
        <v>40.753759000000002</v>
      </c>
      <c r="O8669">
        <v>-111.371343</v>
      </c>
      <c r="P8669">
        <v>6000.2000360000002</v>
      </c>
      <c r="Q8669">
        <v>263</v>
      </c>
      <c r="R8669">
        <v>0</v>
      </c>
    </row>
    <row r="8670" spans="1:18" x14ac:dyDescent="0.25">
      <c r="A8670">
        <v>8519</v>
      </c>
      <c r="B8670">
        <v>94</v>
      </c>
      <c r="C8670">
        <v>31641423</v>
      </c>
      <c r="D8670" t="s">
        <v>390</v>
      </c>
      <c r="E8670">
        <v>0.30299999999999999</v>
      </c>
      <c r="F8670" t="s">
        <v>19</v>
      </c>
      <c r="G8670" t="s">
        <v>20</v>
      </c>
      <c r="H8670" t="s">
        <v>21</v>
      </c>
      <c r="I8670" t="s">
        <v>20</v>
      </c>
      <c r="J8670" t="s">
        <v>20</v>
      </c>
      <c r="K8670" t="s">
        <v>22</v>
      </c>
      <c r="L8670" t="s">
        <v>84</v>
      </c>
      <c r="M8670" t="s">
        <v>335</v>
      </c>
      <c r="N8670">
        <v>40.431368999999997</v>
      </c>
      <c r="O8670">
        <v>-111.88991900000001</v>
      </c>
      <c r="P8670">
        <v>4567.3074340000003</v>
      </c>
      <c r="Q8670">
        <v>1386</v>
      </c>
      <c r="R8670">
        <v>0</v>
      </c>
    </row>
    <row r="8671" spans="1:18" x14ac:dyDescent="0.25">
      <c r="A8671">
        <v>8520</v>
      </c>
      <c r="B8671">
        <v>94</v>
      </c>
      <c r="C8671" t="s">
        <v>1004</v>
      </c>
      <c r="D8671" t="s">
        <v>170</v>
      </c>
      <c r="E8671">
        <v>0.35</v>
      </c>
      <c r="F8671" t="s">
        <v>21</v>
      </c>
      <c r="G8671" t="s">
        <v>361</v>
      </c>
      <c r="H8671" t="s">
        <v>21</v>
      </c>
      <c r="I8671" t="s">
        <v>20</v>
      </c>
      <c r="J8671" t="s">
        <v>20</v>
      </c>
      <c r="K8671" t="s">
        <v>41</v>
      </c>
      <c r="L8671" t="s">
        <v>81</v>
      </c>
      <c r="M8671" t="s">
        <v>82</v>
      </c>
      <c r="N8671">
        <v>41.193373999999999</v>
      </c>
      <c r="O8671">
        <v>-111.94797699999999</v>
      </c>
      <c r="P8671">
        <v>4554.3279279999997</v>
      </c>
      <c r="Q8671">
        <v>1284</v>
      </c>
      <c r="R8671">
        <v>0</v>
      </c>
    </row>
    <row r="8672" spans="1:18" x14ac:dyDescent="0.25">
      <c r="A8672">
        <v>8521</v>
      </c>
      <c r="B8672">
        <v>94</v>
      </c>
      <c r="C8672">
        <v>583996</v>
      </c>
      <c r="D8672" t="s">
        <v>434</v>
      </c>
      <c r="E8672">
        <v>0.72799999999999998</v>
      </c>
      <c r="F8672" t="s">
        <v>19</v>
      </c>
      <c r="G8672" t="s">
        <v>20</v>
      </c>
      <c r="H8672" t="s">
        <v>21</v>
      </c>
      <c r="I8672" t="s">
        <v>20</v>
      </c>
      <c r="J8672" t="s">
        <v>20</v>
      </c>
      <c r="K8672" t="s">
        <v>31</v>
      </c>
      <c r="L8672" t="s">
        <v>32</v>
      </c>
      <c r="M8672" t="s">
        <v>70</v>
      </c>
      <c r="N8672">
        <v>40.658991999999998</v>
      </c>
      <c r="O8672">
        <v>-111.854449</v>
      </c>
      <c r="P8672">
        <v>4279.6397859999997</v>
      </c>
      <c r="Q8672">
        <v>1424</v>
      </c>
      <c r="R8672">
        <v>0</v>
      </c>
    </row>
    <row r="8673" spans="1:18" x14ac:dyDescent="0.25">
      <c r="A8673">
        <v>8522</v>
      </c>
      <c r="B8673">
        <v>94</v>
      </c>
      <c r="C8673">
        <v>1434448</v>
      </c>
      <c r="D8673" t="s">
        <v>999</v>
      </c>
      <c r="E8673">
        <v>0.72899999999999998</v>
      </c>
      <c r="F8673" t="s">
        <v>21</v>
      </c>
      <c r="G8673" t="s">
        <v>26</v>
      </c>
      <c r="H8673" t="s">
        <v>21</v>
      </c>
      <c r="I8673" t="s">
        <v>20</v>
      </c>
      <c r="J8673" t="s">
        <v>20</v>
      </c>
      <c r="K8673" t="s">
        <v>41</v>
      </c>
      <c r="L8673" t="s">
        <v>223</v>
      </c>
      <c r="M8673" t="s">
        <v>238</v>
      </c>
      <c r="N8673">
        <v>41.634824999999999</v>
      </c>
      <c r="O8673">
        <v>-112.08882800000001</v>
      </c>
      <c r="P8673">
        <v>4209.9515469999997</v>
      </c>
      <c r="Q8673">
        <v>425</v>
      </c>
      <c r="R8673">
        <v>0</v>
      </c>
    </row>
    <row r="8674" spans="1:18" x14ac:dyDescent="0.25">
      <c r="A8674">
        <v>8523</v>
      </c>
      <c r="B8674">
        <v>94</v>
      </c>
      <c r="C8674">
        <v>31403303</v>
      </c>
      <c r="D8674" t="s">
        <v>30</v>
      </c>
      <c r="E8674">
        <v>0.73</v>
      </c>
      <c r="F8674" t="s">
        <v>19</v>
      </c>
      <c r="G8674" t="s">
        <v>20</v>
      </c>
      <c r="H8674" t="s">
        <v>21</v>
      </c>
      <c r="I8674" t="s">
        <v>20</v>
      </c>
      <c r="J8674" t="s">
        <v>20</v>
      </c>
      <c r="K8674" t="s">
        <v>31</v>
      </c>
      <c r="L8674" t="s">
        <v>32</v>
      </c>
      <c r="M8674" t="s">
        <v>33</v>
      </c>
      <c r="N8674">
        <v>40.609403</v>
      </c>
      <c r="O8674">
        <v>-111.792062</v>
      </c>
      <c r="P8674">
        <v>5018.7830279999998</v>
      </c>
      <c r="Q8674">
        <v>415</v>
      </c>
      <c r="R8674">
        <v>0</v>
      </c>
    </row>
    <row r="8675" spans="1:18" x14ac:dyDescent="0.25">
      <c r="A8675">
        <v>8524</v>
      </c>
      <c r="B8675">
        <v>94</v>
      </c>
      <c r="C8675">
        <v>1223628</v>
      </c>
      <c r="D8675" t="s">
        <v>189</v>
      </c>
      <c r="E8675">
        <v>0.73</v>
      </c>
      <c r="F8675" t="s">
        <v>21</v>
      </c>
      <c r="G8675" t="s">
        <v>26</v>
      </c>
      <c r="H8675" t="s">
        <v>21</v>
      </c>
      <c r="I8675" t="s">
        <v>20</v>
      </c>
      <c r="J8675" t="s">
        <v>20</v>
      </c>
      <c r="K8675" t="s">
        <v>41</v>
      </c>
      <c r="L8675" t="s">
        <v>81</v>
      </c>
      <c r="M8675" t="s">
        <v>190</v>
      </c>
      <c r="N8675">
        <v>41.165111000000003</v>
      </c>
      <c r="O8675">
        <v>-111.942526</v>
      </c>
      <c r="P8675">
        <v>4754.5554119999997</v>
      </c>
      <c r="Q8675">
        <v>412</v>
      </c>
      <c r="R8675">
        <v>0</v>
      </c>
    </row>
    <row r="8676" spans="1:18" x14ac:dyDescent="0.25">
      <c r="A8676">
        <v>8525</v>
      </c>
      <c r="B8676">
        <v>94</v>
      </c>
      <c r="C8676">
        <v>993416</v>
      </c>
      <c r="D8676" t="s">
        <v>375</v>
      </c>
      <c r="E8676">
        <v>0.73699999999999999</v>
      </c>
      <c r="F8676" t="s">
        <v>19</v>
      </c>
      <c r="G8676" t="s">
        <v>20</v>
      </c>
      <c r="H8676" t="s">
        <v>19</v>
      </c>
      <c r="I8676">
        <v>106</v>
      </c>
      <c r="J8676" t="s">
        <v>20</v>
      </c>
      <c r="K8676" t="s">
        <v>41</v>
      </c>
      <c r="L8676" t="s">
        <v>87</v>
      </c>
      <c r="M8676" t="s">
        <v>67</v>
      </c>
      <c r="N8676">
        <v>40.991349999999997</v>
      </c>
      <c r="O8676">
        <v>-111.89359899999999</v>
      </c>
      <c r="P8676">
        <v>4252.1576150000001</v>
      </c>
      <c r="Q8676">
        <v>422</v>
      </c>
      <c r="R8676">
        <v>0</v>
      </c>
    </row>
    <row r="8677" spans="1:18" x14ac:dyDescent="0.25">
      <c r="A8677">
        <v>8526</v>
      </c>
      <c r="B8677">
        <v>94</v>
      </c>
      <c r="C8677">
        <v>28864531</v>
      </c>
      <c r="D8677" t="s">
        <v>18</v>
      </c>
      <c r="E8677">
        <v>0.73799999999999999</v>
      </c>
      <c r="F8677" t="s">
        <v>19</v>
      </c>
      <c r="G8677" t="s">
        <v>20</v>
      </c>
      <c r="H8677" t="s">
        <v>21</v>
      </c>
      <c r="I8677" t="s">
        <v>20</v>
      </c>
      <c r="J8677" t="s">
        <v>20</v>
      </c>
      <c r="K8677" t="s">
        <v>22</v>
      </c>
      <c r="L8677" t="s">
        <v>23</v>
      </c>
      <c r="M8677" t="s">
        <v>24</v>
      </c>
      <c r="N8677">
        <v>40.275018000000003</v>
      </c>
      <c r="O8677">
        <v>-111.713392</v>
      </c>
      <c r="P8677">
        <v>4545.083783</v>
      </c>
      <c r="Q8677">
        <v>1281</v>
      </c>
      <c r="R8677">
        <v>0</v>
      </c>
    </row>
    <row r="8678" spans="1:18" x14ac:dyDescent="0.25">
      <c r="A8678">
        <v>8527</v>
      </c>
      <c r="B8678">
        <v>94</v>
      </c>
      <c r="C8678">
        <v>31346394</v>
      </c>
      <c r="D8678" t="s">
        <v>34</v>
      </c>
      <c r="E8678">
        <v>0.73799999999999999</v>
      </c>
      <c r="F8678" t="s">
        <v>21</v>
      </c>
      <c r="G8678" t="s">
        <v>26</v>
      </c>
      <c r="H8678" t="s">
        <v>21</v>
      </c>
      <c r="I8678" t="s">
        <v>20</v>
      </c>
      <c r="J8678" t="s">
        <v>20</v>
      </c>
      <c r="K8678" t="s">
        <v>22</v>
      </c>
      <c r="L8678" t="s">
        <v>35</v>
      </c>
      <c r="M8678" t="s">
        <v>36</v>
      </c>
      <c r="N8678">
        <v>40.466276999999998</v>
      </c>
      <c r="O8678">
        <v>-111.471729</v>
      </c>
      <c r="P8678">
        <v>5378.430601</v>
      </c>
      <c r="Q8678">
        <v>1400</v>
      </c>
      <c r="R8678">
        <v>0</v>
      </c>
    </row>
    <row r="8679" spans="1:18" x14ac:dyDescent="0.25">
      <c r="A8679">
        <v>8528</v>
      </c>
      <c r="B8679">
        <v>94</v>
      </c>
      <c r="C8679">
        <v>3395694</v>
      </c>
      <c r="D8679" t="s">
        <v>86</v>
      </c>
      <c r="E8679">
        <v>0.73899999999999999</v>
      </c>
      <c r="F8679" t="s">
        <v>21</v>
      </c>
      <c r="G8679" t="s">
        <v>26</v>
      </c>
      <c r="H8679" t="s">
        <v>21</v>
      </c>
      <c r="I8679" t="s">
        <v>20</v>
      </c>
      <c r="J8679" t="s">
        <v>20</v>
      </c>
      <c r="K8679" t="s">
        <v>41</v>
      </c>
      <c r="L8679" t="s">
        <v>87</v>
      </c>
      <c r="M8679" t="s">
        <v>58</v>
      </c>
      <c r="N8679">
        <v>41.018625999999998</v>
      </c>
      <c r="O8679">
        <v>-111.921192</v>
      </c>
      <c r="P8679">
        <v>4345.9729379999999</v>
      </c>
      <c r="Q8679">
        <v>258</v>
      </c>
      <c r="R8679">
        <v>0</v>
      </c>
    </row>
    <row r="8680" spans="1:18" x14ac:dyDescent="0.25">
      <c r="A8680">
        <v>8529</v>
      </c>
      <c r="B8680">
        <v>94</v>
      </c>
      <c r="C8680">
        <v>1620589</v>
      </c>
      <c r="D8680" t="s">
        <v>180</v>
      </c>
      <c r="E8680">
        <v>0.74</v>
      </c>
      <c r="F8680" t="s">
        <v>21</v>
      </c>
      <c r="G8680" t="s">
        <v>26</v>
      </c>
      <c r="H8680" t="s">
        <v>21</v>
      </c>
      <c r="I8680" t="s">
        <v>20</v>
      </c>
      <c r="J8680" t="s">
        <v>20</v>
      </c>
      <c r="K8680" t="s">
        <v>41</v>
      </c>
      <c r="L8680" t="s">
        <v>181</v>
      </c>
      <c r="M8680" t="s">
        <v>117</v>
      </c>
      <c r="N8680">
        <v>41.722693999999997</v>
      </c>
      <c r="O8680">
        <v>-112.16210100000001</v>
      </c>
      <c r="P8680">
        <v>4275.8126689999999</v>
      </c>
      <c r="Q8680">
        <v>1379</v>
      </c>
      <c r="R8680">
        <v>0</v>
      </c>
    </row>
    <row r="8681" spans="1:18" x14ac:dyDescent="0.25">
      <c r="A8681">
        <v>8530</v>
      </c>
      <c r="B8681">
        <v>94</v>
      </c>
      <c r="C8681">
        <v>1395977</v>
      </c>
      <c r="D8681" t="s">
        <v>88</v>
      </c>
      <c r="E8681">
        <v>0.74199999999999999</v>
      </c>
      <c r="F8681" t="s">
        <v>21</v>
      </c>
      <c r="G8681" t="s">
        <v>26</v>
      </c>
      <c r="H8681" t="s">
        <v>21</v>
      </c>
      <c r="I8681" t="s">
        <v>20</v>
      </c>
      <c r="J8681" t="s">
        <v>20</v>
      </c>
      <c r="K8681" t="s">
        <v>31</v>
      </c>
      <c r="L8681" t="s">
        <v>89</v>
      </c>
      <c r="M8681" t="s">
        <v>90</v>
      </c>
      <c r="N8681">
        <v>40.522261</v>
      </c>
      <c r="O8681">
        <v>-111.969815</v>
      </c>
      <c r="P8681">
        <v>4513.9494619999996</v>
      </c>
      <c r="Q8681">
        <v>318</v>
      </c>
      <c r="R8681">
        <v>0</v>
      </c>
    </row>
    <row r="8682" spans="1:18" x14ac:dyDescent="0.25">
      <c r="A8682">
        <v>8531</v>
      </c>
      <c r="B8682">
        <v>94</v>
      </c>
      <c r="C8682">
        <v>31503500</v>
      </c>
      <c r="D8682" t="s">
        <v>25</v>
      </c>
      <c r="E8682">
        <v>0.94</v>
      </c>
      <c r="F8682" t="s">
        <v>21</v>
      </c>
      <c r="G8682" t="s">
        <v>26</v>
      </c>
      <c r="H8682" t="s">
        <v>21</v>
      </c>
      <c r="I8682" t="s">
        <v>20</v>
      </c>
      <c r="J8682" t="s">
        <v>20</v>
      </c>
      <c r="K8682" t="s">
        <v>27</v>
      </c>
      <c r="L8682" t="s">
        <v>28</v>
      </c>
      <c r="M8682" t="s">
        <v>29</v>
      </c>
      <c r="N8682">
        <v>37.668326</v>
      </c>
      <c r="O8682">
        <v>-112.157932</v>
      </c>
      <c r="P8682">
        <v>7611.2533350000003</v>
      </c>
      <c r="Q8682">
        <v>316</v>
      </c>
      <c r="R8682">
        <v>0</v>
      </c>
    </row>
    <row r="8683" spans="1:18" x14ac:dyDescent="0.25">
      <c r="A8683">
        <v>8532</v>
      </c>
      <c r="B8683">
        <v>94</v>
      </c>
      <c r="C8683">
        <v>1758942</v>
      </c>
      <c r="D8683" t="s">
        <v>370</v>
      </c>
      <c r="E8683">
        <v>0.94</v>
      </c>
      <c r="F8683" t="s">
        <v>21</v>
      </c>
      <c r="G8683" t="s">
        <v>26</v>
      </c>
      <c r="H8683" t="s">
        <v>21</v>
      </c>
      <c r="I8683" t="s">
        <v>20</v>
      </c>
      <c r="J8683" t="s">
        <v>20</v>
      </c>
      <c r="K8683" t="s">
        <v>41</v>
      </c>
      <c r="L8683" t="s">
        <v>87</v>
      </c>
      <c r="M8683" t="s">
        <v>58</v>
      </c>
      <c r="N8683">
        <v>41.162987999999999</v>
      </c>
      <c r="O8683">
        <v>-112.008054</v>
      </c>
      <c r="P8683">
        <v>4387.83421</v>
      </c>
      <c r="Q8683">
        <v>1435</v>
      </c>
      <c r="R8683">
        <v>0</v>
      </c>
    </row>
    <row r="8684" spans="1:18" x14ac:dyDescent="0.25">
      <c r="A8684">
        <v>8533</v>
      </c>
      <c r="B8684">
        <v>94</v>
      </c>
      <c r="C8684">
        <v>31369873</v>
      </c>
      <c r="D8684" t="s">
        <v>199</v>
      </c>
      <c r="E8684">
        <v>0.94199999999999995</v>
      </c>
      <c r="F8684" t="s">
        <v>21</v>
      </c>
      <c r="G8684" t="s">
        <v>26</v>
      </c>
      <c r="H8684" t="s">
        <v>21</v>
      </c>
      <c r="I8684" t="s">
        <v>20</v>
      </c>
      <c r="J8684" t="s">
        <v>20</v>
      </c>
      <c r="K8684" t="s">
        <v>27</v>
      </c>
      <c r="L8684" t="s">
        <v>103</v>
      </c>
      <c r="M8684" t="s">
        <v>200</v>
      </c>
      <c r="N8684">
        <v>38.277050000000003</v>
      </c>
      <c r="O8684">
        <v>-112.62403399999999</v>
      </c>
      <c r="P8684">
        <v>5902.0093399999996</v>
      </c>
      <c r="Q8684">
        <v>341</v>
      </c>
      <c r="R8684">
        <v>0</v>
      </c>
    </row>
    <row r="8685" spans="1:18" x14ac:dyDescent="0.25">
      <c r="A8685">
        <v>8534</v>
      </c>
      <c r="B8685">
        <v>94</v>
      </c>
      <c r="C8685">
        <v>31517523</v>
      </c>
      <c r="D8685" t="s">
        <v>390</v>
      </c>
      <c r="E8685">
        <v>0.78</v>
      </c>
      <c r="F8685" t="s">
        <v>19</v>
      </c>
      <c r="G8685" t="s">
        <v>20</v>
      </c>
      <c r="H8685" t="s">
        <v>21</v>
      </c>
      <c r="I8685" t="s">
        <v>20</v>
      </c>
      <c r="J8685" t="s">
        <v>20</v>
      </c>
      <c r="K8685" t="s">
        <v>22</v>
      </c>
      <c r="L8685" t="s">
        <v>84</v>
      </c>
      <c r="M8685" t="s">
        <v>335</v>
      </c>
      <c r="N8685">
        <v>40.431700999999997</v>
      </c>
      <c r="O8685">
        <v>-111.88090099999999</v>
      </c>
      <c r="P8685">
        <v>4668.776226</v>
      </c>
      <c r="Q8685">
        <v>1386</v>
      </c>
      <c r="R8685">
        <v>0</v>
      </c>
    </row>
    <row r="8686" spans="1:18" x14ac:dyDescent="0.25">
      <c r="A8686">
        <v>8535</v>
      </c>
      <c r="B8686">
        <v>94</v>
      </c>
      <c r="C8686">
        <v>31513811</v>
      </c>
      <c r="D8686" t="s">
        <v>231</v>
      </c>
      <c r="E8686">
        <v>1.24</v>
      </c>
      <c r="F8686" t="s">
        <v>19</v>
      </c>
      <c r="G8686" t="s">
        <v>20</v>
      </c>
      <c r="H8686" t="s">
        <v>21</v>
      </c>
      <c r="I8686" t="s">
        <v>20</v>
      </c>
      <c r="J8686" t="s">
        <v>20</v>
      </c>
      <c r="K8686" t="s">
        <v>41</v>
      </c>
      <c r="L8686" t="s">
        <v>57</v>
      </c>
      <c r="M8686" t="s">
        <v>93</v>
      </c>
      <c r="N8686">
        <v>41.067283000000003</v>
      </c>
      <c r="O8686">
        <v>-111.973102</v>
      </c>
      <c r="P8686">
        <v>4323.7796070000004</v>
      </c>
      <c r="Q8686">
        <v>1409</v>
      </c>
      <c r="R8686">
        <v>0</v>
      </c>
    </row>
    <row r="8687" spans="1:18" x14ac:dyDescent="0.25">
      <c r="A8687">
        <v>8536</v>
      </c>
      <c r="B8687">
        <v>94</v>
      </c>
      <c r="C8687">
        <v>31527891</v>
      </c>
      <c r="D8687" t="s">
        <v>182</v>
      </c>
      <c r="E8687">
        <v>1.242</v>
      </c>
      <c r="F8687" t="s">
        <v>21</v>
      </c>
      <c r="G8687" t="s">
        <v>26</v>
      </c>
      <c r="H8687" t="s">
        <v>21</v>
      </c>
      <c r="I8687" t="s">
        <v>20</v>
      </c>
      <c r="J8687" t="s">
        <v>20</v>
      </c>
      <c r="K8687" t="s">
        <v>27</v>
      </c>
      <c r="L8687" t="s">
        <v>183</v>
      </c>
      <c r="M8687" t="s">
        <v>76</v>
      </c>
      <c r="N8687">
        <v>38.918903</v>
      </c>
      <c r="O8687">
        <v>-111.934926</v>
      </c>
      <c r="P8687">
        <v>5121.4590600000001</v>
      </c>
      <c r="Q8687">
        <v>429</v>
      </c>
      <c r="R8687">
        <v>0</v>
      </c>
    </row>
    <row r="8688" spans="1:18" x14ac:dyDescent="0.25">
      <c r="A8688">
        <v>8537</v>
      </c>
      <c r="B8688">
        <v>94</v>
      </c>
      <c r="C8688">
        <v>31655754</v>
      </c>
      <c r="D8688" t="s">
        <v>71</v>
      </c>
      <c r="E8688">
        <v>1.242</v>
      </c>
      <c r="F8688" t="s">
        <v>21</v>
      </c>
      <c r="G8688" t="s">
        <v>26</v>
      </c>
      <c r="H8688" t="s">
        <v>21</v>
      </c>
      <c r="I8688" t="s">
        <v>20</v>
      </c>
      <c r="J8688" t="s">
        <v>20</v>
      </c>
      <c r="K8688" t="s">
        <v>27</v>
      </c>
      <c r="L8688" t="s">
        <v>72</v>
      </c>
      <c r="M8688" t="s">
        <v>73</v>
      </c>
      <c r="N8688">
        <v>37.240447000000003</v>
      </c>
      <c r="O8688">
        <v>-113.35642199999999</v>
      </c>
      <c r="P8688">
        <v>3446.832762</v>
      </c>
      <c r="Q8688">
        <v>423</v>
      </c>
      <c r="R8688">
        <v>0</v>
      </c>
    </row>
    <row r="8689" spans="1:18" x14ac:dyDescent="0.25">
      <c r="A8689">
        <v>8538</v>
      </c>
      <c r="B8689">
        <v>94</v>
      </c>
      <c r="C8689">
        <v>31190695</v>
      </c>
      <c r="D8689" t="s">
        <v>150</v>
      </c>
      <c r="E8689">
        <v>1.246</v>
      </c>
      <c r="F8689" t="s">
        <v>21</v>
      </c>
      <c r="G8689" t="s">
        <v>26</v>
      </c>
      <c r="H8689" t="s">
        <v>21</v>
      </c>
      <c r="I8689" t="s">
        <v>20</v>
      </c>
      <c r="J8689" t="s">
        <v>20</v>
      </c>
      <c r="K8689" t="s">
        <v>27</v>
      </c>
      <c r="L8689" t="s">
        <v>151</v>
      </c>
      <c r="M8689" t="s">
        <v>152</v>
      </c>
      <c r="N8689">
        <v>38.995458999999997</v>
      </c>
      <c r="O8689">
        <v>-110.168778</v>
      </c>
      <c r="P8689">
        <v>4017.2497499999999</v>
      </c>
      <c r="Q8689">
        <v>1336</v>
      </c>
      <c r="R8689">
        <v>0</v>
      </c>
    </row>
    <row r="8690" spans="1:18" x14ac:dyDescent="0.25">
      <c r="A8690">
        <v>8539</v>
      </c>
      <c r="B8690">
        <v>94</v>
      </c>
      <c r="C8690">
        <v>1004497</v>
      </c>
      <c r="D8690" t="s">
        <v>171</v>
      </c>
      <c r="E8690">
        <v>1.2470000000000001</v>
      </c>
      <c r="F8690" t="s">
        <v>21</v>
      </c>
      <c r="G8690" t="s">
        <v>26</v>
      </c>
      <c r="H8690" t="s">
        <v>21</v>
      </c>
      <c r="I8690" t="s">
        <v>20</v>
      </c>
      <c r="J8690" t="s">
        <v>20</v>
      </c>
      <c r="K8690" t="s">
        <v>31</v>
      </c>
      <c r="L8690" t="s">
        <v>78</v>
      </c>
      <c r="M8690" t="s">
        <v>79</v>
      </c>
      <c r="N8690">
        <v>40.696497000000001</v>
      </c>
      <c r="O8690">
        <v>-112.06801299999999</v>
      </c>
      <c r="P8690">
        <v>4293.5972009999996</v>
      </c>
      <c r="Q8690">
        <v>346</v>
      </c>
      <c r="R8690">
        <v>0</v>
      </c>
    </row>
    <row r="8691" spans="1:18" x14ac:dyDescent="0.25">
      <c r="A8691">
        <v>8540</v>
      </c>
      <c r="B8691">
        <v>94</v>
      </c>
      <c r="C8691">
        <v>31600900</v>
      </c>
      <c r="D8691" t="s">
        <v>232</v>
      </c>
      <c r="E8691">
        <v>1.2470000000000001</v>
      </c>
      <c r="F8691" t="s">
        <v>21</v>
      </c>
      <c r="G8691" t="s">
        <v>26</v>
      </c>
      <c r="H8691" t="s">
        <v>21</v>
      </c>
      <c r="I8691" t="s">
        <v>20</v>
      </c>
      <c r="J8691" t="s">
        <v>20</v>
      </c>
      <c r="K8691" t="s">
        <v>31</v>
      </c>
      <c r="L8691" t="s">
        <v>209</v>
      </c>
      <c r="M8691" t="s">
        <v>131</v>
      </c>
      <c r="N8691">
        <v>40.668191999999998</v>
      </c>
      <c r="O8691">
        <v>-111.488941</v>
      </c>
      <c r="P8691">
        <v>6674.3774549999998</v>
      </c>
      <c r="Q8691">
        <v>1279</v>
      </c>
      <c r="R8691">
        <v>0</v>
      </c>
    </row>
    <row r="8692" spans="1:18" x14ac:dyDescent="0.25">
      <c r="A8692">
        <v>8541</v>
      </c>
      <c r="B8692">
        <v>94</v>
      </c>
      <c r="C8692">
        <v>764747</v>
      </c>
      <c r="D8692" t="s">
        <v>86</v>
      </c>
      <c r="E8692">
        <v>1.248</v>
      </c>
      <c r="F8692" t="s">
        <v>21</v>
      </c>
      <c r="G8692" t="s">
        <v>26</v>
      </c>
      <c r="H8692" t="s">
        <v>21</v>
      </c>
      <c r="I8692" t="s">
        <v>20</v>
      </c>
      <c r="J8692" t="s">
        <v>20</v>
      </c>
      <c r="K8692" t="s">
        <v>41</v>
      </c>
      <c r="L8692" t="s">
        <v>87</v>
      </c>
      <c r="M8692" t="s">
        <v>58</v>
      </c>
      <c r="N8692">
        <v>41.024028999999999</v>
      </c>
      <c r="O8692">
        <v>-111.927716</v>
      </c>
      <c r="P8692">
        <v>4337.2704219999996</v>
      </c>
      <c r="Q8692">
        <v>258</v>
      </c>
      <c r="R8692">
        <v>0</v>
      </c>
    </row>
    <row r="8693" spans="1:18" x14ac:dyDescent="0.25">
      <c r="A8693">
        <v>8542</v>
      </c>
      <c r="B8693">
        <v>94</v>
      </c>
      <c r="C8693">
        <v>2527775</v>
      </c>
      <c r="D8693" t="s">
        <v>176</v>
      </c>
      <c r="E8693">
        <v>1.25</v>
      </c>
      <c r="F8693" t="s">
        <v>21</v>
      </c>
      <c r="G8693" t="s">
        <v>26</v>
      </c>
      <c r="H8693" t="s">
        <v>21</v>
      </c>
      <c r="I8693" t="s">
        <v>20</v>
      </c>
      <c r="J8693" t="s">
        <v>20</v>
      </c>
      <c r="K8693" t="s">
        <v>41</v>
      </c>
      <c r="L8693" t="s">
        <v>177</v>
      </c>
      <c r="M8693" t="s">
        <v>178</v>
      </c>
      <c r="N8693">
        <v>41.504750999999999</v>
      </c>
      <c r="O8693">
        <v>-112.015872</v>
      </c>
      <c r="P8693">
        <v>4402.8900659999999</v>
      </c>
      <c r="Q8693">
        <v>1329</v>
      </c>
      <c r="R8693">
        <v>0</v>
      </c>
    </row>
    <row r="8694" spans="1:18" x14ac:dyDescent="0.25">
      <c r="A8694">
        <v>8543</v>
      </c>
      <c r="B8694">
        <v>94</v>
      </c>
      <c r="C8694">
        <v>1129629</v>
      </c>
      <c r="D8694" t="s">
        <v>56</v>
      </c>
      <c r="E8694">
        <v>1.2509999999999999</v>
      </c>
      <c r="F8694" t="s">
        <v>21</v>
      </c>
      <c r="G8694" t="s">
        <v>26</v>
      </c>
      <c r="H8694" t="s">
        <v>21</v>
      </c>
      <c r="I8694" t="s">
        <v>20</v>
      </c>
      <c r="J8694" t="s">
        <v>20</v>
      </c>
      <c r="K8694" t="s">
        <v>41</v>
      </c>
      <c r="L8694" t="s">
        <v>57</v>
      </c>
      <c r="M8694" t="s">
        <v>58</v>
      </c>
      <c r="N8694">
        <v>41.163884000000003</v>
      </c>
      <c r="O8694">
        <v>-112.098787</v>
      </c>
      <c r="P8694">
        <v>4186.4029899999996</v>
      </c>
      <c r="Q8694">
        <v>1459</v>
      </c>
      <c r="R8694">
        <v>0</v>
      </c>
    </row>
    <row r="8695" spans="1:18" x14ac:dyDescent="0.25">
      <c r="A8695">
        <v>8544</v>
      </c>
      <c r="B8695">
        <v>94</v>
      </c>
      <c r="C8695">
        <v>31190846</v>
      </c>
      <c r="D8695" t="s">
        <v>339</v>
      </c>
      <c r="E8695">
        <v>1.252</v>
      </c>
      <c r="F8695" t="s">
        <v>21</v>
      </c>
      <c r="G8695" t="s">
        <v>26</v>
      </c>
      <c r="H8695" t="s">
        <v>21</v>
      </c>
      <c r="I8695" t="s">
        <v>20</v>
      </c>
      <c r="J8695" t="s">
        <v>20</v>
      </c>
      <c r="K8695" t="s">
        <v>41</v>
      </c>
      <c r="L8695" t="s">
        <v>95</v>
      </c>
      <c r="M8695" t="s">
        <v>73</v>
      </c>
      <c r="N8695">
        <v>41.873657999999999</v>
      </c>
      <c r="O8695">
        <v>-112.01779999999999</v>
      </c>
      <c r="P8695">
        <v>4630.248036</v>
      </c>
      <c r="Q8695">
        <v>1417</v>
      </c>
      <c r="R8695">
        <v>0</v>
      </c>
    </row>
    <row r="8696" spans="1:18" x14ac:dyDescent="0.25">
      <c r="A8696">
        <v>8545</v>
      </c>
      <c r="B8696">
        <v>94</v>
      </c>
      <c r="C8696">
        <v>28578827</v>
      </c>
      <c r="D8696" t="s">
        <v>142</v>
      </c>
      <c r="E8696">
        <v>1.254</v>
      </c>
      <c r="F8696" t="s">
        <v>21</v>
      </c>
      <c r="G8696" t="s">
        <v>26</v>
      </c>
      <c r="H8696" t="s">
        <v>21</v>
      </c>
      <c r="I8696" t="s">
        <v>20</v>
      </c>
      <c r="J8696" t="s">
        <v>20</v>
      </c>
      <c r="K8696" t="s">
        <v>27</v>
      </c>
      <c r="L8696" t="s">
        <v>143</v>
      </c>
      <c r="M8696" t="s">
        <v>106</v>
      </c>
      <c r="N8696">
        <v>38.937187000000002</v>
      </c>
      <c r="O8696">
        <v>-114.033382</v>
      </c>
      <c r="P8696">
        <v>5205.620441</v>
      </c>
      <c r="Q8696">
        <v>305</v>
      </c>
      <c r="R8696">
        <v>0</v>
      </c>
    </row>
    <row r="8697" spans="1:18" x14ac:dyDescent="0.25">
      <c r="A8697">
        <v>8546</v>
      </c>
      <c r="B8697">
        <v>94</v>
      </c>
      <c r="C8697">
        <v>27865189</v>
      </c>
      <c r="D8697" t="s">
        <v>91</v>
      </c>
      <c r="E8697">
        <v>1.4179999999999999</v>
      </c>
      <c r="F8697" t="s">
        <v>21</v>
      </c>
      <c r="G8697" t="s">
        <v>26</v>
      </c>
      <c r="H8697" t="s">
        <v>21</v>
      </c>
      <c r="I8697" t="s">
        <v>20</v>
      </c>
      <c r="J8697" t="s">
        <v>20</v>
      </c>
      <c r="K8697" t="s">
        <v>41</v>
      </c>
      <c r="L8697" t="s">
        <v>42</v>
      </c>
      <c r="M8697" t="s">
        <v>73</v>
      </c>
      <c r="N8697">
        <v>41.636665000000001</v>
      </c>
      <c r="O8697">
        <v>-111.934432</v>
      </c>
      <c r="P8697">
        <v>4492.7363109999997</v>
      </c>
      <c r="Q8697">
        <v>1339</v>
      </c>
      <c r="R8697">
        <v>0</v>
      </c>
    </row>
    <row r="8698" spans="1:18" x14ac:dyDescent="0.25">
      <c r="A8698">
        <v>8547</v>
      </c>
      <c r="B8698">
        <v>94</v>
      </c>
      <c r="C8698">
        <v>31378570</v>
      </c>
      <c r="D8698" t="s">
        <v>221</v>
      </c>
      <c r="E8698">
        <v>1.419</v>
      </c>
      <c r="F8698" t="s">
        <v>21</v>
      </c>
      <c r="G8698" t="s">
        <v>26</v>
      </c>
      <c r="H8698" t="s">
        <v>21</v>
      </c>
      <c r="I8698" t="s">
        <v>20</v>
      </c>
      <c r="J8698" t="s">
        <v>20</v>
      </c>
      <c r="K8698" t="s">
        <v>27</v>
      </c>
      <c r="L8698" t="s">
        <v>350</v>
      </c>
      <c r="M8698" t="s">
        <v>174</v>
      </c>
      <c r="N8698">
        <v>39.173293999999999</v>
      </c>
      <c r="O8698">
        <v>-111.834828</v>
      </c>
      <c r="P8698">
        <v>5152.5742449999998</v>
      </c>
      <c r="Q8698">
        <v>1342</v>
      </c>
      <c r="R8698">
        <v>0</v>
      </c>
    </row>
    <row r="8699" spans="1:18" x14ac:dyDescent="0.25">
      <c r="A8699">
        <v>8548</v>
      </c>
      <c r="B8699">
        <v>94</v>
      </c>
      <c r="C8699">
        <v>31519562</v>
      </c>
      <c r="D8699" t="s">
        <v>390</v>
      </c>
      <c r="E8699">
        <v>1.42</v>
      </c>
      <c r="F8699" t="s">
        <v>19</v>
      </c>
      <c r="G8699" t="s">
        <v>20</v>
      </c>
      <c r="H8699" t="s">
        <v>21</v>
      </c>
      <c r="I8699" t="s">
        <v>20</v>
      </c>
      <c r="J8699" t="s">
        <v>20</v>
      </c>
      <c r="K8699" t="s">
        <v>22</v>
      </c>
      <c r="L8699" t="s">
        <v>84</v>
      </c>
      <c r="M8699" t="s">
        <v>335</v>
      </c>
      <c r="N8699">
        <v>40.432707000000001</v>
      </c>
      <c r="O8699">
        <v>-111.868838</v>
      </c>
      <c r="P8699">
        <v>4785.9228640000001</v>
      </c>
      <c r="Q8699">
        <v>1386</v>
      </c>
      <c r="R8699">
        <v>0</v>
      </c>
    </row>
    <row r="8700" spans="1:18" x14ac:dyDescent="0.25">
      <c r="A8700">
        <v>8549</v>
      </c>
      <c r="B8700">
        <v>94</v>
      </c>
      <c r="C8700">
        <v>28578849</v>
      </c>
      <c r="D8700" t="s">
        <v>142</v>
      </c>
      <c r="E8700">
        <v>1.425</v>
      </c>
      <c r="F8700" t="s">
        <v>21</v>
      </c>
      <c r="G8700" t="s">
        <v>26</v>
      </c>
      <c r="H8700" t="s">
        <v>21</v>
      </c>
      <c r="I8700" t="s">
        <v>20</v>
      </c>
      <c r="J8700" t="s">
        <v>20</v>
      </c>
      <c r="K8700" t="s">
        <v>27</v>
      </c>
      <c r="L8700" t="s">
        <v>143</v>
      </c>
      <c r="M8700" t="s">
        <v>106</v>
      </c>
      <c r="N8700">
        <v>38.934711999999998</v>
      </c>
      <c r="O8700">
        <v>-114.03337000000001</v>
      </c>
      <c r="P8700">
        <v>5207.5864080000001</v>
      </c>
      <c r="Q8700">
        <v>305</v>
      </c>
      <c r="R8700">
        <v>0</v>
      </c>
    </row>
    <row r="8701" spans="1:18" x14ac:dyDescent="0.25">
      <c r="A8701">
        <v>8550</v>
      </c>
      <c r="B8701">
        <v>94</v>
      </c>
      <c r="C8701">
        <v>1080893</v>
      </c>
      <c r="D8701" t="s">
        <v>367</v>
      </c>
      <c r="E8701">
        <v>1.429</v>
      </c>
      <c r="F8701" t="s">
        <v>21</v>
      </c>
      <c r="G8701" t="s">
        <v>26</v>
      </c>
      <c r="H8701" t="s">
        <v>21</v>
      </c>
      <c r="I8701" t="s">
        <v>20</v>
      </c>
      <c r="J8701" t="s">
        <v>20</v>
      </c>
      <c r="K8701" t="s">
        <v>41</v>
      </c>
      <c r="L8701" t="s">
        <v>177</v>
      </c>
      <c r="M8701" t="s">
        <v>368</v>
      </c>
      <c r="N8701">
        <v>41.422542</v>
      </c>
      <c r="O8701">
        <v>-112.042186</v>
      </c>
      <c r="P8701">
        <v>4230.6519330000001</v>
      </c>
      <c r="Q8701">
        <v>266</v>
      </c>
      <c r="R8701">
        <v>0</v>
      </c>
    </row>
    <row r="8702" spans="1:18" x14ac:dyDescent="0.25">
      <c r="A8702">
        <v>8551</v>
      </c>
      <c r="B8702">
        <v>94</v>
      </c>
      <c r="C8702">
        <v>31191678</v>
      </c>
      <c r="D8702" t="s">
        <v>150</v>
      </c>
      <c r="E8702">
        <v>1.4370000000000001</v>
      </c>
      <c r="F8702" t="s">
        <v>21</v>
      </c>
      <c r="G8702" t="s">
        <v>26</v>
      </c>
      <c r="H8702" t="s">
        <v>21</v>
      </c>
      <c r="I8702" t="s">
        <v>20</v>
      </c>
      <c r="J8702" t="s">
        <v>20</v>
      </c>
      <c r="K8702" t="s">
        <v>27</v>
      </c>
      <c r="L8702" t="s">
        <v>151</v>
      </c>
      <c r="M8702" t="s">
        <v>152</v>
      </c>
      <c r="N8702">
        <v>38.995479000000003</v>
      </c>
      <c r="O8702">
        <v>-110.165204</v>
      </c>
      <c r="P8702">
        <v>4011.8867890000001</v>
      </c>
      <c r="Q8702">
        <v>1336</v>
      </c>
      <c r="R8702">
        <v>0</v>
      </c>
    </row>
    <row r="8703" spans="1:18" x14ac:dyDescent="0.25">
      <c r="A8703">
        <v>8552</v>
      </c>
      <c r="B8703">
        <v>94</v>
      </c>
      <c r="C8703">
        <v>527723</v>
      </c>
      <c r="D8703" t="s">
        <v>135</v>
      </c>
      <c r="E8703">
        <v>1.444</v>
      </c>
      <c r="F8703" t="s">
        <v>21</v>
      </c>
      <c r="G8703" t="s">
        <v>26</v>
      </c>
      <c r="H8703" t="s">
        <v>21</v>
      </c>
      <c r="I8703" t="s">
        <v>20</v>
      </c>
      <c r="J8703" t="s">
        <v>20</v>
      </c>
      <c r="K8703" t="s">
        <v>31</v>
      </c>
      <c r="L8703" t="s">
        <v>48</v>
      </c>
      <c r="M8703" t="s">
        <v>49</v>
      </c>
      <c r="N8703">
        <v>40.562278999999997</v>
      </c>
      <c r="O8703">
        <v>-111.949442</v>
      </c>
      <c r="P8703">
        <v>4450.743563</v>
      </c>
      <c r="Q8703">
        <v>1423</v>
      </c>
      <c r="R8703">
        <v>0</v>
      </c>
    </row>
    <row r="8704" spans="1:18" x14ac:dyDescent="0.25">
      <c r="A8704">
        <v>8553</v>
      </c>
      <c r="B8704">
        <v>94</v>
      </c>
      <c r="C8704">
        <v>31743914</v>
      </c>
      <c r="D8704" t="s">
        <v>244</v>
      </c>
      <c r="E8704">
        <v>155.95599999999999</v>
      </c>
      <c r="F8704" t="s">
        <v>21</v>
      </c>
      <c r="G8704" t="s">
        <v>26</v>
      </c>
      <c r="H8704" t="s">
        <v>21</v>
      </c>
      <c r="I8704" t="s">
        <v>20</v>
      </c>
      <c r="J8704" t="s">
        <v>20</v>
      </c>
      <c r="K8704" t="s">
        <v>27</v>
      </c>
      <c r="L8704" t="s">
        <v>151</v>
      </c>
      <c r="M8704" t="s">
        <v>270</v>
      </c>
      <c r="N8704">
        <v>38.866962999999998</v>
      </c>
      <c r="O8704">
        <v>-110.364858</v>
      </c>
      <c r="P8704">
        <v>4207.9514330000002</v>
      </c>
      <c r="Q8704">
        <v>1340</v>
      </c>
      <c r="R8704">
        <v>0</v>
      </c>
    </row>
    <row r="8705" spans="1:18" x14ac:dyDescent="0.25">
      <c r="A8705">
        <v>8554</v>
      </c>
      <c r="B8705">
        <v>94</v>
      </c>
      <c r="C8705">
        <v>31869931</v>
      </c>
      <c r="D8705" t="s">
        <v>118</v>
      </c>
      <c r="E8705">
        <v>156.10300000000001</v>
      </c>
      <c r="F8705" t="s">
        <v>21</v>
      </c>
      <c r="G8705" t="s">
        <v>26</v>
      </c>
      <c r="H8705" t="s">
        <v>21</v>
      </c>
      <c r="I8705" t="s">
        <v>20</v>
      </c>
      <c r="J8705" t="s">
        <v>20</v>
      </c>
      <c r="K8705" t="s">
        <v>22</v>
      </c>
      <c r="L8705" t="s">
        <v>234</v>
      </c>
      <c r="M8705" t="s">
        <v>169</v>
      </c>
      <c r="N8705">
        <v>40.369551999999999</v>
      </c>
      <c r="O8705">
        <v>-109.36471299999999</v>
      </c>
      <c r="P8705">
        <v>4721.5266780000002</v>
      </c>
      <c r="Q8705">
        <v>310</v>
      </c>
      <c r="R8705">
        <v>0</v>
      </c>
    </row>
    <row r="8706" spans="1:18" x14ac:dyDescent="0.25">
      <c r="A8706">
        <v>8555</v>
      </c>
      <c r="B8706">
        <v>94</v>
      </c>
      <c r="C8706" t="e">
        <f>-IoI0kmyF3Tq3XORWVOEyk</f>
        <v>#NAME?</v>
      </c>
      <c r="D8706" t="s">
        <v>272</v>
      </c>
      <c r="E8706">
        <v>156.31</v>
      </c>
      <c r="F8706" t="s">
        <v>21</v>
      </c>
      <c r="G8706" t="s">
        <v>26</v>
      </c>
      <c r="H8706" t="s">
        <v>21</v>
      </c>
      <c r="I8706" t="s">
        <v>20</v>
      </c>
      <c r="J8706" t="s">
        <v>20</v>
      </c>
      <c r="K8706" t="s">
        <v>27</v>
      </c>
      <c r="L8706" t="s">
        <v>64</v>
      </c>
      <c r="M8706" t="s">
        <v>214</v>
      </c>
      <c r="N8706">
        <v>38.150716000000003</v>
      </c>
      <c r="O8706">
        <v>-112.291676</v>
      </c>
      <c r="P8706">
        <v>6053.3725350000004</v>
      </c>
      <c r="Q8706">
        <v>1384</v>
      </c>
      <c r="R8706">
        <v>0</v>
      </c>
    </row>
    <row r="8707" spans="1:18" x14ac:dyDescent="0.25">
      <c r="A8707">
        <v>8556</v>
      </c>
      <c r="B8707">
        <v>94</v>
      </c>
      <c r="C8707">
        <v>31587351</v>
      </c>
      <c r="D8707" t="s">
        <v>213</v>
      </c>
      <c r="E8707">
        <v>156.346</v>
      </c>
      <c r="F8707" t="s">
        <v>21</v>
      </c>
      <c r="G8707" t="s">
        <v>26</v>
      </c>
      <c r="H8707" t="s">
        <v>21</v>
      </c>
      <c r="I8707" t="s">
        <v>20</v>
      </c>
      <c r="J8707" t="s">
        <v>20</v>
      </c>
      <c r="K8707" t="s">
        <v>22</v>
      </c>
      <c r="L8707" t="s">
        <v>198</v>
      </c>
      <c r="M8707" t="s">
        <v>214</v>
      </c>
      <c r="N8707">
        <v>39.976491000000003</v>
      </c>
      <c r="O8707">
        <v>-111.843808</v>
      </c>
      <c r="P8707">
        <v>4592.757627</v>
      </c>
      <c r="Q8707">
        <v>1332</v>
      </c>
      <c r="R8707">
        <v>0</v>
      </c>
    </row>
    <row r="8708" spans="1:18" x14ac:dyDescent="0.25">
      <c r="A8708">
        <v>8557</v>
      </c>
      <c r="B8708">
        <v>94</v>
      </c>
      <c r="C8708">
        <v>31547417</v>
      </c>
      <c r="D8708" t="s">
        <v>320</v>
      </c>
      <c r="E8708">
        <v>156.38</v>
      </c>
      <c r="F8708" t="s">
        <v>21</v>
      </c>
      <c r="G8708" t="s">
        <v>26</v>
      </c>
      <c r="H8708" t="s">
        <v>21</v>
      </c>
      <c r="I8708" t="s">
        <v>20</v>
      </c>
      <c r="J8708" t="s">
        <v>20</v>
      </c>
      <c r="K8708" t="s">
        <v>27</v>
      </c>
      <c r="L8708" t="s">
        <v>183</v>
      </c>
      <c r="M8708" t="s">
        <v>76</v>
      </c>
      <c r="N8708">
        <v>38.954027000000004</v>
      </c>
      <c r="O8708">
        <v>-111.89886199999999</v>
      </c>
      <c r="P8708">
        <v>5114.0878970000003</v>
      </c>
      <c r="Q8708">
        <v>1356</v>
      </c>
      <c r="R8708">
        <v>0</v>
      </c>
    </row>
    <row r="8709" spans="1:18" x14ac:dyDescent="0.25">
      <c r="A8709">
        <v>8558</v>
      </c>
      <c r="B8709">
        <v>94</v>
      </c>
      <c r="C8709">
        <v>31743925</v>
      </c>
      <c r="D8709" t="s">
        <v>244</v>
      </c>
      <c r="E8709">
        <v>156.488</v>
      </c>
      <c r="F8709" t="s">
        <v>21</v>
      </c>
      <c r="G8709" t="s">
        <v>26</v>
      </c>
      <c r="H8709" t="s">
        <v>21</v>
      </c>
      <c r="I8709" t="s">
        <v>20</v>
      </c>
      <c r="J8709" t="s">
        <v>20</v>
      </c>
      <c r="K8709" t="s">
        <v>27</v>
      </c>
      <c r="L8709" t="s">
        <v>151</v>
      </c>
      <c r="M8709" t="s">
        <v>270</v>
      </c>
      <c r="N8709">
        <v>38.873280999999999</v>
      </c>
      <c r="O8709">
        <v>-110.35943</v>
      </c>
      <c r="P8709">
        <v>4156.686866</v>
      </c>
      <c r="Q8709">
        <v>1340</v>
      </c>
      <c r="R8709">
        <v>0</v>
      </c>
    </row>
    <row r="8710" spans="1:18" x14ac:dyDescent="0.25">
      <c r="A8710">
        <v>8559</v>
      </c>
      <c r="B8710">
        <v>94</v>
      </c>
      <c r="C8710">
        <v>31743936</v>
      </c>
      <c r="D8710" t="s">
        <v>244</v>
      </c>
      <c r="E8710">
        <v>156.53299999999999</v>
      </c>
      <c r="F8710" t="s">
        <v>21</v>
      </c>
      <c r="G8710" t="s">
        <v>26</v>
      </c>
      <c r="H8710" t="s">
        <v>21</v>
      </c>
      <c r="I8710" t="s">
        <v>20</v>
      </c>
      <c r="J8710" t="s">
        <v>20</v>
      </c>
      <c r="K8710" t="s">
        <v>27</v>
      </c>
      <c r="L8710" t="s">
        <v>151</v>
      </c>
      <c r="M8710" t="s">
        <v>270</v>
      </c>
      <c r="N8710">
        <v>38.873932000000003</v>
      </c>
      <c r="O8710">
        <v>-110.359255</v>
      </c>
      <c r="P8710">
        <v>4155.2367039999999</v>
      </c>
      <c r="Q8710">
        <v>1340</v>
      </c>
      <c r="R8710">
        <v>0</v>
      </c>
    </row>
    <row r="8711" spans="1:18" x14ac:dyDescent="0.25">
      <c r="A8711">
        <v>8560</v>
      </c>
      <c r="B8711">
        <v>94</v>
      </c>
      <c r="C8711">
        <v>31869942</v>
      </c>
      <c r="D8711" t="s">
        <v>118</v>
      </c>
      <c r="E8711">
        <v>156.60400000000001</v>
      </c>
      <c r="F8711" t="s">
        <v>21</v>
      </c>
      <c r="G8711" t="s">
        <v>26</v>
      </c>
      <c r="H8711" t="s">
        <v>21</v>
      </c>
      <c r="I8711" t="s">
        <v>20</v>
      </c>
      <c r="J8711" t="s">
        <v>20</v>
      </c>
      <c r="K8711" t="s">
        <v>22</v>
      </c>
      <c r="L8711" t="s">
        <v>234</v>
      </c>
      <c r="M8711" t="s">
        <v>169</v>
      </c>
      <c r="N8711">
        <v>40.369700999999999</v>
      </c>
      <c r="O8711">
        <v>-109.35518</v>
      </c>
      <c r="P8711">
        <v>4709.767468</v>
      </c>
      <c r="Q8711">
        <v>310</v>
      </c>
      <c r="R8711">
        <v>0</v>
      </c>
    </row>
    <row r="8712" spans="1:18" x14ac:dyDescent="0.25">
      <c r="A8712">
        <v>8561</v>
      </c>
      <c r="B8712">
        <v>94</v>
      </c>
      <c r="C8712">
        <v>492180</v>
      </c>
      <c r="D8712" t="s">
        <v>322</v>
      </c>
      <c r="E8712">
        <v>0.55700000000000005</v>
      </c>
      <c r="F8712" t="s">
        <v>19</v>
      </c>
      <c r="G8712" t="s">
        <v>20</v>
      </c>
      <c r="H8712" t="s">
        <v>21</v>
      </c>
      <c r="I8712" t="s">
        <v>20</v>
      </c>
      <c r="J8712" t="s">
        <v>20</v>
      </c>
      <c r="K8712" t="s">
        <v>22</v>
      </c>
      <c r="L8712" t="s">
        <v>84</v>
      </c>
      <c r="M8712" t="s">
        <v>24</v>
      </c>
      <c r="N8712">
        <v>40.413302000000002</v>
      </c>
      <c r="O8712">
        <v>-111.876852</v>
      </c>
      <c r="P8712">
        <v>4497.6786160000001</v>
      </c>
      <c r="Q8712">
        <v>6660</v>
      </c>
      <c r="R8712">
        <v>0</v>
      </c>
    </row>
    <row r="8713" spans="1:18" x14ac:dyDescent="0.25">
      <c r="A8713">
        <v>8562</v>
      </c>
      <c r="B8713">
        <v>94</v>
      </c>
      <c r="C8713">
        <v>27864450</v>
      </c>
      <c r="D8713" t="s">
        <v>91</v>
      </c>
      <c r="E8713">
        <v>0.55700000000000005</v>
      </c>
      <c r="F8713" t="s">
        <v>21</v>
      </c>
      <c r="G8713" t="s">
        <v>26</v>
      </c>
      <c r="H8713" t="s">
        <v>21</v>
      </c>
      <c r="I8713" t="s">
        <v>20</v>
      </c>
      <c r="J8713" t="s">
        <v>20</v>
      </c>
      <c r="K8713" t="s">
        <v>41</v>
      </c>
      <c r="L8713" t="s">
        <v>42</v>
      </c>
      <c r="M8713" t="s">
        <v>73</v>
      </c>
      <c r="N8713">
        <v>41.624164999999998</v>
      </c>
      <c r="O8713">
        <v>-111.934872</v>
      </c>
      <c r="P8713">
        <v>4513.6246209999999</v>
      </c>
      <c r="Q8713">
        <v>1339</v>
      </c>
      <c r="R8713">
        <v>0</v>
      </c>
    </row>
    <row r="8714" spans="1:18" x14ac:dyDescent="0.25">
      <c r="A8714">
        <v>8563</v>
      </c>
      <c r="B8714">
        <v>94</v>
      </c>
      <c r="C8714">
        <v>474581</v>
      </c>
      <c r="D8714" t="s">
        <v>83</v>
      </c>
      <c r="E8714">
        <v>0.56000000000000005</v>
      </c>
      <c r="F8714" t="s">
        <v>21</v>
      </c>
      <c r="G8714" t="s">
        <v>26</v>
      </c>
      <c r="H8714" t="s">
        <v>21</v>
      </c>
      <c r="I8714" t="s">
        <v>20</v>
      </c>
      <c r="J8714" t="s">
        <v>20</v>
      </c>
      <c r="K8714" t="s">
        <v>22</v>
      </c>
      <c r="L8714" t="s">
        <v>84</v>
      </c>
      <c r="M8714" t="s">
        <v>85</v>
      </c>
      <c r="N8714">
        <v>40.385038000000002</v>
      </c>
      <c r="O8714">
        <v>-111.795843</v>
      </c>
      <c r="P8714">
        <v>4581.8635709999999</v>
      </c>
      <c r="Q8714">
        <v>319</v>
      </c>
      <c r="R8714">
        <v>0</v>
      </c>
    </row>
    <row r="8715" spans="1:18" x14ac:dyDescent="0.25">
      <c r="A8715">
        <v>8564</v>
      </c>
      <c r="B8715">
        <v>94</v>
      </c>
      <c r="C8715">
        <v>28325060</v>
      </c>
      <c r="D8715" t="s">
        <v>160</v>
      </c>
      <c r="E8715">
        <v>0.56100000000000005</v>
      </c>
      <c r="F8715" t="s">
        <v>21</v>
      </c>
      <c r="G8715" t="s">
        <v>26</v>
      </c>
      <c r="H8715" t="s">
        <v>21</v>
      </c>
      <c r="I8715" t="s">
        <v>20</v>
      </c>
      <c r="J8715" t="s">
        <v>20</v>
      </c>
      <c r="K8715" t="s">
        <v>27</v>
      </c>
      <c r="L8715" t="s">
        <v>72</v>
      </c>
      <c r="M8715" t="s">
        <v>73</v>
      </c>
      <c r="N8715">
        <v>37.218404</v>
      </c>
      <c r="O8715">
        <v>-113.274849</v>
      </c>
      <c r="P8715">
        <v>3047.2655100000002</v>
      </c>
      <c r="Q8715">
        <v>1335</v>
      </c>
      <c r="R8715">
        <v>0</v>
      </c>
    </row>
    <row r="8716" spans="1:18" x14ac:dyDescent="0.25">
      <c r="A8716">
        <v>8565</v>
      </c>
      <c r="B8716">
        <v>94</v>
      </c>
      <c r="C8716">
        <v>31439069</v>
      </c>
      <c r="D8716" t="s">
        <v>91</v>
      </c>
      <c r="E8716">
        <v>0.99099999999999999</v>
      </c>
      <c r="F8716" t="s">
        <v>21</v>
      </c>
      <c r="G8716" t="s">
        <v>26</v>
      </c>
      <c r="H8716" t="s">
        <v>21</v>
      </c>
      <c r="I8716" t="s">
        <v>20</v>
      </c>
      <c r="J8716" t="s">
        <v>20</v>
      </c>
      <c r="K8716" t="s">
        <v>41</v>
      </c>
      <c r="L8716" t="s">
        <v>42</v>
      </c>
      <c r="M8716" t="s">
        <v>73</v>
      </c>
      <c r="N8716">
        <v>41.630457999999997</v>
      </c>
      <c r="O8716">
        <v>-111.93463800000001</v>
      </c>
      <c r="P8716">
        <v>4482.4488529999999</v>
      </c>
      <c r="Q8716">
        <v>1339</v>
      </c>
      <c r="R8716">
        <v>0</v>
      </c>
    </row>
    <row r="8717" spans="1:18" x14ac:dyDescent="0.25">
      <c r="A8717">
        <v>8566</v>
      </c>
      <c r="B8717">
        <v>94</v>
      </c>
      <c r="C8717">
        <v>534647</v>
      </c>
      <c r="D8717" t="s">
        <v>77</v>
      </c>
      <c r="E8717">
        <v>0.99299999999999999</v>
      </c>
      <c r="F8717" t="s">
        <v>19</v>
      </c>
      <c r="G8717" t="s">
        <v>20</v>
      </c>
      <c r="H8717" t="s">
        <v>19</v>
      </c>
      <c r="I8717">
        <v>173</v>
      </c>
      <c r="J8717" t="s">
        <v>20</v>
      </c>
      <c r="K8717" t="s">
        <v>31</v>
      </c>
      <c r="L8717" t="s">
        <v>48</v>
      </c>
      <c r="M8717" t="s">
        <v>79</v>
      </c>
      <c r="N8717">
        <v>40.653041000000002</v>
      </c>
      <c r="O8717">
        <v>-112.024653</v>
      </c>
      <c r="P8717">
        <v>4718.9024200000003</v>
      </c>
      <c r="Q8717">
        <v>1436</v>
      </c>
      <c r="R8717">
        <v>0</v>
      </c>
    </row>
    <row r="8718" spans="1:18" x14ac:dyDescent="0.25">
      <c r="A8718">
        <v>8567</v>
      </c>
      <c r="B8718">
        <v>94</v>
      </c>
      <c r="C8718" t="e">
        <f>-IpdrgjVIbTJaDN_yWwQ5F</f>
        <v>#NAME?</v>
      </c>
      <c r="D8718" t="s">
        <v>170</v>
      </c>
      <c r="E8718">
        <v>0.99299999999999999</v>
      </c>
      <c r="F8718" t="s">
        <v>21</v>
      </c>
      <c r="G8718" t="s">
        <v>26</v>
      </c>
      <c r="H8718" t="s">
        <v>21</v>
      </c>
      <c r="I8718" t="s">
        <v>20</v>
      </c>
      <c r="J8718" t="s">
        <v>20</v>
      </c>
      <c r="K8718" t="s">
        <v>41</v>
      </c>
      <c r="L8718" t="s">
        <v>81</v>
      </c>
      <c r="M8718" t="s">
        <v>82</v>
      </c>
      <c r="N8718">
        <v>41.189729999999997</v>
      </c>
      <c r="O8718">
        <v>-111.94082400000001</v>
      </c>
      <c r="P8718">
        <v>4695.8770750000003</v>
      </c>
      <c r="Q8718">
        <v>1284</v>
      </c>
      <c r="R8718">
        <v>0</v>
      </c>
    </row>
    <row r="8719" spans="1:18" x14ac:dyDescent="0.25">
      <c r="A8719">
        <v>8568</v>
      </c>
      <c r="B8719">
        <v>94</v>
      </c>
      <c r="C8719">
        <v>31750008</v>
      </c>
      <c r="D8719" t="s">
        <v>370</v>
      </c>
      <c r="E8719">
        <v>0.99299999999999999</v>
      </c>
      <c r="F8719" t="s">
        <v>21</v>
      </c>
      <c r="G8719" t="s">
        <v>26</v>
      </c>
      <c r="H8719" t="s">
        <v>21</v>
      </c>
      <c r="I8719" t="s">
        <v>20</v>
      </c>
      <c r="J8719" t="s">
        <v>20</v>
      </c>
      <c r="K8719" t="s">
        <v>41</v>
      </c>
      <c r="L8719" t="s">
        <v>87</v>
      </c>
      <c r="M8719" t="s">
        <v>58</v>
      </c>
      <c r="N8719">
        <v>41.163760000000003</v>
      </c>
      <c r="O8719">
        <v>-112.008109</v>
      </c>
      <c r="P8719">
        <v>4379.7287319999996</v>
      </c>
      <c r="Q8719">
        <v>1435</v>
      </c>
      <c r="R8719">
        <v>0</v>
      </c>
    </row>
    <row r="8720" spans="1:18" x14ac:dyDescent="0.25">
      <c r="A8720">
        <v>8569</v>
      </c>
      <c r="B8720">
        <v>94</v>
      </c>
      <c r="C8720">
        <v>31835506</v>
      </c>
      <c r="D8720" t="s">
        <v>161</v>
      </c>
      <c r="E8720">
        <v>0.995</v>
      </c>
      <c r="F8720" t="s">
        <v>21</v>
      </c>
      <c r="G8720" t="s">
        <v>26</v>
      </c>
      <c r="H8720" t="s">
        <v>21</v>
      </c>
      <c r="I8720" t="s">
        <v>20</v>
      </c>
      <c r="J8720" t="s">
        <v>20</v>
      </c>
      <c r="K8720" t="s">
        <v>27</v>
      </c>
      <c r="L8720" t="s">
        <v>162</v>
      </c>
      <c r="M8720" t="s">
        <v>163</v>
      </c>
      <c r="N8720">
        <v>37.573546999999998</v>
      </c>
      <c r="O8720">
        <v>-113.716815</v>
      </c>
      <c r="P8720">
        <v>5240.7581330000003</v>
      </c>
      <c r="Q8720">
        <v>419</v>
      </c>
      <c r="R8720">
        <v>0</v>
      </c>
    </row>
    <row r="8721" spans="1:18" x14ac:dyDescent="0.25">
      <c r="A8721">
        <v>8570</v>
      </c>
      <c r="B8721">
        <v>94</v>
      </c>
      <c r="C8721">
        <v>1366845</v>
      </c>
      <c r="D8721" t="s">
        <v>100</v>
      </c>
      <c r="E8721">
        <v>0.995</v>
      </c>
      <c r="F8721" t="s">
        <v>19</v>
      </c>
      <c r="G8721" t="s">
        <v>20</v>
      </c>
      <c r="H8721" t="s">
        <v>21</v>
      </c>
      <c r="I8721" t="s">
        <v>20</v>
      </c>
      <c r="J8721" t="s">
        <v>20</v>
      </c>
      <c r="K8721" t="s">
        <v>41</v>
      </c>
      <c r="L8721" t="s">
        <v>57</v>
      </c>
      <c r="M8721" t="s">
        <v>46</v>
      </c>
      <c r="N8721">
        <v>41.089129</v>
      </c>
      <c r="O8721">
        <v>-112.006935</v>
      </c>
      <c r="P8721">
        <v>4388.6294619999999</v>
      </c>
      <c r="Q8721">
        <v>1396</v>
      </c>
      <c r="R8721">
        <v>0</v>
      </c>
    </row>
    <row r="8722" spans="1:18" x14ac:dyDescent="0.25">
      <c r="A8722">
        <v>8571</v>
      </c>
      <c r="B8722">
        <v>94</v>
      </c>
      <c r="C8722">
        <v>1294997</v>
      </c>
      <c r="D8722" t="s">
        <v>191</v>
      </c>
      <c r="E8722">
        <v>0.995</v>
      </c>
      <c r="F8722" t="s">
        <v>21</v>
      </c>
      <c r="G8722" t="s">
        <v>26</v>
      </c>
      <c r="H8722" t="s">
        <v>21</v>
      </c>
      <c r="I8722" t="s">
        <v>20</v>
      </c>
      <c r="J8722" t="s">
        <v>20</v>
      </c>
      <c r="K8722" t="s">
        <v>41</v>
      </c>
      <c r="L8722" t="s">
        <v>57</v>
      </c>
      <c r="M8722" t="s">
        <v>190</v>
      </c>
      <c r="N8722">
        <v>41.103687999999998</v>
      </c>
      <c r="O8722">
        <v>-112.11267100000001</v>
      </c>
      <c r="P8722">
        <v>4174.4331009999996</v>
      </c>
      <c r="Q8722">
        <v>329</v>
      </c>
      <c r="R8722">
        <v>0</v>
      </c>
    </row>
    <row r="8723" spans="1:18" x14ac:dyDescent="0.25">
      <c r="A8723">
        <v>8572</v>
      </c>
      <c r="B8723">
        <v>94</v>
      </c>
      <c r="C8723">
        <v>31387610</v>
      </c>
      <c r="D8723" t="s">
        <v>369</v>
      </c>
      <c r="E8723">
        <v>0.997</v>
      </c>
      <c r="F8723" t="s">
        <v>21</v>
      </c>
      <c r="G8723" t="s">
        <v>26</v>
      </c>
      <c r="H8723" t="s">
        <v>21</v>
      </c>
      <c r="I8723" t="s">
        <v>20</v>
      </c>
      <c r="J8723" t="s">
        <v>20</v>
      </c>
      <c r="K8723" t="s">
        <v>22</v>
      </c>
      <c r="L8723" t="s">
        <v>198</v>
      </c>
      <c r="M8723" t="s">
        <v>76</v>
      </c>
      <c r="N8723">
        <v>40.031329999999997</v>
      </c>
      <c r="O8723">
        <v>-111.739766</v>
      </c>
      <c r="P8723">
        <v>4655.2581039999995</v>
      </c>
      <c r="Q8723">
        <v>347</v>
      </c>
      <c r="R8723">
        <v>0</v>
      </c>
    </row>
    <row r="8724" spans="1:18" x14ac:dyDescent="0.25">
      <c r="A8724">
        <v>8573</v>
      </c>
      <c r="B8724">
        <v>94</v>
      </c>
      <c r="C8724">
        <v>28616290</v>
      </c>
      <c r="D8724" t="s">
        <v>192</v>
      </c>
      <c r="E8724">
        <v>0.998</v>
      </c>
      <c r="F8724" t="s">
        <v>21</v>
      </c>
      <c r="G8724" t="s">
        <v>26</v>
      </c>
      <c r="H8724" t="s">
        <v>21</v>
      </c>
      <c r="I8724" t="s">
        <v>20</v>
      </c>
      <c r="J8724" t="s">
        <v>20</v>
      </c>
      <c r="K8724" t="s">
        <v>22</v>
      </c>
      <c r="L8724" t="s">
        <v>140</v>
      </c>
      <c r="M8724" t="s">
        <v>125</v>
      </c>
      <c r="N8724">
        <v>40.129179000000001</v>
      </c>
      <c r="O8724">
        <v>-111.73048</v>
      </c>
      <c r="P8724">
        <v>4455.6098249999995</v>
      </c>
      <c r="Q8724">
        <v>1375</v>
      </c>
      <c r="R8724">
        <v>0</v>
      </c>
    </row>
    <row r="8725" spans="1:18" x14ac:dyDescent="0.25">
      <c r="A8725">
        <v>8574</v>
      </c>
      <c r="B8725">
        <v>94</v>
      </c>
      <c r="C8725">
        <v>31363139</v>
      </c>
      <c r="D8725" t="s">
        <v>343</v>
      </c>
      <c r="E8725">
        <v>0.999</v>
      </c>
      <c r="F8725" t="s">
        <v>21</v>
      </c>
      <c r="G8725" t="s">
        <v>26</v>
      </c>
      <c r="H8725" t="s">
        <v>21</v>
      </c>
      <c r="I8725" t="s">
        <v>20</v>
      </c>
      <c r="J8725" t="s">
        <v>20</v>
      </c>
      <c r="K8725" t="s">
        <v>27</v>
      </c>
      <c r="L8725" t="s">
        <v>230</v>
      </c>
      <c r="M8725" t="s">
        <v>82</v>
      </c>
      <c r="N8725">
        <v>39.525415000000002</v>
      </c>
      <c r="O8725">
        <v>-111.557574</v>
      </c>
      <c r="P8725">
        <v>5525.7641670000003</v>
      </c>
      <c r="Q8725">
        <v>1402</v>
      </c>
      <c r="R8725">
        <v>0</v>
      </c>
    </row>
    <row r="8726" spans="1:18" x14ac:dyDescent="0.25">
      <c r="A8726">
        <v>8575</v>
      </c>
      <c r="B8726">
        <v>94</v>
      </c>
      <c r="C8726">
        <v>27340982</v>
      </c>
      <c r="D8726" t="s">
        <v>185</v>
      </c>
      <c r="E8726">
        <v>1</v>
      </c>
      <c r="F8726" t="s">
        <v>19</v>
      </c>
      <c r="G8726" t="s">
        <v>20</v>
      </c>
      <c r="H8726" t="s">
        <v>21</v>
      </c>
      <c r="I8726" t="s">
        <v>20</v>
      </c>
      <c r="J8726" t="s">
        <v>20</v>
      </c>
      <c r="K8726" t="s">
        <v>41</v>
      </c>
      <c r="L8726" t="s">
        <v>57</v>
      </c>
      <c r="M8726" t="s">
        <v>58</v>
      </c>
      <c r="N8726">
        <v>41.139896</v>
      </c>
      <c r="O8726">
        <v>-112.045305</v>
      </c>
      <c r="P8726">
        <v>4368.4932339999996</v>
      </c>
      <c r="Q8726">
        <v>309</v>
      </c>
      <c r="R8726">
        <v>0</v>
      </c>
    </row>
    <row r="8727" spans="1:18" x14ac:dyDescent="0.25">
      <c r="A8727">
        <v>8576</v>
      </c>
      <c r="B8727">
        <v>94</v>
      </c>
      <c r="C8727">
        <v>31404891</v>
      </c>
      <c r="D8727" t="s">
        <v>74</v>
      </c>
      <c r="E8727">
        <v>1.0009999999999999</v>
      </c>
      <c r="F8727" t="s">
        <v>19</v>
      </c>
      <c r="G8727" t="s">
        <v>20</v>
      </c>
      <c r="H8727" t="s">
        <v>19</v>
      </c>
      <c r="I8727">
        <v>118</v>
      </c>
      <c r="J8727" t="s">
        <v>20</v>
      </c>
      <c r="K8727" t="s">
        <v>27</v>
      </c>
      <c r="L8727" t="s">
        <v>75</v>
      </c>
      <c r="M8727" t="s">
        <v>76</v>
      </c>
      <c r="N8727">
        <v>38.749631000000001</v>
      </c>
      <c r="O8727">
        <v>-112.087901</v>
      </c>
      <c r="P8727">
        <v>5220.5756810000003</v>
      </c>
      <c r="Q8727">
        <v>332</v>
      </c>
      <c r="R8727">
        <v>0</v>
      </c>
    </row>
    <row r="8728" spans="1:18" x14ac:dyDescent="0.25">
      <c r="A8728">
        <v>8577</v>
      </c>
      <c r="B8728">
        <v>94</v>
      </c>
      <c r="C8728" t="s">
        <v>1005</v>
      </c>
      <c r="D8728" t="s">
        <v>92</v>
      </c>
      <c r="E8728">
        <v>1.0009999999999999</v>
      </c>
      <c r="F8728" t="s">
        <v>21</v>
      </c>
      <c r="G8728" t="s">
        <v>26</v>
      </c>
      <c r="H8728" t="s">
        <v>21</v>
      </c>
      <c r="I8728" t="s">
        <v>20</v>
      </c>
      <c r="J8728" t="s">
        <v>20</v>
      </c>
      <c r="K8728" t="s">
        <v>41</v>
      </c>
      <c r="L8728" t="s">
        <v>87</v>
      </c>
      <c r="M8728" t="s">
        <v>93</v>
      </c>
      <c r="N8728">
        <v>41.085163000000001</v>
      </c>
      <c r="O8728">
        <v>-111.973474</v>
      </c>
      <c r="P8728">
        <v>4431.5763109999998</v>
      </c>
      <c r="Q8728">
        <v>252</v>
      </c>
      <c r="R8728">
        <v>0</v>
      </c>
    </row>
    <row r="8729" spans="1:18" x14ac:dyDescent="0.25">
      <c r="A8729">
        <v>8578</v>
      </c>
      <c r="B8729">
        <v>94</v>
      </c>
      <c r="C8729">
        <v>1099684</v>
      </c>
      <c r="D8729" t="s">
        <v>101</v>
      </c>
      <c r="E8729">
        <v>1.0009999999999999</v>
      </c>
      <c r="F8729" t="s">
        <v>21</v>
      </c>
      <c r="G8729" t="s">
        <v>26</v>
      </c>
      <c r="H8729" t="s">
        <v>21</v>
      </c>
      <c r="I8729" t="s">
        <v>20</v>
      </c>
      <c r="J8729" t="s">
        <v>20</v>
      </c>
      <c r="K8729" t="s">
        <v>41</v>
      </c>
      <c r="L8729" t="s">
        <v>57</v>
      </c>
      <c r="M8729" t="s">
        <v>58</v>
      </c>
      <c r="N8729">
        <v>41.118118000000003</v>
      </c>
      <c r="O8729">
        <v>-112.093405</v>
      </c>
      <c r="P8729">
        <v>4239.141732</v>
      </c>
      <c r="Q8729">
        <v>328</v>
      </c>
      <c r="R8729">
        <v>0</v>
      </c>
    </row>
    <row r="8730" spans="1:18" x14ac:dyDescent="0.25">
      <c r="A8730">
        <v>8579</v>
      </c>
      <c r="B8730">
        <v>94</v>
      </c>
      <c r="C8730" t="e">
        <f>-JWSUN98FRX2cRByKJZNCF</f>
        <v>#NAME?</v>
      </c>
      <c r="D8730" t="s">
        <v>114</v>
      </c>
      <c r="E8730">
        <v>1.002</v>
      </c>
      <c r="F8730" t="s">
        <v>19</v>
      </c>
      <c r="G8730" t="s">
        <v>20</v>
      </c>
      <c r="H8730" t="s">
        <v>21</v>
      </c>
      <c r="I8730" t="s">
        <v>20</v>
      </c>
      <c r="J8730" t="s">
        <v>20</v>
      </c>
      <c r="K8730" t="s">
        <v>41</v>
      </c>
      <c r="L8730" t="s">
        <v>87</v>
      </c>
      <c r="M8730" t="s">
        <v>256</v>
      </c>
      <c r="N8730">
        <v>41.11065</v>
      </c>
      <c r="O8730">
        <v>-112.045259</v>
      </c>
      <c r="P8730">
        <v>4340.7159199999996</v>
      </c>
      <c r="Q8730">
        <v>405</v>
      </c>
      <c r="R8730">
        <v>0</v>
      </c>
    </row>
    <row r="8731" spans="1:18" x14ac:dyDescent="0.25">
      <c r="A8731">
        <v>8580</v>
      </c>
      <c r="B8731">
        <v>94</v>
      </c>
      <c r="C8731">
        <v>31597013</v>
      </c>
      <c r="D8731" t="s">
        <v>50</v>
      </c>
      <c r="E8731">
        <v>1.004</v>
      </c>
      <c r="F8731" t="s">
        <v>21</v>
      </c>
      <c r="G8731" t="s">
        <v>26</v>
      </c>
      <c r="H8731" t="s">
        <v>21</v>
      </c>
      <c r="I8731" t="s">
        <v>20</v>
      </c>
      <c r="J8731" t="s">
        <v>20</v>
      </c>
      <c r="K8731" t="s">
        <v>27</v>
      </c>
      <c r="L8731" t="s">
        <v>51</v>
      </c>
      <c r="M8731" t="s">
        <v>52</v>
      </c>
      <c r="N8731">
        <v>37.838572999999997</v>
      </c>
      <c r="O8731">
        <v>-112.853151</v>
      </c>
      <c r="P8731">
        <v>5815.5251509999998</v>
      </c>
      <c r="Q8731">
        <v>1418</v>
      </c>
      <c r="R8731">
        <v>0</v>
      </c>
    </row>
    <row r="8732" spans="1:18" x14ac:dyDescent="0.25">
      <c r="A8732">
        <v>8581</v>
      </c>
      <c r="B8732">
        <v>94</v>
      </c>
      <c r="C8732">
        <v>31400879</v>
      </c>
      <c r="D8732" t="s">
        <v>139</v>
      </c>
      <c r="E8732">
        <v>0.71499999999999997</v>
      </c>
      <c r="F8732" t="s">
        <v>21</v>
      </c>
      <c r="G8732" t="s">
        <v>26</v>
      </c>
      <c r="H8732" t="s">
        <v>21</v>
      </c>
      <c r="I8732" t="s">
        <v>20</v>
      </c>
      <c r="J8732" t="s">
        <v>20</v>
      </c>
      <c r="K8732" t="s">
        <v>22</v>
      </c>
      <c r="L8732" t="s">
        <v>140</v>
      </c>
      <c r="M8732" t="s">
        <v>141</v>
      </c>
      <c r="N8732">
        <v>40.116300000000003</v>
      </c>
      <c r="O8732">
        <v>-111.65474500000001</v>
      </c>
      <c r="P8732">
        <v>4515.6731870000003</v>
      </c>
      <c r="Q8732">
        <v>342</v>
      </c>
      <c r="R8732">
        <v>0</v>
      </c>
    </row>
    <row r="8733" spans="1:18" x14ac:dyDescent="0.25">
      <c r="A8733">
        <v>8582</v>
      </c>
      <c r="B8733">
        <v>94</v>
      </c>
      <c r="C8733">
        <v>31426384</v>
      </c>
      <c r="D8733" t="s">
        <v>216</v>
      </c>
      <c r="E8733">
        <v>0.71899999999999997</v>
      </c>
      <c r="F8733" t="s">
        <v>21</v>
      </c>
      <c r="G8733" t="s">
        <v>20</v>
      </c>
      <c r="H8733" t="s">
        <v>21</v>
      </c>
      <c r="I8733" t="s">
        <v>20</v>
      </c>
      <c r="J8733" t="s">
        <v>20</v>
      </c>
      <c r="K8733" t="s">
        <v>27</v>
      </c>
      <c r="L8733" t="s">
        <v>158</v>
      </c>
      <c r="M8733" t="s">
        <v>159</v>
      </c>
      <c r="N8733">
        <v>39.675604999999997</v>
      </c>
      <c r="O8733">
        <v>-110.858627</v>
      </c>
      <c r="P8733">
        <v>5724.7520089999998</v>
      </c>
      <c r="Q8733">
        <v>1428</v>
      </c>
      <c r="R8733">
        <v>0</v>
      </c>
    </row>
    <row r="8734" spans="1:18" x14ac:dyDescent="0.25">
      <c r="A8734">
        <v>8583</v>
      </c>
      <c r="B8734">
        <v>94</v>
      </c>
      <c r="C8734">
        <v>28353376</v>
      </c>
      <c r="D8734" t="s">
        <v>323</v>
      </c>
      <c r="E8734">
        <v>0.71899999999999997</v>
      </c>
      <c r="F8734" t="s">
        <v>21</v>
      </c>
      <c r="G8734" t="s">
        <v>26</v>
      </c>
      <c r="H8734" t="s">
        <v>21</v>
      </c>
      <c r="I8734" t="s">
        <v>20</v>
      </c>
      <c r="J8734" t="s">
        <v>20</v>
      </c>
      <c r="K8734" t="s">
        <v>22</v>
      </c>
      <c r="L8734" t="s">
        <v>35</v>
      </c>
      <c r="M8734" t="s">
        <v>131</v>
      </c>
      <c r="N8734">
        <v>40.567307</v>
      </c>
      <c r="O8734">
        <v>-111.42135500000001</v>
      </c>
      <c r="P8734">
        <v>5879.0870379999997</v>
      </c>
      <c r="Q8734">
        <v>1345</v>
      </c>
      <c r="R8734">
        <v>0</v>
      </c>
    </row>
    <row r="8735" spans="1:18" x14ac:dyDescent="0.25">
      <c r="A8735">
        <v>8584</v>
      </c>
      <c r="B8735">
        <v>94</v>
      </c>
      <c r="C8735">
        <v>27100410</v>
      </c>
      <c r="D8735" t="s">
        <v>351</v>
      </c>
      <c r="E8735">
        <v>0.72</v>
      </c>
      <c r="F8735" t="s">
        <v>21</v>
      </c>
      <c r="G8735" t="s">
        <v>26</v>
      </c>
      <c r="H8735" t="s">
        <v>21</v>
      </c>
      <c r="I8735" t="s">
        <v>20</v>
      </c>
      <c r="J8735" t="s">
        <v>20</v>
      </c>
      <c r="K8735" t="s">
        <v>22</v>
      </c>
      <c r="L8735" t="s">
        <v>140</v>
      </c>
      <c r="M8735" t="s">
        <v>125</v>
      </c>
      <c r="N8735">
        <v>40.124079999999999</v>
      </c>
      <c r="O8735">
        <v>-111.62817800000001</v>
      </c>
      <c r="P8735">
        <v>4568.5803990000004</v>
      </c>
      <c r="Q8735">
        <v>1357</v>
      </c>
      <c r="R8735">
        <v>0</v>
      </c>
    </row>
    <row r="8736" spans="1:18" x14ac:dyDescent="0.25">
      <c r="A8736">
        <v>8585</v>
      </c>
      <c r="B8736">
        <v>94</v>
      </c>
      <c r="C8736">
        <v>27338880</v>
      </c>
      <c r="D8736" t="s">
        <v>185</v>
      </c>
      <c r="E8736">
        <v>0.72</v>
      </c>
      <c r="F8736" t="s">
        <v>21</v>
      </c>
      <c r="G8736" t="s">
        <v>26</v>
      </c>
      <c r="H8736" t="s">
        <v>21</v>
      </c>
      <c r="I8736" t="s">
        <v>20</v>
      </c>
      <c r="J8736" t="s">
        <v>20</v>
      </c>
      <c r="K8736" t="s">
        <v>41</v>
      </c>
      <c r="L8736" t="s">
        <v>57</v>
      </c>
      <c r="M8736" t="s">
        <v>58</v>
      </c>
      <c r="N8736">
        <v>41.139890999999999</v>
      </c>
      <c r="O8736">
        <v>-112.039911</v>
      </c>
      <c r="P8736">
        <v>4391.2130930000003</v>
      </c>
      <c r="Q8736">
        <v>309</v>
      </c>
      <c r="R8736">
        <v>0</v>
      </c>
    </row>
    <row r="8737" spans="1:18" x14ac:dyDescent="0.25">
      <c r="A8737">
        <v>8586</v>
      </c>
      <c r="B8737">
        <v>94</v>
      </c>
      <c r="C8737">
        <v>613325</v>
      </c>
      <c r="D8737" t="s">
        <v>47</v>
      </c>
      <c r="E8737">
        <v>0.72099999999999997</v>
      </c>
      <c r="F8737" t="s">
        <v>21</v>
      </c>
      <c r="G8737" t="s">
        <v>26</v>
      </c>
      <c r="H8737" t="s">
        <v>21</v>
      </c>
      <c r="I8737" t="s">
        <v>20</v>
      </c>
      <c r="J8737" t="s">
        <v>20</v>
      </c>
      <c r="K8737" t="s">
        <v>31</v>
      </c>
      <c r="L8737" t="s">
        <v>48</v>
      </c>
      <c r="M8737" t="s">
        <v>49</v>
      </c>
      <c r="N8737">
        <v>40.544114</v>
      </c>
      <c r="O8737">
        <v>-111.970265</v>
      </c>
      <c r="P8737">
        <v>4525.1200250000002</v>
      </c>
      <c r="Q8737">
        <v>6715</v>
      </c>
      <c r="R8737">
        <v>0</v>
      </c>
    </row>
    <row r="8738" spans="1:18" x14ac:dyDescent="0.25">
      <c r="A8738">
        <v>8587</v>
      </c>
      <c r="B8738">
        <v>94</v>
      </c>
      <c r="C8738">
        <v>31382748</v>
      </c>
      <c r="D8738" t="s">
        <v>391</v>
      </c>
      <c r="E8738">
        <v>0.72099999999999997</v>
      </c>
      <c r="F8738" t="s">
        <v>21</v>
      </c>
      <c r="G8738" t="s">
        <v>26</v>
      </c>
      <c r="H8738" t="s">
        <v>21</v>
      </c>
      <c r="I8738" t="s">
        <v>20</v>
      </c>
      <c r="J8738" t="s">
        <v>20</v>
      </c>
      <c r="K8738" t="s">
        <v>27</v>
      </c>
      <c r="L8738" t="s">
        <v>173</v>
      </c>
      <c r="M8738" t="s">
        <v>392</v>
      </c>
      <c r="N8738">
        <v>39.492016</v>
      </c>
      <c r="O8738">
        <v>-112.56531</v>
      </c>
      <c r="P8738">
        <v>4606.5165559999996</v>
      </c>
      <c r="Q8738">
        <v>1438</v>
      </c>
      <c r="R8738">
        <v>0</v>
      </c>
    </row>
    <row r="8739" spans="1:18" x14ac:dyDescent="0.25">
      <c r="A8739">
        <v>8588</v>
      </c>
      <c r="B8739">
        <v>94</v>
      </c>
      <c r="C8739">
        <v>31309336</v>
      </c>
      <c r="D8739" t="s">
        <v>40</v>
      </c>
      <c r="E8739">
        <v>0.72199999999999998</v>
      </c>
      <c r="F8739" t="s">
        <v>21</v>
      </c>
      <c r="G8739" t="s">
        <v>26</v>
      </c>
      <c r="H8739" t="s">
        <v>21</v>
      </c>
      <c r="I8739" t="s">
        <v>20</v>
      </c>
      <c r="J8739" t="s">
        <v>20</v>
      </c>
      <c r="K8739" t="s">
        <v>41</v>
      </c>
      <c r="L8739" t="s">
        <v>42</v>
      </c>
      <c r="M8739" t="s">
        <v>43</v>
      </c>
      <c r="N8739">
        <v>41.640813999999999</v>
      </c>
      <c r="O8739">
        <v>-111.921255</v>
      </c>
      <c r="P8739">
        <v>4450.995801</v>
      </c>
      <c r="Q8739">
        <v>1391</v>
      </c>
      <c r="R8739">
        <v>0</v>
      </c>
    </row>
    <row r="8740" spans="1:18" x14ac:dyDescent="0.25">
      <c r="A8740">
        <v>8589</v>
      </c>
      <c r="B8740">
        <v>94</v>
      </c>
      <c r="C8740">
        <v>31611368</v>
      </c>
      <c r="D8740" t="s">
        <v>217</v>
      </c>
      <c r="E8740">
        <v>0.72199999999999998</v>
      </c>
      <c r="F8740" t="s">
        <v>21</v>
      </c>
      <c r="G8740" t="s">
        <v>26</v>
      </c>
      <c r="H8740" t="s">
        <v>21</v>
      </c>
      <c r="I8740" t="s">
        <v>20</v>
      </c>
      <c r="J8740" t="s">
        <v>20</v>
      </c>
      <c r="K8740" t="s">
        <v>27</v>
      </c>
      <c r="L8740" t="s">
        <v>72</v>
      </c>
      <c r="M8740" t="s">
        <v>163</v>
      </c>
      <c r="N8740">
        <v>37.091504</v>
      </c>
      <c r="O8740">
        <v>-113.58587900000001</v>
      </c>
      <c r="P8740">
        <v>2522.6137090000002</v>
      </c>
      <c r="Q8740">
        <v>304</v>
      </c>
      <c r="R8740">
        <v>0</v>
      </c>
    </row>
    <row r="8741" spans="1:18" x14ac:dyDescent="0.25">
      <c r="A8741">
        <v>8590</v>
      </c>
      <c r="B8741">
        <v>94</v>
      </c>
      <c r="C8741">
        <v>1734332</v>
      </c>
      <c r="D8741" t="s">
        <v>260</v>
      </c>
      <c r="E8741">
        <v>0.72299999999999998</v>
      </c>
      <c r="F8741" t="s">
        <v>21</v>
      </c>
      <c r="G8741" t="s">
        <v>26</v>
      </c>
      <c r="H8741" t="s">
        <v>21</v>
      </c>
      <c r="I8741" t="s">
        <v>20</v>
      </c>
      <c r="J8741" t="s">
        <v>20</v>
      </c>
      <c r="K8741" t="s">
        <v>41</v>
      </c>
      <c r="L8741" t="s">
        <v>81</v>
      </c>
      <c r="M8741" t="s">
        <v>46</v>
      </c>
      <c r="N8741">
        <v>41.223032000000003</v>
      </c>
      <c r="O8741">
        <v>-111.99409799999999</v>
      </c>
      <c r="P8741">
        <v>4269.3548049999999</v>
      </c>
      <c r="Q8741">
        <v>1358</v>
      </c>
      <c r="R8741">
        <v>0</v>
      </c>
    </row>
    <row r="8742" spans="1:18" x14ac:dyDescent="0.25">
      <c r="A8742">
        <v>8591</v>
      </c>
      <c r="B8742">
        <v>94</v>
      </c>
      <c r="C8742">
        <v>31758481</v>
      </c>
      <c r="D8742" t="s">
        <v>717</v>
      </c>
      <c r="E8742">
        <v>0</v>
      </c>
      <c r="F8742" t="s">
        <v>21</v>
      </c>
      <c r="G8742" t="s">
        <v>26</v>
      </c>
      <c r="H8742" t="s">
        <v>19</v>
      </c>
      <c r="I8742">
        <v>140</v>
      </c>
      <c r="J8742" t="s">
        <v>20</v>
      </c>
      <c r="K8742" t="s">
        <v>31</v>
      </c>
      <c r="L8742" t="s">
        <v>89</v>
      </c>
      <c r="M8742" t="s">
        <v>24</v>
      </c>
      <c r="N8742">
        <v>40.485433</v>
      </c>
      <c r="O8742">
        <v>-111.900549</v>
      </c>
      <c r="P8742">
        <v>4498.7825190000003</v>
      </c>
      <c r="Q8742">
        <v>436</v>
      </c>
      <c r="R8742">
        <v>0</v>
      </c>
    </row>
    <row r="8743" spans="1:18" x14ac:dyDescent="0.25">
      <c r="A8743">
        <v>8592</v>
      </c>
      <c r="B8743">
        <v>94</v>
      </c>
      <c r="C8743" t="e">
        <f>-JQjRILlI218iNujGZAKUk</f>
        <v>#NAME?</v>
      </c>
      <c r="D8743" t="s">
        <v>1006</v>
      </c>
      <c r="E8743">
        <v>0</v>
      </c>
      <c r="F8743" t="s">
        <v>21</v>
      </c>
      <c r="G8743" t="s">
        <v>26</v>
      </c>
      <c r="H8743" t="s">
        <v>21</v>
      </c>
      <c r="I8743" t="s">
        <v>20</v>
      </c>
      <c r="J8743" t="s">
        <v>20</v>
      </c>
      <c r="K8743" t="s">
        <v>27</v>
      </c>
      <c r="L8743" t="s">
        <v>400</v>
      </c>
      <c r="M8743" t="s">
        <v>379</v>
      </c>
      <c r="N8743">
        <v>38.587747999999998</v>
      </c>
      <c r="O8743">
        <v>-112.488946</v>
      </c>
      <c r="P8743">
        <v>7001.6591319999998</v>
      </c>
      <c r="Q8743">
        <v>6662</v>
      </c>
      <c r="R8743">
        <v>0</v>
      </c>
    </row>
    <row r="8744" spans="1:18" x14ac:dyDescent="0.25">
      <c r="A8744">
        <v>8593</v>
      </c>
      <c r="B8744">
        <v>94</v>
      </c>
      <c r="C8744" t="e">
        <f>-IqCPTNKGOeMMR23wwHogF</f>
        <v>#NAME?</v>
      </c>
      <c r="D8744" t="s">
        <v>1007</v>
      </c>
      <c r="E8744">
        <v>0</v>
      </c>
      <c r="F8744" t="s">
        <v>21</v>
      </c>
      <c r="G8744" t="s">
        <v>26</v>
      </c>
      <c r="H8744" t="s">
        <v>21</v>
      </c>
      <c r="I8744" t="s">
        <v>20</v>
      </c>
      <c r="J8744" t="s">
        <v>20</v>
      </c>
      <c r="K8744" t="s">
        <v>31</v>
      </c>
      <c r="L8744" t="s">
        <v>78</v>
      </c>
      <c r="M8744" t="s">
        <v>123</v>
      </c>
      <c r="N8744">
        <v>40.772075000000001</v>
      </c>
      <c r="O8744">
        <v>-112.063115</v>
      </c>
      <c r="P8744">
        <v>4181.4512770000001</v>
      </c>
      <c r="Q8744">
        <v>6663</v>
      </c>
      <c r="R8744">
        <v>0</v>
      </c>
    </row>
    <row r="8745" spans="1:18" x14ac:dyDescent="0.25">
      <c r="A8745">
        <v>8594</v>
      </c>
      <c r="B8745">
        <v>94</v>
      </c>
      <c r="C8745">
        <v>31366181</v>
      </c>
      <c r="D8745" t="s">
        <v>229</v>
      </c>
      <c r="E8745">
        <v>0</v>
      </c>
      <c r="F8745" t="s">
        <v>21</v>
      </c>
      <c r="G8745" t="s">
        <v>26</v>
      </c>
      <c r="H8745" t="s">
        <v>21</v>
      </c>
      <c r="I8745" t="s">
        <v>20</v>
      </c>
      <c r="J8745" t="s">
        <v>20</v>
      </c>
      <c r="K8745" t="s">
        <v>27</v>
      </c>
      <c r="L8745" t="s">
        <v>230</v>
      </c>
      <c r="M8745" t="s">
        <v>82</v>
      </c>
      <c r="N8745">
        <v>39.488394999999997</v>
      </c>
      <c r="O8745">
        <v>-111.638884</v>
      </c>
      <c r="P8745">
        <v>5590.9622820000004</v>
      </c>
      <c r="Q8745">
        <v>331</v>
      </c>
      <c r="R8745">
        <v>0</v>
      </c>
    </row>
    <row r="8746" spans="1:18" x14ac:dyDescent="0.25">
      <c r="A8746">
        <v>8595</v>
      </c>
      <c r="B8746">
        <v>94</v>
      </c>
      <c r="C8746">
        <v>27562949</v>
      </c>
      <c r="D8746" t="s">
        <v>201</v>
      </c>
      <c r="E8746">
        <v>0</v>
      </c>
      <c r="F8746" t="s">
        <v>21</v>
      </c>
      <c r="G8746" t="s">
        <v>26</v>
      </c>
      <c r="H8746" t="s">
        <v>21</v>
      </c>
      <c r="I8746" t="s">
        <v>20</v>
      </c>
      <c r="J8746" t="s">
        <v>20</v>
      </c>
      <c r="K8746" t="s">
        <v>27</v>
      </c>
      <c r="L8746" t="s">
        <v>202</v>
      </c>
      <c r="M8746" t="s">
        <v>104</v>
      </c>
      <c r="N8746">
        <v>39.082146999999999</v>
      </c>
      <c r="O8746">
        <v>-112.27545000000001</v>
      </c>
      <c r="P8746">
        <v>5093.5070189999997</v>
      </c>
      <c r="Q8746">
        <v>1366</v>
      </c>
      <c r="R8746">
        <v>0</v>
      </c>
    </row>
    <row r="8747" spans="1:18" x14ac:dyDescent="0.25">
      <c r="A8747">
        <v>8596</v>
      </c>
      <c r="B8747">
        <v>94</v>
      </c>
      <c r="C8747">
        <v>31783043</v>
      </c>
      <c r="D8747" t="s">
        <v>192</v>
      </c>
      <c r="E8747">
        <v>0</v>
      </c>
      <c r="F8747" t="s">
        <v>21</v>
      </c>
      <c r="G8747" t="s">
        <v>26</v>
      </c>
      <c r="H8747" t="s">
        <v>21</v>
      </c>
      <c r="I8747" t="s">
        <v>20</v>
      </c>
      <c r="J8747" t="s">
        <v>20</v>
      </c>
      <c r="K8747" t="s">
        <v>22</v>
      </c>
      <c r="L8747" t="s">
        <v>140</v>
      </c>
      <c r="M8747" t="s">
        <v>125</v>
      </c>
      <c r="N8747">
        <v>40.114628000000003</v>
      </c>
      <c r="O8747">
        <v>-111.730498</v>
      </c>
      <c r="P8747">
        <v>4465.2937199999997</v>
      </c>
      <c r="Q8747">
        <v>1375</v>
      </c>
      <c r="R8747">
        <v>0</v>
      </c>
    </row>
    <row r="8748" spans="1:18" x14ac:dyDescent="0.25">
      <c r="A8748">
        <v>8597</v>
      </c>
      <c r="B8748">
        <v>94</v>
      </c>
      <c r="C8748">
        <v>31195666</v>
      </c>
      <c r="D8748" t="s">
        <v>309</v>
      </c>
      <c r="E8748">
        <v>0</v>
      </c>
      <c r="F8748" t="s">
        <v>21</v>
      </c>
      <c r="G8748" t="s">
        <v>26</v>
      </c>
      <c r="H8748" t="s">
        <v>19</v>
      </c>
      <c r="I8748">
        <v>141</v>
      </c>
      <c r="J8748" t="s">
        <v>20</v>
      </c>
      <c r="K8748" t="s">
        <v>22</v>
      </c>
      <c r="L8748" t="s">
        <v>198</v>
      </c>
      <c r="M8748" t="s">
        <v>125</v>
      </c>
      <c r="N8748">
        <v>40.040975000000003</v>
      </c>
      <c r="O8748">
        <v>-111.787243</v>
      </c>
      <c r="P8748">
        <v>4543.7502610000001</v>
      </c>
      <c r="Q8748">
        <v>339</v>
      </c>
      <c r="R8748">
        <v>0</v>
      </c>
    </row>
    <row r="8749" spans="1:18" x14ac:dyDescent="0.25">
      <c r="A8749">
        <v>8598</v>
      </c>
      <c r="B8749">
        <v>94</v>
      </c>
      <c r="C8749">
        <v>31462272</v>
      </c>
      <c r="D8749" t="s">
        <v>710</v>
      </c>
      <c r="E8749">
        <v>0</v>
      </c>
      <c r="F8749" t="s">
        <v>21</v>
      </c>
      <c r="G8749" t="s">
        <v>26</v>
      </c>
      <c r="H8749" t="s">
        <v>21</v>
      </c>
      <c r="I8749" t="s">
        <v>20</v>
      </c>
      <c r="J8749" t="s">
        <v>20</v>
      </c>
      <c r="K8749" t="s">
        <v>22</v>
      </c>
      <c r="L8749" t="s">
        <v>35</v>
      </c>
      <c r="M8749" t="s">
        <v>169</v>
      </c>
      <c r="N8749">
        <v>40.62462</v>
      </c>
      <c r="O8749">
        <v>-111.442027</v>
      </c>
      <c r="P8749">
        <v>6421.3352189999996</v>
      </c>
      <c r="Q8749">
        <v>369</v>
      </c>
      <c r="R8749">
        <v>0</v>
      </c>
    </row>
    <row r="8750" spans="1:18" x14ac:dyDescent="0.25">
      <c r="A8750">
        <v>8599</v>
      </c>
      <c r="B8750">
        <v>94</v>
      </c>
      <c r="C8750" t="s">
        <v>1008</v>
      </c>
      <c r="D8750" t="s">
        <v>92</v>
      </c>
      <c r="E8750">
        <v>0</v>
      </c>
      <c r="F8750" t="s">
        <v>19</v>
      </c>
      <c r="G8750" t="s">
        <v>20</v>
      </c>
      <c r="H8750" t="s">
        <v>19</v>
      </c>
      <c r="I8750">
        <v>126</v>
      </c>
      <c r="J8750" t="s">
        <v>20</v>
      </c>
      <c r="K8750" t="s">
        <v>41</v>
      </c>
      <c r="L8750" t="s">
        <v>87</v>
      </c>
      <c r="M8750" t="s">
        <v>93</v>
      </c>
      <c r="N8750">
        <v>41.072752999999999</v>
      </c>
      <c r="O8750">
        <v>-111.978866</v>
      </c>
      <c r="P8750">
        <v>4339.6194370000003</v>
      </c>
      <c r="Q8750">
        <v>252</v>
      </c>
      <c r="R8750">
        <v>0</v>
      </c>
    </row>
    <row r="8751" spans="1:18" x14ac:dyDescent="0.25">
      <c r="A8751">
        <v>8600</v>
      </c>
      <c r="B8751">
        <v>94</v>
      </c>
      <c r="C8751">
        <v>27853323</v>
      </c>
      <c r="D8751" t="s">
        <v>59</v>
      </c>
      <c r="E8751">
        <v>0</v>
      </c>
      <c r="F8751" t="s">
        <v>19</v>
      </c>
      <c r="G8751" t="s">
        <v>20</v>
      </c>
      <c r="H8751" t="s">
        <v>19</v>
      </c>
      <c r="I8751">
        <v>114</v>
      </c>
      <c r="J8751" t="s">
        <v>20</v>
      </c>
      <c r="K8751" t="s">
        <v>22</v>
      </c>
      <c r="L8751" t="s">
        <v>60</v>
      </c>
      <c r="M8751" t="s">
        <v>24</v>
      </c>
      <c r="N8751">
        <v>40.311835000000002</v>
      </c>
      <c r="O8751">
        <v>-111.73463</v>
      </c>
      <c r="P8751">
        <v>4504.2116939999996</v>
      </c>
      <c r="Q8751">
        <v>313</v>
      </c>
      <c r="R8751">
        <v>0</v>
      </c>
    </row>
    <row r="8752" spans="1:18" x14ac:dyDescent="0.25">
      <c r="A8752">
        <v>8601</v>
      </c>
      <c r="B8752">
        <v>94</v>
      </c>
      <c r="C8752">
        <v>31389385</v>
      </c>
      <c r="D8752" t="s">
        <v>377</v>
      </c>
      <c r="E8752">
        <v>0.216</v>
      </c>
      <c r="F8752" t="s">
        <v>19</v>
      </c>
      <c r="G8752" t="s">
        <v>20</v>
      </c>
      <c r="H8752" t="s">
        <v>21</v>
      </c>
      <c r="I8752" t="s">
        <v>20</v>
      </c>
      <c r="J8752" t="s">
        <v>20</v>
      </c>
      <c r="K8752" t="s">
        <v>22</v>
      </c>
      <c r="L8752" t="s">
        <v>84</v>
      </c>
      <c r="M8752" t="s">
        <v>24</v>
      </c>
      <c r="N8752">
        <v>40.361859000000003</v>
      </c>
      <c r="O8752">
        <v>-111.78551899999999</v>
      </c>
      <c r="P8752">
        <v>4505.5427129999998</v>
      </c>
      <c r="Q8752">
        <v>1439</v>
      </c>
      <c r="R8752">
        <v>0</v>
      </c>
    </row>
    <row r="8753" spans="1:18" x14ac:dyDescent="0.25">
      <c r="A8753">
        <v>8602</v>
      </c>
      <c r="B8753">
        <v>94</v>
      </c>
      <c r="C8753">
        <v>31525072</v>
      </c>
      <c r="D8753" t="s">
        <v>252</v>
      </c>
      <c r="E8753">
        <v>1.095</v>
      </c>
      <c r="F8753" t="s">
        <v>21</v>
      </c>
      <c r="G8753" t="s">
        <v>20</v>
      </c>
      <c r="H8753" t="s">
        <v>21</v>
      </c>
      <c r="I8753" t="s">
        <v>20</v>
      </c>
      <c r="J8753" t="s">
        <v>20</v>
      </c>
      <c r="K8753" t="s">
        <v>22</v>
      </c>
      <c r="L8753" t="s">
        <v>253</v>
      </c>
      <c r="M8753" t="s">
        <v>169</v>
      </c>
      <c r="N8753">
        <v>40.173586</v>
      </c>
      <c r="O8753">
        <v>-110.427528</v>
      </c>
      <c r="P8753">
        <v>5492.5091279999997</v>
      </c>
      <c r="Q8753">
        <v>265</v>
      </c>
      <c r="R8753">
        <v>0</v>
      </c>
    </row>
    <row r="8754" spans="1:18" x14ac:dyDescent="0.25">
      <c r="A8754">
        <v>8603</v>
      </c>
      <c r="B8754">
        <v>94</v>
      </c>
      <c r="C8754">
        <v>28353828</v>
      </c>
      <c r="D8754" t="s">
        <v>323</v>
      </c>
      <c r="E8754">
        <v>1.095</v>
      </c>
      <c r="F8754" t="s">
        <v>21</v>
      </c>
      <c r="G8754" t="s">
        <v>26</v>
      </c>
      <c r="H8754" t="s">
        <v>21</v>
      </c>
      <c r="I8754" t="s">
        <v>20</v>
      </c>
      <c r="J8754" t="s">
        <v>20</v>
      </c>
      <c r="K8754" t="s">
        <v>22</v>
      </c>
      <c r="L8754" t="s">
        <v>35</v>
      </c>
      <c r="M8754" t="s">
        <v>131</v>
      </c>
      <c r="N8754">
        <v>40.572687000000002</v>
      </c>
      <c r="O8754">
        <v>-111.420603</v>
      </c>
      <c r="P8754">
        <v>5997.4721040000004</v>
      </c>
      <c r="Q8754">
        <v>1345</v>
      </c>
      <c r="R8754">
        <v>0</v>
      </c>
    </row>
    <row r="8755" spans="1:18" x14ac:dyDescent="0.25">
      <c r="A8755">
        <v>8604</v>
      </c>
      <c r="B8755">
        <v>94</v>
      </c>
      <c r="C8755">
        <v>535231</v>
      </c>
      <c r="D8755" t="s">
        <v>77</v>
      </c>
      <c r="E8755">
        <v>1.0960000000000001</v>
      </c>
      <c r="F8755" t="s">
        <v>21</v>
      </c>
      <c r="G8755" t="s">
        <v>26</v>
      </c>
      <c r="H8755" t="s">
        <v>21</v>
      </c>
      <c r="I8755" t="s">
        <v>20</v>
      </c>
      <c r="J8755" t="s">
        <v>20</v>
      </c>
      <c r="K8755" t="s">
        <v>31</v>
      </c>
      <c r="L8755" t="s">
        <v>78</v>
      </c>
      <c r="M8755" t="s">
        <v>79</v>
      </c>
      <c r="N8755">
        <v>40.654544000000001</v>
      </c>
      <c r="O8755">
        <v>-112.02465100000001</v>
      </c>
      <c r="P8755">
        <v>4705.5455460000003</v>
      </c>
      <c r="Q8755">
        <v>1436</v>
      </c>
      <c r="R8755">
        <v>0</v>
      </c>
    </row>
    <row r="8756" spans="1:18" x14ac:dyDescent="0.25">
      <c r="A8756">
        <v>8605</v>
      </c>
      <c r="B8756">
        <v>94</v>
      </c>
      <c r="C8756" t="e">
        <f>-JQAasnbHdm7aCVnpXVeKk</f>
        <v>#NAME?</v>
      </c>
      <c r="D8756" t="s">
        <v>445</v>
      </c>
      <c r="E8756">
        <v>1.097</v>
      </c>
      <c r="F8756" t="s">
        <v>21</v>
      </c>
      <c r="G8756" t="s">
        <v>20</v>
      </c>
      <c r="H8756" t="s">
        <v>21</v>
      </c>
      <c r="I8756" t="s">
        <v>20</v>
      </c>
      <c r="J8756" t="s">
        <v>20</v>
      </c>
      <c r="K8756" t="s">
        <v>41</v>
      </c>
      <c r="L8756" t="s">
        <v>255</v>
      </c>
      <c r="M8756" t="s">
        <v>138</v>
      </c>
      <c r="N8756">
        <v>41.211024000000002</v>
      </c>
      <c r="O8756">
        <v>-111.845291</v>
      </c>
      <c r="P8756">
        <v>6540.088933</v>
      </c>
      <c r="Q8756">
        <v>358</v>
      </c>
      <c r="R8756">
        <v>0</v>
      </c>
    </row>
    <row r="8757" spans="1:18" x14ac:dyDescent="0.25">
      <c r="A8757">
        <v>8606</v>
      </c>
      <c r="B8757">
        <v>94</v>
      </c>
      <c r="C8757">
        <v>1127946</v>
      </c>
      <c r="D8757" t="s">
        <v>108</v>
      </c>
      <c r="E8757">
        <v>1.097</v>
      </c>
      <c r="F8757" t="s">
        <v>21</v>
      </c>
      <c r="G8757" t="s">
        <v>26</v>
      </c>
      <c r="H8757" t="s">
        <v>21</v>
      </c>
      <c r="I8757" t="s">
        <v>20</v>
      </c>
      <c r="J8757" t="s">
        <v>20</v>
      </c>
      <c r="K8757" t="s">
        <v>41</v>
      </c>
      <c r="L8757" t="s">
        <v>81</v>
      </c>
      <c r="M8757" t="s">
        <v>93</v>
      </c>
      <c r="N8757">
        <v>41.175569000000003</v>
      </c>
      <c r="O8757">
        <v>-112.00793899999999</v>
      </c>
      <c r="P8757">
        <v>4326.5113369999999</v>
      </c>
      <c r="Q8757">
        <v>1341</v>
      </c>
      <c r="R8757">
        <v>0</v>
      </c>
    </row>
    <row r="8758" spans="1:18" x14ac:dyDescent="0.25">
      <c r="A8758">
        <v>8607</v>
      </c>
      <c r="B8758">
        <v>94</v>
      </c>
      <c r="C8758">
        <v>31484597</v>
      </c>
      <c r="D8758" t="s">
        <v>164</v>
      </c>
      <c r="E8758">
        <v>1E-3</v>
      </c>
      <c r="F8758" t="s">
        <v>21</v>
      </c>
      <c r="G8758" t="s">
        <v>26</v>
      </c>
      <c r="H8758" t="s">
        <v>21</v>
      </c>
      <c r="I8758" t="s">
        <v>20</v>
      </c>
      <c r="J8758" t="s">
        <v>20</v>
      </c>
      <c r="K8758" t="s">
        <v>27</v>
      </c>
      <c r="L8758" t="s">
        <v>165</v>
      </c>
      <c r="M8758" t="s">
        <v>166</v>
      </c>
      <c r="N8758">
        <v>38.949128000000002</v>
      </c>
      <c r="O8758">
        <v>-112.351287</v>
      </c>
      <c r="P8758">
        <v>4958.1505310000002</v>
      </c>
      <c r="Q8758">
        <v>1390</v>
      </c>
      <c r="R8758">
        <v>0</v>
      </c>
    </row>
    <row r="8759" spans="1:18" x14ac:dyDescent="0.25">
      <c r="A8759">
        <v>8608</v>
      </c>
      <c r="B8759">
        <v>94</v>
      </c>
      <c r="C8759">
        <v>31530686</v>
      </c>
      <c r="D8759" t="s">
        <v>121</v>
      </c>
      <c r="E8759">
        <v>1E-3</v>
      </c>
      <c r="F8759" t="s">
        <v>21</v>
      </c>
      <c r="G8759" t="s">
        <v>26</v>
      </c>
      <c r="H8759" t="s">
        <v>19</v>
      </c>
      <c r="I8759">
        <v>95</v>
      </c>
      <c r="J8759" t="s">
        <v>20</v>
      </c>
      <c r="K8759" t="s">
        <v>27</v>
      </c>
      <c r="L8759" t="s">
        <v>122</v>
      </c>
      <c r="M8759" t="s">
        <v>123</v>
      </c>
      <c r="N8759">
        <v>38.025274000000003</v>
      </c>
      <c r="O8759">
        <v>-110.57063599999999</v>
      </c>
      <c r="P8759">
        <v>4533.8906770000003</v>
      </c>
      <c r="Q8759">
        <v>1283</v>
      </c>
      <c r="R8759">
        <v>0</v>
      </c>
    </row>
    <row r="8760" spans="1:18" x14ac:dyDescent="0.25">
      <c r="A8760">
        <v>8609</v>
      </c>
      <c r="B8760">
        <v>94</v>
      </c>
      <c r="C8760">
        <v>28271222</v>
      </c>
      <c r="D8760" t="s">
        <v>220</v>
      </c>
      <c r="E8760">
        <v>1E-3</v>
      </c>
      <c r="F8760" t="s">
        <v>21</v>
      </c>
      <c r="G8760" t="s">
        <v>26</v>
      </c>
      <c r="H8760" t="s">
        <v>19</v>
      </c>
      <c r="I8760">
        <v>89</v>
      </c>
      <c r="J8760" t="s">
        <v>20</v>
      </c>
      <c r="K8760" t="s">
        <v>27</v>
      </c>
      <c r="L8760" t="s">
        <v>247</v>
      </c>
      <c r="M8760" t="s">
        <v>29</v>
      </c>
      <c r="N8760">
        <v>37.749650000000003</v>
      </c>
      <c r="O8760">
        <v>-112.37689899999999</v>
      </c>
      <c r="P8760">
        <v>6675.3242440000004</v>
      </c>
      <c r="Q8760">
        <v>1328</v>
      </c>
      <c r="R8760">
        <v>0</v>
      </c>
    </row>
    <row r="8761" spans="1:18" x14ac:dyDescent="0.25">
      <c r="A8761">
        <v>8610</v>
      </c>
      <c r="B8761">
        <v>94</v>
      </c>
      <c r="C8761">
        <v>31190806</v>
      </c>
      <c r="D8761" t="s">
        <v>339</v>
      </c>
      <c r="E8761">
        <v>2E-3</v>
      </c>
      <c r="F8761" t="s">
        <v>21</v>
      </c>
      <c r="G8761" t="s">
        <v>26</v>
      </c>
      <c r="H8761" t="s">
        <v>21</v>
      </c>
      <c r="I8761" t="s">
        <v>20</v>
      </c>
      <c r="J8761" t="s">
        <v>20</v>
      </c>
      <c r="K8761" t="s">
        <v>41</v>
      </c>
      <c r="L8761" t="s">
        <v>95</v>
      </c>
      <c r="M8761" t="s">
        <v>73</v>
      </c>
      <c r="N8761">
        <v>41.86262</v>
      </c>
      <c r="O8761">
        <v>-111.99976100000001</v>
      </c>
      <c r="P8761">
        <v>4474.7854960000004</v>
      </c>
      <c r="Q8761">
        <v>1417</v>
      </c>
      <c r="R8761">
        <v>0</v>
      </c>
    </row>
    <row r="8762" spans="1:18" x14ac:dyDescent="0.25">
      <c r="A8762">
        <v>8611</v>
      </c>
      <c r="B8762">
        <v>94</v>
      </c>
      <c r="C8762">
        <v>31405118</v>
      </c>
      <c r="D8762" t="s">
        <v>970</v>
      </c>
      <c r="E8762">
        <v>2E-3</v>
      </c>
      <c r="F8762" t="s">
        <v>19</v>
      </c>
      <c r="G8762" t="s">
        <v>20</v>
      </c>
      <c r="H8762" t="s">
        <v>21</v>
      </c>
      <c r="I8762" t="s">
        <v>20</v>
      </c>
      <c r="J8762" t="s">
        <v>20</v>
      </c>
      <c r="K8762" t="s">
        <v>22</v>
      </c>
      <c r="L8762" t="s">
        <v>23</v>
      </c>
      <c r="M8762" t="s">
        <v>24</v>
      </c>
      <c r="N8762">
        <v>40.187714999999997</v>
      </c>
      <c r="O8762">
        <v>-111.64861000000001</v>
      </c>
      <c r="P8762">
        <v>4444.6719030000004</v>
      </c>
      <c r="Q8762">
        <v>1373</v>
      </c>
      <c r="R8762">
        <v>0</v>
      </c>
    </row>
    <row r="8763" spans="1:18" x14ac:dyDescent="0.25">
      <c r="A8763">
        <v>8612</v>
      </c>
      <c r="B8763">
        <v>94</v>
      </c>
      <c r="C8763">
        <v>3396971</v>
      </c>
      <c r="D8763" t="s">
        <v>86</v>
      </c>
      <c r="E8763">
        <v>2E-3</v>
      </c>
      <c r="F8763" t="s">
        <v>19</v>
      </c>
      <c r="G8763" t="s">
        <v>20</v>
      </c>
      <c r="H8763" t="s">
        <v>21</v>
      </c>
      <c r="I8763" t="s">
        <v>20</v>
      </c>
      <c r="J8763" t="s">
        <v>20</v>
      </c>
      <c r="K8763" t="s">
        <v>41</v>
      </c>
      <c r="L8763" t="s">
        <v>87</v>
      </c>
      <c r="M8763" t="s">
        <v>58</v>
      </c>
      <c r="N8763">
        <v>41.011094999999997</v>
      </c>
      <c r="O8763">
        <v>-111.911361</v>
      </c>
      <c r="P8763">
        <v>4312.5129999999999</v>
      </c>
      <c r="Q8763">
        <v>258</v>
      </c>
      <c r="R8763">
        <v>0</v>
      </c>
    </row>
    <row r="8764" spans="1:18" x14ac:dyDescent="0.25">
      <c r="A8764">
        <v>8613</v>
      </c>
      <c r="B8764">
        <v>94</v>
      </c>
      <c r="C8764">
        <v>27667731</v>
      </c>
      <c r="D8764" t="s">
        <v>217</v>
      </c>
      <c r="E8764">
        <v>2E-3</v>
      </c>
      <c r="F8764" t="s">
        <v>19</v>
      </c>
      <c r="G8764" t="s">
        <v>20</v>
      </c>
      <c r="H8764" t="s">
        <v>21</v>
      </c>
      <c r="I8764" t="s">
        <v>20</v>
      </c>
      <c r="J8764" t="s">
        <v>20</v>
      </c>
      <c r="K8764" t="s">
        <v>27</v>
      </c>
      <c r="L8764" t="s">
        <v>72</v>
      </c>
      <c r="M8764" t="s">
        <v>163</v>
      </c>
      <c r="N8764">
        <v>37.081642000000002</v>
      </c>
      <c r="O8764">
        <v>-113.58149400000001</v>
      </c>
      <c r="P8764">
        <v>2473.242866</v>
      </c>
      <c r="Q8764">
        <v>304</v>
      </c>
      <c r="R8764">
        <v>0</v>
      </c>
    </row>
    <row r="8765" spans="1:18" x14ac:dyDescent="0.25">
      <c r="A8765">
        <v>8614</v>
      </c>
      <c r="B8765">
        <v>94</v>
      </c>
      <c r="C8765">
        <v>31565212</v>
      </c>
      <c r="D8765" t="s">
        <v>237</v>
      </c>
      <c r="E8765">
        <v>2E-3</v>
      </c>
      <c r="F8765" t="s">
        <v>21</v>
      </c>
      <c r="G8765" t="s">
        <v>26</v>
      </c>
      <c r="H8765" t="s">
        <v>21</v>
      </c>
      <c r="I8765" t="s">
        <v>20</v>
      </c>
      <c r="J8765" t="s">
        <v>20</v>
      </c>
      <c r="K8765" t="s">
        <v>27</v>
      </c>
      <c r="L8765" t="s">
        <v>38</v>
      </c>
      <c r="M8765" t="s">
        <v>238</v>
      </c>
      <c r="N8765">
        <v>38.523963000000002</v>
      </c>
      <c r="O8765">
        <v>-109.654274</v>
      </c>
      <c r="P8765">
        <v>3892.1968240000001</v>
      </c>
      <c r="Q8765">
        <v>434</v>
      </c>
      <c r="R8765">
        <v>0</v>
      </c>
    </row>
    <row r="8766" spans="1:18" x14ac:dyDescent="0.25">
      <c r="A8766">
        <v>8615</v>
      </c>
      <c r="B8766">
        <v>94</v>
      </c>
      <c r="C8766">
        <v>31516891</v>
      </c>
      <c r="D8766" t="s">
        <v>396</v>
      </c>
      <c r="E8766">
        <v>3.0000000000000001E-3</v>
      </c>
      <c r="F8766" t="s">
        <v>21</v>
      </c>
      <c r="G8766" t="s">
        <v>26</v>
      </c>
      <c r="H8766" t="s">
        <v>21</v>
      </c>
      <c r="I8766" t="s">
        <v>20</v>
      </c>
      <c r="J8766" t="s">
        <v>20</v>
      </c>
      <c r="K8766" t="s">
        <v>41</v>
      </c>
      <c r="L8766" t="s">
        <v>255</v>
      </c>
      <c r="M8766" t="s">
        <v>138</v>
      </c>
      <c r="N8766">
        <v>41.137771000000001</v>
      </c>
      <c r="O8766">
        <v>-111.828643</v>
      </c>
      <c r="P8766">
        <v>4790.1889970000002</v>
      </c>
      <c r="Q8766">
        <v>1434</v>
      </c>
      <c r="R8766">
        <v>0</v>
      </c>
    </row>
    <row r="8767" spans="1:18" x14ac:dyDescent="0.25">
      <c r="A8767">
        <v>8616</v>
      </c>
      <c r="B8767">
        <v>94</v>
      </c>
      <c r="C8767" t="e">
        <f>-Is_1QnxF099aoQNxr8z3V</f>
        <v>#NAME?</v>
      </c>
      <c r="D8767" t="s">
        <v>1009</v>
      </c>
      <c r="E8767">
        <v>5.0000000000000001E-3</v>
      </c>
      <c r="F8767" t="s">
        <v>21</v>
      </c>
      <c r="G8767" t="s">
        <v>361</v>
      </c>
      <c r="H8767" t="s">
        <v>21</v>
      </c>
      <c r="I8767" t="s">
        <v>20</v>
      </c>
      <c r="J8767" t="s">
        <v>20</v>
      </c>
      <c r="K8767" t="s">
        <v>27</v>
      </c>
      <c r="L8767" t="s">
        <v>72</v>
      </c>
      <c r="M8767" t="s">
        <v>948</v>
      </c>
      <c r="N8767">
        <v>37.194944</v>
      </c>
      <c r="O8767">
        <v>-113.622096</v>
      </c>
      <c r="P8767">
        <v>3726.441139</v>
      </c>
      <c r="Q8767">
        <v>304</v>
      </c>
      <c r="R8767">
        <v>0</v>
      </c>
    </row>
    <row r="8768" spans="1:18" x14ac:dyDescent="0.25">
      <c r="A8768">
        <v>8617</v>
      </c>
      <c r="B8768">
        <v>94</v>
      </c>
      <c r="C8768" t="e">
        <f>-IqIyx_xIX9tDeAyfbRs9V</f>
        <v>#NAME?</v>
      </c>
      <c r="D8768" t="s">
        <v>1010</v>
      </c>
      <c r="E8768">
        <v>6.0000000000000001E-3</v>
      </c>
      <c r="F8768" t="s">
        <v>21</v>
      </c>
      <c r="G8768" t="s">
        <v>26</v>
      </c>
      <c r="H8768" t="s">
        <v>21</v>
      </c>
      <c r="I8768" t="s">
        <v>20</v>
      </c>
      <c r="J8768" t="s">
        <v>20</v>
      </c>
      <c r="K8768" t="s">
        <v>27</v>
      </c>
      <c r="L8768" t="s">
        <v>400</v>
      </c>
      <c r="M8768" t="s">
        <v>365</v>
      </c>
      <c r="N8768">
        <v>38.659416</v>
      </c>
      <c r="O8768">
        <v>-112.59468200000001</v>
      </c>
      <c r="P8768">
        <v>5688.9836880000003</v>
      </c>
      <c r="Q8768">
        <v>1333</v>
      </c>
      <c r="R8768">
        <v>0</v>
      </c>
    </row>
    <row r="8769" spans="1:18" x14ac:dyDescent="0.25">
      <c r="A8769">
        <v>8618</v>
      </c>
      <c r="B8769">
        <v>94</v>
      </c>
      <c r="C8769">
        <v>28153668</v>
      </c>
      <c r="D8769" t="s">
        <v>233</v>
      </c>
      <c r="E8769">
        <v>6.0000000000000001E-3</v>
      </c>
      <c r="F8769" t="s">
        <v>21</v>
      </c>
      <c r="G8769" t="s">
        <v>26</v>
      </c>
      <c r="H8769" t="s">
        <v>21</v>
      </c>
      <c r="I8769" t="s">
        <v>20</v>
      </c>
      <c r="J8769" t="s">
        <v>20</v>
      </c>
      <c r="K8769" t="s">
        <v>22</v>
      </c>
      <c r="L8769" t="s">
        <v>234</v>
      </c>
      <c r="M8769" t="s">
        <v>235</v>
      </c>
      <c r="N8769">
        <v>39.958711999999998</v>
      </c>
      <c r="O8769">
        <v>-109.163259</v>
      </c>
      <c r="P8769">
        <v>5233.2323699999997</v>
      </c>
      <c r="Q8769">
        <v>1354</v>
      </c>
      <c r="R8769">
        <v>0</v>
      </c>
    </row>
    <row r="8770" spans="1:18" x14ac:dyDescent="0.25">
      <c r="A8770">
        <v>8619</v>
      </c>
      <c r="B8770">
        <v>94</v>
      </c>
      <c r="C8770">
        <v>31289185</v>
      </c>
      <c r="D8770" t="s">
        <v>315</v>
      </c>
      <c r="E8770">
        <v>7.0000000000000001E-3</v>
      </c>
      <c r="F8770" t="s">
        <v>21</v>
      </c>
      <c r="G8770" t="s">
        <v>26</v>
      </c>
      <c r="H8770" t="s">
        <v>21</v>
      </c>
      <c r="I8770" t="s">
        <v>20</v>
      </c>
      <c r="J8770" t="s">
        <v>20</v>
      </c>
      <c r="K8770" t="s">
        <v>27</v>
      </c>
      <c r="L8770" t="s">
        <v>111</v>
      </c>
      <c r="M8770" t="s">
        <v>243</v>
      </c>
      <c r="N8770">
        <v>39.298457999999997</v>
      </c>
      <c r="O8770">
        <v>-111.299207</v>
      </c>
      <c r="P8770">
        <v>7151.7162120000003</v>
      </c>
      <c r="Q8770">
        <v>307</v>
      </c>
      <c r="R8770">
        <v>0</v>
      </c>
    </row>
    <row r="8771" spans="1:18" x14ac:dyDescent="0.25">
      <c r="A8771">
        <v>8620</v>
      </c>
      <c r="B8771">
        <v>94</v>
      </c>
      <c r="C8771">
        <v>28370426</v>
      </c>
      <c r="D8771" t="s">
        <v>99</v>
      </c>
      <c r="E8771">
        <v>0.74199999999999999</v>
      </c>
      <c r="F8771" t="s">
        <v>19</v>
      </c>
      <c r="G8771" t="s">
        <v>20</v>
      </c>
      <c r="H8771" t="s">
        <v>19</v>
      </c>
      <c r="I8771">
        <v>126</v>
      </c>
      <c r="J8771" t="s">
        <v>20</v>
      </c>
      <c r="K8771" t="s">
        <v>41</v>
      </c>
      <c r="L8771" t="s">
        <v>81</v>
      </c>
      <c r="M8771" t="s">
        <v>82</v>
      </c>
      <c r="N8771">
        <v>41.198110999999997</v>
      </c>
      <c r="O8771">
        <v>-112.02585500000001</v>
      </c>
      <c r="P8771">
        <v>4374.2515750000002</v>
      </c>
      <c r="Q8771">
        <v>1376</v>
      </c>
      <c r="R8771">
        <v>0</v>
      </c>
    </row>
    <row r="8772" spans="1:18" x14ac:dyDescent="0.25">
      <c r="A8772">
        <v>8621</v>
      </c>
      <c r="B8772">
        <v>94</v>
      </c>
      <c r="C8772">
        <v>31281645</v>
      </c>
      <c r="D8772" t="s">
        <v>288</v>
      </c>
      <c r="E8772">
        <v>17.422000000000001</v>
      </c>
      <c r="F8772" t="s">
        <v>21</v>
      </c>
      <c r="G8772" t="s">
        <v>26</v>
      </c>
      <c r="H8772" t="s">
        <v>21</v>
      </c>
      <c r="I8772" t="s">
        <v>20</v>
      </c>
      <c r="J8772" t="s">
        <v>20</v>
      </c>
      <c r="K8772" t="s">
        <v>27</v>
      </c>
      <c r="L8772" t="s">
        <v>211</v>
      </c>
      <c r="M8772" t="s">
        <v>318</v>
      </c>
      <c r="N8772">
        <v>37.217607000000001</v>
      </c>
      <c r="O8772">
        <v>-109.614255</v>
      </c>
      <c r="P8772">
        <v>4482.9996410000003</v>
      </c>
      <c r="Q8772">
        <v>350</v>
      </c>
      <c r="R8772">
        <v>0</v>
      </c>
    </row>
    <row r="8773" spans="1:18" x14ac:dyDescent="0.25">
      <c r="A8773">
        <v>8622</v>
      </c>
      <c r="B8773">
        <v>94</v>
      </c>
      <c r="C8773">
        <v>31714390</v>
      </c>
      <c r="D8773" t="s">
        <v>118</v>
      </c>
      <c r="E8773">
        <v>17.425999999999998</v>
      </c>
      <c r="F8773" t="s">
        <v>19</v>
      </c>
      <c r="G8773" t="s">
        <v>20</v>
      </c>
      <c r="H8773" t="s">
        <v>21</v>
      </c>
      <c r="I8773" t="s">
        <v>20</v>
      </c>
      <c r="J8773" t="s">
        <v>20</v>
      </c>
      <c r="K8773" t="s">
        <v>22</v>
      </c>
      <c r="L8773" t="s">
        <v>35</v>
      </c>
      <c r="M8773" t="s">
        <v>120</v>
      </c>
      <c r="N8773">
        <v>40.500267999999998</v>
      </c>
      <c r="O8773">
        <v>-111.413552</v>
      </c>
      <c r="P8773">
        <v>5563.2281569999996</v>
      </c>
      <c r="Q8773">
        <v>310</v>
      </c>
      <c r="R8773">
        <v>0</v>
      </c>
    </row>
    <row r="8774" spans="1:18" x14ac:dyDescent="0.25">
      <c r="A8774">
        <v>8623</v>
      </c>
      <c r="B8774">
        <v>94</v>
      </c>
      <c r="C8774" t="e">
        <f>-JNLN6RTHBXCIuJ2E5IVAF</f>
        <v>#NAME?</v>
      </c>
      <c r="D8774" t="s">
        <v>124</v>
      </c>
      <c r="E8774">
        <v>19.824000000000002</v>
      </c>
      <c r="F8774" t="s">
        <v>21</v>
      </c>
      <c r="G8774" t="s">
        <v>20</v>
      </c>
      <c r="H8774" t="s">
        <v>21</v>
      </c>
      <c r="I8774" t="s">
        <v>20</v>
      </c>
      <c r="J8774" t="s">
        <v>20</v>
      </c>
      <c r="K8774" t="s">
        <v>22</v>
      </c>
      <c r="L8774" t="s">
        <v>193</v>
      </c>
      <c r="M8774" t="s">
        <v>194</v>
      </c>
      <c r="N8774">
        <v>40.216586999999997</v>
      </c>
      <c r="O8774">
        <v>-111.885226</v>
      </c>
      <c r="P8774">
        <v>4640.2303030000003</v>
      </c>
      <c r="Q8774">
        <v>1368</v>
      </c>
      <c r="R8774">
        <v>0</v>
      </c>
    </row>
    <row r="8775" spans="1:18" x14ac:dyDescent="0.25">
      <c r="A8775">
        <v>8624</v>
      </c>
      <c r="B8775">
        <v>94</v>
      </c>
      <c r="C8775">
        <v>31419605</v>
      </c>
      <c r="D8775" t="s">
        <v>221</v>
      </c>
      <c r="E8775">
        <v>19.859000000000002</v>
      </c>
      <c r="F8775" t="s">
        <v>21</v>
      </c>
      <c r="G8775" t="s">
        <v>26</v>
      </c>
      <c r="H8775" t="s">
        <v>21</v>
      </c>
      <c r="I8775" t="s">
        <v>20</v>
      </c>
      <c r="J8775" t="s">
        <v>20</v>
      </c>
      <c r="K8775" t="s">
        <v>22</v>
      </c>
      <c r="L8775" t="s">
        <v>155</v>
      </c>
      <c r="M8775" t="s">
        <v>174</v>
      </c>
      <c r="N8775">
        <v>39.421982</v>
      </c>
      <c r="O8775">
        <v>-111.921491</v>
      </c>
      <c r="P8775">
        <v>5313.3708299999998</v>
      </c>
      <c r="Q8775">
        <v>1342</v>
      </c>
      <c r="R8775">
        <v>0</v>
      </c>
    </row>
    <row r="8776" spans="1:18" x14ac:dyDescent="0.25">
      <c r="A8776">
        <v>8625</v>
      </c>
      <c r="B8776">
        <v>94</v>
      </c>
      <c r="C8776">
        <v>31715759</v>
      </c>
      <c r="D8776" t="s">
        <v>118</v>
      </c>
      <c r="E8776">
        <v>17.946999999999999</v>
      </c>
      <c r="F8776" t="s">
        <v>19</v>
      </c>
      <c r="G8776" t="s">
        <v>20</v>
      </c>
      <c r="H8776" t="s">
        <v>19</v>
      </c>
      <c r="I8776">
        <v>189</v>
      </c>
      <c r="J8776" t="s">
        <v>20</v>
      </c>
      <c r="K8776" t="s">
        <v>22</v>
      </c>
      <c r="L8776" t="s">
        <v>119</v>
      </c>
      <c r="M8776" t="s">
        <v>120</v>
      </c>
      <c r="N8776">
        <v>40.492800000000003</v>
      </c>
      <c r="O8776">
        <v>-111.413177</v>
      </c>
      <c r="P8776">
        <v>5584.5290940000004</v>
      </c>
      <c r="Q8776">
        <v>310</v>
      </c>
      <c r="R8776">
        <v>0</v>
      </c>
    </row>
    <row r="8777" spans="1:18" x14ac:dyDescent="0.25">
      <c r="A8777">
        <v>8626</v>
      </c>
      <c r="B8777">
        <v>94</v>
      </c>
      <c r="C8777" t="e">
        <f>-JMHCSkbIMm4YCBh7B-B_k</f>
        <v>#NAME?</v>
      </c>
      <c r="D8777" t="s">
        <v>88</v>
      </c>
      <c r="E8777">
        <v>17.948</v>
      </c>
      <c r="F8777" t="s">
        <v>21</v>
      </c>
      <c r="G8777" t="s">
        <v>26</v>
      </c>
      <c r="H8777" t="s">
        <v>21</v>
      </c>
      <c r="I8777" t="s">
        <v>20</v>
      </c>
      <c r="J8777" t="s">
        <v>20</v>
      </c>
      <c r="K8777" t="s">
        <v>31</v>
      </c>
      <c r="L8777" t="s">
        <v>69</v>
      </c>
      <c r="M8777" t="s">
        <v>90</v>
      </c>
      <c r="N8777">
        <v>40.695132999999998</v>
      </c>
      <c r="O8777">
        <v>-111.871359</v>
      </c>
      <c r="P8777">
        <v>4219.8576089999997</v>
      </c>
      <c r="Q8777">
        <v>318</v>
      </c>
      <c r="R8777">
        <v>0</v>
      </c>
    </row>
    <row r="8778" spans="1:18" x14ac:dyDescent="0.25">
      <c r="A8778">
        <v>8627</v>
      </c>
      <c r="B8778">
        <v>94</v>
      </c>
      <c r="C8778">
        <v>31348917</v>
      </c>
      <c r="D8778" t="s">
        <v>413</v>
      </c>
      <c r="E8778">
        <v>17.952000000000002</v>
      </c>
      <c r="F8778" t="s">
        <v>19</v>
      </c>
      <c r="G8778" t="s">
        <v>20</v>
      </c>
      <c r="H8778" t="s">
        <v>21</v>
      </c>
      <c r="I8778" t="s">
        <v>20</v>
      </c>
      <c r="J8778" t="s">
        <v>20</v>
      </c>
      <c r="K8778" t="s">
        <v>31</v>
      </c>
      <c r="L8778" t="s">
        <v>66</v>
      </c>
      <c r="M8778" t="s">
        <v>206</v>
      </c>
      <c r="N8778">
        <v>40.725439999999999</v>
      </c>
      <c r="O8778">
        <v>-111.891138</v>
      </c>
      <c r="P8778">
        <v>4188.6369949999998</v>
      </c>
      <c r="Q8778">
        <v>411</v>
      </c>
      <c r="R8778">
        <v>0</v>
      </c>
    </row>
    <row r="8779" spans="1:18" x14ac:dyDescent="0.25">
      <c r="A8779">
        <v>8628</v>
      </c>
      <c r="B8779">
        <v>94</v>
      </c>
      <c r="C8779">
        <v>31614301</v>
      </c>
      <c r="D8779" t="s">
        <v>213</v>
      </c>
      <c r="E8779">
        <v>177.71199999999999</v>
      </c>
      <c r="F8779" t="s">
        <v>21</v>
      </c>
      <c r="G8779" t="s">
        <v>26</v>
      </c>
      <c r="H8779" t="s">
        <v>21</v>
      </c>
      <c r="I8779" t="s">
        <v>20</v>
      </c>
      <c r="J8779" t="s">
        <v>20</v>
      </c>
      <c r="K8779" t="s">
        <v>22</v>
      </c>
      <c r="L8779" t="s">
        <v>140</v>
      </c>
      <c r="M8779" t="s">
        <v>159</v>
      </c>
      <c r="N8779">
        <v>40.083548</v>
      </c>
      <c r="O8779">
        <v>-111.591465</v>
      </c>
      <c r="P8779">
        <v>4760.741446</v>
      </c>
      <c r="Q8779">
        <v>1332</v>
      </c>
      <c r="R8779">
        <v>0</v>
      </c>
    </row>
    <row r="8780" spans="1:18" x14ac:dyDescent="0.25">
      <c r="A8780">
        <v>8629</v>
      </c>
      <c r="B8780">
        <v>94</v>
      </c>
      <c r="C8780">
        <v>31279282</v>
      </c>
      <c r="D8780" t="s">
        <v>731</v>
      </c>
      <c r="E8780">
        <v>2.165</v>
      </c>
      <c r="F8780" t="s">
        <v>21</v>
      </c>
      <c r="G8780" t="s">
        <v>26</v>
      </c>
      <c r="H8780" t="s">
        <v>21</v>
      </c>
      <c r="I8780" t="s">
        <v>20</v>
      </c>
      <c r="J8780" t="s">
        <v>20</v>
      </c>
      <c r="K8780" t="s">
        <v>27</v>
      </c>
      <c r="L8780" t="s">
        <v>501</v>
      </c>
      <c r="M8780" t="s">
        <v>200</v>
      </c>
      <c r="N8780">
        <v>37.599687000000003</v>
      </c>
      <c r="O8780">
        <v>-112.850238</v>
      </c>
      <c r="P8780">
        <v>10236.384592</v>
      </c>
      <c r="Q8780">
        <v>1421</v>
      </c>
      <c r="R8780">
        <v>0</v>
      </c>
    </row>
    <row r="8781" spans="1:18" x14ac:dyDescent="0.25">
      <c r="A8781">
        <v>8630</v>
      </c>
      <c r="B8781">
        <v>94</v>
      </c>
      <c r="C8781">
        <v>31579263</v>
      </c>
      <c r="D8781" t="s">
        <v>409</v>
      </c>
      <c r="E8781">
        <v>2.1659999999999999</v>
      </c>
      <c r="F8781" t="s">
        <v>21</v>
      </c>
      <c r="G8781" t="s">
        <v>20</v>
      </c>
      <c r="H8781" t="s">
        <v>21</v>
      </c>
      <c r="I8781" t="s">
        <v>20</v>
      </c>
      <c r="J8781" t="s">
        <v>20</v>
      </c>
      <c r="K8781" t="s">
        <v>27</v>
      </c>
      <c r="L8781" t="s">
        <v>51</v>
      </c>
      <c r="M8781" t="s">
        <v>117</v>
      </c>
      <c r="N8781">
        <v>38.059081999999997</v>
      </c>
      <c r="O8781">
        <v>-112.65415400000001</v>
      </c>
      <c r="P8781">
        <v>6148.3434260000004</v>
      </c>
      <c r="Q8781">
        <v>1337</v>
      </c>
      <c r="R8781">
        <v>0</v>
      </c>
    </row>
    <row r="8782" spans="1:18" x14ac:dyDescent="0.25">
      <c r="A8782">
        <v>8631</v>
      </c>
      <c r="B8782">
        <v>94</v>
      </c>
      <c r="C8782">
        <v>31384231</v>
      </c>
      <c r="D8782" t="s">
        <v>184</v>
      </c>
      <c r="E8782">
        <v>2.1680000000000001</v>
      </c>
      <c r="F8782" t="s">
        <v>21</v>
      </c>
      <c r="G8782" t="s">
        <v>26</v>
      </c>
      <c r="H8782" t="s">
        <v>21</v>
      </c>
      <c r="I8782" t="s">
        <v>20</v>
      </c>
      <c r="J8782" t="s">
        <v>20</v>
      </c>
      <c r="K8782" t="s">
        <v>27</v>
      </c>
      <c r="L8782" t="s">
        <v>54</v>
      </c>
      <c r="M8782" t="s">
        <v>55</v>
      </c>
      <c r="N8782">
        <v>37.676139999999997</v>
      </c>
      <c r="O8782">
        <v>-113.06173800000001</v>
      </c>
      <c r="P8782">
        <v>5789.7293609999997</v>
      </c>
      <c r="Q8782">
        <v>1410</v>
      </c>
      <c r="R8782">
        <v>0</v>
      </c>
    </row>
    <row r="8783" spans="1:18" x14ac:dyDescent="0.25">
      <c r="A8783">
        <v>8632</v>
      </c>
      <c r="B8783">
        <v>94</v>
      </c>
      <c r="C8783">
        <v>31310559</v>
      </c>
      <c r="D8783" t="s">
        <v>215</v>
      </c>
      <c r="E8783">
        <v>2.1720000000000002</v>
      </c>
      <c r="F8783" t="s">
        <v>21</v>
      </c>
      <c r="G8783" t="s">
        <v>26</v>
      </c>
      <c r="H8783" t="s">
        <v>21</v>
      </c>
      <c r="I8783" t="s">
        <v>20</v>
      </c>
      <c r="J8783" t="s">
        <v>20</v>
      </c>
      <c r="K8783" t="s">
        <v>22</v>
      </c>
      <c r="L8783" t="s">
        <v>23</v>
      </c>
      <c r="M8783" t="s">
        <v>85</v>
      </c>
      <c r="N8783">
        <v>40.242744999999999</v>
      </c>
      <c r="O8783">
        <v>-111.695503</v>
      </c>
      <c r="P8783">
        <v>4472.1978639999998</v>
      </c>
      <c r="Q8783">
        <v>330</v>
      </c>
      <c r="R8783">
        <v>0</v>
      </c>
    </row>
    <row r="8784" spans="1:18" x14ac:dyDescent="0.25">
      <c r="A8784">
        <v>8633</v>
      </c>
      <c r="B8784">
        <v>94</v>
      </c>
      <c r="C8784">
        <v>31773275</v>
      </c>
      <c r="D8784" t="s">
        <v>59</v>
      </c>
      <c r="E8784">
        <v>2.1720000000000002</v>
      </c>
      <c r="F8784" t="s">
        <v>21</v>
      </c>
      <c r="G8784" t="s">
        <v>26</v>
      </c>
      <c r="H8784" t="s">
        <v>21</v>
      </c>
      <c r="I8784" t="s">
        <v>20</v>
      </c>
      <c r="J8784" t="s">
        <v>20</v>
      </c>
      <c r="K8784" t="s">
        <v>22</v>
      </c>
      <c r="L8784" t="s">
        <v>60</v>
      </c>
      <c r="M8784" t="s">
        <v>24</v>
      </c>
      <c r="N8784">
        <v>40.312044</v>
      </c>
      <c r="O8784">
        <v>-111.693613</v>
      </c>
      <c r="P8784">
        <v>4734.1506950000003</v>
      </c>
      <c r="Q8784">
        <v>313</v>
      </c>
      <c r="R8784">
        <v>0</v>
      </c>
    </row>
    <row r="8785" spans="1:18" x14ac:dyDescent="0.25">
      <c r="A8785">
        <v>8634</v>
      </c>
      <c r="B8785">
        <v>94</v>
      </c>
      <c r="C8785">
        <v>31464640</v>
      </c>
      <c r="D8785" t="s">
        <v>218</v>
      </c>
      <c r="E8785">
        <v>2.173</v>
      </c>
      <c r="F8785" t="s">
        <v>21</v>
      </c>
      <c r="G8785" t="s">
        <v>26</v>
      </c>
      <c r="H8785" t="s">
        <v>21</v>
      </c>
      <c r="I8785" t="s">
        <v>20</v>
      </c>
      <c r="J8785" t="s">
        <v>20</v>
      </c>
      <c r="K8785" t="s">
        <v>27</v>
      </c>
      <c r="L8785" t="s">
        <v>183</v>
      </c>
      <c r="M8785" t="s">
        <v>76</v>
      </c>
      <c r="N8785">
        <v>39.004773</v>
      </c>
      <c r="O8785">
        <v>-111.861688</v>
      </c>
      <c r="P8785">
        <v>5044.2986030000002</v>
      </c>
      <c r="Q8785">
        <v>360</v>
      </c>
      <c r="R8785">
        <v>0</v>
      </c>
    </row>
    <row r="8786" spans="1:18" x14ac:dyDescent="0.25">
      <c r="A8786">
        <v>8635</v>
      </c>
      <c r="B8786">
        <v>94</v>
      </c>
      <c r="C8786">
        <v>31370666</v>
      </c>
      <c r="D8786" t="s">
        <v>199</v>
      </c>
      <c r="E8786">
        <v>2.173</v>
      </c>
      <c r="F8786" t="s">
        <v>21</v>
      </c>
      <c r="G8786" t="s">
        <v>26</v>
      </c>
      <c r="H8786" t="s">
        <v>21</v>
      </c>
      <c r="I8786" t="s">
        <v>20</v>
      </c>
      <c r="J8786" t="s">
        <v>20</v>
      </c>
      <c r="K8786" t="s">
        <v>27</v>
      </c>
      <c r="L8786" t="s">
        <v>103</v>
      </c>
      <c r="M8786" t="s">
        <v>200</v>
      </c>
      <c r="N8786">
        <v>38.278353000000003</v>
      </c>
      <c r="O8786">
        <v>-112.602491</v>
      </c>
      <c r="P8786">
        <v>5983.5830029999997</v>
      </c>
      <c r="Q8786">
        <v>341</v>
      </c>
      <c r="R8786">
        <v>0</v>
      </c>
    </row>
    <row r="8787" spans="1:18" x14ac:dyDescent="0.25">
      <c r="A8787">
        <v>8636</v>
      </c>
      <c r="B8787">
        <v>94</v>
      </c>
      <c r="C8787">
        <v>31597962</v>
      </c>
      <c r="D8787" t="s">
        <v>50</v>
      </c>
      <c r="E8787">
        <v>2.1749999999999998</v>
      </c>
      <c r="F8787" t="s">
        <v>21</v>
      </c>
      <c r="G8787" t="s">
        <v>26</v>
      </c>
      <c r="H8787" t="s">
        <v>21</v>
      </c>
      <c r="I8787" t="s">
        <v>20</v>
      </c>
      <c r="J8787" t="s">
        <v>20</v>
      </c>
      <c r="K8787" t="s">
        <v>27</v>
      </c>
      <c r="L8787" t="s">
        <v>51</v>
      </c>
      <c r="M8787" t="s">
        <v>52</v>
      </c>
      <c r="N8787">
        <v>37.838856</v>
      </c>
      <c r="O8787">
        <v>-112.83202300000001</v>
      </c>
      <c r="P8787">
        <v>5936.6947659999996</v>
      </c>
      <c r="Q8787">
        <v>1418</v>
      </c>
      <c r="R8787">
        <v>0</v>
      </c>
    </row>
    <row r="8788" spans="1:18" x14ac:dyDescent="0.25">
      <c r="A8788">
        <v>8637</v>
      </c>
      <c r="B8788">
        <v>94</v>
      </c>
      <c r="C8788">
        <v>520471</v>
      </c>
      <c r="D8788" t="s">
        <v>44</v>
      </c>
      <c r="E8788">
        <v>2.1760000000000002</v>
      </c>
      <c r="F8788" t="s">
        <v>21</v>
      </c>
      <c r="G8788" t="s">
        <v>26</v>
      </c>
      <c r="H8788" t="s">
        <v>21</v>
      </c>
      <c r="I8788" t="s">
        <v>20</v>
      </c>
      <c r="J8788" t="s">
        <v>20</v>
      </c>
      <c r="K8788" t="s">
        <v>41</v>
      </c>
      <c r="L8788" t="s">
        <v>45</v>
      </c>
      <c r="M8788" t="s">
        <v>46</v>
      </c>
      <c r="N8788">
        <v>40.908929000000001</v>
      </c>
      <c r="O8788">
        <v>-111.878987</v>
      </c>
      <c r="P8788">
        <v>4236.5287920000001</v>
      </c>
      <c r="Q8788">
        <v>1395</v>
      </c>
      <c r="R8788">
        <v>0</v>
      </c>
    </row>
    <row r="8789" spans="1:18" x14ac:dyDescent="0.25">
      <c r="A8789">
        <v>8638</v>
      </c>
      <c r="B8789">
        <v>94</v>
      </c>
      <c r="C8789">
        <v>31764142</v>
      </c>
      <c r="D8789" t="s">
        <v>115</v>
      </c>
      <c r="E8789">
        <v>2.177</v>
      </c>
      <c r="F8789" t="s">
        <v>21</v>
      </c>
      <c r="G8789" t="s">
        <v>26</v>
      </c>
      <c r="H8789" t="s">
        <v>21</v>
      </c>
      <c r="I8789" t="s">
        <v>20</v>
      </c>
      <c r="J8789" t="s">
        <v>20</v>
      </c>
      <c r="K8789" t="s">
        <v>31</v>
      </c>
      <c r="L8789" t="s">
        <v>48</v>
      </c>
      <c r="M8789" t="s">
        <v>70</v>
      </c>
      <c r="N8789">
        <v>40.653080000000003</v>
      </c>
      <c r="O8789">
        <v>-112.035505</v>
      </c>
      <c r="P8789">
        <v>4824.133159</v>
      </c>
      <c r="Q8789">
        <v>1437</v>
      </c>
      <c r="R8789">
        <v>0</v>
      </c>
    </row>
    <row r="8790" spans="1:18" x14ac:dyDescent="0.25">
      <c r="A8790">
        <v>8639</v>
      </c>
      <c r="B8790">
        <v>94</v>
      </c>
      <c r="C8790">
        <v>760482</v>
      </c>
      <c r="D8790" t="s">
        <v>68</v>
      </c>
      <c r="E8790">
        <v>2.177</v>
      </c>
      <c r="F8790" t="s">
        <v>19</v>
      </c>
      <c r="G8790" t="s">
        <v>20</v>
      </c>
      <c r="H8790" t="s">
        <v>21</v>
      </c>
      <c r="I8790" t="s">
        <v>20</v>
      </c>
      <c r="J8790" t="s">
        <v>20</v>
      </c>
      <c r="K8790" t="s">
        <v>31</v>
      </c>
      <c r="L8790" t="s">
        <v>69</v>
      </c>
      <c r="M8790" t="s">
        <v>70</v>
      </c>
      <c r="N8790">
        <v>40.674326000000001</v>
      </c>
      <c r="O8790">
        <v>-111.913961</v>
      </c>
      <c r="P8790">
        <v>4201.288708</v>
      </c>
      <c r="Q8790">
        <v>431</v>
      </c>
      <c r="R8790">
        <v>0</v>
      </c>
    </row>
    <row r="8791" spans="1:18" x14ac:dyDescent="0.25">
      <c r="A8791">
        <v>8640</v>
      </c>
      <c r="B8791">
        <v>94</v>
      </c>
      <c r="C8791">
        <v>516083</v>
      </c>
      <c r="D8791" t="s">
        <v>262</v>
      </c>
      <c r="E8791">
        <v>2.1840000000000002</v>
      </c>
      <c r="F8791" t="s">
        <v>19</v>
      </c>
      <c r="G8791" t="s">
        <v>20</v>
      </c>
      <c r="H8791" t="s">
        <v>21</v>
      </c>
      <c r="I8791" t="s">
        <v>20</v>
      </c>
      <c r="J8791" t="s">
        <v>20</v>
      </c>
      <c r="K8791" t="s">
        <v>22</v>
      </c>
      <c r="L8791" t="s">
        <v>263</v>
      </c>
      <c r="M8791" t="s">
        <v>24</v>
      </c>
      <c r="N8791">
        <v>40.376057000000003</v>
      </c>
      <c r="O8791">
        <v>-111.876806</v>
      </c>
      <c r="P8791">
        <v>4457.4594090000001</v>
      </c>
      <c r="Q8791">
        <v>1419</v>
      </c>
      <c r="R8791">
        <v>0</v>
      </c>
    </row>
    <row r="8792" spans="1:18" x14ac:dyDescent="0.25">
      <c r="A8792">
        <v>8641</v>
      </c>
      <c r="B8792">
        <v>94</v>
      </c>
      <c r="C8792">
        <v>31369213</v>
      </c>
      <c r="D8792" t="s">
        <v>345</v>
      </c>
      <c r="E8792">
        <v>2.1850000000000001</v>
      </c>
      <c r="F8792" t="s">
        <v>21</v>
      </c>
      <c r="G8792" t="s">
        <v>26</v>
      </c>
      <c r="H8792" t="s">
        <v>21</v>
      </c>
      <c r="I8792" t="s">
        <v>20</v>
      </c>
      <c r="J8792" t="s">
        <v>20</v>
      </c>
      <c r="K8792" t="s">
        <v>27</v>
      </c>
      <c r="L8792" t="s">
        <v>75</v>
      </c>
      <c r="M8792" t="s">
        <v>76</v>
      </c>
      <c r="N8792">
        <v>38.632610999999997</v>
      </c>
      <c r="O8792">
        <v>-112.189971</v>
      </c>
      <c r="P8792">
        <v>5382.8259399999997</v>
      </c>
      <c r="Q8792">
        <v>1403</v>
      </c>
      <c r="R8792">
        <v>0</v>
      </c>
    </row>
    <row r="8793" spans="1:18" x14ac:dyDescent="0.25">
      <c r="A8793">
        <v>8642</v>
      </c>
      <c r="B8793">
        <v>94</v>
      </c>
      <c r="C8793">
        <v>31407394</v>
      </c>
      <c r="D8793" t="s">
        <v>63</v>
      </c>
      <c r="E8793">
        <v>18.577999999999999</v>
      </c>
      <c r="F8793" t="s">
        <v>21</v>
      </c>
      <c r="G8793" t="s">
        <v>26</v>
      </c>
      <c r="H8793" t="s">
        <v>21</v>
      </c>
      <c r="I8793" t="s">
        <v>20</v>
      </c>
      <c r="J8793" t="s">
        <v>20</v>
      </c>
      <c r="K8793" t="s">
        <v>27</v>
      </c>
      <c r="L8793" t="s">
        <v>64</v>
      </c>
      <c r="M8793" t="s">
        <v>29</v>
      </c>
      <c r="N8793">
        <v>38.248956999999997</v>
      </c>
      <c r="O8793">
        <v>-111.987174</v>
      </c>
      <c r="P8793">
        <v>6379.9497950000004</v>
      </c>
      <c r="Q8793">
        <v>1365</v>
      </c>
      <c r="R8793">
        <v>0</v>
      </c>
    </row>
    <row r="8794" spans="1:18" x14ac:dyDescent="0.25">
      <c r="A8794">
        <v>8643</v>
      </c>
      <c r="B8794">
        <v>94</v>
      </c>
      <c r="C8794">
        <v>31322500</v>
      </c>
      <c r="D8794" t="s">
        <v>303</v>
      </c>
      <c r="E8794">
        <v>18.579000000000001</v>
      </c>
      <c r="F8794" t="s">
        <v>21</v>
      </c>
      <c r="G8794" t="s">
        <v>26</v>
      </c>
      <c r="H8794" t="s">
        <v>21</v>
      </c>
      <c r="I8794" t="s">
        <v>20</v>
      </c>
      <c r="J8794" t="s">
        <v>20</v>
      </c>
      <c r="K8794" t="s">
        <v>27</v>
      </c>
      <c r="L8794" t="s">
        <v>72</v>
      </c>
      <c r="M8794" t="s">
        <v>73</v>
      </c>
      <c r="N8794">
        <v>37.203566000000002</v>
      </c>
      <c r="O8794">
        <v>-113.188726</v>
      </c>
      <c r="P8794">
        <v>3476.0567809999998</v>
      </c>
      <c r="Q8794">
        <v>1326</v>
      </c>
      <c r="R8794">
        <v>0</v>
      </c>
    </row>
    <row r="8795" spans="1:18" x14ac:dyDescent="0.25">
      <c r="A8795">
        <v>8644</v>
      </c>
      <c r="B8795">
        <v>94</v>
      </c>
      <c r="C8795">
        <v>31757423</v>
      </c>
      <c r="D8795" t="s">
        <v>88</v>
      </c>
      <c r="E8795">
        <v>18.585000000000001</v>
      </c>
      <c r="F8795" t="s">
        <v>21</v>
      </c>
      <c r="G8795" t="s">
        <v>26</v>
      </c>
      <c r="H8795" t="s">
        <v>21</v>
      </c>
      <c r="I8795" t="s">
        <v>20</v>
      </c>
      <c r="J8795" t="s">
        <v>20</v>
      </c>
      <c r="K8795" t="s">
        <v>31</v>
      </c>
      <c r="L8795" t="s">
        <v>66</v>
      </c>
      <c r="M8795" t="s">
        <v>49</v>
      </c>
      <c r="N8795">
        <v>40.704349000000001</v>
      </c>
      <c r="O8795">
        <v>-111.87142299999999</v>
      </c>
      <c r="P8795">
        <v>4225.2206230000002</v>
      </c>
      <c r="Q8795">
        <v>318</v>
      </c>
      <c r="R8795">
        <v>0</v>
      </c>
    </row>
    <row r="8796" spans="1:18" x14ac:dyDescent="0.25">
      <c r="A8796">
        <v>8645</v>
      </c>
      <c r="B8796">
        <v>94</v>
      </c>
      <c r="C8796" t="s">
        <v>1011</v>
      </c>
      <c r="D8796" t="s">
        <v>88</v>
      </c>
      <c r="E8796">
        <v>18.585999999999999</v>
      </c>
      <c r="F8796" t="s">
        <v>21</v>
      </c>
      <c r="G8796" t="s">
        <v>26</v>
      </c>
      <c r="H8796" t="s">
        <v>21</v>
      </c>
      <c r="I8796" t="s">
        <v>20</v>
      </c>
      <c r="J8796" t="s">
        <v>20</v>
      </c>
      <c r="K8796" t="s">
        <v>31</v>
      </c>
      <c r="L8796" t="s">
        <v>66</v>
      </c>
      <c r="M8796" t="s">
        <v>90</v>
      </c>
      <c r="N8796">
        <v>40.704368000000002</v>
      </c>
      <c r="O8796">
        <v>-111.87131599999999</v>
      </c>
      <c r="P8796">
        <v>4226.7606699999997</v>
      </c>
      <c r="Q8796">
        <v>318</v>
      </c>
      <c r="R8796">
        <v>0</v>
      </c>
    </row>
    <row r="8797" spans="1:18" x14ac:dyDescent="0.25">
      <c r="A8797">
        <v>8646</v>
      </c>
      <c r="B8797">
        <v>94</v>
      </c>
      <c r="C8797">
        <v>31470823</v>
      </c>
      <c r="D8797" t="s">
        <v>303</v>
      </c>
      <c r="E8797">
        <v>18.591999999999999</v>
      </c>
      <c r="F8797" t="s">
        <v>21</v>
      </c>
      <c r="G8797" t="s">
        <v>26</v>
      </c>
      <c r="H8797" t="s">
        <v>21</v>
      </c>
      <c r="I8797" t="s">
        <v>20</v>
      </c>
      <c r="J8797" t="s">
        <v>20</v>
      </c>
      <c r="K8797" t="s">
        <v>27</v>
      </c>
      <c r="L8797" t="s">
        <v>72</v>
      </c>
      <c r="M8797" t="s">
        <v>73</v>
      </c>
      <c r="N8797">
        <v>37.203572000000001</v>
      </c>
      <c r="O8797">
        <v>-113.18847100000001</v>
      </c>
      <c r="P8797">
        <v>3476.353079</v>
      </c>
      <c r="Q8797">
        <v>1326</v>
      </c>
      <c r="R8797">
        <v>0</v>
      </c>
    </row>
    <row r="8798" spans="1:18" x14ac:dyDescent="0.25">
      <c r="A8798">
        <v>8647</v>
      </c>
      <c r="B8798">
        <v>94</v>
      </c>
      <c r="C8798">
        <v>31453250</v>
      </c>
      <c r="D8798" t="s">
        <v>288</v>
      </c>
      <c r="E8798">
        <v>124.26</v>
      </c>
      <c r="F8798" t="s">
        <v>21</v>
      </c>
      <c r="G8798" t="s">
        <v>26</v>
      </c>
      <c r="H8798" t="s">
        <v>21</v>
      </c>
      <c r="I8798" t="s">
        <v>20</v>
      </c>
      <c r="J8798" t="s">
        <v>20</v>
      </c>
      <c r="K8798" t="s">
        <v>27</v>
      </c>
      <c r="L8798" t="s">
        <v>38</v>
      </c>
      <c r="M8798" t="s">
        <v>152</v>
      </c>
      <c r="N8798">
        <v>38.556134</v>
      </c>
      <c r="O8798">
        <v>-109.539293</v>
      </c>
      <c r="P8798">
        <v>4092.3798579999998</v>
      </c>
      <c r="Q8798">
        <v>350</v>
      </c>
      <c r="R8798">
        <v>0</v>
      </c>
    </row>
    <row r="8799" spans="1:18" x14ac:dyDescent="0.25">
      <c r="A8799">
        <v>8648</v>
      </c>
      <c r="B8799">
        <v>94</v>
      </c>
      <c r="C8799">
        <v>31824677</v>
      </c>
      <c r="D8799" t="s">
        <v>118</v>
      </c>
      <c r="E8799">
        <v>124.358</v>
      </c>
      <c r="F8799" t="s">
        <v>21</v>
      </c>
      <c r="G8799" t="s">
        <v>26</v>
      </c>
      <c r="H8799" t="s">
        <v>21</v>
      </c>
      <c r="I8799" t="s">
        <v>20</v>
      </c>
      <c r="J8799" t="s">
        <v>20</v>
      </c>
      <c r="K8799" t="s">
        <v>22</v>
      </c>
      <c r="L8799" t="s">
        <v>133</v>
      </c>
      <c r="M8799" t="s">
        <v>169</v>
      </c>
      <c r="N8799">
        <v>40.301946000000001</v>
      </c>
      <c r="O8799">
        <v>-109.803141</v>
      </c>
      <c r="P8799">
        <v>5017.9363460000004</v>
      </c>
      <c r="Q8799">
        <v>310</v>
      </c>
      <c r="R8799">
        <v>0</v>
      </c>
    </row>
    <row r="8800" spans="1:18" x14ac:dyDescent="0.25">
      <c r="A8800">
        <v>8649</v>
      </c>
      <c r="B8800">
        <v>94</v>
      </c>
      <c r="C8800">
        <v>31459911</v>
      </c>
      <c r="D8800" t="s">
        <v>288</v>
      </c>
      <c r="E8800">
        <v>124.42</v>
      </c>
      <c r="F8800" t="s">
        <v>21</v>
      </c>
      <c r="G8800" t="s">
        <v>26</v>
      </c>
      <c r="H8800" t="s">
        <v>21</v>
      </c>
      <c r="I8800" t="s">
        <v>20</v>
      </c>
      <c r="J8800" t="s">
        <v>20</v>
      </c>
      <c r="K8800" t="s">
        <v>27</v>
      </c>
      <c r="L8800" t="s">
        <v>38</v>
      </c>
      <c r="M8800" t="s">
        <v>152</v>
      </c>
      <c r="N8800">
        <v>38.557125999999997</v>
      </c>
      <c r="O8800">
        <v>-109.541946</v>
      </c>
      <c r="P8800">
        <v>4077.8321179999998</v>
      </c>
      <c r="Q8800">
        <v>350</v>
      </c>
      <c r="R8800">
        <v>0</v>
      </c>
    </row>
    <row r="8801" spans="1:18" x14ac:dyDescent="0.25">
      <c r="A8801">
        <v>8650</v>
      </c>
      <c r="B8801">
        <v>94</v>
      </c>
      <c r="C8801">
        <v>31587923</v>
      </c>
      <c r="D8801" t="s">
        <v>213</v>
      </c>
      <c r="E8801">
        <v>156.851</v>
      </c>
      <c r="F8801" t="s">
        <v>21</v>
      </c>
      <c r="G8801" t="s">
        <v>20</v>
      </c>
      <c r="H8801" t="s">
        <v>21</v>
      </c>
      <c r="I8801" t="s">
        <v>20</v>
      </c>
      <c r="J8801" t="s">
        <v>20</v>
      </c>
      <c r="K8801" t="s">
        <v>22</v>
      </c>
      <c r="L8801" t="s">
        <v>198</v>
      </c>
      <c r="M8801" t="s">
        <v>214</v>
      </c>
      <c r="N8801">
        <v>39.979548000000001</v>
      </c>
      <c r="O8801">
        <v>-111.835504</v>
      </c>
      <c r="P8801">
        <v>4628.0167289999999</v>
      </c>
      <c r="Q8801">
        <v>1332</v>
      </c>
      <c r="R8801">
        <v>0</v>
      </c>
    </row>
    <row r="8802" spans="1:18" x14ac:dyDescent="0.25">
      <c r="A8802">
        <v>8651</v>
      </c>
      <c r="B8802">
        <v>94</v>
      </c>
      <c r="C8802">
        <v>31547428</v>
      </c>
      <c r="D8802" t="s">
        <v>320</v>
      </c>
      <c r="E8802">
        <v>156.893</v>
      </c>
      <c r="F8802" t="s">
        <v>21</v>
      </c>
      <c r="G8802" t="s">
        <v>26</v>
      </c>
      <c r="H8802" t="s">
        <v>21</v>
      </c>
      <c r="I8802" t="s">
        <v>20</v>
      </c>
      <c r="J8802" t="s">
        <v>20</v>
      </c>
      <c r="K8802" t="s">
        <v>27</v>
      </c>
      <c r="L8802" t="s">
        <v>183</v>
      </c>
      <c r="M8802" t="s">
        <v>76</v>
      </c>
      <c r="N8802">
        <v>38.954247000000002</v>
      </c>
      <c r="O8802">
        <v>-111.88923200000001</v>
      </c>
      <c r="P8802">
        <v>5072.6901719999996</v>
      </c>
      <c r="Q8802">
        <v>1356</v>
      </c>
      <c r="R8802">
        <v>0</v>
      </c>
    </row>
    <row r="8803" spans="1:18" x14ac:dyDescent="0.25">
      <c r="A8803">
        <v>8652</v>
      </c>
      <c r="B8803">
        <v>94</v>
      </c>
      <c r="C8803">
        <v>31547439</v>
      </c>
      <c r="D8803" t="s">
        <v>320</v>
      </c>
      <c r="E8803">
        <v>156.916</v>
      </c>
      <c r="F8803" t="s">
        <v>21</v>
      </c>
      <c r="G8803" t="s">
        <v>26</v>
      </c>
      <c r="H8803" t="s">
        <v>21</v>
      </c>
      <c r="I8803" t="s">
        <v>20</v>
      </c>
      <c r="J8803" t="s">
        <v>20</v>
      </c>
      <c r="K8803" t="s">
        <v>27</v>
      </c>
      <c r="L8803" t="s">
        <v>183</v>
      </c>
      <c r="M8803" t="s">
        <v>76</v>
      </c>
      <c r="N8803">
        <v>38.954307</v>
      </c>
      <c r="O8803">
        <v>-111.888805</v>
      </c>
      <c r="P8803">
        <v>5071.7660130000004</v>
      </c>
      <c r="Q8803">
        <v>1356</v>
      </c>
      <c r="R8803">
        <v>0</v>
      </c>
    </row>
    <row r="8804" spans="1:18" x14ac:dyDescent="0.25">
      <c r="A8804">
        <v>8653</v>
      </c>
      <c r="B8804">
        <v>94</v>
      </c>
      <c r="C8804">
        <v>31639601</v>
      </c>
      <c r="D8804" t="s">
        <v>233</v>
      </c>
      <c r="E8804">
        <v>14.907999999999999</v>
      </c>
      <c r="F8804" t="s">
        <v>21</v>
      </c>
      <c r="G8804" t="s">
        <v>20</v>
      </c>
      <c r="H8804" t="s">
        <v>21</v>
      </c>
      <c r="I8804" t="s">
        <v>20</v>
      </c>
      <c r="J8804" t="s">
        <v>20</v>
      </c>
      <c r="K8804" t="s">
        <v>22</v>
      </c>
      <c r="L8804" t="s">
        <v>234</v>
      </c>
      <c r="M8804" t="s">
        <v>235</v>
      </c>
      <c r="N8804">
        <v>40.136768000000004</v>
      </c>
      <c r="O8804">
        <v>-109.269374</v>
      </c>
      <c r="P8804">
        <v>5145.1508670000003</v>
      </c>
      <c r="Q8804">
        <v>1354</v>
      </c>
      <c r="R8804">
        <v>0</v>
      </c>
    </row>
    <row r="8805" spans="1:18" x14ac:dyDescent="0.25">
      <c r="A8805">
        <v>8654</v>
      </c>
      <c r="B8805">
        <v>94</v>
      </c>
      <c r="C8805">
        <v>31742877</v>
      </c>
      <c r="D8805" t="s">
        <v>336</v>
      </c>
      <c r="E8805">
        <v>14.911</v>
      </c>
      <c r="F8805" t="s">
        <v>21</v>
      </c>
      <c r="G8805" t="s">
        <v>20</v>
      </c>
      <c r="H8805" t="s">
        <v>21</v>
      </c>
      <c r="I8805" t="s">
        <v>20</v>
      </c>
      <c r="J8805" t="s">
        <v>20</v>
      </c>
      <c r="K8805" t="s">
        <v>31</v>
      </c>
      <c r="L8805" t="s">
        <v>32</v>
      </c>
      <c r="M8805" t="s">
        <v>33</v>
      </c>
      <c r="N8805">
        <v>40.616632000000003</v>
      </c>
      <c r="O8805">
        <v>-111.588515</v>
      </c>
      <c r="P8805">
        <v>8299.9317219999994</v>
      </c>
      <c r="Q8805">
        <v>404</v>
      </c>
      <c r="R8805">
        <v>0</v>
      </c>
    </row>
    <row r="8806" spans="1:18" x14ac:dyDescent="0.25">
      <c r="A8806">
        <v>8655</v>
      </c>
      <c r="B8806">
        <v>94</v>
      </c>
      <c r="C8806">
        <v>31283080</v>
      </c>
      <c r="D8806" t="s">
        <v>278</v>
      </c>
      <c r="E8806">
        <v>14.912000000000001</v>
      </c>
      <c r="F8806" t="s">
        <v>21</v>
      </c>
      <c r="G8806" t="s">
        <v>26</v>
      </c>
      <c r="H8806" t="s">
        <v>21</v>
      </c>
      <c r="I8806" t="s">
        <v>20</v>
      </c>
      <c r="J8806" t="s">
        <v>20</v>
      </c>
      <c r="K8806" t="s">
        <v>27</v>
      </c>
      <c r="L8806" t="s">
        <v>501</v>
      </c>
      <c r="M8806" t="s">
        <v>280</v>
      </c>
      <c r="N8806">
        <v>37.582265</v>
      </c>
      <c r="O8806">
        <v>-112.882554</v>
      </c>
      <c r="P8806">
        <v>9308.7193310000002</v>
      </c>
      <c r="Q8806">
        <v>1330</v>
      </c>
      <c r="R8806">
        <v>0</v>
      </c>
    </row>
    <row r="8807" spans="1:18" x14ac:dyDescent="0.25">
      <c r="A8807">
        <v>8656</v>
      </c>
      <c r="B8807">
        <v>94</v>
      </c>
      <c r="C8807">
        <v>31505387</v>
      </c>
      <c r="D8807" t="s">
        <v>224</v>
      </c>
      <c r="E8807">
        <v>14.912000000000001</v>
      </c>
      <c r="F8807" t="s">
        <v>21</v>
      </c>
      <c r="G8807" t="s">
        <v>26</v>
      </c>
      <c r="H8807" t="s">
        <v>21</v>
      </c>
      <c r="I8807" t="s">
        <v>20</v>
      </c>
      <c r="J8807" t="s">
        <v>20</v>
      </c>
      <c r="K8807" t="s">
        <v>22</v>
      </c>
      <c r="L8807" t="s">
        <v>140</v>
      </c>
      <c r="M8807" t="s">
        <v>194</v>
      </c>
      <c r="N8807">
        <v>40.094234999999998</v>
      </c>
      <c r="O8807">
        <v>-111.609492</v>
      </c>
      <c r="P8807">
        <v>4696.9209300000002</v>
      </c>
      <c r="Q8807">
        <v>408</v>
      </c>
      <c r="R8807">
        <v>0</v>
      </c>
    </row>
    <row r="8808" spans="1:18" x14ac:dyDescent="0.25">
      <c r="A8808">
        <v>8657</v>
      </c>
      <c r="B8808">
        <v>94</v>
      </c>
      <c r="C8808">
        <v>31303699</v>
      </c>
      <c r="D8808" t="s">
        <v>203</v>
      </c>
      <c r="E8808">
        <v>14.914999999999999</v>
      </c>
      <c r="F8808" t="s">
        <v>21</v>
      </c>
      <c r="G8808" t="s">
        <v>20</v>
      </c>
      <c r="H8808" t="s">
        <v>21</v>
      </c>
      <c r="I8808" t="s">
        <v>20</v>
      </c>
      <c r="J8808" t="s">
        <v>20</v>
      </c>
      <c r="K8808" t="s">
        <v>41</v>
      </c>
      <c r="L8808" t="s">
        <v>255</v>
      </c>
      <c r="M8808" t="s">
        <v>204</v>
      </c>
      <c r="N8808">
        <v>41.259422000000001</v>
      </c>
      <c r="O8808">
        <v>-111.821782</v>
      </c>
      <c r="P8808">
        <v>4902.718038</v>
      </c>
      <c r="Q8808">
        <v>1349</v>
      </c>
      <c r="R8808">
        <v>0</v>
      </c>
    </row>
    <row r="8809" spans="1:18" x14ac:dyDescent="0.25">
      <c r="A8809">
        <v>8658</v>
      </c>
      <c r="B8809">
        <v>94</v>
      </c>
      <c r="C8809" t="e">
        <f>-JNLI6VSIvPrO4iN6tqBWV</f>
        <v>#NAME?</v>
      </c>
      <c r="D8809" t="s">
        <v>124</v>
      </c>
      <c r="E8809">
        <v>16.265000000000001</v>
      </c>
      <c r="F8809" t="s">
        <v>21</v>
      </c>
      <c r="G8809" t="s">
        <v>20</v>
      </c>
      <c r="H8809" t="s">
        <v>21</v>
      </c>
      <c r="I8809" t="s">
        <v>20</v>
      </c>
      <c r="J8809" t="s">
        <v>20</v>
      </c>
      <c r="K8809" t="s">
        <v>22</v>
      </c>
      <c r="L8809" t="s">
        <v>193</v>
      </c>
      <c r="M8809" t="s">
        <v>194</v>
      </c>
      <c r="N8809">
        <v>40.176459999999999</v>
      </c>
      <c r="O8809">
        <v>-111.924976</v>
      </c>
      <c r="P8809">
        <v>4616.4869589999998</v>
      </c>
      <c r="Q8809">
        <v>1368</v>
      </c>
      <c r="R8809">
        <v>0</v>
      </c>
    </row>
    <row r="8810" spans="1:18" x14ac:dyDescent="0.25">
      <c r="A8810">
        <v>8659</v>
      </c>
      <c r="B8810">
        <v>94</v>
      </c>
      <c r="C8810">
        <v>28157553</v>
      </c>
      <c r="D8810" t="s">
        <v>239</v>
      </c>
      <c r="E8810">
        <v>16.265999999999998</v>
      </c>
      <c r="F8810" t="s">
        <v>19</v>
      </c>
      <c r="G8810" t="s">
        <v>20</v>
      </c>
      <c r="H8810" t="s">
        <v>21</v>
      </c>
      <c r="I8810" t="s">
        <v>20</v>
      </c>
      <c r="J8810" t="s">
        <v>20</v>
      </c>
      <c r="K8810" t="s">
        <v>41</v>
      </c>
      <c r="L8810" t="s">
        <v>181</v>
      </c>
      <c r="M8810" t="s">
        <v>178</v>
      </c>
      <c r="N8810">
        <v>41.711773000000001</v>
      </c>
      <c r="O8810">
        <v>-112.16607</v>
      </c>
      <c r="P8810">
        <v>4268.5683609999996</v>
      </c>
      <c r="Q8810">
        <v>1392</v>
      </c>
      <c r="R8810">
        <v>0</v>
      </c>
    </row>
    <row r="8811" spans="1:18" x14ac:dyDescent="0.25">
      <c r="A8811">
        <v>8660</v>
      </c>
      <c r="B8811">
        <v>94</v>
      </c>
      <c r="C8811">
        <v>31277715</v>
      </c>
      <c r="D8811" t="s">
        <v>241</v>
      </c>
      <c r="E8811">
        <v>16.268999999999998</v>
      </c>
      <c r="F8811" t="s">
        <v>21</v>
      </c>
      <c r="G8811" t="s">
        <v>26</v>
      </c>
      <c r="H8811" t="s">
        <v>21</v>
      </c>
      <c r="I8811" t="s">
        <v>20</v>
      </c>
      <c r="J8811" t="s">
        <v>20</v>
      </c>
      <c r="K8811" t="s">
        <v>27</v>
      </c>
      <c r="L8811" t="s">
        <v>242</v>
      </c>
      <c r="M8811" t="s">
        <v>243</v>
      </c>
      <c r="N8811">
        <v>38.958424999999998</v>
      </c>
      <c r="O8811">
        <v>-111.200175</v>
      </c>
      <c r="P8811">
        <v>6178.6844039999996</v>
      </c>
      <c r="Q8811">
        <v>1327</v>
      </c>
      <c r="R8811">
        <v>0</v>
      </c>
    </row>
    <row r="8812" spans="1:18" x14ac:dyDescent="0.25">
      <c r="A8812">
        <v>8661</v>
      </c>
      <c r="B8812">
        <v>94</v>
      </c>
      <c r="C8812">
        <v>31302964</v>
      </c>
      <c r="D8812" t="s">
        <v>116</v>
      </c>
      <c r="E8812">
        <v>16.268999999999998</v>
      </c>
      <c r="F8812" t="s">
        <v>21</v>
      </c>
      <c r="G8812" t="s">
        <v>26</v>
      </c>
      <c r="H8812" t="s">
        <v>21</v>
      </c>
      <c r="I8812" t="s">
        <v>20</v>
      </c>
      <c r="J8812" t="s">
        <v>20</v>
      </c>
      <c r="K8812" t="s">
        <v>41</v>
      </c>
      <c r="L8812" t="s">
        <v>42</v>
      </c>
      <c r="M8812" t="s">
        <v>43</v>
      </c>
      <c r="N8812">
        <v>41.607868000000003</v>
      </c>
      <c r="O8812">
        <v>-111.940403</v>
      </c>
      <c r="P8812">
        <v>4786.3955990000004</v>
      </c>
      <c r="Q8812">
        <v>324</v>
      </c>
      <c r="R8812">
        <v>0</v>
      </c>
    </row>
    <row r="8813" spans="1:18" x14ac:dyDescent="0.25">
      <c r="A8813">
        <v>8662</v>
      </c>
      <c r="B8813">
        <v>94</v>
      </c>
      <c r="C8813">
        <v>31710978</v>
      </c>
      <c r="D8813" t="s">
        <v>118</v>
      </c>
      <c r="E8813">
        <v>16.28</v>
      </c>
      <c r="F8813" t="s">
        <v>21</v>
      </c>
      <c r="G8813" t="s">
        <v>26</v>
      </c>
      <c r="H8813" t="s">
        <v>21</v>
      </c>
      <c r="I8813" t="s">
        <v>20</v>
      </c>
      <c r="J8813" t="s">
        <v>20</v>
      </c>
      <c r="K8813" t="s">
        <v>22</v>
      </c>
      <c r="L8813" t="s">
        <v>35</v>
      </c>
      <c r="M8813" t="s">
        <v>120</v>
      </c>
      <c r="N8813">
        <v>40.516857000000002</v>
      </c>
      <c r="O8813">
        <v>-111.41241100000001</v>
      </c>
      <c r="P8813">
        <v>5530.851842</v>
      </c>
      <c r="Q8813">
        <v>310</v>
      </c>
      <c r="R8813">
        <v>0</v>
      </c>
    </row>
    <row r="8814" spans="1:18" x14ac:dyDescent="0.25">
      <c r="A8814">
        <v>8663</v>
      </c>
      <c r="B8814">
        <v>94</v>
      </c>
      <c r="C8814">
        <v>1263415</v>
      </c>
      <c r="D8814" t="s">
        <v>128</v>
      </c>
      <c r="E8814">
        <v>2.1059999999999999</v>
      </c>
      <c r="F8814" t="s">
        <v>21</v>
      </c>
      <c r="G8814" t="s">
        <v>26</v>
      </c>
      <c r="H8814" t="s">
        <v>21</v>
      </c>
      <c r="I8814" t="s">
        <v>20</v>
      </c>
      <c r="J8814" t="s">
        <v>20</v>
      </c>
      <c r="K8814" t="s">
        <v>41</v>
      </c>
      <c r="L8814" t="s">
        <v>42</v>
      </c>
      <c r="M8814" t="s">
        <v>73</v>
      </c>
      <c r="N8814">
        <v>41.728099999999998</v>
      </c>
      <c r="O8814">
        <v>-111.859915</v>
      </c>
      <c r="P8814">
        <v>4406.8569719999996</v>
      </c>
      <c r="Q8814">
        <v>5943</v>
      </c>
      <c r="R8814">
        <v>0</v>
      </c>
    </row>
    <row r="8815" spans="1:18" x14ac:dyDescent="0.25">
      <c r="A8815">
        <v>8664</v>
      </c>
      <c r="B8815">
        <v>94</v>
      </c>
      <c r="C8815" t="e">
        <f>-JWMJT5RHSmO-xaahLXBzF</f>
        <v>#NAME?</v>
      </c>
      <c r="D8815" t="s">
        <v>347</v>
      </c>
      <c r="E8815">
        <v>2.1059999999999999</v>
      </c>
      <c r="F8815" t="s">
        <v>21</v>
      </c>
      <c r="G8815" t="s">
        <v>26</v>
      </c>
      <c r="H8815" t="s">
        <v>21</v>
      </c>
      <c r="I8815" t="s">
        <v>20</v>
      </c>
      <c r="J8815" t="s">
        <v>20</v>
      </c>
      <c r="K8815" t="s">
        <v>41</v>
      </c>
      <c r="L8815" t="s">
        <v>325</v>
      </c>
      <c r="M8815" t="s">
        <v>204</v>
      </c>
      <c r="N8815">
        <v>41.437897</v>
      </c>
      <c r="O8815">
        <v>-111.06978700000001</v>
      </c>
      <c r="P8815">
        <v>6420.2992620000005</v>
      </c>
      <c r="Q8815">
        <v>1334</v>
      </c>
      <c r="R8815">
        <v>0</v>
      </c>
    </row>
    <row r="8816" spans="1:18" x14ac:dyDescent="0.25">
      <c r="A8816">
        <v>8665</v>
      </c>
      <c r="B8816">
        <v>94</v>
      </c>
      <c r="C8816">
        <v>31653731</v>
      </c>
      <c r="D8816" t="s">
        <v>240</v>
      </c>
      <c r="E8816">
        <v>18.202000000000002</v>
      </c>
      <c r="F8816" t="s">
        <v>21</v>
      </c>
      <c r="G8816" t="s">
        <v>20</v>
      </c>
      <c r="H8816" t="s">
        <v>21</v>
      </c>
      <c r="I8816" t="s">
        <v>20</v>
      </c>
      <c r="J8816" t="s">
        <v>20</v>
      </c>
      <c r="K8816" t="s">
        <v>27</v>
      </c>
      <c r="L8816" t="s">
        <v>146</v>
      </c>
      <c r="M8816" t="s">
        <v>147</v>
      </c>
      <c r="N8816">
        <v>38.327612999999999</v>
      </c>
      <c r="O8816">
        <v>-109.11077400000001</v>
      </c>
      <c r="P8816">
        <v>6846.7687230000001</v>
      </c>
      <c r="Q8816">
        <v>1355</v>
      </c>
      <c r="R8816">
        <v>0</v>
      </c>
    </row>
    <row r="8817" spans="1:18" x14ac:dyDescent="0.25">
      <c r="A8817">
        <v>8666</v>
      </c>
      <c r="B8817">
        <v>94</v>
      </c>
      <c r="C8817">
        <v>27873301</v>
      </c>
      <c r="D8817" t="s">
        <v>91</v>
      </c>
      <c r="E8817">
        <v>18.228999999999999</v>
      </c>
      <c r="F8817" t="s">
        <v>21</v>
      </c>
      <c r="G8817" t="s">
        <v>26</v>
      </c>
      <c r="H8817" t="s">
        <v>21</v>
      </c>
      <c r="I8817" t="s">
        <v>20</v>
      </c>
      <c r="J8817" t="s">
        <v>20</v>
      </c>
      <c r="K8817" t="s">
        <v>41</v>
      </c>
      <c r="L8817" t="s">
        <v>95</v>
      </c>
      <c r="M8817" t="s">
        <v>73</v>
      </c>
      <c r="N8817">
        <v>41.862568000000003</v>
      </c>
      <c r="O8817">
        <v>-111.996973</v>
      </c>
      <c r="P8817">
        <v>4460.7041920000001</v>
      </c>
      <c r="Q8817">
        <v>1339</v>
      </c>
      <c r="R8817">
        <v>0</v>
      </c>
    </row>
    <row r="8818" spans="1:18" x14ac:dyDescent="0.25">
      <c r="A8818">
        <v>8667</v>
      </c>
      <c r="B8818">
        <v>94</v>
      </c>
      <c r="C8818">
        <v>31430090</v>
      </c>
      <c r="D8818" t="s">
        <v>319</v>
      </c>
      <c r="E8818">
        <v>18.231000000000002</v>
      </c>
      <c r="F8818" t="s">
        <v>21</v>
      </c>
      <c r="G8818" t="s">
        <v>20</v>
      </c>
      <c r="H8818" t="s">
        <v>21</v>
      </c>
      <c r="I8818" t="s">
        <v>20</v>
      </c>
      <c r="J8818" t="s">
        <v>20</v>
      </c>
      <c r="K8818" t="s">
        <v>27</v>
      </c>
      <c r="L8818" t="s">
        <v>162</v>
      </c>
      <c r="M8818" t="s">
        <v>55</v>
      </c>
      <c r="N8818">
        <v>37.750343999999998</v>
      </c>
      <c r="O8818">
        <v>-113.770667</v>
      </c>
      <c r="P8818">
        <v>5141.2330709999997</v>
      </c>
      <c r="Q8818">
        <v>314</v>
      </c>
      <c r="R8818">
        <v>0</v>
      </c>
    </row>
    <row r="8819" spans="1:18" x14ac:dyDescent="0.25">
      <c r="A8819">
        <v>8668</v>
      </c>
      <c r="B8819">
        <v>94</v>
      </c>
      <c r="C8819">
        <v>28565064</v>
      </c>
      <c r="D8819" t="s">
        <v>323</v>
      </c>
      <c r="E8819">
        <v>18.239999999999998</v>
      </c>
      <c r="F8819" t="s">
        <v>21</v>
      </c>
      <c r="G8819" t="s">
        <v>26</v>
      </c>
      <c r="H8819" t="s">
        <v>21</v>
      </c>
      <c r="I8819" t="s">
        <v>20</v>
      </c>
      <c r="J8819" t="s">
        <v>20</v>
      </c>
      <c r="K8819" t="s">
        <v>31</v>
      </c>
      <c r="L8819" t="s">
        <v>130</v>
      </c>
      <c r="M8819" t="s">
        <v>131</v>
      </c>
      <c r="N8819">
        <v>40.716405999999999</v>
      </c>
      <c r="O8819">
        <v>-111.30029999999999</v>
      </c>
      <c r="P8819">
        <v>6406.3700600000002</v>
      </c>
      <c r="Q8819">
        <v>1345</v>
      </c>
      <c r="R8819">
        <v>0</v>
      </c>
    </row>
    <row r="8820" spans="1:18" x14ac:dyDescent="0.25">
      <c r="A8820">
        <v>8669</v>
      </c>
      <c r="B8820">
        <v>94</v>
      </c>
      <c r="C8820">
        <v>31703891</v>
      </c>
      <c r="D8820" t="s">
        <v>323</v>
      </c>
      <c r="E8820">
        <v>18.256</v>
      </c>
      <c r="F8820" t="s">
        <v>21</v>
      </c>
      <c r="G8820" t="s">
        <v>26</v>
      </c>
      <c r="H8820" t="s">
        <v>21</v>
      </c>
      <c r="I8820" t="s">
        <v>20</v>
      </c>
      <c r="J8820" t="s">
        <v>20</v>
      </c>
      <c r="K8820" t="s">
        <v>31</v>
      </c>
      <c r="L8820" t="s">
        <v>130</v>
      </c>
      <c r="M8820" t="s">
        <v>131</v>
      </c>
      <c r="N8820">
        <v>40.716647999999999</v>
      </c>
      <c r="O8820">
        <v>-111.300301</v>
      </c>
      <c r="P8820">
        <v>6411.564574</v>
      </c>
      <c r="Q8820">
        <v>1345</v>
      </c>
      <c r="R8820">
        <v>0</v>
      </c>
    </row>
    <row r="8821" spans="1:18" x14ac:dyDescent="0.25">
      <c r="A8821">
        <v>8670</v>
      </c>
      <c r="B8821">
        <v>94</v>
      </c>
      <c r="C8821">
        <v>31322467</v>
      </c>
      <c r="D8821" t="s">
        <v>303</v>
      </c>
      <c r="E8821">
        <v>18.271999999999998</v>
      </c>
      <c r="F8821" t="s">
        <v>21</v>
      </c>
      <c r="G8821" t="s">
        <v>26</v>
      </c>
      <c r="H8821" t="s">
        <v>21</v>
      </c>
      <c r="I8821" t="s">
        <v>20</v>
      </c>
      <c r="J8821" t="s">
        <v>20</v>
      </c>
      <c r="K8821" t="s">
        <v>27</v>
      </c>
      <c r="L8821" t="s">
        <v>72</v>
      </c>
      <c r="M8821" t="s">
        <v>73</v>
      </c>
      <c r="N8821">
        <v>37.203628000000002</v>
      </c>
      <c r="O8821">
        <v>-113.19427899999999</v>
      </c>
      <c r="P8821">
        <v>3473.4533820000001</v>
      </c>
      <c r="Q8821">
        <v>1326</v>
      </c>
      <c r="R8821">
        <v>0</v>
      </c>
    </row>
    <row r="8822" spans="1:18" x14ac:dyDescent="0.25">
      <c r="A8822">
        <v>8671</v>
      </c>
      <c r="B8822">
        <v>94</v>
      </c>
      <c r="C8822">
        <v>31735651</v>
      </c>
      <c r="D8822" t="s">
        <v>290</v>
      </c>
      <c r="E8822">
        <v>18.273</v>
      </c>
      <c r="F8822" t="s">
        <v>21</v>
      </c>
      <c r="G8822" t="s">
        <v>20</v>
      </c>
      <c r="H8822" t="s">
        <v>21</v>
      </c>
      <c r="I8822" t="s">
        <v>20</v>
      </c>
      <c r="J8822" t="s">
        <v>20</v>
      </c>
      <c r="K8822" t="s">
        <v>41</v>
      </c>
      <c r="L8822" t="s">
        <v>291</v>
      </c>
      <c r="M8822" t="s">
        <v>238</v>
      </c>
      <c r="N8822">
        <v>41.440562</v>
      </c>
      <c r="O8822">
        <v>-113.707487</v>
      </c>
      <c r="P8822">
        <v>4473.9480649999996</v>
      </c>
      <c r="Q8822">
        <v>1343</v>
      </c>
      <c r="R8822">
        <v>0</v>
      </c>
    </row>
    <row r="8823" spans="1:18" x14ac:dyDescent="0.25">
      <c r="A8823">
        <v>8672</v>
      </c>
      <c r="B8823">
        <v>94</v>
      </c>
      <c r="C8823">
        <v>31308233</v>
      </c>
      <c r="D8823" t="s">
        <v>215</v>
      </c>
      <c r="E8823">
        <v>0.45200000000000001</v>
      </c>
      <c r="F8823" t="s">
        <v>21</v>
      </c>
      <c r="G8823" t="s">
        <v>26</v>
      </c>
      <c r="H8823" t="s">
        <v>21</v>
      </c>
      <c r="I8823" t="s">
        <v>20</v>
      </c>
      <c r="J8823" t="s">
        <v>20</v>
      </c>
      <c r="K8823" t="s">
        <v>22</v>
      </c>
      <c r="L8823" t="s">
        <v>23</v>
      </c>
      <c r="M8823" t="s">
        <v>85</v>
      </c>
      <c r="N8823">
        <v>40.233877</v>
      </c>
      <c r="O8823">
        <v>-111.676237</v>
      </c>
      <c r="P8823">
        <v>4477.9240820000005</v>
      </c>
      <c r="Q8823">
        <v>330</v>
      </c>
      <c r="R8823">
        <v>0</v>
      </c>
    </row>
    <row r="8824" spans="1:18" x14ac:dyDescent="0.25">
      <c r="A8824">
        <v>8673</v>
      </c>
      <c r="B8824">
        <v>94</v>
      </c>
      <c r="C8824">
        <v>31303437</v>
      </c>
      <c r="D8824" t="s">
        <v>251</v>
      </c>
      <c r="E8824">
        <v>0.45400000000000001</v>
      </c>
      <c r="F8824" t="s">
        <v>21</v>
      </c>
      <c r="G8824" t="s">
        <v>26</v>
      </c>
      <c r="H8824" t="s">
        <v>21</v>
      </c>
      <c r="I8824" t="s">
        <v>20</v>
      </c>
      <c r="J8824" t="s">
        <v>20</v>
      </c>
      <c r="K8824" t="s">
        <v>27</v>
      </c>
      <c r="L8824" t="s">
        <v>165</v>
      </c>
      <c r="M8824" t="s">
        <v>166</v>
      </c>
      <c r="N8824">
        <v>38.977587</v>
      </c>
      <c r="O8824">
        <v>-112.332097</v>
      </c>
      <c r="P8824">
        <v>4998.8527910000003</v>
      </c>
      <c r="Q8824">
        <v>326</v>
      </c>
      <c r="R8824">
        <v>0</v>
      </c>
    </row>
    <row r="8825" spans="1:18" x14ac:dyDescent="0.25">
      <c r="A8825">
        <v>8674</v>
      </c>
      <c r="B8825">
        <v>94</v>
      </c>
      <c r="C8825" t="e">
        <f>-JMIHTNoIULUSkErs_A2MF</f>
        <v>#NAME?</v>
      </c>
      <c r="D8825" t="s">
        <v>59</v>
      </c>
      <c r="E8825">
        <v>0.45400000000000001</v>
      </c>
      <c r="F8825" t="s">
        <v>19</v>
      </c>
      <c r="G8825" t="s">
        <v>20</v>
      </c>
      <c r="H8825" t="s">
        <v>21</v>
      </c>
      <c r="I8825" t="s">
        <v>20</v>
      </c>
      <c r="J8825" t="s">
        <v>20</v>
      </c>
      <c r="K8825" t="s">
        <v>22</v>
      </c>
      <c r="L8825" t="s">
        <v>60</v>
      </c>
      <c r="M8825" t="s">
        <v>24</v>
      </c>
      <c r="N8825">
        <v>40.311830999999998</v>
      </c>
      <c r="O8825">
        <v>-111.725977</v>
      </c>
      <c r="P8825">
        <v>4580.3993730000002</v>
      </c>
      <c r="Q8825">
        <v>313</v>
      </c>
      <c r="R8825">
        <v>0</v>
      </c>
    </row>
    <row r="8826" spans="1:18" x14ac:dyDescent="0.25">
      <c r="A8826">
        <v>8675</v>
      </c>
      <c r="B8826">
        <v>94</v>
      </c>
      <c r="C8826">
        <v>999534</v>
      </c>
      <c r="D8826" t="s">
        <v>604</v>
      </c>
      <c r="E8826">
        <v>0.45400000000000001</v>
      </c>
      <c r="F8826" t="s">
        <v>19</v>
      </c>
      <c r="G8826" t="s">
        <v>20</v>
      </c>
      <c r="H8826" t="s">
        <v>21</v>
      </c>
      <c r="I8826" t="s">
        <v>20</v>
      </c>
      <c r="J8826" t="s">
        <v>20</v>
      </c>
      <c r="K8826" t="s">
        <v>41</v>
      </c>
      <c r="L8826" t="s">
        <v>45</v>
      </c>
      <c r="M8826" t="s">
        <v>46</v>
      </c>
      <c r="N8826">
        <v>40.921517999999999</v>
      </c>
      <c r="O8826">
        <v>-111.891661</v>
      </c>
      <c r="P8826">
        <v>4207.0506779999996</v>
      </c>
      <c r="Q8826">
        <v>1394</v>
      </c>
      <c r="R8826">
        <v>0</v>
      </c>
    </row>
    <row r="8827" spans="1:18" x14ac:dyDescent="0.25">
      <c r="A8827">
        <v>8676</v>
      </c>
      <c r="B8827">
        <v>94</v>
      </c>
      <c r="C8827">
        <v>455815</v>
      </c>
      <c r="D8827" t="s">
        <v>718</v>
      </c>
      <c r="E8827">
        <v>0.45600000000000002</v>
      </c>
      <c r="F8827" t="s">
        <v>19</v>
      </c>
      <c r="G8827" t="s">
        <v>20</v>
      </c>
      <c r="H8827" t="s">
        <v>19</v>
      </c>
      <c r="I8827">
        <v>269</v>
      </c>
      <c r="J8827" t="s">
        <v>20</v>
      </c>
      <c r="K8827" t="s">
        <v>31</v>
      </c>
      <c r="L8827" t="s">
        <v>66</v>
      </c>
      <c r="M8827" t="s">
        <v>67</v>
      </c>
      <c r="N8827">
        <v>40.756293999999997</v>
      </c>
      <c r="O8827">
        <v>-111.893967</v>
      </c>
      <c r="P8827">
        <v>4180.6894789999997</v>
      </c>
      <c r="Q8827">
        <v>1282</v>
      </c>
      <c r="R8827">
        <v>0</v>
      </c>
    </row>
    <row r="8828" spans="1:18" x14ac:dyDescent="0.25">
      <c r="A8828">
        <v>8677</v>
      </c>
      <c r="B8828">
        <v>94</v>
      </c>
      <c r="C8828">
        <v>27643725</v>
      </c>
      <c r="D8828" t="s">
        <v>196</v>
      </c>
      <c r="E8828">
        <v>0.45600000000000002</v>
      </c>
      <c r="F8828" t="s">
        <v>21</v>
      </c>
      <c r="G8828" t="s">
        <v>26</v>
      </c>
      <c r="H8828" t="s">
        <v>21</v>
      </c>
      <c r="I8828" t="s">
        <v>20</v>
      </c>
      <c r="J8828" t="s">
        <v>20</v>
      </c>
      <c r="K8828" t="s">
        <v>27</v>
      </c>
      <c r="L8828" t="s">
        <v>72</v>
      </c>
      <c r="M8828" t="s">
        <v>73</v>
      </c>
      <c r="N8828">
        <v>37.109887000000001</v>
      </c>
      <c r="O8828">
        <v>-113.585413</v>
      </c>
      <c r="P8828">
        <v>2664.0717380000001</v>
      </c>
      <c r="Q8828">
        <v>308</v>
      </c>
      <c r="R8828">
        <v>0</v>
      </c>
    </row>
    <row r="8829" spans="1:18" x14ac:dyDescent="0.25">
      <c r="A8829">
        <v>8678</v>
      </c>
      <c r="B8829">
        <v>94</v>
      </c>
      <c r="C8829">
        <v>28614473</v>
      </c>
      <c r="D8829" t="s">
        <v>192</v>
      </c>
      <c r="E8829">
        <v>0.45700000000000002</v>
      </c>
      <c r="F8829" t="s">
        <v>21</v>
      </c>
      <c r="G8829" t="s">
        <v>26</v>
      </c>
      <c r="H8829" t="s">
        <v>21</v>
      </c>
      <c r="I8829" t="s">
        <v>20</v>
      </c>
      <c r="J8829" t="s">
        <v>20</v>
      </c>
      <c r="K8829" t="s">
        <v>22</v>
      </c>
      <c r="L8829" t="s">
        <v>140</v>
      </c>
      <c r="M8829" t="s">
        <v>125</v>
      </c>
      <c r="N8829">
        <v>40.121298000000003</v>
      </c>
      <c r="O8829">
        <v>-111.73048199999999</v>
      </c>
      <c r="P8829">
        <v>4462.3248890000004</v>
      </c>
      <c r="Q8829">
        <v>1375</v>
      </c>
      <c r="R8829">
        <v>0</v>
      </c>
    </row>
    <row r="8830" spans="1:18" x14ac:dyDescent="0.25">
      <c r="A8830">
        <v>8679</v>
      </c>
      <c r="B8830">
        <v>94</v>
      </c>
      <c r="C8830" t="e">
        <f>-IpdLLGJGtyAoTwtY5t9Lk</f>
        <v>#NAME?</v>
      </c>
      <c r="D8830" t="s">
        <v>187</v>
      </c>
      <c r="E8830">
        <v>0.45700000000000002</v>
      </c>
      <c r="F8830" t="s">
        <v>21</v>
      </c>
      <c r="G8830" t="s">
        <v>361</v>
      </c>
      <c r="H8830" t="s">
        <v>19</v>
      </c>
      <c r="I8830">
        <v>282</v>
      </c>
      <c r="J8830" t="s">
        <v>20</v>
      </c>
      <c r="K8830" t="s">
        <v>31</v>
      </c>
      <c r="L8830" t="s">
        <v>188</v>
      </c>
      <c r="M8830" t="s">
        <v>90</v>
      </c>
      <c r="N8830">
        <v>40.759739000000003</v>
      </c>
      <c r="O8830">
        <v>-111.84512599999999</v>
      </c>
      <c r="P8830">
        <v>4648.3199059999997</v>
      </c>
      <c r="Q8830">
        <v>435</v>
      </c>
      <c r="R8830">
        <v>0</v>
      </c>
    </row>
    <row r="8831" spans="1:18" x14ac:dyDescent="0.25">
      <c r="A8831">
        <v>8680</v>
      </c>
      <c r="B8831">
        <v>94</v>
      </c>
      <c r="C8831">
        <v>31368880</v>
      </c>
      <c r="D8831" t="s">
        <v>345</v>
      </c>
      <c r="E8831">
        <v>0.72299999999999998</v>
      </c>
      <c r="F8831" t="s">
        <v>21</v>
      </c>
      <c r="G8831" t="s">
        <v>26</v>
      </c>
      <c r="H8831" t="s">
        <v>21</v>
      </c>
      <c r="I8831" t="s">
        <v>20</v>
      </c>
      <c r="J8831" t="s">
        <v>20</v>
      </c>
      <c r="K8831" t="s">
        <v>27</v>
      </c>
      <c r="L8831" t="s">
        <v>75</v>
      </c>
      <c r="M8831" t="s">
        <v>76</v>
      </c>
      <c r="N8831">
        <v>38.624229</v>
      </c>
      <c r="O8831">
        <v>-112.21396</v>
      </c>
      <c r="P8831">
        <v>5362.0703560000002</v>
      </c>
      <c r="Q8831">
        <v>1403</v>
      </c>
      <c r="R8831">
        <v>0</v>
      </c>
    </row>
    <row r="8832" spans="1:18" x14ac:dyDescent="0.25">
      <c r="A8832">
        <v>8681</v>
      </c>
      <c r="B8832">
        <v>94</v>
      </c>
      <c r="C8832">
        <v>31613387</v>
      </c>
      <c r="D8832" t="s">
        <v>83</v>
      </c>
      <c r="E8832">
        <v>0.72299999999999998</v>
      </c>
      <c r="F8832" t="s">
        <v>21</v>
      </c>
      <c r="G8832" t="s">
        <v>20</v>
      </c>
      <c r="H8832" t="s">
        <v>21</v>
      </c>
      <c r="I8832" t="s">
        <v>20</v>
      </c>
      <c r="J8832" t="s">
        <v>20</v>
      </c>
      <c r="K8832" t="s">
        <v>22</v>
      </c>
      <c r="L8832" t="s">
        <v>84</v>
      </c>
      <c r="M8832" t="s">
        <v>85</v>
      </c>
      <c r="N8832">
        <v>40.387376000000003</v>
      </c>
      <c r="O8832">
        <v>-111.795816</v>
      </c>
      <c r="P8832">
        <v>4597.1496049999996</v>
      </c>
      <c r="Q8832">
        <v>319</v>
      </c>
      <c r="R8832">
        <v>0</v>
      </c>
    </row>
    <row r="8833" spans="1:18" x14ac:dyDescent="0.25">
      <c r="A8833">
        <v>8682</v>
      </c>
      <c r="B8833">
        <v>94</v>
      </c>
      <c r="C8833">
        <v>31534795</v>
      </c>
      <c r="D8833" t="s">
        <v>53</v>
      </c>
      <c r="E8833">
        <v>0.72399999999999998</v>
      </c>
      <c r="F8833" t="s">
        <v>21</v>
      </c>
      <c r="G8833" t="s">
        <v>26</v>
      </c>
      <c r="H8833" t="s">
        <v>21</v>
      </c>
      <c r="I8833" t="s">
        <v>20</v>
      </c>
      <c r="J8833" t="s">
        <v>20</v>
      </c>
      <c r="K8833" t="s">
        <v>27</v>
      </c>
      <c r="L8833" t="s">
        <v>54</v>
      </c>
      <c r="M8833" t="s">
        <v>55</v>
      </c>
      <c r="N8833">
        <v>37.677016999999999</v>
      </c>
      <c r="O8833">
        <v>-113.075063</v>
      </c>
      <c r="P8833">
        <v>5716.768153</v>
      </c>
      <c r="Q8833">
        <v>1285</v>
      </c>
      <c r="R8833">
        <v>0</v>
      </c>
    </row>
    <row r="8834" spans="1:18" x14ac:dyDescent="0.25">
      <c r="A8834">
        <v>8683</v>
      </c>
      <c r="B8834">
        <v>94</v>
      </c>
      <c r="C8834">
        <v>31321512</v>
      </c>
      <c r="D8834" t="s">
        <v>160</v>
      </c>
      <c r="E8834">
        <v>0.61899999999999999</v>
      </c>
      <c r="F8834" t="s">
        <v>21</v>
      </c>
      <c r="G8834" t="s">
        <v>26</v>
      </c>
      <c r="H8834" t="s">
        <v>21</v>
      </c>
      <c r="I8834" t="s">
        <v>20</v>
      </c>
      <c r="J8834" t="s">
        <v>20</v>
      </c>
      <c r="K8834" t="s">
        <v>27</v>
      </c>
      <c r="L8834" t="s">
        <v>72</v>
      </c>
      <c r="M8834" t="s">
        <v>73</v>
      </c>
      <c r="N8834">
        <v>37.219078000000003</v>
      </c>
      <c r="O8834">
        <v>-113.275459</v>
      </c>
      <c r="P8834">
        <v>3030.481992</v>
      </c>
      <c r="Q8834">
        <v>1335</v>
      </c>
      <c r="R8834">
        <v>0</v>
      </c>
    </row>
    <row r="8835" spans="1:18" x14ac:dyDescent="0.25">
      <c r="A8835">
        <v>8684</v>
      </c>
      <c r="B8835">
        <v>94</v>
      </c>
      <c r="C8835">
        <v>27578223</v>
      </c>
      <c r="D8835" t="s">
        <v>201</v>
      </c>
      <c r="E8835">
        <v>1.175</v>
      </c>
      <c r="F8835" t="s">
        <v>21</v>
      </c>
      <c r="G8835" t="s">
        <v>26</v>
      </c>
      <c r="H8835" t="s">
        <v>21</v>
      </c>
      <c r="I8835" t="s">
        <v>20</v>
      </c>
      <c r="J8835" t="s">
        <v>20</v>
      </c>
      <c r="K8835" t="s">
        <v>27</v>
      </c>
      <c r="L8835" t="s">
        <v>202</v>
      </c>
      <c r="M8835" t="s">
        <v>104</v>
      </c>
      <c r="N8835">
        <v>39.096027999999997</v>
      </c>
      <c r="O8835">
        <v>-112.270915</v>
      </c>
      <c r="P8835">
        <v>5039.4934149999999</v>
      </c>
      <c r="Q8835">
        <v>1366</v>
      </c>
      <c r="R8835">
        <v>0</v>
      </c>
    </row>
    <row r="8836" spans="1:18" x14ac:dyDescent="0.25">
      <c r="A8836">
        <v>8685</v>
      </c>
      <c r="B8836">
        <v>94</v>
      </c>
      <c r="C8836">
        <v>27682554</v>
      </c>
      <c r="D8836" t="s">
        <v>217</v>
      </c>
      <c r="E8836">
        <v>1.1759999999999999</v>
      </c>
      <c r="F8836" t="s">
        <v>21</v>
      </c>
      <c r="G8836" t="s">
        <v>26</v>
      </c>
      <c r="H8836" t="s">
        <v>21</v>
      </c>
      <c r="I8836" t="s">
        <v>20</v>
      </c>
      <c r="J8836" t="s">
        <v>20</v>
      </c>
      <c r="K8836" t="s">
        <v>27</v>
      </c>
      <c r="L8836" t="s">
        <v>72</v>
      </c>
      <c r="M8836" t="s">
        <v>163</v>
      </c>
      <c r="N8836">
        <v>37.097945000000003</v>
      </c>
      <c r="O8836">
        <v>-113.587574</v>
      </c>
      <c r="P8836">
        <v>2573.4564759999998</v>
      </c>
      <c r="Q8836">
        <v>304</v>
      </c>
      <c r="R8836">
        <v>0</v>
      </c>
    </row>
    <row r="8837" spans="1:18" x14ac:dyDescent="0.25">
      <c r="A8837">
        <v>8686</v>
      </c>
      <c r="B8837">
        <v>94</v>
      </c>
      <c r="C8837">
        <v>31370006</v>
      </c>
      <c r="D8837" t="s">
        <v>199</v>
      </c>
      <c r="E8837">
        <v>1.1759999999999999</v>
      </c>
      <c r="F8837" t="s">
        <v>21</v>
      </c>
      <c r="G8837" t="s">
        <v>26</v>
      </c>
      <c r="H8837" t="s">
        <v>21</v>
      </c>
      <c r="I8837" t="s">
        <v>20</v>
      </c>
      <c r="J8837" t="s">
        <v>20</v>
      </c>
      <c r="K8837" t="s">
        <v>27</v>
      </c>
      <c r="L8837" t="s">
        <v>103</v>
      </c>
      <c r="M8837" t="s">
        <v>200</v>
      </c>
      <c r="N8837">
        <v>38.277082</v>
      </c>
      <c r="O8837">
        <v>-112.619731</v>
      </c>
      <c r="P8837">
        <v>5921.9181349999999</v>
      </c>
      <c r="Q8837">
        <v>341</v>
      </c>
      <c r="R8837">
        <v>0</v>
      </c>
    </row>
    <row r="8838" spans="1:18" x14ac:dyDescent="0.25">
      <c r="A8838">
        <v>8687</v>
      </c>
      <c r="B8838">
        <v>94</v>
      </c>
      <c r="C8838" t="e">
        <f>-IovaI-ZG55-mYOLOxW6ck</f>
        <v>#NAME?</v>
      </c>
      <c r="D8838" t="s">
        <v>170</v>
      </c>
      <c r="E8838">
        <v>1.1779999999999999</v>
      </c>
      <c r="F8838" t="s">
        <v>21</v>
      </c>
      <c r="G8838" t="s">
        <v>26</v>
      </c>
      <c r="H8838" t="s">
        <v>21</v>
      </c>
      <c r="I8838" t="s">
        <v>20</v>
      </c>
      <c r="J8838" t="s">
        <v>20</v>
      </c>
      <c r="K8838" t="s">
        <v>41</v>
      </c>
      <c r="L8838" t="s">
        <v>81</v>
      </c>
      <c r="M8838" t="s">
        <v>82</v>
      </c>
      <c r="N8838">
        <v>41.194811999999999</v>
      </c>
      <c r="O8838">
        <v>-111.94467299999999</v>
      </c>
      <c r="P8838">
        <v>4580.9533689999998</v>
      </c>
      <c r="Q8838">
        <v>1284</v>
      </c>
      <c r="R8838">
        <v>0</v>
      </c>
    </row>
    <row r="8839" spans="1:18" x14ac:dyDescent="0.25">
      <c r="A8839">
        <v>8688</v>
      </c>
      <c r="B8839">
        <v>94</v>
      </c>
      <c r="C8839">
        <v>515108</v>
      </c>
      <c r="D8839" t="s">
        <v>44</v>
      </c>
      <c r="E8839">
        <v>1.179</v>
      </c>
      <c r="F8839" t="s">
        <v>21</v>
      </c>
      <c r="G8839" t="s">
        <v>26</v>
      </c>
      <c r="H8839" t="s">
        <v>21</v>
      </c>
      <c r="I8839" t="s">
        <v>20</v>
      </c>
      <c r="J8839" t="s">
        <v>20</v>
      </c>
      <c r="K8839" t="s">
        <v>41</v>
      </c>
      <c r="L8839" t="s">
        <v>45</v>
      </c>
      <c r="M8839" t="s">
        <v>46</v>
      </c>
      <c r="N8839">
        <v>40.894528999999999</v>
      </c>
      <c r="O8839">
        <v>-111.87902800000001</v>
      </c>
      <c r="P8839">
        <v>4308.5257259999998</v>
      </c>
      <c r="Q8839">
        <v>1395</v>
      </c>
      <c r="R8839">
        <v>0</v>
      </c>
    </row>
    <row r="8840" spans="1:18" x14ac:dyDescent="0.25">
      <c r="A8840">
        <v>8689</v>
      </c>
      <c r="B8840">
        <v>94</v>
      </c>
      <c r="C8840">
        <v>481574</v>
      </c>
      <c r="D8840" t="s">
        <v>83</v>
      </c>
      <c r="E8840">
        <v>1.179</v>
      </c>
      <c r="F8840" t="s">
        <v>21</v>
      </c>
      <c r="G8840" t="s">
        <v>26</v>
      </c>
      <c r="H8840" t="s">
        <v>21</v>
      </c>
      <c r="I8840" t="s">
        <v>20</v>
      </c>
      <c r="J8840" t="s">
        <v>20</v>
      </c>
      <c r="K8840" t="s">
        <v>22</v>
      </c>
      <c r="L8840" t="s">
        <v>84</v>
      </c>
      <c r="M8840" t="s">
        <v>85</v>
      </c>
      <c r="N8840">
        <v>40.393923999999998</v>
      </c>
      <c r="O8840">
        <v>-111.79583100000001</v>
      </c>
      <c r="P8840">
        <v>4672.1732840000004</v>
      </c>
      <c r="Q8840">
        <v>319</v>
      </c>
      <c r="R8840">
        <v>0</v>
      </c>
    </row>
    <row r="8841" spans="1:18" x14ac:dyDescent="0.25">
      <c r="A8841">
        <v>8690</v>
      </c>
      <c r="B8841">
        <v>94</v>
      </c>
      <c r="C8841">
        <v>31266480</v>
      </c>
      <c r="D8841" t="s">
        <v>403</v>
      </c>
      <c r="E8841">
        <v>1.181</v>
      </c>
      <c r="F8841" t="s">
        <v>19</v>
      </c>
      <c r="G8841" t="s">
        <v>20</v>
      </c>
      <c r="H8841" t="s">
        <v>21</v>
      </c>
      <c r="I8841" t="s">
        <v>20</v>
      </c>
      <c r="J8841" t="s">
        <v>20</v>
      </c>
      <c r="K8841" t="s">
        <v>27</v>
      </c>
      <c r="L8841" t="s">
        <v>72</v>
      </c>
      <c r="M8841" t="s">
        <v>73</v>
      </c>
      <c r="N8841">
        <v>37.124673999999999</v>
      </c>
      <c r="O8841">
        <v>-113.60251700000001</v>
      </c>
      <c r="P8841">
        <v>2812.865217</v>
      </c>
      <c r="Q8841">
        <v>303</v>
      </c>
      <c r="R8841">
        <v>0</v>
      </c>
    </row>
    <row r="8842" spans="1:18" x14ac:dyDescent="0.25">
      <c r="A8842">
        <v>8691</v>
      </c>
      <c r="B8842">
        <v>94</v>
      </c>
      <c r="C8842">
        <v>31401463</v>
      </c>
      <c r="D8842" t="s">
        <v>139</v>
      </c>
      <c r="E8842">
        <v>1.1850000000000001</v>
      </c>
      <c r="F8842" t="s">
        <v>19</v>
      </c>
      <c r="G8842" t="s">
        <v>20</v>
      </c>
      <c r="H8842" t="s">
        <v>21</v>
      </c>
      <c r="I8842" t="s">
        <v>20</v>
      </c>
      <c r="J8842" t="s">
        <v>20</v>
      </c>
      <c r="K8842" t="s">
        <v>22</v>
      </c>
      <c r="L8842" t="s">
        <v>140</v>
      </c>
      <c r="M8842" t="s">
        <v>141</v>
      </c>
      <c r="N8842">
        <v>40.122945999999999</v>
      </c>
      <c r="O8842">
        <v>-111.654701</v>
      </c>
      <c r="P8842">
        <v>4499.2016149999999</v>
      </c>
      <c r="Q8842">
        <v>342</v>
      </c>
      <c r="R8842">
        <v>0</v>
      </c>
    </row>
    <row r="8843" spans="1:18" x14ac:dyDescent="0.25">
      <c r="A8843">
        <v>8692</v>
      </c>
      <c r="B8843">
        <v>94</v>
      </c>
      <c r="C8843" t="e">
        <f>-IrBDS4tIoePMcFXaRavhV</f>
        <v>#NAME?</v>
      </c>
      <c r="D8843" t="s">
        <v>92</v>
      </c>
      <c r="E8843">
        <v>1.1850000000000001</v>
      </c>
      <c r="F8843" t="s">
        <v>21</v>
      </c>
      <c r="G8843" t="s">
        <v>26</v>
      </c>
      <c r="H8843" t="s">
        <v>21</v>
      </c>
      <c r="I8843" t="s">
        <v>20</v>
      </c>
      <c r="J8843" t="s">
        <v>20</v>
      </c>
      <c r="K8843" t="s">
        <v>41</v>
      </c>
      <c r="L8843" t="s">
        <v>87</v>
      </c>
      <c r="M8843" t="s">
        <v>93</v>
      </c>
      <c r="N8843">
        <v>41.087826999999997</v>
      </c>
      <c r="O8843">
        <v>-111.973443</v>
      </c>
      <c r="P8843">
        <v>4452.7202200000002</v>
      </c>
      <c r="Q8843">
        <v>252</v>
      </c>
      <c r="R8843">
        <v>0</v>
      </c>
    </row>
    <row r="8844" spans="1:18" x14ac:dyDescent="0.25">
      <c r="A8844">
        <v>8693</v>
      </c>
      <c r="B8844">
        <v>94</v>
      </c>
      <c r="C8844">
        <v>31387632</v>
      </c>
      <c r="D8844" t="s">
        <v>369</v>
      </c>
      <c r="E8844">
        <v>1.1850000000000001</v>
      </c>
      <c r="F8844" t="s">
        <v>19</v>
      </c>
      <c r="G8844" t="s">
        <v>20</v>
      </c>
      <c r="H8844" t="s">
        <v>19</v>
      </c>
      <c r="I8844">
        <v>198</v>
      </c>
      <c r="J8844" t="s">
        <v>20</v>
      </c>
      <c r="K8844" t="s">
        <v>22</v>
      </c>
      <c r="L8844" t="s">
        <v>198</v>
      </c>
      <c r="M8844" t="s">
        <v>76</v>
      </c>
      <c r="N8844">
        <v>40.031305000000003</v>
      </c>
      <c r="O8844">
        <v>-111.735978</v>
      </c>
      <c r="P8844">
        <v>4707.6189750000003</v>
      </c>
      <c r="Q8844">
        <v>347</v>
      </c>
      <c r="R8844">
        <v>0</v>
      </c>
    </row>
    <row r="8845" spans="1:18" x14ac:dyDescent="0.25">
      <c r="A8845">
        <v>8694</v>
      </c>
      <c r="B8845">
        <v>94</v>
      </c>
      <c r="C8845">
        <v>1099946</v>
      </c>
      <c r="D8845" t="s">
        <v>101</v>
      </c>
      <c r="E8845">
        <v>1.1859999999999999</v>
      </c>
      <c r="F8845" t="s">
        <v>21</v>
      </c>
      <c r="G8845" t="s">
        <v>26</v>
      </c>
      <c r="H8845" t="s">
        <v>21</v>
      </c>
      <c r="I8845" t="s">
        <v>20</v>
      </c>
      <c r="J8845" t="s">
        <v>20</v>
      </c>
      <c r="K8845" t="s">
        <v>41</v>
      </c>
      <c r="L8845" t="s">
        <v>57</v>
      </c>
      <c r="M8845" t="s">
        <v>58</v>
      </c>
      <c r="N8845">
        <v>41.118108999999997</v>
      </c>
      <c r="O8845">
        <v>-112.08986</v>
      </c>
      <c r="P8845">
        <v>4246.4972529999995</v>
      </c>
      <c r="Q8845">
        <v>328</v>
      </c>
      <c r="R8845">
        <v>0</v>
      </c>
    </row>
    <row r="8846" spans="1:18" x14ac:dyDescent="0.25">
      <c r="A8846">
        <v>8695</v>
      </c>
      <c r="B8846">
        <v>94</v>
      </c>
      <c r="C8846">
        <v>31190684</v>
      </c>
      <c r="D8846" t="s">
        <v>150</v>
      </c>
      <c r="E8846">
        <v>1.1859999999999999</v>
      </c>
      <c r="F8846" t="s">
        <v>21</v>
      </c>
      <c r="G8846" t="s">
        <v>26</v>
      </c>
      <c r="H8846" t="s">
        <v>21</v>
      </c>
      <c r="I8846" t="s">
        <v>20</v>
      </c>
      <c r="J8846" t="s">
        <v>20</v>
      </c>
      <c r="K8846" t="s">
        <v>27</v>
      </c>
      <c r="L8846" t="s">
        <v>151</v>
      </c>
      <c r="M8846" t="s">
        <v>152</v>
      </c>
      <c r="N8846">
        <v>38.995454000000002</v>
      </c>
      <c r="O8846">
        <v>-110.169918</v>
      </c>
      <c r="P8846">
        <v>4023.4010939999998</v>
      </c>
      <c r="Q8846">
        <v>1336</v>
      </c>
      <c r="R8846">
        <v>0</v>
      </c>
    </row>
    <row r="8847" spans="1:18" x14ac:dyDescent="0.25">
      <c r="A8847">
        <v>8696</v>
      </c>
      <c r="B8847">
        <v>94</v>
      </c>
      <c r="C8847">
        <v>31309188</v>
      </c>
      <c r="D8847" t="s">
        <v>215</v>
      </c>
      <c r="E8847">
        <v>1.1859999999999999</v>
      </c>
      <c r="F8847" t="s">
        <v>19</v>
      </c>
      <c r="G8847" t="s">
        <v>20</v>
      </c>
      <c r="H8847" t="s">
        <v>21</v>
      </c>
      <c r="I8847" t="s">
        <v>20</v>
      </c>
      <c r="J8847" t="s">
        <v>20</v>
      </c>
      <c r="K8847" t="s">
        <v>22</v>
      </c>
      <c r="L8847" t="s">
        <v>23</v>
      </c>
      <c r="M8847" t="s">
        <v>85</v>
      </c>
      <c r="N8847">
        <v>40.233888999999998</v>
      </c>
      <c r="O8847">
        <v>-111.687439</v>
      </c>
      <c r="P8847">
        <v>4468.7069879999999</v>
      </c>
      <c r="Q8847">
        <v>330</v>
      </c>
      <c r="R8847">
        <v>0</v>
      </c>
    </row>
    <row r="8848" spans="1:18" x14ac:dyDescent="0.25">
      <c r="A8848">
        <v>8697</v>
      </c>
      <c r="B8848">
        <v>94</v>
      </c>
      <c r="C8848">
        <v>27682030</v>
      </c>
      <c r="D8848" t="s">
        <v>217</v>
      </c>
      <c r="E8848">
        <v>1.0589999999999999</v>
      </c>
      <c r="F8848" t="s">
        <v>19</v>
      </c>
      <c r="G8848" t="s">
        <v>20</v>
      </c>
      <c r="H8848" t="s">
        <v>21</v>
      </c>
      <c r="I8848" t="s">
        <v>20</v>
      </c>
      <c r="J8848" t="s">
        <v>20</v>
      </c>
      <c r="K8848" t="s">
        <v>27</v>
      </c>
      <c r="L8848" t="s">
        <v>72</v>
      </c>
      <c r="M8848" t="s">
        <v>163</v>
      </c>
      <c r="N8848">
        <v>37.096294999999998</v>
      </c>
      <c r="O8848">
        <v>-113.58698699999999</v>
      </c>
      <c r="P8848">
        <v>2557.690803</v>
      </c>
      <c r="Q8848">
        <v>304</v>
      </c>
      <c r="R8848">
        <v>0</v>
      </c>
    </row>
    <row r="8849" spans="1:18" x14ac:dyDescent="0.25">
      <c r="A8849">
        <v>8698</v>
      </c>
      <c r="B8849">
        <v>94</v>
      </c>
      <c r="C8849">
        <v>31517657</v>
      </c>
      <c r="D8849" t="s">
        <v>396</v>
      </c>
      <c r="E8849">
        <v>1.0589999999999999</v>
      </c>
      <c r="F8849" t="s">
        <v>21</v>
      </c>
      <c r="G8849" t="s">
        <v>26</v>
      </c>
      <c r="H8849" t="s">
        <v>21</v>
      </c>
      <c r="I8849" t="s">
        <v>20</v>
      </c>
      <c r="J8849" t="s">
        <v>20</v>
      </c>
      <c r="K8849" t="s">
        <v>41</v>
      </c>
      <c r="L8849" t="s">
        <v>255</v>
      </c>
      <c r="M8849" t="s">
        <v>138</v>
      </c>
      <c r="N8849">
        <v>41.142372000000002</v>
      </c>
      <c r="O8849">
        <v>-111.81058299999999</v>
      </c>
      <c r="P8849">
        <v>4787.852175</v>
      </c>
      <c r="Q8849">
        <v>1434</v>
      </c>
      <c r="R8849">
        <v>0</v>
      </c>
    </row>
    <row r="8850" spans="1:18" x14ac:dyDescent="0.25">
      <c r="A8850">
        <v>8699</v>
      </c>
      <c r="B8850">
        <v>94</v>
      </c>
      <c r="C8850">
        <v>27578212</v>
      </c>
      <c r="D8850" t="s">
        <v>201</v>
      </c>
      <c r="E8850">
        <v>1.0609999999999999</v>
      </c>
      <c r="F8850" t="s">
        <v>21</v>
      </c>
      <c r="G8850" t="s">
        <v>26</v>
      </c>
      <c r="H8850" t="s">
        <v>21</v>
      </c>
      <c r="I8850" t="s">
        <v>20</v>
      </c>
      <c r="J8850" t="s">
        <v>20</v>
      </c>
      <c r="K8850" t="s">
        <v>27</v>
      </c>
      <c r="L8850" t="s">
        <v>202</v>
      </c>
      <c r="M8850" t="s">
        <v>104</v>
      </c>
      <c r="N8850">
        <v>39.094400999999998</v>
      </c>
      <c r="O8850">
        <v>-112.27101</v>
      </c>
      <c r="P8850">
        <v>5042.9142540000003</v>
      </c>
      <c r="Q8850">
        <v>1366</v>
      </c>
      <c r="R8850">
        <v>0</v>
      </c>
    </row>
    <row r="8851" spans="1:18" x14ac:dyDescent="0.25">
      <c r="A8851">
        <v>8700</v>
      </c>
      <c r="B8851">
        <v>94</v>
      </c>
      <c r="C8851" t="e">
        <f>-JSYsT93HTqEPjbxM8Dx4F</f>
        <v>#NAME?</v>
      </c>
      <c r="D8851" t="s">
        <v>288</v>
      </c>
      <c r="E8851">
        <v>127.267</v>
      </c>
      <c r="F8851" t="s">
        <v>21</v>
      </c>
      <c r="G8851" t="s">
        <v>26</v>
      </c>
      <c r="H8851" t="s">
        <v>21</v>
      </c>
      <c r="I8851" t="s">
        <v>20</v>
      </c>
      <c r="J8851" t="s">
        <v>20</v>
      </c>
      <c r="K8851" t="s">
        <v>27</v>
      </c>
      <c r="L8851" t="s">
        <v>38</v>
      </c>
      <c r="M8851" t="s">
        <v>152</v>
      </c>
      <c r="N8851">
        <v>38.592018000000003</v>
      </c>
      <c r="O8851">
        <v>-109.564094</v>
      </c>
      <c r="P8851">
        <v>3929.86321</v>
      </c>
      <c r="Q8851">
        <v>350</v>
      </c>
      <c r="R8851">
        <v>0</v>
      </c>
    </row>
    <row r="8852" spans="1:18" x14ac:dyDescent="0.25">
      <c r="A8852">
        <v>8701</v>
      </c>
      <c r="B8852">
        <v>94</v>
      </c>
      <c r="C8852">
        <v>31475726</v>
      </c>
      <c r="D8852" t="s">
        <v>288</v>
      </c>
      <c r="E8852">
        <v>127.40300000000001</v>
      </c>
      <c r="F8852" t="s">
        <v>21</v>
      </c>
      <c r="G8852" t="s">
        <v>26</v>
      </c>
      <c r="H8852" t="s">
        <v>21</v>
      </c>
      <c r="I8852" t="s">
        <v>20</v>
      </c>
      <c r="J8852" t="s">
        <v>20</v>
      </c>
      <c r="K8852" t="s">
        <v>27</v>
      </c>
      <c r="L8852" t="s">
        <v>38</v>
      </c>
      <c r="M8852" t="s">
        <v>152</v>
      </c>
      <c r="N8852">
        <v>38.593406999999999</v>
      </c>
      <c r="O8852">
        <v>-109.56583500000001</v>
      </c>
      <c r="P8852">
        <v>3933.7733410000001</v>
      </c>
      <c r="Q8852">
        <v>350</v>
      </c>
      <c r="R8852">
        <v>0</v>
      </c>
    </row>
    <row r="8853" spans="1:18" x14ac:dyDescent="0.25">
      <c r="A8853">
        <v>8702</v>
      </c>
      <c r="B8853">
        <v>94</v>
      </c>
      <c r="C8853" t="e">
        <f>-IpV8OQlGu1QoEpjraHPwk</f>
        <v>#NAME?</v>
      </c>
      <c r="D8853" t="s">
        <v>288</v>
      </c>
      <c r="E8853">
        <v>127.696</v>
      </c>
      <c r="F8853" t="s">
        <v>21</v>
      </c>
      <c r="G8853" t="s">
        <v>26</v>
      </c>
      <c r="H8853" t="s">
        <v>21</v>
      </c>
      <c r="I8853" t="s">
        <v>20</v>
      </c>
      <c r="J8853" t="s">
        <v>20</v>
      </c>
      <c r="K8853" t="s">
        <v>27</v>
      </c>
      <c r="L8853" t="s">
        <v>38</v>
      </c>
      <c r="M8853" t="s">
        <v>152</v>
      </c>
      <c r="N8853">
        <v>38.596263999999998</v>
      </c>
      <c r="O8853">
        <v>-109.569879</v>
      </c>
      <c r="P8853">
        <v>3932.3700920000001</v>
      </c>
      <c r="Q8853">
        <v>350</v>
      </c>
      <c r="R8853">
        <v>0</v>
      </c>
    </row>
    <row r="8854" spans="1:18" x14ac:dyDescent="0.25">
      <c r="A8854">
        <v>8703</v>
      </c>
      <c r="B8854">
        <v>94</v>
      </c>
      <c r="C8854">
        <v>31825810</v>
      </c>
      <c r="D8854" t="s">
        <v>118</v>
      </c>
      <c r="E8854">
        <v>128.036</v>
      </c>
      <c r="F8854" t="s">
        <v>21</v>
      </c>
      <c r="G8854" t="s">
        <v>20</v>
      </c>
      <c r="H8854" t="s">
        <v>21</v>
      </c>
      <c r="I8854" t="s">
        <v>20</v>
      </c>
      <c r="J8854" t="s">
        <v>20</v>
      </c>
      <c r="K8854" t="s">
        <v>22</v>
      </c>
      <c r="L8854" t="s">
        <v>133</v>
      </c>
      <c r="M8854" t="s">
        <v>169</v>
      </c>
      <c r="N8854">
        <v>40.314749999999997</v>
      </c>
      <c r="O8854">
        <v>-109.73588700000001</v>
      </c>
      <c r="P8854">
        <v>5220.5711439999995</v>
      </c>
      <c r="Q8854">
        <v>310</v>
      </c>
      <c r="R8854">
        <v>0</v>
      </c>
    </row>
    <row r="8855" spans="1:18" x14ac:dyDescent="0.25">
      <c r="A8855">
        <v>8704</v>
      </c>
      <c r="B8855">
        <v>94</v>
      </c>
      <c r="C8855">
        <v>31475748</v>
      </c>
      <c r="D8855" t="s">
        <v>288</v>
      </c>
      <c r="E8855">
        <v>128.184</v>
      </c>
      <c r="F8855" t="s">
        <v>19</v>
      </c>
      <c r="G8855" t="s">
        <v>20</v>
      </c>
      <c r="H8855" t="s">
        <v>19</v>
      </c>
      <c r="I8855">
        <v>128</v>
      </c>
      <c r="J8855" t="s">
        <v>20</v>
      </c>
      <c r="K8855" t="s">
        <v>27</v>
      </c>
      <c r="L8855" t="s">
        <v>38</v>
      </c>
      <c r="M8855" t="s">
        <v>152</v>
      </c>
      <c r="N8855">
        <v>38.601599999999998</v>
      </c>
      <c r="O8855">
        <v>-109.575766</v>
      </c>
      <c r="P8855">
        <v>3916.5936280000001</v>
      </c>
      <c r="Q8855">
        <v>350</v>
      </c>
      <c r="R8855">
        <v>0</v>
      </c>
    </row>
    <row r="8856" spans="1:18" x14ac:dyDescent="0.25">
      <c r="A8856">
        <v>8705</v>
      </c>
      <c r="B8856">
        <v>94</v>
      </c>
      <c r="C8856">
        <v>31480361</v>
      </c>
      <c r="D8856" t="s">
        <v>288</v>
      </c>
      <c r="E8856">
        <v>128.494</v>
      </c>
      <c r="F8856" t="s">
        <v>21</v>
      </c>
      <c r="G8856" t="s">
        <v>26</v>
      </c>
      <c r="H8856" t="s">
        <v>21</v>
      </c>
      <c r="I8856" t="s">
        <v>20</v>
      </c>
      <c r="J8856" t="s">
        <v>20</v>
      </c>
      <c r="K8856" t="s">
        <v>27</v>
      </c>
      <c r="L8856" t="s">
        <v>38</v>
      </c>
      <c r="M8856" t="s">
        <v>152</v>
      </c>
      <c r="N8856">
        <v>38.605218999999998</v>
      </c>
      <c r="O8856">
        <v>-109.57916899999999</v>
      </c>
      <c r="P8856">
        <v>3919.8005109999999</v>
      </c>
      <c r="Q8856">
        <v>350</v>
      </c>
      <c r="R8856">
        <v>0</v>
      </c>
    </row>
    <row r="8857" spans="1:18" x14ac:dyDescent="0.25">
      <c r="A8857">
        <v>8706</v>
      </c>
      <c r="B8857">
        <v>94</v>
      </c>
      <c r="C8857">
        <v>31480372</v>
      </c>
      <c r="D8857" t="s">
        <v>288</v>
      </c>
      <c r="E8857">
        <v>128.624</v>
      </c>
      <c r="F8857" t="s">
        <v>21</v>
      </c>
      <c r="G8857" t="s">
        <v>26</v>
      </c>
      <c r="H8857" t="s">
        <v>21</v>
      </c>
      <c r="I8857" t="s">
        <v>20</v>
      </c>
      <c r="J8857" t="s">
        <v>20</v>
      </c>
      <c r="K8857" t="s">
        <v>27</v>
      </c>
      <c r="L8857" t="s">
        <v>38</v>
      </c>
      <c r="M8857" t="s">
        <v>152</v>
      </c>
      <c r="N8857">
        <v>38.606411000000001</v>
      </c>
      <c r="O8857">
        <v>-109.58094800000001</v>
      </c>
      <c r="P8857">
        <v>3917.6627880000001</v>
      </c>
      <c r="Q8857">
        <v>350</v>
      </c>
      <c r="R8857">
        <v>0</v>
      </c>
    </row>
    <row r="8858" spans="1:18" x14ac:dyDescent="0.25">
      <c r="A8858">
        <v>8707</v>
      </c>
      <c r="B8858">
        <v>94</v>
      </c>
      <c r="C8858">
        <v>31574370</v>
      </c>
      <c r="D8858" t="s">
        <v>213</v>
      </c>
      <c r="E8858">
        <v>128.71</v>
      </c>
      <c r="F8858" t="s">
        <v>21</v>
      </c>
      <c r="G8858" t="s">
        <v>26</v>
      </c>
      <c r="H8858" t="s">
        <v>21</v>
      </c>
      <c r="I8858" t="s">
        <v>20</v>
      </c>
      <c r="J8858" t="s">
        <v>20</v>
      </c>
      <c r="K8858" t="s">
        <v>22</v>
      </c>
      <c r="L8858" t="s">
        <v>193</v>
      </c>
      <c r="M8858" t="s">
        <v>214</v>
      </c>
      <c r="N8858">
        <v>39.804735999999998</v>
      </c>
      <c r="O8858">
        <v>-112.14436499999999</v>
      </c>
      <c r="P8858">
        <v>5796.0223619999997</v>
      </c>
      <c r="Q8858">
        <v>1332</v>
      </c>
      <c r="R8858">
        <v>0</v>
      </c>
    </row>
    <row r="8859" spans="1:18" x14ac:dyDescent="0.25">
      <c r="A8859">
        <v>8708</v>
      </c>
      <c r="B8859">
        <v>94</v>
      </c>
      <c r="C8859" t="s">
        <v>1012</v>
      </c>
      <c r="D8859" t="s">
        <v>37</v>
      </c>
      <c r="E8859">
        <v>19.135000000000002</v>
      </c>
      <c r="F8859" t="s">
        <v>21</v>
      </c>
      <c r="G8859" t="s">
        <v>20</v>
      </c>
      <c r="H8859" t="s">
        <v>21</v>
      </c>
      <c r="I8859" t="s">
        <v>20</v>
      </c>
      <c r="J8859" t="s">
        <v>20</v>
      </c>
      <c r="K8859" t="s">
        <v>27</v>
      </c>
      <c r="L8859" t="s">
        <v>38</v>
      </c>
      <c r="M8859" t="s">
        <v>39</v>
      </c>
      <c r="N8859">
        <v>38.715034000000003</v>
      </c>
      <c r="O8859">
        <v>-109.37055599999999</v>
      </c>
      <c r="P8859">
        <v>4086.7773889999999</v>
      </c>
      <c r="Q8859">
        <v>1319</v>
      </c>
      <c r="R8859">
        <v>0</v>
      </c>
    </row>
    <row r="8860" spans="1:18" x14ac:dyDescent="0.25">
      <c r="A8860">
        <v>8709</v>
      </c>
      <c r="B8860">
        <v>94</v>
      </c>
      <c r="C8860">
        <v>31373236</v>
      </c>
      <c r="D8860" t="s">
        <v>199</v>
      </c>
      <c r="E8860">
        <v>19.141999999999999</v>
      </c>
      <c r="F8860" t="s">
        <v>21</v>
      </c>
      <c r="G8860" t="s">
        <v>20</v>
      </c>
      <c r="H8860" t="s">
        <v>21</v>
      </c>
      <c r="I8860" t="s">
        <v>20</v>
      </c>
      <c r="J8860" t="s">
        <v>20</v>
      </c>
      <c r="K8860" t="s">
        <v>27</v>
      </c>
      <c r="L8860" t="s">
        <v>103</v>
      </c>
      <c r="M8860" t="s">
        <v>200</v>
      </c>
      <c r="N8860">
        <v>38.322581</v>
      </c>
      <c r="O8860">
        <v>-112.37938</v>
      </c>
      <c r="P8860">
        <v>9769.9606530000001</v>
      </c>
      <c r="Q8860">
        <v>341</v>
      </c>
      <c r="R8860">
        <v>0</v>
      </c>
    </row>
    <row r="8861" spans="1:18" x14ac:dyDescent="0.25">
      <c r="A8861">
        <v>8710</v>
      </c>
      <c r="B8861">
        <v>94</v>
      </c>
      <c r="C8861" t="s">
        <v>1013</v>
      </c>
      <c r="D8861" t="s">
        <v>338</v>
      </c>
      <c r="E8861">
        <v>8.9999999999999993E-3</v>
      </c>
      <c r="F8861" t="s">
        <v>21</v>
      </c>
      <c r="G8861" t="s">
        <v>26</v>
      </c>
      <c r="H8861" t="s">
        <v>21</v>
      </c>
      <c r="I8861" t="s">
        <v>20</v>
      </c>
      <c r="J8861" t="s">
        <v>20</v>
      </c>
      <c r="K8861" t="s">
        <v>27</v>
      </c>
      <c r="L8861" t="s">
        <v>72</v>
      </c>
      <c r="M8861" t="s">
        <v>73</v>
      </c>
      <c r="N8861">
        <v>37.000256999999998</v>
      </c>
      <c r="O8861">
        <v>-112.998907</v>
      </c>
      <c r="P8861">
        <v>4985.0889690000004</v>
      </c>
      <c r="Q8861">
        <v>315</v>
      </c>
      <c r="R8861">
        <v>0</v>
      </c>
    </row>
    <row r="8862" spans="1:18" x14ac:dyDescent="0.25">
      <c r="A8862">
        <v>8711</v>
      </c>
      <c r="B8862">
        <v>94</v>
      </c>
      <c r="C8862">
        <v>31410910</v>
      </c>
      <c r="D8862" t="s">
        <v>477</v>
      </c>
      <c r="E8862">
        <v>0.01</v>
      </c>
      <c r="F8862" t="s">
        <v>21</v>
      </c>
      <c r="G8862" t="s">
        <v>26</v>
      </c>
      <c r="H8862" t="s">
        <v>21</v>
      </c>
      <c r="I8862" t="s">
        <v>20</v>
      </c>
      <c r="J8862" t="s">
        <v>20</v>
      </c>
      <c r="K8862" t="s">
        <v>27</v>
      </c>
      <c r="L8862" t="s">
        <v>183</v>
      </c>
      <c r="M8862" t="s">
        <v>366</v>
      </c>
      <c r="N8862">
        <v>38.756061000000003</v>
      </c>
      <c r="O8862">
        <v>-111.425219</v>
      </c>
      <c r="P8862">
        <v>7123.3279839999996</v>
      </c>
      <c r="Q8862">
        <v>1374</v>
      </c>
      <c r="R8862">
        <v>0</v>
      </c>
    </row>
    <row r="8863" spans="1:18" x14ac:dyDescent="0.25">
      <c r="A8863">
        <v>8712</v>
      </c>
      <c r="B8863">
        <v>94</v>
      </c>
      <c r="C8863">
        <v>31402576</v>
      </c>
      <c r="D8863" t="s">
        <v>257</v>
      </c>
      <c r="E8863">
        <v>0.01</v>
      </c>
      <c r="F8863" t="s">
        <v>21</v>
      </c>
      <c r="G8863" t="s">
        <v>26</v>
      </c>
      <c r="H8863" t="s">
        <v>21</v>
      </c>
      <c r="I8863" t="s">
        <v>20</v>
      </c>
      <c r="J8863" t="s">
        <v>20</v>
      </c>
      <c r="K8863" t="s">
        <v>22</v>
      </c>
      <c r="L8863" t="s">
        <v>140</v>
      </c>
      <c r="M8863" t="s">
        <v>76</v>
      </c>
      <c r="N8863">
        <v>40.085352999999998</v>
      </c>
      <c r="O8863">
        <v>-111.70312300000001</v>
      </c>
      <c r="P8863">
        <v>4484.9515469999997</v>
      </c>
      <c r="Q8863">
        <v>1433</v>
      </c>
      <c r="R8863">
        <v>0</v>
      </c>
    </row>
    <row r="8864" spans="1:18" x14ac:dyDescent="0.25">
      <c r="A8864">
        <v>8713</v>
      </c>
      <c r="B8864">
        <v>94</v>
      </c>
      <c r="C8864">
        <v>27283262</v>
      </c>
      <c r="D8864" t="s">
        <v>150</v>
      </c>
      <c r="E8864">
        <v>1.0999999999999999E-2</v>
      </c>
      <c r="F8864" t="s">
        <v>21</v>
      </c>
      <c r="G8864" t="s">
        <v>26</v>
      </c>
      <c r="H8864" t="s">
        <v>21</v>
      </c>
      <c r="I8864" t="s">
        <v>20</v>
      </c>
      <c r="J8864" t="s">
        <v>20</v>
      </c>
      <c r="K8864" t="s">
        <v>27</v>
      </c>
      <c r="L8864" t="s">
        <v>151</v>
      </c>
      <c r="M8864" t="s">
        <v>152</v>
      </c>
      <c r="N8864">
        <v>38.989963000000003</v>
      </c>
      <c r="O8864">
        <v>-110.188445</v>
      </c>
      <c r="P8864">
        <v>4030.4186420000001</v>
      </c>
      <c r="Q8864">
        <v>1336</v>
      </c>
      <c r="R8864">
        <v>0</v>
      </c>
    </row>
    <row r="8865" spans="1:18" x14ac:dyDescent="0.25">
      <c r="A8865">
        <v>8714</v>
      </c>
      <c r="B8865">
        <v>94</v>
      </c>
      <c r="C8865">
        <v>31544012</v>
      </c>
      <c r="D8865" t="s">
        <v>102</v>
      </c>
      <c r="E8865">
        <v>1.2E-2</v>
      </c>
      <c r="F8865" t="s">
        <v>21</v>
      </c>
      <c r="G8865" t="s">
        <v>26</v>
      </c>
      <c r="H8865" t="s">
        <v>21</v>
      </c>
      <c r="I8865" t="s">
        <v>20</v>
      </c>
      <c r="J8865" t="s">
        <v>20</v>
      </c>
      <c r="K8865" t="s">
        <v>27</v>
      </c>
      <c r="L8865" t="s">
        <v>103</v>
      </c>
      <c r="M8865" t="s">
        <v>104</v>
      </c>
      <c r="N8865">
        <v>38.249267000000003</v>
      </c>
      <c r="O8865">
        <v>-112.65180100000001</v>
      </c>
      <c r="P8865">
        <v>5803.8759970000001</v>
      </c>
      <c r="Q8865">
        <v>1430</v>
      </c>
      <c r="R8865">
        <v>0</v>
      </c>
    </row>
    <row r="8866" spans="1:18" x14ac:dyDescent="0.25">
      <c r="A8866">
        <v>8715</v>
      </c>
      <c r="B8866">
        <v>94</v>
      </c>
      <c r="C8866">
        <v>31411422</v>
      </c>
      <c r="D8866" t="s">
        <v>765</v>
      </c>
      <c r="E8866">
        <v>1.2999999999999999E-2</v>
      </c>
      <c r="F8866" t="s">
        <v>21</v>
      </c>
      <c r="G8866" t="s">
        <v>26</v>
      </c>
      <c r="H8866" t="s">
        <v>21</v>
      </c>
      <c r="I8866" t="s">
        <v>20</v>
      </c>
      <c r="J8866" t="s">
        <v>20</v>
      </c>
      <c r="K8866" t="s">
        <v>31</v>
      </c>
      <c r="L8866" t="s">
        <v>433</v>
      </c>
      <c r="M8866" t="s">
        <v>138</v>
      </c>
      <c r="N8866">
        <v>41.044683999999997</v>
      </c>
      <c r="O8866">
        <v>-111.522899</v>
      </c>
      <c r="P8866">
        <v>5220.9586440000003</v>
      </c>
      <c r="Q8866">
        <v>1382</v>
      </c>
      <c r="R8866">
        <v>0</v>
      </c>
    </row>
    <row r="8867" spans="1:18" x14ac:dyDescent="0.25">
      <c r="A8867">
        <v>8716</v>
      </c>
      <c r="B8867">
        <v>94</v>
      </c>
      <c r="C8867" t="e">
        <f>-JQmmWXSGny5IgC04_1Xkk</f>
        <v>#NAME?</v>
      </c>
      <c r="D8867" t="s">
        <v>1014</v>
      </c>
      <c r="E8867">
        <v>1.4E-2</v>
      </c>
      <c r="F8867" t="s">
        <v>21</v>
      </c>
      <c r="G8867" t="s">
        <v>26</v>
      </c>
      <c r="H8867" t="s">
        <v>21</v>
      </c>
      <c r="I8867" t="s">
        <v>20</v>
      </c>
      <c r="J8867" t="s">
        <v>20</v>
      </c>
      <c r="K8867" t="s">
        <v>27</v>
      </c>
      <c r="L8867" t="s">
        <v>54</v>
      </c>
      <c r="M8867" t="s">
        <v>948</v>
      </c>
      <c r="N8867">
        <v>37.602060000000002</v>
      </c>
      <c r="O8867">
        <v>-113.16069400000001</v>
      </c>
      <c r="P8867">
        <v>5433.0744530000002</v>
      </c>
      <c r="Q8867">
        <v>1333</v>
      </c>
      <c r="R8867">
        <v>0</v>
      </c>
    </row>
    <row r="8868" spans="1:18" x14ac:dyDescent="0.25">
      <c r="A8868">
        <v>8717</v>
      </c>
      <c r="B8868">
        <v>94</v>
      </c>
      <c r="C8868">
        <v>31462283</v>
      </c>
      <c r="D8868" t="s">
        <v>710</v>
      </c>
      <c r="E8868">
        <v>1.4999999999999999E-2</v>
      </c>
      <c r="F8868" t="s">
        <v>21</v>
      </c>
      <c r="G8868" t="s">
        <v>26</v>
      </c>
      <c r="H8868" t="s">
        <v>21</v>
      </c>
      <c r="I8868" t="s">
        <v>20</v>
      </c>
      <c r="J8868" t="s">
        <v>20</v>
      </c>
      <c r="K8868" t="s">
        <v>22</v>
      </c>
      <c r="L8868" t="s">
        <v>35</v>
      </c>
      <c r="M8868" t="s">
        <v>169</v>
      </c>
      <c r="N8868">
        <v>40.624833000000002</v>
      </c>
      <c r="O8868">
        <v>-111.441551</v>
      </c>
      <c r="P8868">
        <v>6417.814856</v>
      </c>
      <c r="Q8868">
        <v>369</v>
      </c>
      <c r="R8868">
        <v>0</v>
      </c>
    </row>
    <row r="8869" spans="1:18" x14ac:dyDescent="0.25">
      <c r="A8869">
        <v>8718</v>
      </c>
      <c r="B8869">
        <v>94</v>
      </c>
      <c r="C8869" t="e">
        <f>-IqJm-qsFKPUK40gxag99V</f>
        <v>#NAME?</v>
      </c>
      <c r="D8869" t="s">
        <v>1015</v>
      </c>
      <c r="E8869">
        <v>1.4999999999999999E-2</v>
      </c>
      <c r="F8869" t="s">
        <v>21</v>
      </c>
      <c r="G8869" t="s">
        <v>361</v>
      </c>
      <c r="H8869" t="s">
        <v>21</v>
      </c>
      <c r="I8869" t="s">
        <v>20</v>
      </c>
      <c r="J8869" t="s">
        <v>20</v>
      </c>
      <c r="K8869" t="s">
        <v>27</v>
      </c>
      <c r="L8869" t="s">
        <v>400</v>
      </c>
      <c r="M8869" t="s">
        <v>978</v>
      </c>
      <c r="N8869">
        <v>38.537950000000002</v>
      </c>
      <c r="O8869">
        <v>-112.611546</v>
      </c>
      <c r="P8869">
        <v>5998.7588619999997</v>
      </c>
      <c r="Q8869">
        <v>1333</v>
      </c>
      <c r="R8869">
        <v>0</v>
      </c>
    </row>
    <row r="8870" spans="1:18" x14ac:dyDescent="0.25">
      <c r="A8870">
        <v>8719</v>
      </c>
      <c r="B8870">
        <v>94</v>
      </c>
      <c r="C8870">
        <v>1444508</v>
      </c>
      <c r="D8870" t="s">
        <v>109</v>
      </c>
      <c r="E8870">
        <v>0.26100000000000001</v>
      </c>
      <c r="F8870" t="s">
        <v>21</v>
      </c>
      <c r="G8870" t="s">
        <v>361</v>
      </c>
      <c r="H8870" t="s">
        <v>21</v>
      </c>
      <c r="I8870" t="s">
        <v>20</v>
      </c>
      <c r="J8870" t="s">
        <v>20</v>
      </c>
      <c r="K8870" t="s">
        <v>41</v>
      </c>
      <c r="L8870" t="s">
        <v>42</v>
      </c>
      <c r="M8870" t="s">
        <v>73</v>
      </c>
      <c r="N8870">
        <v>41.566622000000002</v>
      </c>
      <c r="O8870">
        <v>-111.837872</v>
      </c>
      <c r="P8870">
        <v>4868.7828069999996</v>
      </c>
      <c r="Q8870">
        <v>345</v>
      </c>
      <c r="R8870">
        <v>0</v>
      </c>
    </row>
    <row r="8871" spans="1:18" x14ac:dyDescent="0.25">
      <c r="A8871">
        <v>8720</v>
      </c>
      <c r="B8871">
        <v>94</v>
      </c>
      <c r="C8871">
        <v>27864162</v>
      </c>
      <c r="D8871" t="s">
        <v>91</v>
      </c>
      <c r="E8871">
        <v>0.26200000000000001</v>
      </c>
      <c r="F8871" t="s">
        <v>21</v>
      </c>
      <c r="G8871" t="s">
        <v>26</v>
      </c>
      <c r="H8871" t="s">
        <v>21</v>
      </c>
      <c r="I8871" t="s">
        <v>20</v>
      </c>
      <c r="J8871" t="s">
        <v>20</v>
      </c>
      <c r="K8871" t="s">
        <v>41</v>
      </c>
      <c r="L8871" t="s">
        <v>42</v>
      </c>
      <c r="M8871" t="s">
        <v>73</v>
      </c>
      <c r="N8871">
        <v>41.619866999999999</v>
      </c>
      <c r="O8871">
        <v>-111.935016</v>
      </c>
      <c r="P8871">
        <v>4561.844677</v>
      </c>
      <c r="Q8871">
        <v>1339</v>
      </c>
      <c r="R8871">
        <v>0</v>
      </c>
    </row>
    <row r="8872" spans="1:18" x14ac:dyDescent="0.25">
      <c r="A8872">
        <v>8721</v>
      </c>
      <c r="B8872">
        <v>94</v>
      </c>
      <c r="C8872">
        <v>31533882</v>
      </c>
      <c r="D8872" t="s">
        <v>121</v>
      </c>
      <c r="E8872">
        <v>27.513999999999999</v>
      </c>
      <c r="F8872" t="s">
        <v>21</v>
      </c>
      <c r="G8872" t="s">
        <v>26</v>
      </c>
      <c r="H8872" t="s">
        <v>21</v>
      </c>
      <c r="I8872" t="s">
        <v>20</v>
      </c>
      <c r="J8872" t="s">
        <v>20</v>
      </c>
      <c r="K8872" t="s">
        <v>27</v>
      </c>
      <c r="L8872" t="s">
        <v>122</v>
      </c>
      <c r="M8872" t="s">
        <v>123</v>
      </c>
      <c r="N8872">
        <v>37.673383000000001</v>
      </c>
      <c r="O8872">
        <v>-110.692106</v>
      </c>
      <c r="P8872">
        <v>4179.3038569999999</v>
      </c>
      <c r="Q8872">
        <v>1283</v>
      </c>
      <c r="R8872">
        <v>0</v>
      </c>
    </row>
    <row r="8873" spans="1:18" x14ac:dyDescent="0.25">
      <c r="A8873">
        <v>8722</v>
      </c>
      <c r="B8873">
        <v>94</v>
      </c>
      <c r="C8873">
        <v>31895864</v>
      </c>
      <c r="D8873" t="s">
        <v>61</v>
      </c>
      <c r="E8873">
        <v>27.518999999999998</v>
      </c>
      <c r="F8873" t="s">
        <v>21</v>
      </c>
      <c r="G8873" t="s">
        <v>26</v>
      </c>
      <c r="H8873" t="s">
        <v>21</v>
      </c>
      <c r="I8873" t="s">
        <v>20</v>
      </c>
      <c r="J8873" t="s">
        <v>20</v>
      </c>
      <c r="K8873" t="s">
        <v>22</v>
      </c>
      <c r="L8873" t="s">
        <v>35</v>
      </c>
      <c r="M8873" t="s">
        <v>328</v>
      </c>
      <c r="N8873">
        <v>40.480167999999999</v>
      </c>
      <c r="O8873">
        <v>-111.43325</v>
      </c>
      <c r="P8873">
        <v>5538.6032640000003</v>
      </c>
      <c r="Q8873">
        <v>403</v>
      </c>
      <c r="R8873">
        <v>0</v>
      </c>
    </row>
    <row r="8874" spans="1:18" x14ac:dyDescent="0.25">
      <c r="A8874">
        <v>8723</v>
      </c>
      <c r="B8874">
        <v>94</v>
      </c>
      <c r="C8874">
        <v>31771261</v>
      </c>
      <c r="D8874" t="s">
        <v>353</v>
      </c>
      <c r="E8874">
        <v>27.521999999999998</v>
      </c>
      <c r="F8874" t="s">
        <v>21</v>
      </c>
      <c r="G8874" t="s">
        <v>26</v>
      </c>
      <c r="H8874" t="s">
        <v>21</v>
      </c>
      <c r="I8874" t="s">
        <v>20</v>
      </c>
      <c r="J8874" t="s">
        <v>20</v>
      </c>
      <c r="K8874" t="s">
        <v>31</v>
      </c>
      <c r="L8874" t="s">
        <v>433</v>
      </c>
      <c r="M8874" t="s">
        <v>138</v>
      </c>
      <c r="N8874">
        <v>41.019208999999996</v>
      </c>
      <c r="O8874">
        <v>-111.500063</v>
      </c>
      <c r="P8874">
        <v>5298.2425139999996</v>
      </c>
      <c r="Q8874">
        <v>1367</v>
      </c>
      <c r="R8874">
        <v>0</v>
      </c>
    </row>
    <row r="8875" spans="1:18" x14ac:dyDescent="0.25">
      <c r="A8875">
        <v>8724</v>
      </c>
      <c r="B8875">
        <v>94</v>
      </c>
      <c r="C8875">
        <v>31408049</v>
      </c>
      <c r="D8875" t="s">
        <v>63</v>
      </c>
      <c r="E8875">
        <v>27.53</v>
      </c>
      <c r="F8875" t="s">
        <v>21</v>
      </c>
      <c r="G8875" t="s">
        <v>26</v>
      </c>
      <c r="H8875" t="s">
        <v>21</v>
      </c>
      <c r="I8875" t="s">
        <v>20</v>
      </c>
      <c r="J8875" t="s">
        <v>20</v>
      </c>
      <c r="K8875" t="s">
        <v>27</v>
      </c>
      <c r="L8875" t="s">
        <v>266</v>
      </c>
      <c r="M8875" t="s">
        <v>29</v>
      </c>
      <c r="N8875">
        <v>38.371290000000002</v>
      </c>
      <c r="O8875">
        <v>-111.93883</v>
      </c>
      <c r="P8875">
        <v>6706.877547</v>
      </c>
      <c r="Q8875">
        <v>1365</v>
      </c>
      <c r="R8875">
        <v>0</v>
      </c>
    </row>
    <row r="8876" spans="1:18" x14ac:dyDescent="0.25">
      <c r="A8876">
        <v>8725</v>
      </c>
      <c r="B8876">
        <v>94</v>
      </c>
      <c r="C8876">
        <v>31310497</v>
      </c>
      <c r="D8876" t="s">
        <v>116</v>
      </c>
      <c r="E8876">
        <v>27.533999999999999</v>
      </c>
      <c r="F8876" t="s">
        <v>19</v>
      </c>
      <c r="G8876" t="s">
        <v>20</v>
      </c>
      <c r="H8876" t="s">
        <v>21</v>
      </c>
      <c r="I8876" t="s">
        <v>20</v>
      </c>
      <c r="J8876" t="s">
        <v>20</v>
      </c>
      <c r="K8876" t="s">
        <v>41</v>
      </c>
      <c r="L8876" t="s">
        <v>95</v>
      </c>
      <c r="M8876" t="s">
        <v>117</v>
      </c>
      <c r="N8876">
        <v>41.744658999999999</v>
      </c>
      <c r="O8876">
        <v>-111.83463399999999</v>
      </c>
      <c r="P8876">
        <v>4472.5284220000003</v>
      </c>
      <c r="Q8876">
        <v>324</v>
      </c>
      <c r="R8876">
        <v>0</v>
      </c>
    </row>
    <row r="8877" spans="1:18" x14ac:dyDescent="0.25">
      <c r="A8877">
        <v>8726</v>
      </c>
      <c r="B8877">
        <v>94</v>
      </c>
      <c r="C8877">
        <v>31720972</v>
      </c>
      <c r="D8877" t="s">
        <v>118</v>
      </c>
      <c r="E8877">
        <v>27.559000000000001</v>
      </c>
      <c r="F8877" t="s">
        <v>21</v>
      </c>
      <c r="G8877" t="s">
        <v>20</v>
      </c>
      <c r="H8877" t="s">
        <v>21</v>
      </c>
      <c r="I8877" t="s">
        <v>20</v>
      </c>
      <c r="J8877" t="s">
        <v>20</v>
      </c>
      <c r="K8877" t="s">
        <v>22</v>
      </c>
      <c r="L8877" t="s">
        <v>119</v>
      </c>
      <c r="M8877" t="s">
        <v>120</v>
      </c>
      <c r="N8877">
        <v>40.387160999999999</v>
      </c>
      <c r="O8877">
        <v>-111.303084</v>
      </c>
      <c r="P8877">
        <v>6577.4607480000004</v>
      </c>
      <c r="Q8877">
        <v>310</v>
      </c>
      <c r="R8877">
        <v>0</v>
      </c>
    </row>
    <row r="8878" spans="1:18" x14ac:dyDescent="0.25">
      <c r="A8878">
        <v>8727</v>
      </c>
      <c r="B8878">
        <v>94</v>
      </c>
      <c r="C8878" t="s">
        <v>1016</v>
      </c>
      <c r="D8878" t="s">
        <v>184</v>
      </c>
      <c r="E8878">
        <v>27.567</v>
      </c>
      <c r="F8878" t="s">
        <v>21</v>
      </c>
      <c r="G8878" t="s">
        <v>20</v>
      </c>
      <c r="H8878" t="s">
        <v>21</v>
      </c>
      <c r="I8878" t="s">
        <v>20</v>
      </c>
      <c r="J8878" t="s">
        <v>20</v>
      </c>
      <c r="K8878" t="s">
        <v>27</v>
      </c>
      <c r="L8878" t="s">
        <v>143</v>
      </c>
      <c r="M8878" t="s">
        <v>55</v>
      </c>
      <c r="N8878">
        <v>38.023350000000001</v>
      </c>
      <c r="O8878">
        <v>-112.998132</v>
      </c>
      <c r="P8878">
        <v>6184.4085050000003</v>
      </c>
      <c r="Q8878">
        <v>1410</v>
      </c>
      <c r="R8878">
        <v>0</v>
      </c>
    </row>
    <row r="8879" spans="1:18" x14ac:dyDescent="0.25">
      <c r="A8879">
        <v>8728</v>
      </c>
      <c r="B8879">
        <v>94</v>
      </c>
      <c r="C8879">
        <v>31282631</v>
      </c>
      <c r="D8879" t="s">
        <v>241</v>
      </c>
      <c r="E8879">
        <v>27.571000000000002</v>
      </c>
      <c r="F8879" t="s">
        <v>21</v>
      </c>
      <c r="G8879" t="s">
        <v>26</v>
      </c>
      <c r="H8879" t="s">
        <v>21</v>
      </c>
      <c r="I8879" t="s">
        <v>20</v>
      </c>
      <c r="J8879" t="s">
        <v>20</v>
      </c>
      <c r="K8879" t="s">
        <v>27</v>
      </c>
      <c r="L8879" t="s">
        <v>242</v>
      </c>
      <c r="M8879" t="s">
        <v>243</v>
      </c>
      <c r="N8879">
        <v>39.100467999999999</v>
      </c>
      <c r="O8879">
        <v>-111.131533</v>
      </c>
      <c r="P8879">
        <v>5988.4840379999996</v>
      </c>
      <c r="Q8879">
        <v>1327</v>
      </c>
      <c r="R8879">
        <v>0</v>
      </c>
    </row>
    <row r="8880" spans="1:18" x14ac:dyDescent="0.25">
      <c r="A8880">
        <v>8729</v>
      </c>
      <c r="B8880">
        <v>94</v>
      </c>
      <c r="C8880">
        <v>31771272</v>
      </c>
      <c r="D8880" t="s">
        <v>353</v>
      </c>
      <c r="E8880">
        <v>27.609000000000002</v>
      </c>
      <c r="F8880" t="s">
        <v>21</v>
      </c>
      <c r="G8880" t="s">
        <v>26</v>
      </c>
      <c r="H8880" t="s">
        <v>21</v>
      </c>
      <c r="I8880" t="s">
        <v>20</v>
      </c>
      <c r="J8880" t="s">
        <v>20</v>
      </c>
      <c r="K8880" t="s">
        <v>31</v>
      </c>
      <c r="L8880" t="s">
        <v>433</v>
      </c>
      <c r="M8880" t="s">
        <v>138</v>
      </c>
      <c r="N8880">
        <v>41.018120000000003</v>
      </c>
      <c r="O8880">
        <v>-111.499207</v>
      </c>
      <c r="P8880">
        <v>5300.3342290000001</v>
      </c>
      <c r="Q8880">
        <v>1367</v>
      </c>
      <c r="R8880">
        <v>0</v>
      </c>
    </row>
    <row r="8881" spans="1:18" x14ac:dyDescent="0.25">
      <c r="A8881">
        <v>8730</v>
      </c>
      <c r="B8881">
        <v>94</v>
      </c>
      <c r="C8881" t="s">
        <v>1017</v>
      </c>
      <c r="D8881" t="s">
        <v>353</v>
      </c>
      <c r="E8881">
        <v>27.631</v>
      </c>
      <c r="F8881" t="s">
        <v>21</v>
      </c>
      <c r="G8881" t="s">
        <v>26</v>
      </c>
      <c r="H8881" t="s">
        <v>21</v>
      </c>
      <c r="I8881" t="s">
        <v>20</v>
      </c>
      <c r="J8881" t="s">
        <v>20</v>
      </c>
      <c r="K8881" t="s">
        <v>31</v>
      </c>
      <c r="L8881" t="s">
        <v>433</v>
      </c>
      <c r="M8881" t="s">
        <v>138</v>
      </c>
      <c r="N8881">
        <v>41.017837</v>
      </c>
      <c r="O8881">
        <v>-111.499002</v>
      </c>
      <c r="P8881">
        <v>5300.8754470000003</v>
      </c>
      <c r="Q8881">
        <v>1367</v>
      </c>
      <c r="R8881">
        <v>0</v>
      </c>
    </row>
    <row r="8882" spans="1:18" x14ac:dyDescent="0.25">
      <c r="A8882">
        <v>8731</v>
      </c>
      <c r="B8882">
        <v>94</v>
      </c>
      <c r="C8882" t="e">
        <f>-IovotyPHvizYWuvKF_qhk</f>
        <v>#NAME?</v>
      </c>
      <c r="D8882" t="s">
        <v>316</v>
      </c>
      <c r="E8882">
        <v>27.634</v>
      </c>
      <c r="F8882" t="s">
        <v>21</v>
      </c>
      <c r="G8882" t="s">
        <v>20</v>
      </c>
      <c r="H8882" t="s">
        <v>21</v>
      </c>
      <c r="I8882" t="s">
        <v>20</v>
      </c>
      <c r="J8882" t="s">
        <v>20</v>
      </c>
      <c r="K8882" t="s">
        <v>22</v>
      </c>
      <c r="L8882" t="s">
        <v>168</v>
      </c>
      <c r="M8882" t="s">
        <v>302</v>
      </c>
      <c r="N8882">
        <v>40.468502000000001</v>
      </c>
      <c r="O8882">
        <v>-110.901579</v>
      </c>
      <c r="P8882">
        <v>7481.9591069999997</v>
      </c>
      <c r="Q8882">
        <v>1346</v>
      </c>
      <c r="R8882">
        <v>0</v>
      </c>
    </row>
    <row r="8883" spans="1:18" x14ac:dyDescent="0.25">
      <c r="A8883">
        <v>8732</v>
      </c>
      <c r="B8883">
        <v>94</v>
      </c>
      <c r="C8883">
        <v>31313118</v>
      </c>
      <c r="D8883" t="s">
        <v>116</v>
      </c>
      <c r="E8883">
        <v>27.654</v>
      </c>
      <c r="F8883" t="s">
        <v>21</v>
      </c>
      <c r="G8883" t="s">
        <v>26</v>
      </c>
      <c r="H8883" t="s">
        <v>21</v>
      </c>
      <c r="I8883" t="s">
        <v>20</v>
      </c>
      <c r="J8883" t="s">
        <v>20</v>
      </c>
      <c r="K8883" t="s">
        <v>41</v>
      </c>
      <c r="L8883" t="s">
        <v>95</v>
      </c>
      <c r="M8883" t="s">
        <v>117</v>
      </c>
      <c r="N8883">
        <v>41.746400999999999</v>
      </c>
      <c r="O8883">
        <v>-111.834585</v>
      </c>
      <c r="P8883">
        <v>4472.588538</v>
      </c>
      <c r="Q8883">
        <v>324</v>
      </c>
      <c r="R8883">
        <v>0</v>
      </c>
    </row>
    <row r="8884" spans="1:18" x14ac:dyDescent="0.25">
      <c r="A8884">
        <v>8733</v>
      </c>
      <c r="B8884">
        <v>94</v>
      </c>
      <c r="C8884">
        <v>31326482</v>
      </c>
      <c r="D8884" t="s">
        <v>303</v>
      </c>
      <c r="E8884">
        <v>27.675000000000001</v>
      </c>
      <c r="F8884" t="s">
        <v>21</v>
      </c>
      <c r="G8884" t="s">
        <v>26</v>
      </c>
      <c r="H8884" t="s">
        <v>21</v>
      </c>
      <c r="I8884" t="s">
        <v>20</v>
      </c>
      <c r="J8884" t="s">
        <v>20</v>
      </c>
      <c r="K8884" t="s">
        <v>27</v>
      </c>
      <c r="L8884" t="s">
        <v>72</v>
      </c>
      <c r="M8884" t="s">
        <v>73</v>
      </c>
      <c r="N8884">
        <v>37.161006</v>
      </c>
      <c r="O8884">
        <v>-113.045447</v>
      </c>
      <c r="P8884">
        <v>3657.559381</v>
      </c>
      <c r="Q8884">
        <v>1326</v>
      </c>
      <c r="R8884">
        <v>0</v>
      </c>
    </row>
    <row r="8885" spans="1:18" x14ac:dyDescent="0.25">
      <c r="A8885">
        <v>8734</v>
      </c>
      <c r="B8885">
        <v>94</v>
      </c>
      <c r="C8885" t="s">
        <v>1018</v>
      </c>
      <c r="D8885" t="s">
        <v>118</v>
      </c>
      <c r="E8885">
        <v>142.77099999999999</v>
      </c>
      <c r="F8885" t="s">
        <v>21</v>
      </c>
      <c r="G8885" t="s">
        <v>26</v>
      </c>
      <c r="H8885" t="s">
        <v>21</v>
      </c>
      <c r="I8885" t="s">
        <v>20</v>
      </c>
      <c r="J8885" t="s">
        <v>20</v>
      </c>
      <c r="K8885" t="s">
        <v>22</v>
      </c>
      <c r="L8885" t="s">
        <v>234</v>
      </c>
      <c r="M8885" t="s">
        <v>169</v>
      </c>
      <c r="N8885">
        <v>40.447867000000002</v>
      </c>
      <c r="O8885">
        <v>-109.553602</v>
      </c>
      <c r="P8885">
        <v>5351.0589710000004</v>
      </c>
      <c r="Q8885">
        <v>310</v>
      </c>
      <c r="R8885">
        <v>0</v>
      </c>
    </row>
    <row r="8886" spans="1:18" x14ac:dyDescent="0.25">
      <c r="A8886">
        <v>8735</v>
      </c>
      <c r="B8886">
        <v>94</v>
      </c>
      <c r="C8886">
        <v>31833060</v>
      </c>
      <c r="D8886" t="s">
        <v>118</v>
      </c>
      <c r="E8886">
        <v>142.79499999999999</v>
      </c>
      <c r="F8886" t="s">
        <v>19</v>
      </c>
      <c r="G8886" t="s">
        <v>20</v>
      </c>
      <c r="H8886" t="s">
        <v>21</v>
      </c>
      <c r="I8886" t="s">
        <v>20</v>
      </c>
      <c r="J8886" t="s">
        <v>20</v>
      </c>
      <c r="K8886" t="s">
        <v>22</v>
      </c>
      <c r="L8886" t="s">
        <v>234</v>
      </c>
      <c r="M8886" t="s">
        <v>169</v>
      </c>
      <c r="N8886">
        <v>40.448152</v>
      </c>
      <c r="O8886">
        <v>-109.553319</v>
      </c>
      <c r="P8886">
        <v>5350.3612160000002</v>
      </c>
      <c r="Q8886">
        <v>310</v>
      </c>
      <c r="R8886">
        <v>0</v>
      </c>
    </row>
    <row r="8887" spans="1:18" x14ac:dyDescent="0.25">
      <c r="A8887">
        <v>8736</v>
      </c>
      <c r="B8887">
        <v>94</v>
      </c>
      <c r="C8887">
        <v>31509137</v>
      </c>
      <c r="D8887" t="s">
        <v>292</v>
      </c>
      <c r="E8887">
        <v>16.687000000000001</v>
      </c>
      <c r="F8887" t="s">
        <v>21</v>
      </c>
      <c r="G8887" t="s">
        <v>20</v>
      </c>
      <c r="H8887" t="s">
        <v>21</v>
      </c>
      <c r="I8887" t="s">
        <v>20</v>
      </c>
      <c r="J8887" t="s">
        <v>20</v>
      </c>
      <c r="K8887" t="s">
        <v>22</v>
      </c>
      <c r="L8887" t="s">
        <v>253</v>
      </c>
      <c r="M8887" t="s">
        <v>134</v>
      </c>
      <c r="N8887">
        <v>40.355525999999998</v>
      </c>
      <c r="O8887">
        <v>-110.368804</v>
      </c>
      <c r="P8887">
        <v>6602.5606600000001</v>
      </c>
      <c r="Q8887">
        <v>323</v>
      </c>
      <c r="R8887">
        <v>0</v>
      </c>
    </row>
    <row r="8888" spans="1:18" x14ac:dyDescent="0.25">
      <c r="A8888">
        <v>8737</v>
      </c>
      <c r="B8888">
        <v>94</v>
      </c>
      <c r="C8888">
        <v>31305282</v>
      </c>
      <c r="D8888" t="s">
        <v>203</v>
      </c>
      <c r="E8888">
        <v>16.695</v>
      </c>
      <c r="F8888" t="s">
        <v>21</v>
      </c>
      <c r="G8888" t="s">
        <v>26</v>
      </c>
      <c r="H8888" t="s">
        <v>21</v>
      </c>
      <c r="I8888" t="s">
        <v>20</v>
      </c>
      <c r="J8888" t="s">
        <v>20</v>
      </c>
      <c r="K8888" t="s">
        <v>41</v>
      </c>
      <c r="L8888" t="s">
        <v>255</v>
      </c>
      <c r="M8888" t="s">
        <v>204</v>
      </c>
      <c r="N8888">
        <v>41.249583000000001</v>
      </c>
      <c r="O8888">
        <v>-111.791388</v>
      </c>
      <c r="P8888">
        <v>4898.7764900000002</v>
      </c>
      <c r="Q8888">
        <v>1349</v>
      </c>
      <c r="R8888">
        <v>0</v>
      </c>
    </row>
    <row r="8889" spans="1:18" x14ac:dyDescent="0.25">
      <c r="A8889">
        <v>8738</v>
      </c>
      <c r="B8889">
        <v>94</v>
      </c>
      <c r="C8889">
        <v>1539460</v>
      </c>
      <c r="D8889" t="s">
        <v>88</v>
      </c>
      <c r="E8889">
        <v>16.702000000000002</v>
      </c>
      <c r="F8889" t="s">
        <v>21</v>
      </c>
      <c r="G8889" t="s">
        <v>26</v>
      </c>
      <c r="H8889" t="s">
        <v>21</v>
      </c>
      <c r="I8889" t="s">
        <v>20</v>
      </c>
      <c r="J8889" t="s">
        <v>20</v>
      </c>
      <c r="K8889" t="s">
        <v>31</v>
      </c>
      <c r="L8889" t="s">
        <v>69</v>
      </c>
      <c r="M8889" t="s">
        <v>90</v>
      </c>
      <c r="N8889">
        <v>40.677070999999998</v>
      </c>
      <c r="O8889">
        <v>-111.87143399999999</v>
      </c>
      <c r="P8889">
        <v>4244.1532379999999</v>
      </c>
      <c r="Q8889">
        <v>318</v>
      </c>
      <c r="R8889">
        <v>0</v>
      </c>
    </row>
    <row r="8890" spans="1:18" x14ac:dyDescent="0.25">
      <c r="A8890">
        <v>8739</v>
      </c>
      <c r="B8890">
        <v>94</v>
      </c>
      <c r="C8890">
        <v>31498178</v>
      </c>
      <c r="D8890" t="s">
        <v>317</v>
      </c>
      <c r="E8890">
        <v>16.712</v>
      </c>
      <c r="F8890" t="s">
        <v>21</v>
      </c>
      <c r="G8890" t="s">
        <v>20</v>
      </c>
      <c r="H8890" t="s">
        <v>21</v>
      </c>
      <c r="I8890" t="s">
        <v>20</v>
      </c>
      <c r="J8890" t="s">
        <v>20</v>
      </c>
      <c r="K8890" t="s">
        <v>27</v>
      </c>
      <c r="L8890" t="s">
        <v>211</v>
      </c>
      <c r="M8890" t="s">
        <v>212</v>
      </c>
      <c r="N8890">
        <v>37.123793999999997</v>
      </c>
      <c r="O8890">
        <v>-109.931059</v>
      </c>
      <c r="P8890">
        <v>4898.5610569999999</v>
      </c>
      <c r="Q8890">
        <v>1432</v>
      </c>
      <c r="R8890">
        <v>0</v>
      </c>
    </row>
    <row r="8891" spans="1:18" x14ac:dyDescent="0.25">
      <c r="A8891">
        <v>8740</v>
      </c>
      <c r="B8891">
        <v>94</v>
      </c>
      <c r="C8891" t="e">
        <f>-IoqocULHpPKQ6pXyJ7Dek</f>
        <v>#NAME?</v>
      </c>
      <c r="D8891" t="s">
        <v>176</v>
      </c>
      <c r="E8891">
        <v>0.161</v>
      </c>
      <c r="F8891" t="s">
        <v>21</v>
      </c>
      <c r="G8891" t="s">
        <v>26</v>
      </c>
      <c r="H8891" t="s">
        <v>21</v>
      </c>
      <c r="I8891" t="s">
        <v>20</v>
      </c>
      <c r="J8891" t="s">
        <v>20</v>
      </c>
      <c r="K8891" t="s">
        <v>41</v>
      </c>
      <c r="L8891" t="s">
        <v>177</v>
      </c>
      <c r="M8891" t="s">
        <v>178</v>
      </c>
      <c r="N8891">
        <v>41.488895999999997</v>
      </c>
      <c r="O8891">
        <v>-112.016192</v>
      </c>
      <c r="P8891">
        <v>4282.1459009999999</v>
      </c>
      <c r="Q8891">
        <v>1329</v>
      </c>
      <c r="R8891">
        <v>0</v>
      </c>
    </row>
    <row r="8892" spans="1:18" x14ac:dyDescent="0.25">
      <c r="A8892">
        <v>8741</v>
      </c>
      <c r="B8892">
        <v>94</v>
      </c>
      <c r="C8892">
        <v>1718489</v>
      </c>
      <c r="D8892" t="s">
        <v>445</v>
      </c>
      <c r="E8892">
        <v>0.161</v>
      </c>
      <c r="F8892" t="s">
        <v>21</v>
      </c>
      <c r="G8892" t="s">
        <v>26</v>
      </c>
      <c r="H8892" t="s">
        <v>21</v>
      </c>
      <c r="I8892" t="s">
        <v>20</v>
      </c>
      <c r="J8892" t="s">
        <v>20</v>
      </c>
      <c r="K8892" t="s">
        <v>41</v>
      </c>
      <c r="L8892" t="s">
        <v>255</v>
      </c>
      <c r="M8892" t="s">
        <v>138</v>
      </c>
      <c r="N8892">
        <v>41.219878999999999</v>
      </c>
      <c r="O8892">
        <v>-111.85213</v>
      </c>
      <c r="P8892">
        <v>6281.7854649999999</v>
      </c>
      <c r="Q8892">
        <v>358</v>
      </c>
      <c r="R8892">
        <v>0</v>
      </c>
    </row>
    <row r="8893" spans="1:18" x14ac:dyDescent="0.25">
      <c r="A8893">
        <v>8742</v>
      </c>
      <c r="B8893">
        <v>94</v>
      </c>
      <c r="C8893">
        <v>1292364</v>
      </c>
      <c r="D8893" t="s">
        <v>191</v>
      </c>
      <c r="E8893">
        <v>0.16200000000000001</v>
      </c>
      <c r="F8893" t="s">
        <v>21</v>
      </c>
      <c r="G8893" t="s">
        <v>26</v>
      </c>
      <c r="H8893" t="s">
        <v>21</v>
      </c>
      <c r="I8893" t="s">
        <v>20</v>
      </c>
      <c r="J8893" t="s">
        <v>20</v>
      </c>
      <c r="K8893" t="s">
        <v>41</v>
      </c>
      <c r="L8893" t="s">
        <v>57</v>
      </c>
      <c r="M8893" t="s">
        <v>190</v>
      </c>
      <c r="N8893">
        <v>41.091636000000001</v>
      </c>
      <c r="O8893">
        <v>-112.11272599999999</v>
      </c>
      <c r="P8893">
        <v>4171.3948899999996</v>
      </c>
      <c r="Q8893">
        <v>329</v>
      </c>
      <c r="R8893">
        <v>0</v>
      </c>
    </row>
    <row r="8894" spans="1:18" x14ac:dyDescent="0.25">
      <c r="A8894">
        <v>8743</v>
      </c>
      <c r="B8894">
        <v>94</v>
      </c>
      <c r="C8894">
        <v>31660798</v>
      </c>
      <c r="D8894" t="s">
        <v>306</v>
      </c>
      <c r="E8894">
        <v>0.16300000000000001</v>
      </c>
      <c r="F8894" t="s">
        <v>21</v>
      </c>
      <c r="G8894" t="s">
        <v>26</v>
      </c>
      <c r="H8894" t="s">
        <v>21</v>
      </c>
      <c r="I8894" t="s">
        <v>20</v>
      </c>
      <c r="J8894" t="s">
        <v>20</v>
      </c>
      <c r="K8894" t="s">
        <v>27</v>
      </c>
      <c r="L8894" t="s">
        <v>230</v>
      </c>
      <c r="M8894" t="s">
        <v>82</v>
      </c>
      <c r="N8894">
        <v>39.677661000000001</v>
      </c>
      <c r="O8894">
        <v>-111.313073</v>
      </c>
      <c r="P8894">
        <v>8795.1091259999994</v>
      </c>
      <c r="Q8894">
        <v>430</v>
      </c>
      <c r="R8894">
        <v>0</v>
      </c>
    </row>
    <row r="8895" spans="1:18" x14ac:dyDescent="0.25">
      <c r="A8895">
        <v>8744</v>
      </c>
      <c r="B8895">
        <v>94</v>
      </c>
      <c r="C8895" t="e">
        <f>-JRXEnk4HBePFrX-WQfSyF</f>
        <v>#NAME?</v>
      </c>
      <c r="D8895" t="s">
        <v>1019</v>
      </c>
      <c r="E8895">
        <v>0.16400000000000001</v>
      </c>
      <c r="F8895" t="s">
        <v>21</v>
      </c>
      <c r="G8895" t="s">
        <v>26</v>
      </c>
      <c r="H8895" t="s">
        <v>21</v>
      </c>
      <c r="I8895" t="s">
        <v>20</v>
      </c>
      <c r="J8895" t="s">
        <v>20</v>
      </c>
      <c r="K8895" t="s">
        <v>41</v>
      </c>
      <c r="L8895" t="s">
        <v>87</v>
      </c>
      <c r="M8895" t="s">
        <v>163</v>
      </c>
      <c r="N8895">
        <v>41.003061000000002</v>
      </c>
      <c r="O8895">
        <v>-111.90857800000001</v>
      </c>
      <c r="P8895">
        <v>4230.6514219999999</v>
      </c>
      <c r="Q8895">
        <v>1384</v>
      </c>
      <c r="R8895">
        <v>0</v>
      </c>
    </row>
    <row r="8896" spans="1:18" x14ac:dyDescent="0.25">
      <c r="A8896">
        <v>8745</v>
      </c>
      <c r="B8896">
        <v>94</v>
      </c>
      <c r="C8896">
        <v>31386584</v>
      </c>
      <c r="D8896" t="s">
        <v>369</v>
      </c>
      <c r="E8896">
        <v>0.16400000000000001</v>
      </c>
      <c r="F8896" t="s">
        <v>21</v>
      </c>
      <c r="G8896" t="s">
        <v>26</v>
      </c>
      <c r="H8896" t="s">
        <v>21</v>
      </c>
      <c r="I8896" t="s">
        <v>20</v>
      </c>
      <c r="J8896" t="s">
        <v>20</v>
      </c>
      <c r="K8896" t="s">
        <v>22</v>
      </c>
      <c r="L8896" t="s">
        <v>198</v>
      </c>
      <c r="M8896" t="s">
        <v>76</v>
      </c>
      <c r="N8896">
        <v>40.031399999999998</v>
      </c>
      <c r="O8896">
        <v>-111.75555799999999</v>
      </c>
      <c r="P8896">
        <v>4581.8824299999997</v>
      </c>
      <c r="Q8896">
        <v>347</v>
      </c>
      <c r="R8896">
        <v>0</v>
      </c>
    </row>
    <row r="8897" spans="1:18" x14ac:dyDescent="0.25">
      <c r="A8897">
        <v>8746</v>
      </c>
      <c r="B8897">
        <v>94</v>
      </c>
      <c r="C8897">
        <v>31775495</v>
      </c>
      <c r="D8897" t="s">
        <v>61</v>
      </c>
      <c r="E8897">
        <v>0.16400000000000001</v>
      </c>
      <c r="F8897" t="s">
        <v>19</v>
      </c>
      <c r="G8897" t="s">
        <v>20</v>
      </c>
      <c r="H8897" t="s">
        <v>21</v>
      </c>
      <c r="I8897" t="s">
        <v>20</v>
      </c>
      <c r="J8897" t="s">
        <v>20</v>
      </c>
      <c r="K8897" t="s">
        <v>22</v>
      </c>
      <c r="L8897" t="s">
        <v>23</v>
      </c>
      <c r="M8897" t="s">
        <v>36</v>
      </c>
      <c r="N8897">
        <v>40.208275</v>
      </c>
      <c r="O8897">
        <v>-111.65859500000001</v>
      </c>
      <c r="P8897">
        <v>4460.6616029999996</v>
      </c>
      <c r="Q8897">
        <v>403</v>
      </c>
      <c r="R8897">
        <v>0</v>
      </c>
    </row>
    <row r="8898" spans="1:18" x14ac:dyDescent="0.25">
      <c r="A8898">
        <v>8747</v>
      </c>
      <c r="B8898">
        <v>94</v>
      </c>
      <c r="C8898" t="e">
        <f>-IpVIAhEFDHJkHZaZPiE8V</f>
        <v>#NAME?</v>
      </c>
      <c r="D8898" t="s">
        <v>436</v>
      </c>
      <c r="E8898">
        <v>0.16500000000000001</v>
      </c>
      <c r="F8898" t="s">
        <v>21</v>
      </c>
      <c r="G8898" t="s">
        <v>26</v>
      </c>
      <c r="H8898" t="s">
        <v>21</v>
      </c>
      <c r="I8898" t="s">
        <v>20</v>
      </c>
      <c r="J8898" t="s">
        <v>20</v>
      </c>
      <c r="K8898" t="s">
        <v>22</v>
      </c>
      <c r="L8898" t="s">
        <v>234</v>
      </c>
      <c r="M8898" t="s">
        <v>98</v>
      </c>
      <c r="N8898">
        <v>40.516624</v>
      </c>
      <c r="O8898">
        <v>-109.54180100000001</v>
      </c>
      <c r="P8898">
        <v>5509.3116410000002</v>
      </c>
      <c r="Q8898">
        <v>441</v>
      </c>
      <c r="R8898">
        <v>0</v>
      </c>
    </row>
    <row r="8899" spans="1:18" x14ac:dyDescent="0.25">
      <c r="A8899">
        <v>8748</v>
      </c>
      <c r="B8899">
        <v>94</v>
      </c>
      <c r="C8899" t="e">
        <f>-JXcXB-FGE580-ivV3XgPk</f>
        <v>#NAME?</v>
      </c>
      <c r="D8899" t="s">
        <v>390</v>
      </c>
      <c r="E8899">
        <v>0.16600000000000001</v>
      </c>
      <c r="F8899" t="s">
        <v>19</v>
      </c>
      <c r="G8899" t="s">
        <v>20</v>
      </c>
      <c r="H8899" t="s">
        <v>21</v>
      </c>
      <c r="I8899" t="s">
        <v>20</v>
      </c>
      <c r="J8899" t="s">
        <v>20</v>
      </c>
      <c r="K8899" t="s">
        <v>22</v>
      </c>
      <c r="L8899" t="s">
        <v>84</v>
      </c>
      <c r="M8899" t="s">
        <v>335</v>
      </c>
      <c r="N8899">
        <v>40.431444999999997</v>
      </c>
      <c r="O8899">
        <v>-111.89253100000001</v>
      </c>
      <c r="P8899">
        <v>4548.2350990000004</v>
      </c>
      <c r="Q8899">
        <v>1386</v>
      </c>
      <c r="R8899">
        <v>0</v>
      </c>
    </row>
    <row r="8900" spans="1:18" x14ac:dyDescent="0.25">
      <c r="A8900">
        <v>8749</v>
      </c>
      <c r="B8900">
        <v>94</v>
      </c>
      <c r="C8900">
        <v>438558</v>
      </c>
      <c r="D8900" t="s">
        <v>1020</v>
      </c>
      <c r="E8900">
        <v>0.16600000000000001</v>
      </c>
      <c r="F8900" t="s">
        <v>19</v>
      </c>
      <c r="G8900" t="s">
        <v>20</v>
      </c>
      <c r="H8900" t="s">
        <v>21</v>
      </c>
      <c r="I8900" t="s">
        <v>20</v>
      </c>
      <c r="J8900" t="s">
        <v>20</v>
      </c>
      <c r="K8900" t="s">
        <v>31</v>
      </c>
      <c r="L8900" t="s">
        <v>66</v>
      </c>
      <c r="M8900" t="s">
        <v>67</v>
      </c>
      <c r="N8900">
        <v>40.782359999999997</v>
      </c>
      <c r="O8900">
        <v>-111.91073799999999</v>
      </c>
      <c r="P8900">
        <v>4196.0045600000003</v>
      </c>
      <c r="Q8900">
        <v>257</v>
      </c>
      <c r="R8900">
        <v>0</v>
      </c>
    </row>
    <row r="8901" spans="1:18" x14ac:dyDescent="0.25">
      <c r="A8901">
        <v>8750</v>
      </c>
      <c r="B8901">
        <v>94</v>
      </c>
      <c r="C8901">
        <v>31610866</v>
      </c>
      <c r="D8901" t="s">
        <v>185</v>
      </c>
      <c r="E8901">
        <v>0.16700000000000001</v>
      </c>
      <c r="F8901" t="s">
        <v>21</v>
      </c>
      <c r="G8901" t="s">
        <v>26</v>
      </c>
      <c r="H8901" t="s">
        <v>21</v>
      </c>
      <c r="I8901" t="s">
        <v>20</v>
      </c>
      <c r="J8901" t="s">
        <v>20</v>
      </c>
      <c r="K8901" t="s">
        <v>41</v>
      </c>
      <c r="L8901" t="s">
        <v>57</v>
      </c>
      <c r="M8901" t="s">
        <v>58</v>
      </c>
      <c r="N8901">
        <v>41.139871999999997</v>
      </c>
      <c r="O8901">
        <v>-112.02925500000001</v>
      </c>
      <c r="P8901">
        <v>4466.3074589999997</v>
      </c>
      <c r="Q8901">
        <v>309</v>
      </c>
      <c r="R8901">
        <v>0</v>
      </c>
    </row>
    <row r="8902" spans="1:18" x14ac:dyDescent="0.25">
      <c r="A8902">
        <v>8751</v>
      </c>
      <c r="B8902">
        <v>94</v>
      </c>
      <c r="C8902">
        <v>31511492</v>
      </c>
      <c r="D8902" t="s">
        <v>231</v>
      </c>
      <c r="E8902">
        <v>0.16900000000000001</v>
      </c>
      <c r="F8902" t="s">
        <v>19</v>
      </c>
      <c r="G8902" t="s">
        <v>20</v>
      </c>
      <c r="H8902" t="s">
        <v>21</v>
      </c>
      <c r="I8902" t="s">
        <v>20</v>
      </c>
      <c r="J8902" t="s">
        <v>20</v>
      </c>
      <c r="K8902" t="s">
        <v>41</v>
      </c>
      <c r="L8902" t="s">
        <v>57</v>
      </c>
      <c r="M8902" t="s">
        <v>93</v>
      </c>
      <c r="N8902">
        <v>41.056050999999997</v>
      </c>
      <c r="O8902">
        <v>-111.960922</v>
      </c>
      <c r="P8902">
        <v>4316.5664020000004</v>
      </c>
      <c r="Q8902">
        <v>1409</v>
      </c>
      <c r="R8902">
        <v>0</v>
      </c>
    </row>
    <row r="8903" spans="1:18" x14ac:dyDescent="0.25">
      <c r="A8903">
        <v>8752</v>
      </c>
      <c r="B8903">
        <v>94</v>
      </c>
      <c r="C8903">
        <v>31212044</v>
      </c>
      <c r="D8903" t="s">
        <v>303</v>
      </c>
      <c r="E8903">
        <v>0.17100000000000001</v>
      </c>
      <c r="F8903" t="s">
        <v>21</v>
      </c>
      <c r="G8903" t="s">
        <v>20</v>
      </c>
      <c r="H8903" t="s">
        <v>21</v>
      </c>
      <c r="I8903" t="s">
        <v>20</v>
      </c>
      <c r="J8903" t="s">
        <v>20</v>
      </c>
      <c r="K8903" t="s">
        <v>27</v>
      </c>
      <c r="L8903" t="s">
        <v>72</v>
      </c>
      <c r="M8903" t="s">
        <v>73</v>
      </c>
      <c r="N8903">
        <v>37.166778000000001</v>
      </c>
      <c r="O8903">
        <v>-113.449742</v>
      </c>
      <c r="P8903">
        <v>3075.9337249999999</v>
      </c>
      <c r="Q8903">
        <v>1326</v>
      </c>
      <c r="R8903">
        <v>0</v>
      </c>
    </row>
    <row r="8904" spans="1:18" x14ac:dyDescent="0.25">
      <c r="A8904">
        <v>8753</v>
      </c>
      <c r="B8904">
        <v>94</v>
      </c>
      <c r="C8904">
        <v>31399312</v>
      </c>
      <c r="D8904" t="s">
        <v>139</v>
      </c>
      <c r="E8904">
        <v>0.17299999999999999</v>
      </c>
      <c r="F8904" t="s">
        <v>21</v>
      </c>
      <c r="G8904" t="s">
        <v>26</v>
      </c>
      <c r="H8904" t="s">
        <v>19</v>
      </c>
      <c r="I8904">
        <v>115</v>
      </c>
      <c r="J8904" t="s">
        <v>20</v>
      </c>
      <c r="K8904" t="s">
        <v>22</v>
      </c>
      <c r="L8904" t="s">
        <v>140</v>
      </c>
      <c r="M8904" t="s">
        <v>141</v>
      </c>
      <c r="N8904">
        <v>40.108457000000001</v>
      </c>
      <c r="O8904">
        <v>-111.654802</v>
      </c>
      <c r="P8904">
        <v>4530.0206230000003</v>
      </c>
      <c r="Q8904">
        <v>342</v>
      </c>
      <c r="R8904">
        <v>0</v>
      </c>
    </row>
    <row r="8905" spans="1:18" x14ac:dyDescent="0.25">
      <c r="A8905">
        <v>8754</v>
      </c>
      <c r="B8905">
        <v>94</v>
      </c>
      <c r="C8905">
        <v>27599153</v>
      </c>
      <c r="D8905" t="s">
        <v>110</v>
      </c>
      <c r="E8905">
        <v>0.17399999999999999</v>
      </c>
      <c r="F8905" t="s">
        <v>21</v>
      </c>
      <c r="G8905" t="s">
        <v>26</v>
      </c>
      <c r="H8905" t="s">
        <v>21</v>
      </c>
      <c r="I8905" t="s">
        <v>20</v>
      </c>
      <c r="J8905" t="s">
        <v>20</v>
      </c>
      <c r="K8905" t="s">
        <v>27</v>
      </c>
      <c r="L8905" t="s">
        <v>111</v>
      </c>
      <c r="M8905" t="s">
        <v>112</v>
      </c>
      <c r="N8905">
        <v>39.178347000000002</v>
      </c>
      <c r="O8905">
        <v>-111.047578</v>
      </c>
      <c r="P8905">
        <v>5649.6159909999997</v>
      </c>
      <c r="Q8905">
        <v>1361</v>
      </c>
      <c r="R8905">
        <v>0</v>
      </c>
    </row>
    <row r="8906" spans="1:18" x14ac:dyDescent="0.25">
      <c r="A8906">
        <v>8755</v>
      </c>
      <c r="B8906">
        <v>94</v>
      </c>
      <c r="C8906">
        <v>31547934</v>
      </c>
      <c r="D8906" t="s">
        <v>401</v>
      </c>
      <c r="E8906">
        <v>0.17399999999999999</v>
      </c>
      <c r="F8906" t="s">
        <v>19</v>
      </c>
      <c r="G8906" t="s">
        <v>20</v>
      </c>
      <c r="H8906" t="s">
        <v>21</v>
      </c>
      <c r="I8906" t="s">
        <v>20</v>
      </c>
      <c r="J8906" t="s">
        <v>20</v>
      </c>
      <c r="K8906" t="s">
        <v>41</v>
      </c>
      <c r="L8906" t="s">
        <v>57</v>
      </c>
      <c r="M8906" t="s">
        <v>58</v>
      </c>
      <c r="N8906">
        <v>41.123924000000002</v>
      </c>
      <c r="O8906">
        <v>-112.022931</v>
      </c>
      <c r="P8906">
        <v>4524.2961640000003</v>
      </c>
      <c r="Q8906">
        <v>327</v>
      </c>
      <c r="R8906">
        <v>0</v>
      </c>
    </row>
    <row r="8907" spans="1:18" x14ac:dyDescent="0.25">
      <c r="A8907">
        <v>8756</v>
      </c>
      <c r="B8907">
        <v>94</v>
      </c>
      <c r="C8907">
        <v>31489432</v>
      </c>
      <c r="D8907" t="s">
        <v>353</v>
      </c>
      <c r="E8907">
        <v>0.17399999999999999</v>
      </c>
      <c r="F8907" t="s">
        <v>21</v>
      </c>
      <c r="G8907" t="s">
        <v>26</v>
      </c>
      <c r="H8907" t="s">
        <v>21</v>
      </c>
      <c r="I8907" t="s">
        <v>20</v>
      </c>
      <c r="J8907" t="s">
        <v>20</v>
      </c>
      <c r="K8907" t="s">
        <v>31</v>
      </c>
      <c r="L8907" t="s">
        <v>188</v>
      </c>
      <c r="M8907" t="s">
        <v>138</v>
      </c>
      <c r="N8907">
        <v>40.752623</v>
      </c>
      <c r="O8907">
        <v>-111.71261</v>
      </c>
      <c r="P8907">
        <v>5549.0389290000003</v>
      </c>
      <c r="Q8907">
        <v>1367</v>
      </c>
      <c r="R8907">
        <v>0</v>
      </c>
    </row>
    <row r="8908" spans="1:18" x14ac:dyDescent="0.25">
      <c r="A8908">
        <v>8757</v>
      </c>
      <c r="B8908">
        <v>94</v>
      </c>
      <c r="C8908">
        <v>31307671</v>
      </c>
      <c r="D8908" t="s">
        <v>215</v>
      </c>
      <c r="E8908">
        <v>0.17499999999999999</v>
      </c>
      <c r="F8908" t="s">
        <v>21</v>
      </c>
      <c r="G8908" t="s">
        <v>26</v>
      </c>
      <c r="H8908" t="s">
        <v>21</v>
      </c>
      <c r="I8908" t="s">
        <v>20</v>
      </c>
      <c r="J8908" t="s">
        <v>20</v>
      </c>
      <c r="K8908" t="s">
        <v>22</v>
      </c>
      <c r="L8908" t="s">
        <v>23</v>
      </c>
      <c r="M8908" t="s">
        <v>85</v>
      </c>
      <c r="N8908">
        <v>40.233772000000002</v>
      </c>
      <c r="O8908">
        <v>-111.671021</v>
      </c>
      <c r="P8908">
        <v>4481.8577610000002</v>
      </c>
      <c r="Q8908">
        <v>330</v>
      </c>
      <c r="R8908">
        <v>0</v>
      </c>
    </row>
    <row r="8909" spans="1:18" x14ac:dyDescent="0.25">
      <c r="A8909">
        <v>8758</v>
      </c>
      <c r="B8909">
        <v>94</v>
      </c>
      <c r="C8909">
        <v>31761187</v>
      </c>
      <c r="D8909" t="s">
        <v>265</v>
      </c>
      <c r="E8909">
        <v>0.17599999999999999</v>
      </c>
      <c r="F8909" t="s">
        <v>21</v>
      </c>
      <c r="G8909" t="s">
        <v>26</v>
      </c>
      <c r="H8909" t="s">
        <v>21</v>
      </c>
      <c r="I8909" t="s">
        <v>20</v>
      </c>
      <c r="J8909" t="s">
        <v>20</v>
      </c>
      <c r="K8909" t="s">
        <v>27</v>
      </c>
      <c r="L8909" t="s">
        <v>266</v>
      </c>
      <c r="M8909" t="s">
        <v>267</v>
      </c>
      <c r="N8909">
        <v>38.4116</v>
      </c>
      <c r="O8909">
        <v>-111.639634</v>
      </c>
      <c r="P8909">
        <v>7016.0445449999997</v>
      </c>
      <c r="Q8909">
        <v>1371</v>
      </c>
      <c r="R8909">
        <v>0</v>
      </c>
    </row>
    <row r="8910" spans="1:18" x14ac:dyDescent="0.25">
      <c r="A8910">
        <v>8759</v>
      </c>
      <c r="B8910">
        <v>94</v>
      </c>
      <c r="C8910" t="e">
        <f>-IqItr2bFcPtGUlM_tewpk</f>
        <v>#NAME?</v>
      </c>
      <c r="D8910" t="s">
        <v>1021</v>
      </c>
      <c r="E8910">
        <v>0.17699999999999999</v>
      </c>
      <c r="F8910" t="s">
        <v>21</v>
      </c>
      <c r="G8910" t="s">
        <v>26</v>
      </c>
      <c r="H8910" t="s">
        <v>21</v>
      </c>
      <c r="I8910" t="s">
        <v>20</v>
      </c>
      <c r="J8910" t="s">
        <v>20</v>
      </c>
      <c r="K8910" t="s">
        <v>27</v>
      </c>
      <c r="L8910" t="s">
        <v>165</v>
      </c>
      <c r="M8910" t="s">
        <v>365</v>
      </c>
      <c r="N8910">
        <v>38.765452000000003</v>
      </c>
      <c r="O8910">
        <v>-112.556056</v>
      </c>
      <c r="P8910">
        <v>4844.3272440000001</v>
      </c>
      <c r="Q8910">
        <v>1333</v>
      </c>
      <c r="R8910">
        <v>0</v>
      </c>
    </row>
    <row r="8911" spans="1:18" x14ac:dyDescent="0.25">
      <c r="A8911">
        <v>8760</v>
      </c>
      <c r="B8911">
        <v>94</v>
      </c>
      <c r="C8911">
        <v>1031588</v>
      </c>
      <c r="D8911" t="s">
        <v>171</v>
      </c>
      <c r="E8911">
        <v>9.7000000000000003E-2</v>
      </c>
      <c r="F8911" t="s">
        <v>21</v>
      </c>
      <c r="G8911" t="s">
        <v>26</v>
      </c>
      <c r="H8911" t="s">
        <v>21</v>
      </c>
      <c r="I8911" t="s">
        <v>20</v>
      </c>
      <c r="J8911" t="s">
        <v>20</v>
      </c>
      <c r="K8911" t="s">
        <v>31</v>
      </c>
      <c r="L8911" t="s">
        <v>78</v>
      </c>
      <c r="M8911" t="s">
        <v>79</v>
      </c>
      <c r="N8911">
        <v>40.696477000000002</v>
      </c>
      <c r="O8911">
        <v>-112.089995</v>
      </c>
      <c r="P8911">
        <v>4353.1463949999998</v>
      </c>
      <c r="Q8911">
        <v>346</v>
      </c>
      <c r="R8911">
        <v>0</v>
      </c>
    </row>
    <row r="8912" spans="1:18" x14ac:dyDescent="0.25">
      <c r="A8912">
        <v>8761</v>
      </c>
      <c r="B8912">
        <v>94</v>
      </c>
      <c r="C8912">
        <v>31386892</v>
      </c>
      <c r="D8912" t="s">
        <v>369</v>
      </c>
      <c r="E8912">
        <v>0.41799999999999998</v>
      </c>
      <c r="F8912" t="s">
        <v>21</v>
      </c>
      <c r="G8912" t="s">
        <v>26</v>
      </c>
      <c r="H8912" t="s">
        <v>21</v>
      </c>
      <c r="I8912" t="s">
        <v>20</v>
      </c>
      <c r="J8912" t="s">
        <v>20</v>
      </c>
      <c r="K8912" t="s">
        <v>22</v>
      </c>
      <c r="L8912" t="s">
        <v>198</v>
      </c>
      <c r="M8912" t="s">
        <v>76</v>
      </c>
      <c r="N8912">
        <v>40.031351999999998</v>
      </c>
      <c r="O8912">
        <v>-111.750754</v>
      </c>
      <c r="P8912">
        <v>4591.3489360000003</v>
      </c>
      <c r="Q8912">
        <v>347</v>
      </c>
      <c r="R8912">
        <v>0</v>
      </c>
    </row>
    <row r="8913" spans="1:18" x14ac:dyDescent="0.25">
      <c r="A8913">
        <v>8762</v>
      </c>
      <c r="B8913">
        <v>94</v>
      </c>
      <c r="C8913">
        <v>31397382</v>
      </c>
      <c r="D8913" t="s">
        <v>224</v>
      </c>
      <c r="E8913">
        <v>0.41799999999999998</v>
      </c>
      <c r="F8913" t="s">
        <v>21</v>
      </c>
      <c r="G8913" t="s">
        <v>26</v>
      </c>
      <c r="H8913" t="s">
        <v>21</v>
      </c>
      <c r="I8913" t="s">
        <v>20</v>
      </c>
      <c r="J8913" t="s">
        <v>20</v>
      </c>
      <c r="K8913" t="s">
        <v>22</v>
      </c>
      <c r="L8913" t="s">
        <v>198</v>
      </c>
      <c r="M8913" t="s">
        <v>194</v>
      </c>
      <c r="N8913">
        <v>39.980628000000003</v>
      </c>
      <c r="O8913">
        <v>-111.767453</v>
      </c>
      <c r="P8913">
        <v>4867.6920700000001</v>
      </c>
      <c r="Q8913">
        <v>408</v>
      </c>
      <c r="R8913">
        <v>0</v>
      </c>
    </row>
    <row r="8914" spans="1:18" x14ac:dyDescent="0.25">
      <c r="A8914">
        <v>8763</v>
      </c>
      <c r="B8914">
        <v>94</v>
      </c>
      <c r="C8914">
        <v>652440</v>
      </c>
      <c r="D8914" t="s">
        <v>717</v>
      </c>
      <c r="E8914">
        <v>0.42199999999999999</v>
      </c>
      <c r="F8914" t="s">
        <v>21</v>
      </c>
      <c r="G8914" t="s">
        <v>26</v>
      </c>
      <c r="H8914" t="s">
        <v>21</v>
      </c>
      <c r="I8914" t="s">
        <v>20</v>
      </c>
      <c r="J8914" t="s">
        <v>20</v>
      </c>
      <c r="K8914" t="s">
        <v>31</v>
      </c>
      <c r="L8914" t="s">
        <v>89</v>
      </c>
      <c r="M8914" t="s">
        <v>24</v>
      </c>
      <c r="N8914">
        <v>40.489204999999998</v>
      </c>
      <c r="O8914">
        <v>-111.89457</v>
      </c>
      <c r="P8914">
        <v>4465.6664250000003</v>
      </c>
      <c r="Q8914">
        <v>436</v>
      </c>
      <c r="R8914">
        <v>0</v>
      </c>
    </row>
    <row r="8915" spans="1:18" x14ac:dyDescent="0.25">
      <c r="A8915">
        <v>8764</v>
      </c>
      <c r="B8915">
        <v>94</v>
      </c>
      <c r="C8915">
        <v>31764290</v>
      </c>
      <c r="D8915" t="s">
        <v>312</v>
      </c>
      <c r="E8915">
        <v>0.42199999999999999</v>
      </c>
      <c r="F8915" t="s">
        <v>21</v>
      </c>
      <c r="G8915" t="s">
        <v>26</v>
      </c>
      <c r="H8915" t="s">
        <v>21</v>
      </c>
      <c r="I8915" t="s">
        <v>20</v>
      </c>
      <c r="J8915" t="s">
        <v>20</v>
      </c>
      <c r="K8915" t="s">
        <v>27</v>
      </c>
      <c r="L8915" t="s">
        <v>143</v>
      </c>
      <c r="M8915" t="s">
        <v>313</v>
      </c>
      <c r="N8915">
        <v>38.403148000000002</v>
      </c>
      <c r="O8915">
        <v>-113.009854</v>
      </c>
      <c r="P8915">
        <v>4926.6131059999998</v>
      </c>
      <c r="Q8915">
        <v>255</v>
      </c>
      <c r="R8915">
        <v>0</v>
      </c>
    </row>
    <row r="8916" spans="1:18" x14ac:dyDescent="0.25">
      <c r="A8916">
        <v>8765</v>
      </c>
      <c r="B8916">
        <v>94</v>
      </c>
      <c r="C8916">
        <v>31595880</v>
      </c>
      <c r="D8916" t="s">
        <v>50</v>
      </c>
      <c r="E8916">
        <v>0.42299999999999999</v>
      </c>
      <c r="F8916" t="s">
        <v>21</v>
      </c>
      <c r="G8916" t="s">
        <v>26</v>
      </c>
      <c r="H8916" t="s">
        <v>21</v>
      </c>
      <c r="I8916" t="s">
        <v>20</v>
      </c>
      <c r="J8916" t="s">
        <v>20</v>
      </c>
      <c r="K8916" t="s">
        <v>27</v>
      </c>
      <c r="L8916" t="s">
        <v>51</v>
      </c>
      <c r="M8916" t="s">
        <v>52</v>
      </c>
      <c r="N8916">
        <v>37.838515000000001</v>
      </c>
      <c r="O8916">
        <v>-112.86363799999999</v>
      </c>
      <c r="P8916">
        <v>5776.5633969999999</v>
      </c>
      <c r="Q8916">
        <v>1418</v>
      </c>
      <c r="R8916">
        <v>0</v>
      </c>
    </row>
    <row r="8917" spans="1:18" x14ac:dyDescent="0.25">
      <c r="A8917">
        <v>8766</v>
      </c>
      <c r="B8917">
        <v>94</v>
      </c>
      <c r="C8917">
        <v>474495</v>
      </c>
      <c r="D8917" t="s">
        <v>83</v>
      </c>
      <c r="E8917">
        <v>0.42299999999999999</v>
      </c>
      <c r="F8917" t="s">
        <v>19</v>
      </c>
      <c r="G8917" t="s">
        <v>20</v>
      </c>
      <c r="H8917" t="s">
        <v>21</v>
      </c>
      <c r="I8917" t="s">
        <v>20</v>
      </c>
      <c r="J8917" t="s">
        <v>20</v>
      </c>
      <c r="K8917" t="s">
        <v>22</v>
      </c>
      <c r="L8917" t="s">
        <v>84</v>
      </c>
      <c r="M8917" t="s">
        <v>85</v>
      </c>
      <c r="N8917">
        <v>40.383063999999997</v>
      </c>
      <c r="O8917">
        <v>-111.795856</v>
      </c>
      <c r="P8917">
        <v>4573.1711850000002</v>
      </c>
      <c r="Q8917">
        <v>319</v>
      </c>
      <c r="R8917">
        <v>0</v>
      </c>
    </row>
    <row r="8918" spans="1:18" x14ac:dyDescent="0.25">
      <c r="A8918">
        <v>8767</v>
      </c>
      <c r="B8918">
        <v>94</v>
      </c>
      <c r="C8918">
        <v>31309314</v>
      </c>
      <c r="D8918" t="s">
        <v>40</v>
      </c>
      <c r="E8918">
        <v>0.42399999999999999</v>
      </c>
      <c r="F8918" t="s">
        <v>21</v>
      </c>
      <c r="G8918" t="s">
        <v>26</v>
      </c>
      <c r="H8918" t="s">
        <v>21</v>
      </c>
      <c r="I8918" t="s">
        <v>20</v>
      </c>
      <c r="J8918" t="s">
        <v>20</v>
      </c>
      <c r="K8918" t="s">
        <v>41</v>
      </c>
      <c r="L8918" t="s">
        <v>42</v>
      </c>
      <c r="M8918" t="s">
        <v>43</v>
      </c>
      <c r="N8918">
        <v>41.638623000000003</v>
      </c>
      <c r="O8918">
        <v>-111.92610500000001</v>
      </c>
      <c r="P8918">
        <v>4461.2384570000004</v>
      </c>
      <c r="Q8918">
        <v>1391</v>
      </c>
      <c r="R8918">
        <v>0</v>
      </c>
    </row>
    <row r="8919" spans="1:18" x14ac:dyDescent="0.25">
      <c r="A8919">
        <v>8768</v>
      </c>
      <c r="B8919">
        <v>94</v>
      </c>
      <c r="C8919">
        <v>1257509</v>
      </c>
      <c r="D8919" t="s">
        <v>128</v>
      </c>
      <c r="E8919">
        <v>0.42699999999999999</v>
      </c>
      <c r="F8919" t="s">
        <v>21</v>
      </c>
      <c r="G8919" t="s">
        <v>26</v>
      </c>
      <c r="H8919" t="s">
        <v>21</v>
      </c>
      <c r="I8919" t="s">
        <v>20</v>
      </c>
      <c r="J8919" t="s">
        <v>20</v>
      </c>
      <c r="K8919" t="s">
        <v>41</v>
      </c>
      <c r="L8919" t="s">
        <v>42</v>
      </c>
      <c r="M8919" t="s">
        <v>73</v>
      </c>
      <c r="N8919">
        <v>41.703718000000002</v>
      </c>
      <c r="O8919">
        <v>-111.860401</v>
      </c>
      <c r="P8919">
        <v>4420.3696019999998</v>
      </c>
      <c r="Q8919">
        <v>5943</v>
      </c>
      <c r="R8919">
        <v>0</v>
      </c>
    </row>
    <row r="8920" spans="1:18" x14ac:dyDescent="0.25">
      <c r="A8920">
        <v>8769</v>
      </c>
      <c r="B8920">
        <v>94</v>
      </c>
      <c r="C8920">
        <v>31303448</v>
      </c>
      <c r="D8920" t="s">
        <v>251</v>
      </c>
      <c r="E8920">
        <v>0.60099999999999998</v>
      </c>
      <c r="F8920" t="s">
        <v>21</v>
      </c>
      <c r="G8920" t="s">
        <v>26</v>
      </c>
      <c r="H8920" t="s">
        <v>21</v>
      </c>
      <c r="I8920" t="s">
        <v>20</v>
      </c>
      <c r="J8920" t="s">
        <v>20</v>
      </c>
      <c r="K8920" t="s">
        <v>27</v>
      </c>
      <c r="L8920" t="s">
        <v>165</v>
      </c>
      <c r="M8920" t="s">
        <v>166</v>
      </c>
      <c r="N8920">
        <v>38.977555000000002</v>
      </c>
      <c r="O8920">
        <v>-112.334835</v>
      </c>
      <c r="P8920">
        <v>4989.2279909999997</v>
      </c>
      <c r="Q8920">
        <v>326</v>
      </c>
      <c r="R8920">
        <v>0</v>
      </c>
    </row>
    <row r="8921" spans="1:18" x14ac:dyDescent="0.25">
      <c r="A8921">
        <v>8770</v>
      </c>
      <c r="B8921">
        <v>94</v>
      </c>
      <c r="C8921" t="s">
        <v>1022</v>
      </c>
      <c r="D8921" t="s">
        <v>272</v>
      </c>
      <c r="E8921">
        <v>470.54500000000002</v>
      </c>
      <c r="F8921" t="s">
        <v>21</v>
      </c>
      <c r="G8921" t="s">
        <v>26</v>
      </c>
      <c r="H8921" t="s">
        <v>21</v>
      </c>
      <c r="I8921" t="s">
        <v>20</v>
      </c>
      <c r="J8921" t="s">
        <v>20</v>
      </c>
      <c r="K8921" t="s">
        <v>41</v>
      </c>
      <c r="L8921" t="s">
        <v>95</v>
      </c>
      <c r="M8921" t="s">
        <v>152</v>
      </c>
      <c r="N8921">
        <v>41.783980999999997</v>
      </c>
      <c r="O8921">
        <v>-111.640962</v>
      </c>
      <c r="P8921">
        <v>5199.5063579999996</v>
      </c>
      <c r="Q8921">
        <v>1384</v>
      </c>
      <c r="R8921">
        <v>0</v>
      </c>
    </row>
    <row r="8922" spans="1:18" x14ac:dyDescent="0.25">
      <c r="A8922">
        <v>8771</v>
      </c>
      <c r="B8922">
        <v>94</v>
      </c>
      <c r="C8922" t="s">
        <v>1023</v>
      </c>
      <c r="D8922" t="s">
        <v>272</v>
      </c>
      <c r="E8922">
        <v>471.59699999999998</v>
      </c>
      <c r="F8922" t="s">
        <v>21</v>
      </c>
      <c r="G8922" t="s">
        <v>26</v>
      </c>
      <c r="H8922" t="s">
        <v>21</v>
      </c>
      <c r="I8922" t="s">
        <v>20</v>
      </c>
      <c r="J8922" t="s">
        <v>20</v>
      </c>
      <c r="K8922" t="s">
        <v>41</v>
      </c>
      <c r="L8922" t="s">
        <v>95</v>
      </c>
      <c r="M8922" t="s">
        <v>152</v>
      </c>
      <c r="N8922">
        <v>41.796683999999999</v>
      </c>
      <c r="O8922">
        <v>-111.64452900000001</v>
      </c>
      <c r="P8922">
        <v>5285.2727750000004</v>
      </c>
      <c r="Q8922">
        <v>1384</v>
      </c>
      <c r="R8922">
        <v>0</v>
      </c>
    </row>
    <row r="8923" spans="1:18" x14ac:dyDescent="0.25">
      <c r="A8923">
        <v>8772</v>
      </c>
      <c r="B8923">
        <v>94</v>
      </c>
      <c r="C8923" t="e">
        <f>-IpUzh-EHbXNviVT6IpBhF</f>
        <v>#NAME?</v>
      </c>
      <c r="D8923" t="s">
        <v>272</v>
      </c>
      <c r="E8923">
        <v>422.6</v>
      </c>
      <c r="F8923" t="s">
        <v>21</v>
      </c>
      <c r="G8923" t="s">
        <v>26</v>
      </c>
      <c r="H8923" t="s">
        <v>21</v>
      </c>
      <c r="I8923" t="s">
        <v>20</v>
      </c>
      <c r="J8923" t="s">
        <v>20</v>
      </c>
      <c r="K8923" t="s">
        <v>41</v>
      </c>
      <c r="L8923" t="s">
        <v>81</v>
      </c>
      <c r="M8923" t="s">
        <v>46</v>
      </c>
      <c r="N8923">
        <v>41.335664000000001</v>
      </c>
      <c r="O8923">
        <v>-112.02753</v>
      </c>
      <c r="P8923">
        <v>4241.3865990000004</v>
      </c>
      <c r="Q8923">
        <v>1384</v>
      </c>
      <c r="R8923">
        <v>0</v>
      </c>
    </row>
    <row r="8924" spans="1:18" x14ac:dyDescent="0.25">
      <c r="A8924">
        <v>8773</v>
      </c>
      <c r="B8924">
        <v>94</v>
      </c>
      <c r="C8924" t="e">
        <f>-IpyFZPQHO1Lq93TJmK82F</f>
        <v>#NAME?</v>
      </c>
      <c r="D8924" t="s">
        <v>272</v>
      </c>
      <c r="E8924">
        <v>422.62900000000002</v>
      </c>
      <c r="F8924" t="s">
        <v>21</v>
      </c>
      <c r="G8924" t="s">
        <v>20</v>
      </c>
      <c r="H8924" t="s">
        <v>21</v>
      </c>
      <c r="I8924" t="s">
        <v>20</v>
      </c>
      <c r="J8924" t="s">
        <v>20</v>
      </c>
      <c r="K8924" t="s">
        <v>41</v>
      </c>
      <c r="L8924" t="s">
        <v>81</v>
      </c>
      <c r="M8924" t="s">
        <v>46</v>
      </c>
      <c r="N8924">
        <v>41.336021000000002</v>
      </c>
      <c r="O8924">
        <v>-112.027804</v>
      </c>
      <c r="P8924">
        <v>4246.3366120000001</v>
      </c>
      <c r="Q8924">
        <v>1384</v>
      </c>
      <c r="R8924">
        <v>0</v>
      </c>
    </row>
    <row r="8925" spans="1:18" x14ac:dyDescent="0.25">
      <c r="A8925">
        <v>8774</v>
      </c>
      <c r="B8925">
        <v>94</v>
      </c>
      <c r="C8925" t="s">
        <v>1024</v>
      </c>
      <c r="D8925" t="s">
        <v>272</v>
      </c>
      <c r="E8925">
        <v>423.14</v>
      </c>
      <c r="F8925" t="s">
        <v>21</v>
      </c>
      <c r="G8925" t="s">
        <v>26</v>
      </c>
      <c r="H8925" t="s">
        <v>21</v>
      </c>
      <c r="I8925" t="s">
        <v>20</v>
      </c>
      <c r="J8925" t="s">
        <v>20</v>
      </c>
      <c r="K8925" t="s">
        <v>41</v>
      </c>
      <c r="L8925" t="s">
        <v>177</v>
      </c>
      <c r="M8925" t="s">
        <v>46</v>
      </c>
      <c r="N8925">
        <v>41.342567000000003</v>
      </c>
      <c r="O8925">
        <v>-112.03179299999999</v>
      </c>
      <c r="P8925">
        <v>4232.6771129999997</v>
      </c>
      <c r="Q8925">
        <v>1384</v>
      </c>
      <c r="R8925">
        <v>0</v>
      </c>
    </row>
    <row r="8926" spans="1:18" x14ac:dyDescent="0.25">
      <c r="A8926">
        <v>8775</v>
      </c>
      <c r="B8926">
        <v>94</v>
      </c>
      <c r="C8926" t="e">
        <f>-IpV2d2qGWTak7gqUaatUV</f>
        <v>#NAME?</v>
      </c>
      <c r="D8926" t="s">
        <v>272</v>
      </c>
      <c r="E8926">
        <v>423.834</v>
      </c>
      <c r="F8926" t="s">
        <v>21</v>
      </c>
      <c r="G8926" t="s">
        <v>26</v>
      </c>
      <c r="H8926" t="s">
        <v>21</v>
      </c>
      <c r="I8926" t="s">
        <v>20</v>
      </c>
      <c r="J8926" t="s">
        <v>20</v>
      </c>
      <c r="K8926" t="s">
        <v>41</v>
      </c>
      <c r="L8926" t="s">
        <v>177</v>
      </c>
      <c r="M8926" t="s">
        <v>46</v>
      </c>
      <c r="N8926">
        <v>41.351779000000001</v>
      </c>
      <c r="O8926">
        <v>-112.03556399999999</v>
      </c>
      <c r="P8926">
        <v>4243.9923699999999</v>
      </c>
      <c r="Q8926">
        <v>1384</v>
      </c>
      <c r="R8926">
        <v>0</v>
      </c>
    </row>
    <row r="8927" spans="1:18" x14ac:dyDescent="0.25">
      <c r="A8927">
        <v>8776</v>
      </c>
      <c r="B8927">
        <v>94</v>
      </c>
      <c r="C8927" t="e">
        <f>-IpV3B3rIeiGyVeCku6AOV</f>
        <v>#NAME?</v>
      </c>
      <c r="D8927" t="s">
        <v>272</v>
      </c>
      <c r="E8927">
        <v>424.31400000000002</v>
      </c>
      <c r="F8927" t="s">
        <v>21</v>
      </c>
      <c r="G8927" t="s">
        <v>26</v>
      </c>
      <c r="H8927" t="s">
        <v>21</v>
      </c>
      <c r="I8927" t="s">
        <v>20</v>
      </c>
      <c r="J8927" t="s">
        <v>20</v>
      </c>
      <c r="K8927" t="s">
        <v>41</v>
      </c>
      <c r="L8927" t="s">
        <v>177</v>
      </c>
      <c r="M8927" t="s">
        <v>46</v>
      </c>
      <c r="N8927">
        <v>41.358570999999998</v>
      </c>
      <c r="O8927">
        <v>-112.035634</v>
      </c>
      <c r="P8927">
        <v>4278.7114700000002</v>
      </c>
      <c r="Q8927">
        <v>1384</v>
      </c>
      <c r="R8927">
        <v>0</v>
      </c>
    </row>
    <row r="8928" spans="1:18" x14ac:dyDescent="0.25">
      <c r="A8928">
        <v>8777</v>
      </c>
      <c r="B8928">
        <v>94</v>
      </c>
      <c r="C8928" t="e">
        <f>-IpV3teCFRqgzO0gflwHEV</f>
        <v>#NAME?</v>
      </c>
      <c r="D8928" t="s">
        <v>272</v>
      </c>
      <c r="E8928">
        <v>424.55700000000002</v>
      </c>
      <c r="F8928" t="s">
        <v>21</v>
      </c>
      <c r="G8928" t="s">
        <v>26</v>
      </c>
      <c r="H8928" t="s">
        <v>21</v>
      </c>
      <c r="I8928" t="s">
        <v>20</v>
      </c>
      <c r="J8928" t="s">
        <v>20</v>
      </c>
      <c r="K8928" t="s">
        <v>41</v>
      </c>
      <c r="L8928" t="s">
        <v>177</v>
      </c>
      <c r="M8928" t="s">
        <v>46</v>
      </c>
      <c r="N8928">
        <v>41.362081000000003</v>
      </c>
      <c r="O8928">
        <v>-112.03553700000001</v>
      </c>
      <c r="P8928">
        <v>4280.6096049999996</v>
      </c>
      <c r="Q8928">
        <v>1384</v>
      </c>
      <c r="R8928">
        <v>0</v>
      </c>
    </row>
    <row r="8929" spans="1:18" x14ac:dyDescent="0.25">
      <c r="A8929">
        <v>8778</v>
      </c>
      <c r="B8929">
        <v>94</v>
      </c>
      <c r="C8929" t="e">
        <f>-IpV44DAIhXi9kVy3Y51PV</f>
        <v>#NAME?</v>
      </c>
      <c r="D8929" t="s">
        <v>272</v>
      </c>
      <c r="E8929">
        <v>424.59399999999999</v>
      </c>
      <c r="F8929" t="s">
        <v>21</v>
      </c>
      <c r="G8929" t="s">
        <v>26</v>
      </c>
      <c r="H8929" t="s">
        <v>21</v>
      </c>
      <c r="I8929" t="s">
        <v>20</v>
      </c>
      <c r="J8929" t="s">
        <v>20</v>
      </c>
      <c r="K8929" t="s">
        <v>41</v>
      </c>
      <c r="L8929" t="s">
        <v>177</v>
      </c>
      <c r="M8929" t="s">
        <v>46</v>
      </c>
      <c r="N8929">
        <v>41.362603999999997</v>
      </c>
      <c r="O8929">
        <v>-112.035518</v>
      </c>
      <c r="P8929">
        <v>4281.0864229999997</v>
      </c>
      <c r="Q8929">
        <v>1384</v>
      </c>
      <c r="R8929">
        <v>0</v>
      </c>
    </row>
    <row r="8930" spans="1:18" x14ac:dyDescent="0.25">
      <c r="A8930">
        <v>8779</v>
      </c>
      <c r="B8930">
        <v>94</v>
      </c>
      <c r="C8930" t="s">
        <v>1025</v>
      </c>
      <c r="D8930" t="s">
        <v>129</v>
      </c>
      <c r="E8930">
        <v>48.305999999999997</v>
      </c>
      <c r="F8930" t="s">
        <v>21</v>
      </c>
      <c r="G8930" t="s">
        <v>26</v>
      </c>
      <c r="H8930" t="s">
        <v>21</v>
      </c>
      <c r="I8930" t="s">
        <v>20</v>
      </c>
      <c r="J8930" t="s">
        <v>20</v>
      </c>
      <c r="K8930" t="s">
        <v>31</v>
      </c>
      <c r="L8930" t="s">
        <v>130</v>
      </c>
      <c r="M8930" t="s">
        <v>328</v>
      </c>
      <c r="N8930">
        <v>40.910049999999998</v>
      </c>
      <c r="O8930">
        <v>-110.82991699999999</v>
      </c>
      <c r="P8930">
        <v>8297.9844819999998</v>
      </c>
      <c r="Q8930">
        <v>340</v>
      </c>
      <c r="R8930">
        <v>0</v>
      </c>
    </row>
    <row r="8931" spans="1:18" x14ac:dyDescent="0.25">
      <c r="A8931">
        <v>8780</v>
      </c>
      <c r="B8931">
        <v>94</v>
      </c>
      <c r="C8931">
        <v>31407302</v>
      </c>
      <c r="D8931" t="s">
        <v>124</v>
      </c>
      <c r="E8931">
        <v>48.314999999999998</v>
      </c>
      <c r="F8931" t="s">
        <v>19</v>
      </c>
      <c r="G8931" t="s">
        <v>20</v>
      </c>
      <c r="H8931" t="s">
        <v>19</v>
      </c>
      <c r="I8931">
        <v>48</v>
      </c>
      <c r="J8931" t="s">
        <v>20</v>
      </c>
      <c r="K8931" t="s">
        <v>31</v>
      </c>
      <c r="L8931" t="s">
        <v>48</v>
      </c>
      <c r="M8931" t="s">
        <v>125</v>
      </c>
      <c r="N8931">
        <v>40.609523000000003</v>
      </c>
      <c r="O8931">
        <v>-111.93877000000001</v>
      </c>
      <c r="P8931">
        <v>4313.5396430000001</v>
      </c>
      <c r="Q8931">
        <v>1368</v>
      </c>
      <c r="R8931">
        <v>0</v>
      </c>
    </row>
    <row r="8932" spans="1:18" x14ac:dyDescent="0.25">
      <c r="A8932">
        <v>8781</v>
      </c>
      <c r="B8932">
        <v>94</v>
      </c>
      <c r="C8932">
        <v>31340458</v>
      </c>
      <c r="D8932" t="s">
        <v>303</v>
      </c>
      <c r="E8932">
        <v>48.335999999999999</v>
      </c>
      <c r="F8932" t="s">
        <v>21</v>
      </c>
      <c r="G8932" t="s">
        <v>26</v>
      </c>
      <c r="H8932" t="s">
        <v>21</v>
      </c>
      <c r="I8932" t="s">
        <v>20</v>
      </c>
      <c r="J8932" t="s">
        <v>20</v>
      </c>
      <c r="K8932" t="s">
        <v>27</v>
      </c>
      <c r="L8932" t="s">
        <v>279</v>
      </c>
      <c r="M8932" t="s">
        <v>29</v>
      </c>
      <c r="N8932">
        <v>37.248463999999998</v>
      </c>
      <c r="O8932">
        <v>-112.80183700000001</v>
      </c>
      <c r="P8932">
        <v>6022.8135240000001</v>
      </c>
      <c r="Q8932">
        <v>1326</v>
      </c>
      <c r="R8932">
        <v>0</v>
      </c>
    </row>
    <row r="8933" spans="1:18" x14ac:dyDescent="0.25">
      <c r="A8933">
        <v>8782</v>
      </c>
      <c r="B8933">
        <v>94</v>
      </c>
      <c r="C8933">
        <v>31483425</v>
      </c>
      <c r="D8933" t="s">
        <v>213</v>
      </c>
      <c r="E8933">
        <v>48.338000000000001</v>
      </c>
      <c r="F8933" t="s">
        <v>21</v>
      </c>
      <c r="G8933" t="s">
        <v>20</v>
      </c>
      <c r="H8933" t="s">
        <v>21</v>
      </c>
      <c r="I8933" t="s">
        <v>20</v>
      </c>
      <c r="J8933" t="s">
        <v>20</v>
      </c>
      <c r="K8933" t="s">
        <v>27</v>
      </c>
      <c r="L8933" t="s">
        <v>173</v>
      </c>
      <c r="M8933" t="s">
        <v>214</v>
      </c>
      <c r="N8933">
        <v>39.074758000000003</v>
      </c>
      <c r="O8933">
        <v>-113.21117599999999</v>
      </c>
      <c r="P8933">
        <v>4555.062962</v>
      </c>
      <c r="Q8933">
        <v>1332</v>
      </c>
      <c r="R8933">
        <v>0</v>
      </c>
    </row>
    <row r="8934" spans="1:18" x14ac:dyDescent="0.25">
      <c r="A8934">
        <v>8783</v>
      </c>
      <c r="B8934">
        <v>94</v>
      </c>
      <c r="C8934">
        <v>28645441</v>
      </c>
      <c r="D8934" t="s">
        <v>142</v>
      </c>
      <c r="E8934">
        <v>48.399000000000001</v>
      </c>
      <c r="F8934" t="s">
        <v>21</v>
      </c>
      <c r="G8934" t="s">
        <v>26</v>
      </c>
      <c r="H8934" t="s">
        <v>21</v>
      </c>
      <c r="I8934" t="s">
        <v>20</v>
      </c>
      <c r="J8934" t="s">
        <v>20</v>
      </c>
      <c r="K8934" t="s">
        <v>27</v>
      </c>
      <c r="L8934" t="s">
        <v>143</v>
      </c>
      <c r="M8934" t="s">
        <v>106</v>
      </c>
      <c r="N8934">
        <v>38.496513999999998</v>
      </c>
      <c r="O8934">
        <v>-113.487019</v>
      </c>
      <c r="P8934">
        <v>5365.7546570000004</v>
      </c>
      <c r="Q8934">
        <v>305</v>
      </c>
      <c r="R8934">
        <v>0</v>
      </c>
    </row>
    <row r="8935" spans="1:18" x14ac:dyDescent="0.25">
      <c r="A8935">
        <v>8784</v>
      </c>
      <c r="B8935">
        <v>94</v>
      </c>
      <c r="C8935">
        <v>525743</v>
      </c>
      <c r="D8935" t="s">
        <v>44</v>
      </c>
      <c r="E8935">
        <v>3.2759999999999998</v>
      </c>
      <c r="F8935" t="s">
        <v>21</v>
      </c>
      <c r="G8935" t="s">
        <v>26</v>
      </c>
      <c r="H8935" t="s">
        <v>21</v>
      </c>
      <c r="I8935" t="s">
        <v>20</v>
      </c>
      <c r="J8935" t="s">
        <v>20</v>
      </c>
      <c r="K8935" t="s">
        <v>41</v>
      </c>
      <c r="L8935" t="s">
        <v>45</v>
      </c>
      <c r="M8935" t="s">
        <v>46</v>
      </c>
      <c r="N8935">
        <v>40.924846000000002</v>
      </c>
      <c r="O8935">
        <v>-111.878934</v>
      </c>
      <c r="P8935">
        <v>4230.6544260000001</v>
      </c>
      <c r="Q8935">
        <v>1395</v>
      </c>
      <c r="R8935">
        <v>0</v>
      </c>
    </row>
    <row r="8936" spans="1:18" x14ac:dyDescent="0.25">
      <c r="A8936">
        <v>8785</v>
      </c>
      <c r="B8936">
        <v>94</v>
      </c>
      <c r="C8936">
        <v>1115505</v>
      </c>
      <c r="D8936" t="s">
        <v>101</v>
      </c>
      <c r="E8936">
        <v>3.3180000000000001</v>
      </c>
      <c r="F8936" t="s">
        <v>21</v>
      </c>
      <c r="G8936" t="s">
        <v>26</v>
      </c>
      <c r="H8936" t="s">
        <v>21</v>
      </c>
      <c r="I8936" t="s">
        <v>20</v>
      </c>
      <c r="J8936" t="s">
        <v>20</v>
      </c>
      <c r="K8936" t="s">
        <v>41</v>
      </c>
      <c r="L8936" t="s">
        <v>57</v>
      </c>
      <c r="M8936" t="s">
        <v>58</v>
      </c>
      <c r="N8936">
        <v>41.118076000000002</v>
      </c>
      <c r="O8936">
        <v>-112.049002</v>
      </c>
      <c r="P8936">
        <v>4348.4580480000004</v>
      </c>
      <c r="Q8936">
        <v>328</v>
      </c>
      <c r="R8936">
        <v>0</v>
      </c>
    </row>
    <row r="8937" spans="1:18" x14ac:dyDescent="0.25">
      <c r="A8937">
        <v>8786</v>
      </c>
      <c r="B8937">
        <v>94</v>
      </c>
      <c r="C8937">
        <v>31310871</v>
      </c>
      <c r="D8937" t="s">
        <v>40</v>
      </c>
      <c r="E8937">
        <v>3.319</v>
      </c>
      <c r="F8937" t="s">
        <v>21</v>
      </c>
      <c r="G8937" t="s">
        <v>26</v>
      </c>
      <c r="H8937" t="s">
        <v>21</v>
      </c>
      <c r="I8937" t="s">
        <v>20</v>
      </c>
      <c r="J8937" t="s">
        <v>20</v>
      </c>
      <c r="K8937" t="s">
        <v>41</v>
      </c>
      <c r="L8937" t="s">
        <v>42</v>
      </c>
      <c r="M8937" t="s">
        <v>43</v>
      </c>
      <c r="N8937">
        <v>41.640749</v>
      </c>
      <c r="O8937">
        <v>-111.87415900000001</v>
      </c>
      <c r="P8937">
        <v>4568.5966959999996</v>
      </c>
      <c r="Q8937">
        <v>1391</v>
      </c>
      <c r="R8937">
        <v>0</v>
      </c>
    </row>
    <row r="8938" spans="1:18" x14ac:dyDescent="0.25">
      <c r="A8938">
        <v>8787</v>
      </c>
      <c r="B8938">
        <v>94</v>
      </c>
      <c r="C8938" t="e">
        <f>-JNVGPfTGuuuMHrqKQxptk</f>
        <v>#NAME?</v>
      </c>
      <c r="D8938" t="s">
        <v>124</v>
      </c>
      <c r="E8938">
        <v>44.994</v>
      </c>
      <c r="F8938" t="s">
        <v>21</v>
      </c>
      <c r="G8938" t="s">
        <v>26</v>
      </c>
      <c r="H8938" t="s">
        <v>21</v>
      </c>
      <c r="I8938" t="s">
        <v>20</v>
      </c>
      <c r="J8938" t="s">
        <v>20</v>
      </c>
      <c r="K8938" t="s">
        <v>31</v>
      </c>
      <c r="L8938" t="s">
        <v>48</v>
      </c>
      <c r="M8938" t="s">
        <v>125</v>
      </c>
      <c r="N8938">
        <v>40.561281000000001</v>
      </c>
      <c r="O8938">
        <v>-111.938592</v>
      </c>
      <c r="P8938">
        <v>4410.9389609999998</v>
      </c>
      <c r="Q8938">
        <v>1368</v>
      </c>
      <c r="R8938">
        <v>0</v>
      </c>
    </row>
    <row r="8939" spans="1:18" x14ac:dyDescent="0.25">
      <c r="A8939">
        <v>8788</v>
      </c>
      <c r="B8939">
        <v>94</v>
      </c>
      <c r="C8939" t="s">
        <v>1026</v>
      </c>
      <c r="D8939" t="s">
        <v>203</v>
      </c>
      <c r="E8939">
        <v>45.018999999999998</v>
      </c>
      <c r="F8939" t="s">
        <v>21</v>
      </c>
      <c r="G8939" t="s">
        <v>20</v>
      </c>
      <c r="H8939" t="s">
        <v>21</v>
      </c>
      <c r="I8939" t="s">
        <v>20</v>
      </c>
      <c r="J8939" t="s">
        <v>20</v>
      </c>
      <c r="K8939" t="s">
        <v>41</v>
      </c>
      <c r="L8939" t="s">
        <v>325</v>
      </c>
      <c r="M8939" t="s">
        <v>204</v>
      </c>
      <c r="N8939">
        <v>41.431113000000003</v>
      </c>
      <c r="O8939">
        <v>-111.50756</v>
      </c>
      <c r="P8939">
        <v>8919.3430279999993</v>
      </c>
      <c r="Q8939">
        <v>1349</v>
      </c>
      <c r="R8939">
        <v>0</v>
      </c>
    </row>
    <row r="8940" spans="1:18" x14ac:dyDescent="0.25">
      <c r="A8940">
        <v>8789</v>
      </c>
      <c r="B8940">
        <v>94</v>
      </c>
      <c r="C8940">
        <v>31728999</v>
      </c>
      <c r="D8940" t="s">
        <v>118</v>
      </c>
      <c r="E8940">
        <v>45.03</v>
      </c>
      <c r="F8940" t="s">
        <v>21</v>
      </c>
      <c r="G8940" t="s">
        <v>26</v>
      </c>
      <c r="H8940" t="s">
        <v>21</v>
      </c>
      <c r="I8940" t="s">
        <v>20</v>
      </c>
      <c r="J8940" t="s">
        <v>20</v>
      </c>
      <c r="K8940" t="s">
        <v>22</v>
      </c>
      <c r="L8940" t="s">
        <v>119</v>
      </c>
      <c r="M8940" t="s">
        <v>120</v>
      </c>
      <c r="N8940">
        <v>40.219628</v>
      </c>
      <c r="O8940">
        <v>-111.104145</v>
      </c>
      <c r="P8940">
        <v>7587.8662549999999</v>
      </c>
      <c r="Q8940">
        <v>310</v>
      </c>
      <c r="R8940">
        <v>0</v>
      </c>
    </row>
    <row r="8941" spans="1:18" x14ac:dyDescent="0.25">
      <c r="A8941">
        <v>8790</v>
      </c>
      <c r="B8941">
        <v>94</v>
      </c>
      <c r="C8941">
        <v>31731960</v>
      </c>
      <c r="D8941" t="s">
        <v>118</v>
      </c>
      <c r="E8941">
        <v>45.043999999999997</v>
      </c>
      <c r="F8941" t="s">
        <v>21</v>
      </c>
      <c r="G8941" t="s">
        <v>20</v>
      </c>
      <c r="H8941" t="s">
        <v>21</v>
      </c>
      <c r="I8941" t="s">
        <v>20</v>
      </c>
      <c r="J8941" t="s">
        <v>20</v>
      </c>
      <c r="K8941" t="s">
        <v>22</v>
      </c>
      <c r="L8941" t="s">
        <v>119</v>
      </c>
      <c r="M8941" t="s">
        <v>120</v>
      </c>
      <c r="N8941">
        <v>40.219430000000003</v>
      </c>
      <c r="O8941">
        <v>-111.1041</v>
      </c>
      <c r="P8941">
        <v>7588.1042440000001</v>
      </c>
      <c r="Q8941">
        <v>310</v>
      </c>
      <c r="R8941">
        <v>0</v>
      </c>
    </row>
    <row r="8942" spans="1:18" x14ac:dyDescent="0.25">
      <c r="A8942">
        <v>8791</v>
      </c>
      <c r="B8942">
        <v>94</v>
      </c>
      <c r="C8942">
        <v>31402483</v>
      </c>
      <c r="D8942" t="s">
        <v>124</v>
      </c>
      <c r="E8942">
        <v>45.064</v>
      </c>
      <c r="F8942" t="s">
        <v>19</v>
      </c>
      <c r="G8942" t="s">
        <v>20</v>
      </c>
      <c r="H8942" t="s">
        <v>19</v>
      </c>
      <c r="I8942">
        <v>151</v>
      </c>
      <c r="J8942" t="s">
        <v>20</v>
      </c>
      <c r="K8942" t="s">
        <v>31</v>
      </c>
      <c r="L8942" t="s">
        <v>48</v>
      </c>
      <c r="M8942" t="s">
        <v>125</v>
      </c>
      <c r="N8942">
        <v>40.562311000000001</v>
      </c>
      <c r="O8942">
        <v>-111.93866199999999</v>
      </c>
      <c r="P8942">
        <v>4422.7820689999999</v>
      </c>
      <c r="Q8942">
        <v>1368</v>
      </c>
      <c r="R8942">
        <v>0</v>
      </c>
    </row>
    <row r="8943" spans="1:18" x14ac:dyDescent="0.25">
      <c r="A8943">
        <v>8792</v>
      </c>
      <c r="B8943">
        <v>94</v>
      </c>
      <c r="C8943">
        <v>31328737</v>
      </c>
      <c r="D8943" t="s">
        <v>288</v>
      </c>
      <c r="E8943">
        <v>45.103000000000002</v>
      </c>
      <c r="F8943" t="s">
        <v>21</v>
      </c>
      <c r="G8943" t="s">
        <v>20</v>
      </c>
      <c r="H8943" t="s">
        <v>21</v>
      </c>
      <c r="I8943" t="s">
        <v>20</v>
      </c>
      <c r="J8943" t="s">
        <v>20</v>
      </c>
      <c r="K8943" t="s">
        <v>27</v>
      </c>
      <c r="L8943" t="s">
        <v>327</v>
      </c>
      <c r="M8943" t="s">
        <v>212</v>
      </c>
      <c r="N8943">
        <v>37.542473000000001</v>
      </c>
      <c r="O8943">
        <v>-109.492762</v>
      </c>
      <c r="P8943">
        <v>5569.9703900000004</v>
      </c>
      <c r="Q8943">
        <v>350</v>
      </c>
      <c r="R8943">
        <v>0</v>
      </c>
    </row>
    <row r="8944" spans="1:18" x14ac:dyDescent="0.25">
      <c r="A8944">
        <v>8793</v>
      </c>
      <c r="B8944">
        <v>94</v>
      </c>
      <c r="C8944" t="e">
        <f>-IozyrdRF_967lFXKSfnzF</f>
        <v>#NAME?</v>
      </c>
      <c r="D8944" t="s">
        <v>203</v>
      </c>
      <c r="E8944">
        <v>45.188000000000002</v>
      </c>
      <c r="F8944" t="s">
        <v>21</v>
      </c>
      <c r="G8944" t="s">
        <v>20</v>
      </c>
      <c r="H8944" t="s">
        <v>21</v>
      </c>
      <c r="I8944" t="s">
        <v>20</v>
      </c>
      <c r="J8944" t="s">
        <v>20</v>
      </c>
      <c r="K8944" t="s">
        <v>41</v>
      </c>
      <c r="L8944" t="s">
        <v>325</v>
      </c>
      <c r="M8944" t="s">
        <v>204</v>
      </c>
      <c r="N8944">
        <v>41.433461999999999</v>
      </c>
      <c r="O8944">
        <v>-111.506606</v>
      </c>
      <c r="P8944">
        <v>8927.9488810000003</v>
      </c>
      <c r="Q8944">
        <v>1349</v>
      </c>
      <c r="R8944">
        <v>0</v>
      </c>
    </row>
    <row r="8945" spans="1:18" x14ac:dyDescent="0.25">
      <c r="A8945">
        <v>8794</v>
      </c>
      <c r="B8945">
        <v>94</v>
      </c>
      <c r="C8945" t="s">
        <v>1027</v>
      </c>
      <c r="D8945" t="s">
        <v>129</v>
      </c>
      <c r="E8945">
        <v>45.213000000000001</v>
      </c>
      <c r="F8945" t="s">
        <v>21</v>
      </c>
      <c r="G8945" t="s">
        <v>20</v>
      </c>
      <c r="H8945" t="s">
        <v>21</v>
      </c>
      <c r="I8945" t="s">
        <v>20</v>
      </c>
      <c r="J8945" t="s">
        <v>20</v>
      </c>
      <c r="K8945" t="s">
        <v>31</v>
      </c>
      <c r="L8945" t="s">
        <v>130</v>
      </c>
      <c r="M8945" t="s">
        <v>328</v>
      </c>
      <c r="N8945">
        <v>40.867573999999998</v>
      </c>
      <c r="O8945">
        <v>-110.83872100000001</v>
      </c>
      <c r="P8945">
        <v>8487.5380949999999</v>
      </c>
      <c r="Q8945">
        <v>340</v>
      </c>
      <c r="R8945">
        <v>0</v>
      </c>
    </row>
    <row r="8946" spans="1:18" x14ac:dyDescent="0.25">
      <c r="A8946">
        <v>8795</v>
      </c>
      <c r="B8946">
        <v>94</v>
      </c>
      <c r="C8946">
        <v>31402698</v>
      </c>
      <c r="D8946" t="s">
        <v>124</v>
      </c>
      <c r="E8946">
        <v>45.31</v>
      </c>
      <c r="F8946" t="s">
        <v>19</v>
      </c>
      <c r="G8946" t="s">
        <v>20</v>
      </c>
      <c r="H8946" t="s">
        <v>21</v>
      </c>
      <c r="I8946" t="s">
        <v>20</v>
      </c>
      <c r="J8946" t="s">
        <v>20</v>
      </c>
      <c r="K8946" t="s">
        <v>31</v>
      </c>
      <c r="L8946" t="s">
        <v>48</v>
      </c>
      <c r="M8946" t="s">
        <v>125</v>
      </c>
      <c r="N8946">
        <v>40.565874000000001</v>
      </c>
      <c r="O8946">
        <v>-111.938666</v>
      </c>
      <c r="P8946">
        <v>4408.0784169999997</v>
      </c>
      <c r="Q8946">
        <v>1368</v>
      </c>
      <c r="R8946">
        <v>0</v>
      </c>
    </row>
    <row r="8947" spans="1:18" x14ac:dyDescent="0.25">
      <c r="A8947">
        <v>8796</v>
      </c>
      <c r="B8947">
        <v>94</v>
      </c>
      <c r="C8947">
        <v>31578942</v>
      </c>
      <c r="D8947" t="s">
        <v>172</v>
      </c>
      <c r="E8947">
        <v>45.316000000000003</v>
      </c>
      <c r="F8947" t="s">
        <v>21</v>
      </c>
      <c r="G8947" t="s">
        <v>26</v>
      </c>
      <c r="H8947" t="s">
        <v>21</v>
      </c>
      <c r="I8947" t="s">
        <v>20</v>
      </c>
      <c r="J8947" t="s">
        <v>20</v>
      </c>
      <c r="K8947" t="s">
        <v>27</v>
      </c>
      <c r="L8947" t="s">
        <v>230</v>
      </c>
      <c r="M8947" t="s">
        <v>174</v>
      </c>
      <c r="N8947">
        <v>39.655586999999997</v>
      </c>
      <c r="O8947">
        <v>-111.651326</v>
      </c>
      <c r="P8947">
        <v>6147.1238919999996</v>
      </c>
      <c r="Q8947">
        <v>1411</v>
      </c>
      <c r="R8947">
        <v>0</v>
      </c>
    </row>
    <row r="8948" spans="1:18" x14ac:dyDescent="0.25">
      <c r="A8948">
        <v>8797</v>
      </c>
      <c r="B8948">
        <v>94</v>
      </c>
      <c r="C8948">
        <v>31441783</v>
      </c>
      <c r="D8948" t="s">
        <v>220</v>
      </c>
      <c r="E8948">
        <v>45.341000000000001</v>
      </c>
      <c r="F8948" t="s">
        <v>21</v>
      </c>
      <c r="G8948" t="s">
        <v>26</v>
      </c>
      <c r="H8948" t="s">
        <v>21</v>
      </c>
      <c r="I8948" t="s">
        <v>20</v>
      </c>
      <c r="J8948" t="s">
        <v>20</v>
      </c>
      <c r="K8948" t="s">
        <v>27</v>
      </c>
      <c r="L8948" t="s">
        <v>28</v>
      </c>
      <c r="M8948" t="s">
        <v>366</v>
      </c>
      <c r="N8948">
        <v>37.688775</v>
      </c>
      <c r="O8948">
        <v>-111.804473</v>
      </c>
      <c r="P8948">
        <v>7001.1591010000002</v>
      </c>
      <c r="Q8948">
        <v>1328</v>
      </c>
      <c r="R8948">
        <v>0</v>
      </c>
    </row>
    <row r="8949" spans="1:18" x14ac:dyDescent="0.25">
      <c r="A8949">
        <v>8798</v>
      </c>
      <c r="B8949">
        <v>94</v>
      </c>
      <c r="C8949">
        <v>28936709</v>
      </c>
      <c r="D8949" t="s">
        <v>88</v>
      </c>
      <c r="E8949">
        <v>19.161000000000001</v>
      </c>
      <c r="F8949" t="s">
        <v>19</v>
      </c>
      <c r="G8949" t="s">
        <v>20</v>
      </c>
      <c r="H8949" t="s">
        <v>21</v>
      </c>
      <c r="I8949" t="s">
        <v>20</v>
      </c>
      <c r="J8949" t="s">
        <v>20</v>
      </c>
      <c r="K8949" t="s">
        <v>31</v>
      </c>
      <c r="L8949" t="s">
        <v>66</v>
      </c>
      <c r="M8949" t="s">
        <v>90</v>
      </c>
      <c r="N8949">
        <v>40.712688</v>
      </c>
      <c r="O8949">
        <v>-111.871274</v>
      </c>
      <c r="P8949">
        <v>4231.9083460000002</v>
      </c>
      <c r="Q8949">
        <v>318</v>
      </c>
      <c r="R8949">
        <v>0</v>
      </c>
    </row>
    <row r="8950" spans="1:18" x14ac:dyDescent="0.25">
      <c r="A8950">
        <v>8799</v>
      </c>
      <c r="B8950">
        <v>94</v>
      </c>
      <c r="C8950">
        <v>31498189</v>
      </c>
      <c r="D8950" t="s">
        <v>317</v>
      </c>
      <c r="E8950">
        <v>19.173999999999999</v>
      </c>
      <c r="F8950" t="s">
        <v>21</v>
      </c>
      <c r="G8950" t="s">
        <v>20</v>
      </c>
      <c r="H8950" t="s">
        <v>21</v>
      </c>
      <c r="I8950" t="s">
        <v>20</v>
      </c>
      <c r="J8950" t="s">
        <v>20</v>
      </c>
      <c r="K8950" t="s">
        <v>27</v>
      </c>
      <c r="L8950" t="s">
        <v>211</v>
      </c>
      <c r="M8950" t="s">
        <v>212</v>
      </c>
      <c r="N8950">
        <v>37.132587999999998</v>
      </c>
      <c r="O8950">
        <v>-109.888891</v>
      </c>
      <c r="P8950">
        <v>4290.3186740000001</v>
      </c>
      <c r="Q8950">
        <v>1432</v>
      </c>
      <c r="R8950">
        <v>0</v>
      </c>
    </row>
    <row r="8951" spans="1:18" x14ac:dyDescent="0.25">
      <c r="A8951">
        <v>8800</v>
      </c>
      <c r="B8951">
        <v>94</v>
      </c>
      <c r="C8951">
        <v>2601599</v>
      </c>
      <c r="D8951" t="s">
        <v>176</v>
      </c>
      <c r="E8951">
        <v>19.175000000000001</v>
      </c>
      <c r="F8951" t="s">
        <v>21</v>
      </c>
      <c r="G8951" t="s">
        <v>26</v>
      </c>
      <c r="H8951" t="s">
        <v>21</v>
      </c>
      <c r="I8951" t="s">
        <v>20</v>
      </c>
      <c r="J8951" t="s">
        <v>20</v>
      </c>
      <c r="K8951" t="s">
        <v>41</v>
      </c>
      <c r="L8951" t="s">
        <v>181</v>
      </c>
      <c r="M8951" t="s">
        <v>178</v>
      </c>
      <c r="N8951">
        <v>41.697769000000001</v>
      </c>
      <c r="O8951">
        <v>-112.141791</v>
      </c>
      <c r="P8951">
        <v>4255.6286799999998</v>
      </c>
      <c r="Q8951">
        <v>1329</v>
      </c>
      <c r="R8951">
        <v>0</v>
      </c>
    </row>
    <row r="8952" spans="1:18" x14ac:dyDescent="0.25">
      <c r="A8952">
        <v>8801</v>
      </c>
      <c r="B8952">
        <v>94</v>
      </c>
      <c r="C8952">
        <v>31303930</v>
      </c>
      <c r="D8952" t="s">
        <v>116</v>
      </c>
      <c r="E8952">
        <v>19.177</v>
      </c>
      <c r="F8952" t="s">
        <v>19</v>
      </c>
      <c r="G8952" t="s">
        <v>20</v>
      </c>
      <c r="H8952" t="s">
        <v>19</v>
      </c>
      <c r="I8952">
        <v>101</v>
      </c>
      <c r="J8952" t="s">
        <v>20</v>
      </c>
      <c r="K8952" t="s">
        <v>41</v>
      </c>
      <c r="L8952" t="s">
        <v>42</v>
      </c>
      <c r="M8952" t="s">
        <v>43</v>
      </c>
      <c r="N8952">
        <v>41.644858999999997</v>
      </c>
      <c r="O8952">
        <v>-111.91406600000001</v>
      </c>
      <c r="P8952">
        <v>4445.2232839999997</v>
      </c>
      <c r="Q8952">
        <v>324</v>
      </c>
      <c r="R8952">
        <v>0</v>
      </c>
    </row>
    <row r="8953" spans="1:18" x14ac:dyDescent="0.25">
      <c r="A8953">
        <v>8802</v>
      </c>
      <c r="B8953">
        <v>94</v>
      </c>
      <c r="C8953">
        <v>31395145</v>
      </c>
      <c r="D8953" t="s">
        <v>352</v>
      </c>
      <c r="E8953">
        <v>19.22</v>
      </c>
      <c r="F8953" t="s">
        <v>21</v>
      </c>
      <c r="G8953" t="s">
        <v>26</v>
      </c>
      <c r="H8953" t="s">
        <v>21</v>
      </c>
      <c r="I8953" t="s">
        <v>20</v>
      </c>
      <c r="J8953" t="s">
        <v>20</v>
      </c>
      <c r="K8953" t="s">
        <v>31</v>
      </c>
      <c r="L8953" t="s">
        <v>282</v>
      </c>
      <c r="M8953" t="s">
        <v>206</v>
      </c>
      <c r="N8953">
        <v>40.337848999999999</v>
      </c>
      <c r="O8953">
        <v>-112.460859</v>
      </c>
      <c r="P8953">
        <v>5112.2705690000003</v>
      </c>
      <c r="Q8953">
        <v>409</v>
      </c>
      <c r="R8953">
        <v>0</v>
      </c>
    </row>
    <row r="8954" spans="1:18" x14ac:dyDescent="0.25">
      <c r="A8954">
        <v>8803</v>
      </c>
      <c r="B8954">
        <v>94</v>
      </c>
      <c r="C8954">
        <v>27875266</v>
      </c>
      <c r="D8954" t="s">
        <v>91</v>
      </c>
      <c r="E8954">
        <v>19.222999999999999</v>
      </c>
      <c r="F8954" t="s">
        <v>21</v>
      </c>
      <c r="G8954" t="s">
        <v>26</v>
      </c>
      <c r="H8954" t="s">
        <v>19</v>
      </c>
      <c r="I8954">
        <v>218</v>
      </c>
      <c r="J8954" t="s">
        <v>20</v>
      </c>
      <c r="K8954" t="s">
        <v>41</v>
      </c>
      <c r="L8954" t="s">
        <v>95</v>
      </c>
      <c r="M8954" t="s">
        <v>73</v>
      </c>
      <c r="N8954">
        <v>41.860827</v>
      </c>
      <c r="O8954">
        <v>-111.978427</v>
      </c>
      <c r="P8954">
        <v>4489.2613719999999</v>
      </c>
      <c r="Q8954">
        <v>1339</v>
      </c>
      <c r="R8954">
        <v>0</v>
      </c>
    </row>
    <row r="8955" spans="1:18" x14ac:dyDescent="0.25">
      <c r="A8955">
        <v>8804</v>
      </c>
      <c r="B8955">
        <v>94</v>
      </c>
      <c r="C8955">
        <v>31719434</v>
      </c>
      <c r="D8955" t="s">
        <v>118</v>
      </c>
      <c r="E8955">
        <v>19.225000000000001</v>
      </c>
      <c r="F8955" t="s">
        <v>21</v>
      </c>
      <c r="G8955" t="s">
        <v>26</v>
      </c>
      <c r="H8955" t="s">
        <v>21</v>
      </c>
      <c r="I8955" t="s">
        <v>20</v>
      </c>
      <c r="J8955" t="s">
        <v>20</v>
      </c>
      <c r="K8955" t="s">
        <v>22</v>
      </c>
      <c r="L8955" t="s">
        <v>119</v>
      </c>
      <c r="M8955" t="s">
        <v>120</v>
      </c>
      <c r="N8955">
        <v>40.478133</v>
      </c>
      <c r="O8955">
        <v>-111.398223</v>
      </c>
      <c r="P8955">
        <v>5704.5320879999999</v>
      </c>
      <c r="Q8955">
        <v>310</v>
      </c>
      <c r="R8955">
        <v>0</v>
      </c>
    </row>
    <row r="8956" spans="1:18" x14ac:dyDescent="0.25">
      <c r="A8956">
        <v>8805</v>
      </c>
      <c r="B8956">
        <v>94</v>
      </c>
      <c r="C8956">
        <v>31609550</v>
      </c>
      <c r="D8956" t="s">
        <v>50</v>
      </c>
      <c r="E8956">
        <v>19.228000000000002</v>
      </c>
      <c r="F8956" t="s">
        <v>21</v>
      </c>
      <c r="G8956" t="s">
        <v>26</v>
      </c>
      <c r="H8956" t="s">
        <v>19</v>
      </c>
      <c r="I8956">
        <v>148</v>
      </c>
      <c r="J8956" t="s">
        <v>20</v>
      </c>
      <c r="K8956" t="s">
        <v>27</v>
      </c>
      <c r="L8956" t="s">
        <v>51</v>
      </c>
      <c r="M8956" t="s">
        <v>52</v>
      </c>
      <c r="N8956">
        <v>37.654392000000001</v>
      </c>
      <c r="O8956">
        <v>-112.82621399999999</v>
      </c>
      <c r="P8956">
        <v>10508.577673</v>
      </c>
      <c r="Q8956">
        <v>1418</v>
      </c>
      <c r="R8956">
        <v>0</v>
      </c>
    </row>
    <row r="8957" spans="1:18" x14ac:dyDescent="0.25">
      <c r="A8957">
        <v>8806</v>
      </c>
      <c r="B8957">
        <v>94</v>
      </c>
      <c r="C8957" t="e">
        <f>-JXVsyS4I4P1D2JxiRQWlk</f>
        <v>#NAME?</v>
      </c>
      <c r="D8957" t="s">
        <v>239</v>
      </c>
      <c r="E8957">
        <v>19.231999999999999</v>
      </c>
      <c r="F8957" t="s">
        <v>21</v>
      </c>
      <c r="G8957" t="s">
        <v>20</v>
      </c>
      <c r="H8957" t="s">
        <v>21</v>
      </c>
      <c r="I8957" t="s">
        <v>20</v>
      </c>
      <c r="J8957" t="s">
        <v>20</v>
      </c>
      <c r="K8957" t="s">
        <v>41</v>
      </c>
      <c r="L8957" t="s">
        <v>223</v>
      </c>
      <c r="M8957" t="s">
        <v>178</v>
      </c>
      <c r="N8957">
        <v>41.714503999999998</v>
      </c>
      <c r="O8957">
        <v>-112.10897900000001</v>
      </c>
      <c r="P8957">
        <v>4251.9701729999997</v>
      </c>
      <c r="Q8957">
        <v>1392</v>
      </c>
      <c r="R8957">
        <v>0</v>
      </c>
    </row>
    <row r="8958" spans="1:18" x14ac:dyDescent="0.25">
      <c r="A8958">
        <v>8807</v>
      </c>
      <c r="B8958">
        <v>94</v>
      </c>
      <c r="C8958">
        <v>31488530</v>
      </c>
      <c r="D8958" t="s">
        <v>244</v>
      </c>
      <c r="E8958">
        <v>12.368</v>
      </c>
      <c r="F8958" t="s">
        <v>21</v>
      </c>
      <c r="G8958" t="s">
        <v>26</v>
      </c>
      <c r="H8958" t="s">
        <v>21</v>
      </c>
      <c r="I8958" t="s">
        <v>20</v>
      </c>
      <c r="J8958" t="s">
        <v>20</v>
      </c>
      <c r="K8958" t="s">
        <v>27</v>
      </c>
      <c r="L8958" t="s">
        <v>75</v>
      </c>
      <c r="M8958" t="s">
        <v>58</v>
      </c>
      <c r="N8958">
        <v>38.821122000000003</v>
      </c>
      <c r="O8958">
        <v>-111.94135900000001</v>
      </c>
      <c r="P8958">
        <v>5451.9120979999998</v>
      </c>
      <c r="Q8958">
        <v>1340</v>
      </c>
      <c r="R8958">
        <v>0</v>
      </c>
    </row>
    <row r="8959" spans="1:18" x14ac:dyDescent="0.25">
      <c r="A8959">
        <v>8808</v>
      </c>
      <c r="B8959">
        <v>94</v>
      </c>
      <c r="C8959">
        <v>31310635</v>
      </c>
      <c r="D8959" t="s">
        <v>310</v>
      </c>
      <c r="E8959">
        <v>12.388</v>
      </c>
      <c r="F8959" t="s">
        <v>21</v>
      </c>
      <c r="G8959" t="s">
        <v>20</v>
      </c>
      <c r="H8959" t="s">
        <v>21</v>
      </c>
      <c r="I8959" t="s">
        <v>20</v>
      </c>
      <c r="J8959" t="s">
        <v>20</v>
      </c>
      <c r="K8959" t="s">
        <v>31</v>
      </c>
      <c r="L8959" t="s">
        <v>285</v>
      </c>
      <c r="M8959" t="s">
        <v>206</v>
      </c>
      <c r="N8959">
        <v>40.599589999999999</v>
      </c>
      <c r="O8959">
        <v>-112.422569</v>
      </c>
      <c r="P8959">
        <v>4235.1206700000002</v>
      </c>
      <c r="Q8959">
        <v>1414</v>
      </c>
      <c r="R8959">
        <v>0</v>
      </c>
    </row>
    <row r="8960" spans="1:18" x14ac:dyDescent="0.25">
      <c r="A8960">
        <v>8809</v>
      </c>
      <c r="B8960">
        <v>94</v>
      </c>
      <c r="C8960">
        <v>31285324</v>
      </c>
      <c r="D8960" t="s">
        <v>126</v>
      </c>
      <c r="E8960">
        <v>12.394</v>
      </c>
      <c r="F8960" t="s">
        <v>19</v>
      </c>
      <c r="G8960" t="s">
        <v>20</v>
      </c>
      <c r="H8960" t="s">
        <v>19</v>
      </c>
      <c r="I8960">
        <v>89</v>
      </c>
      <c r="J8960" t="s">
        <v>20</v>
      </c>
      <c r="K8960" t="s">
        <v>41</v>
      </c>
      <c r="L8960" t="s">
        <v>57</v>
      </c>
      <c r="M8960" t="s">
        <v>93</v>
      </c>
      <c r="N8960">
        <v>41.306843000000001</v>
      </c>
      <c r="O8960">
        <v>-112.005584</v>
      </c>
      <c r="P8960">
        <v>4245.4304659999998</v>
      </c>
      <c r="Q8960">
        <v>1412</v>
      </c>
      <c r="R8960">
        <v>0</v>
      </c>
    </row>
    <row r="8961" spans="1:18" x14ac:dyDescent="0.25">
      <c r="A8961">
        <v>8810</v>
      </c>
      <c r="B8961">
        <v>94</v>
      </c>
      <c r="C8961">
        <v>31195171</v>
      </c>
      <c r="D8961" t="s">
        <v>309</v>
      </c>
      <c r="E8961">
        <v>12.397</v>
      </c>
      <c r="F8961" t="s">
        <v>21</v>
      </c>
      <c r="G8961" t="s">
        <v>26</v>
      </c>
      <c r="H8961" t="s">
        <v>21</v>
      </c>
      <c r="I8961" t="s">
        <v>20</v>
      </c>
      <c r="J8961" t="s">
        <v>20</v>
      </c>
      <c r="K8961" t="s">
        <v>22</v>
      </c>
      <c r="L8961" t="s">
        <v>140</v>
      </c>
      <c r="M8961" t="s">
        <v>125</v>
      </c>
      <c r="N8961">
        <v>40.115001999999997</v>
      </c>
      <c r="O8961">
        <v>-111.649545</v>
      </c>
      <c r="P8961">
        <v>4532.5240889999995</v>
      </c>
      <c r="Q8961">
        <v>339</v>
      </c>
      <c r="R8961">
        <v>0</v>
      </c>
    </row>
    <row r="8962" spans="1:18" x14ac:dyDescent="0.25">
      <c r="A8962">
        <v>8811</v>
      </c>
      <c r="B8962">
        <v>94</v>
      </c>
      <c r="C8962">
        <v>31287056</v>
      </c>
      <c r="D8962" t="s">
        <v>305</v>
      </c>
      <c r="E8962">
        <v>12.406000000000001</v>
      </c>
      <c r="F8962" t="s">
        <v>21</v>
      </c>
      <c r="G8962" t="s">
        <v>26</v>
      </c>
      <c r="H8962" t="s">
        <v>21</v>
      </c>
      <c r="I8962" t="s">
        <v>20</v>
      </c>
      <c r="J8962" t="s">
        <v>20</v>
      </c>
      <c r="K8962" t="s">
        <v>22</v>
      </c>
      <c r="L8962" t="s">
        <v>133</v>
      </c>
      <c r="M8962" t="s">
        <v>235</v>
      </c>
      <c r="N8962">
        <v>40.254576999999998</v>
      </c>
      <c r="O8962">
        <v>-109.684427</v>
      </c>
      <c r="P8962">
        <v>4934.4757479999998</v>
      </c>
      <c r="Q8962">
        <v>1383</v>
      </c>
      <c r="R8962">
        <v>0</v>
      </c>
    </row>
    <row r="8963" spans="1:18" x14ac:dyDescent="0.25">
      <c r="A8963">
        <v>8812</v>
      </c>
      <c r="B8963">
        <v>94</v>
      </c>
      <c r="C8963" t="s">
        <v>1028</v>
      </c>
      <c r="D8963" t="s">
        <v>288</v>
      </c>
      <c r="E8963">
        <v>12.414999999999999</v>
      </c>
      <c r="F8963" t="s">
        <v>21</v>
      </c>
      <c r="G8963" t="s">
        <v>20</v>
      </c>
      <c r="H8963" t="s">
        <v>21</v>
      </c>
      <c r="I8963" t="s">
        <v>20</v>
      </c>
      <c r="J8963" t="s">
        <v>20</v>
      </c>
      <c r="K8963" t="s">
        <v>27</v>
      </c>
      <c r="L8963" t="s">
        <v>211</v>
      </c>
      <c r="M8963" t="s">
        <v>318</v>
      </c>
      <c r="N8963">
        <v>37.154564999999998</v>
      </c>
      <c r="O8963">
        <v>-109.56891</v>
      </c>
      <c r="P8963">
        <v>4586.8285800000003</v>
      </c>
      <c r="Q8963">
        <v>350</v>
      </c>
      <c r="R8963">
        <v>0</v>
      </c>
    </row>
    <row r="8964" spans="1:18" x14ac:dyDescent="0.25">
      <c r="A8964">
        <v>8813</v>
      </c>
      <c r="B8964">
        <v>94</v>
      </c>
      <c r="C8964" t="s">
        <v>1029</v>
      </c>
      <c r="D8964" t="s">
        <v>315</v>
      </c>
      <c r="E8964">
        <v>12.42</v>
      </c>
      <c r="F8964" t="s">
        <v>21</v>
      </c>
      <c r="G8964" t="s">
        <v>26</v>
      </c>
      <c r="H8964" t="s">
        <v>21</v>
      </c>
      <c r="I8964" t="s">
        <v>20</v>
      </c>
      <c r="J8964" t="s">
        <v>20</v>
      </c>
      <c r="K8964" t="s">
        <v>27</v>
      </c>
      <c r="L8964" t="s">
        <v>111</v>
      </c>
      <c r="M8964" t="s">
        <v>243</v>
      </c>
      <c r="N8964">
        <v>39.267456000000003</v>
      </c>
      <c r="O8964">
        <v>-111.136562</v>
      </c>
      <c r="P8964">
        <v>6050.6925190000002</v>
      </c>
      <c r="Q8964">
        <v>307</v>
      </c>
      <c r="R8964">
        <v>0</v>
      </c>
    </row>
    <row r="8965" spans="1:18" x14ac:dyDescent="0.25">
      <c r="A8965">
        <v>8814</v>
      </c>
      <c r="B8965">
        <v>94</v>
      </c>
      <c r="C8965">
        <v>31270656</v>
      </c>
      <c r="D8965" t="s">
        <v>241</v>
      </c>
      <c r="E8965">
        <v>12.423</v>
      </c>
      <c r="F8965" t="s">
        <v>21</v>
      </c>
      <c r="G8965" t="s">
        <v>26</v>
      </c>
      <c r="H8965" t="s">
        <v>21</v>
      </c>
      <c r="I8965" t="s">
        <v>20</v>
      </c>
      <c r="J8965" t="s">
        <v>20</v>
      </c>
      <c r="K8965" t="s">
        <v>27</v>
      </c>
      <c r="L8965" t="s">
        <v>242</v>
      </c>
      <c r="M8965" t="s">
        <v>243</v>
      </c>
      <c r="N8965">
        <v>38.923081000000003</v>
      </c>
      <c r="O8965">
        <v>-111.25234399999999</v>
      </c>
      <c r="P8965">
        <v>6208.4919630000004</v>
      </c>
      <c r="Q8965">
        <v>1327</v>
      </c>
      <c r="R8965">
        <v>0</v>
      </c>
    </row>
    <row r="8966" spans="1:18" x14ac:dyDescent="0.25">
      <c r="A8966">
        <v>8815</v>
      </c>
      <c r="B8966">
        <v>94</v>
      </c>
      <c r="C8966">
        <v>28357347</v>
      </c>
      <c r="D8966" t="s">
        <v>323</v>
      </c>
      <c r="E8966">
        <v>12.429</v>
      </c>
      <c r="F8966" t="s">
        <v>19</v>
      </c>
      <c r="G8966" t="s">
        <v>20</v>
      </c>
      <c r="H8966" t="s">
        <v>19</v>
      </c>
      <c r="I8966">
        <v>248</v>
      </c>
      <c r="J8966" t="s">
        <v>20</v>
      </c>
      <c r="K8966" t="s">
        <v>31</v>
      </c>
      <c r="L8966" t="s">
        <v>130</v>
      </c>
      <c r="M8966" t="s">
        <v>131</v>
      </c>
      <c r="N8966">
        <v>40.639888999999997</v>
      </c>
      <c r="O8966">
        <v>-111.280772</v>
      </c>
      <c r="P8966">
        <v>6437.3253690000001</v>
      </c>
      <c r="Q8966">
        <v>1345</v>
      </c>
      <c r="R8966">
        <v>0</v>
      </c>
    </row>
    <row r="8967" spans="1:18" x14ac:dyDescent="0.25">
      <c r="A8967">
        <v>8816</v>
      </c>
      <c r="B8967">
        <v>94</v>
      </c>
      <c r="C8967">
        <v>31501537</v>
      </c>
      <c r="D8967" t="s">
        <v>224</v>
      </c>
      <c r="E8967">
        <v>12.435</v>
      </c>
      <c r="F8967" t="s">
        <v>21</v>
      </c>
      <c r="G8967" t="s">
        <v>26</v>
      </c>
      <c r="H8967" t="s">
        <v>21</v>
      </c>
      <c r="I8967" t="s">
        <v>20</v>
      </c>
      <c r="J8967" t="s">
        <v>20</v>
      </c>
      <c r="K8967" t="s">
        <v>22</v>
      </c>
      <c r="L8967" t="s">
        <v>140</v>
      </c>
      <c r="M8967" t="s">
        <v>194</v>
      </c>
      <c r="N8967">
        <v>40.105860999999997</v>
      </c>
      <c r="O8967">
        <v>-111.653046</v>
      </c>
      <c r="P8967">
        <v>4538.626244</v>
      </c>
      <c r="Q8967">
        <v>408</v>
      </c>
      <c r="R8967">
        <v>0</v>
      </c>
    </row>
    <row r="8968" spans="1:18" x14ac:dyDescent="0.25">
      <c r="A8968">
        <v>8817</v>
      </c>
      <c r="B8968">
        <v>94</v>
      </c>
      <c r="C8968" t="s">
        <v>1030</v>
      </c>
      <c r="D8968" t="s">
        <v>124</v>
      </c>
      <c r="E8968">
        <v>18.765999999999998</v>
      </c>
      <c r="F8968" t="s">
        <v>21</v>
      </c>
      <c r="G8968" t="s">
        <v>20</v>
      </c>
      <c r="H8968" t="s">
        <v>21</v>
      </c>
      <c r="I8968" t="s">
        <v>20</v>
      </c>
      <c r="J8968" t="s">
        <v>20</v>
      </c>
      <c r="K8968" t="s">
        <v>22</v>
      </c>
      <c r="L8968" t="s">
        <v>193</v>
      </c>
      <c r="M8968" t="s">
        <v>194</v>
      </c>
      <c r="N8968">
        <v>40.204113999999997</v>
      </c>
      <c r="O8968">
        <v>-111.896894</v>
      </c>
      <c r="P8968">
        <v>4611.5869339999999</v>
      </c>
      <c r="Q8968">
        <v>1368</v>
      </c>
      <c r="R8968">
        <v>0</v>
      </c>
    </row>
    <row r="8969" spans="1:18" x14ac:dyDescent="0.25">
      <c r="A8969">
        <v>8818</v>
      </c>
      <c r="B8969">
        <v>94</v>
      </c>
      <c r="C8969">
        <v>31431644</v>
      </c>
      <c r="D8969" t="s">
        <v>345</v>
      </c>
      <c r="E8969">
        <v>18.77</v>
      </c>
      <c r="F8969" t="s">
        <v>21</v>
      </c>
      <c r="G8969" t="s">
        <v>26</v>
      </c>
      <c r="H8969" t="s">
        <v>21</v>
      </c>
      <c r="I8969" t="s">
        <v>20</v>
      </c>
      <c r="J8969" t="s">
        <v>20</v>
      </c>
      <c r="K8969" t="s">
        <v>27</v>
      </c>
      <c r="L8969" t="s">
        <v>75</v>
      </c>
      <c r="M8969" t="s">
        <v>76</v>
      </c>
      <c r="N8969">
        <v>38.804378</v>
      </c>
      <c r="O8969">
        <v>-112.02509000000001</v>
      </c>
      <c r="P8969">
        <v>5206.2008089999999</v>
      </c>
      <c r="Q8969">
        <v>1403</v>
      </c>
      <c r="R8969">
        <v>0</v>
      </c>
    </row>
    <row r="8970" spans="1:18" x14ac:dyDescent="0.25">
      <c r="A8970">
        <v>8819</v>
      </c>
      <c r="B8970">
        <v>94</v>
      </c>
      <c r="C8970">
        <v>1547896</v>
      </c>
      <c r="D8970" t="s">
        <v>88</v>
      </c>
      <c r="E8970">
        <v>18.777000000000001</v>
      </c>
      <c r="F8970" t="s">
        <v>21</v>
      </c>
      <c r="G8970" t="s">
        <v>26</v>
      </c>
      <c r="H8970" t="s">
        <v>21</v>
      </c>
      <c r="I8970" t="s">
        <v>20</v>
      </c>
      <c r="J8970" t="s">
        <v>20</v>
      </c>
      <c r="K8970" t="s">
        <v>31</v>
      </c>
      <c r="L8970" t="s">
        <v>66</v>
      </c>
      <c r="M8970" t="s">
        <v>90</v>
      </c>
      <c r="N8970">
        <v>40.707124999999998</v>
      </c>
      <c r="O8970">
        <v>-111.87119199999999</v>
      </c>
      <c r="P8970">
        <v>4230.6514909999996</v>
      </c>
      <c r="Q8970">
        <v>318</v>
      </c>
      <c r="R8970">
        <v>0</v>
      </c>
    </row>
    <row r="8971" spans="1:18" x14ac:dyDescent="0.25">
      <c r="A8971">
        <v>8820</v>
      </c>
      <c r="B8971">
        <v>94</v>
      </c>
      <c r="C8971">
        <v>31373214</v>
      </c>
      <c r="D8971" t="s">
        <v>199</v>
      </c>
      <c r="E8971">
        <v>18.777000000000001</v>
      </c>
      <c r="F8971" t="s">
        <v>21</v>
      </c>
      <c r="G8971" t="s">
        <v>26</v>
      </c>
      <c r="H8971" t="s">
        <v>21</v>
      </c>
      <c r="I8971" t="s">
        <v>20</v>
      </c>
      <c r="J8971" t="s">
        <v>20</v>
      </c>
      <c r="K8971" t="s">
        <v>27</v>
      </c>
      <c r="L8971" t="s">
        <v>103</v>
      </c>
      <c r="M8971" t="s">
        <v>200</v>
      </c>
      <c r="N8971">
        <v>38.321407000000001</v>
      </c>
      <c r="O8971">
        <v>-112.3856</v>
      </c>
      <c r="P8971">
        <v>9601.1781030000002</v>
      </c>
      <c r="Q8971">
        <v>341</v>
      </c>
      <c r="R8971">
        <v>0</v>
      </c>
    </row>
    <row r="8972" spans="1:18" x14ac:dyDescent="0.25">
      <c r="A8972">
        <v>8821</v>
      </c>
      <c r="B8972">
        <v>94</v>
      </c>
      <c r="C8972" t="e">
        <f>-JNLLQ_YIJXq9PVz7kLRhV</f>
        <v>#NAME?</v>
      </c>
      <c r="D8972" t="s">
        <v>124</v>
      </c>
      <c r="E8972">
        <v>18.78</v>
      </c>
      <c r="F8972" t="s">
        <v>21</v>
      </c>
      <c r="G8972" t="s">
        <v>20</v>
      </c>
      <c r="H8972" t="s">
        <v>21</v>
      </c>
      <c r="I8972" t="s">
        <v>20</v>
      </c>
      <c r="J8972" t="s">
        <v>20</v>
      </c>
      <c r="K8972" t="s">
        <v>22</v>
      </c>
      <c r="L8972" t="s">
        <v>193</v>
      </c>
      <c r="M8972" t="s">
        <v>194</v>
      </c>
      <c r="N8972">
        <v>40.204276</v>
      </c>
      <c r="O8972">
        <v>-111.896748</v>
      </c>
      <c r="P8972">
        <v>4612.8930099999998</v>
      </c>
      <c r="Q8972">
        <v>1368</v>
      </c>
      <c r="R8972">
        <v>0</v>
      </c>
    </row>
    <row r="8973" spans="1:18" x14ac:dyDescent="0.25">
      <c r="A8973">
        <v>8822</v>
      </c>
      <c r="B8973">
        <v>94</v>
      </c>
      <c r="C8973">
        <v>28565495</v>
      </c>
      <c r="D8973" t="s">
        <v>323</v>
      </c>
      <c r="E8973">
        <v>18.783999999999999</v>
      </c>
      <c r="F8973" t="s">
        <v>21</v>
      </c>
      <c r="G8973" t="s">
        <v>26</v>
      </c>
      <c r="H8973" t="s">
        <v>21</v>
      </c>
      <c r="I8973" t="s">
        <v>20</v>
      </c>
      <c r="J8973" t="s">
        <v>20</v>
      </c>
      <c r="K8973" t="s">
        <v>31</v>
      </c>
      <c r="L8973" t="s">
        <v>130</v>
      </c>
      <c r="M8973" t="s">
        <v>131</v>
      </c>
      <c r="N8973">
        <v>40.723813999999997</v>
      </c>
      <c r="O8973">
        <v>-111.301663</v>
      </c>
      <c r="P8973">
        <v>6465.9594880000004</v>
      </c>
      <c r="Q8973">
        <v>1345</v>
      </c>
      <c r="R8973">
        <v>0</v>
      </c>
    </row>
    <row r="8974" spans="1:18" x14ac:dyDescent="0.25">
      <c r="A8974">
        <v>8823</v>
      </c>
      <c r="B8974">
        <v>94</v>
      </c>
      <c r="C8974">
        <v>31824944</v>
      </c>
      <c r="D8974" t="s">
        <v>61</v>
      </c>
      <c r="E8974">
        <v>18.783999999999999</v>
      </c>
      <c r="F8974" t="s">
        <v>21</v>
      </c>
      <c r="G8974" t="s">
        <v>26</v>
      </c>
      <c r="H8974" t="s">
        <v>21</v>
      </c>
      <c r="I8974" t="s">
        <v>20</v>
      </c>
      <c r="J8974" t="s">
        <v>20</v>
      </c>
      <c r="K8974" t="s">
        <v>22</v>
      </c>
      <c r="L8974" t="s">
        <v>60</v>
      </c>
      <c r="M8974" t="s">
        <v>328</v>
      </c>
      <c r="N8974">
        <v>40.411206</v>
      </c>
      <c r="O8974">
        <v>-111.51182</v>
      </c>
      <c r="P8974">
        <v>5484.0421239999996</v>
      </c>
      <c r="Q8974">
        <v>403</v>
      </c>
      <c r="R8974">
        <v>0</v>
      </c>
    </row>
    <row r="8975" spans="1:18" x14ac:dyDescent="0.25">
      <c r="A8975">
        <v>8824</v>
      </c>
      <c r="B8975">
        <v>94</v>
      </c>
      <c r="C8975">
        <v>31297195</v>
      </c>
      <c r="D8975" t="s">
        <v>338</v>
      </c>
      <c r="E8975">
        <v>18.786000000000001</v>
      </c>
      <c r="F8975" t="s">
        <v>21</v>
      </c>
      <c r="G8975" t="s">
        <v>26</v>
      </c>
      <c r="H8975" t="s">
        <v>21</v>
      </c>
      <c r="I8975" t="s">
        <v>20</v>
      </c>
      <c r="J8975" t="s">
        <v>20</v>
      </c>
      <c r="K8975" t="s">
        <v>27</v>
      </c>
      <c r="L8975" t="s">
        <v>72</v>
      </c>
      <c r="M8975" t="s">
        <v>73</v>
      </c>
      <c r="N8975">
        <v>37.154828000000002</v>
      </c>
      <c r="O8975">
        <v>-113.25846300000001</v>
      </c>
      <c r="P8975">
        <v>3873.6240750000002</v>
      </c>
      <c r="Q8975">
        <v>315</v>
      </c>
      <c r="R8975">
        <v>0</v>
      </c>
    </row>
    <row r="8976" spans="1:18" x14ac:dyDescent="0.25">
      <c r="A8976">
        <v>8825</v>
      </c>
      <c r="B8976">
        <v>94</v>
      </c>
      <c r="C8976" t="s">
        <v>1031</v>
      </c>
      <c r="D8976" t="s">
        <v>336</v>
      </c>
      <c r="E8976">
        <v>18.794</v>
      </c>
      <c r="F8976" t="s">
        <v>21</v>
      </c>
      <c r="G8976" t="s">
        <v>20</v>
      </c>
      <c r="H8976" t="s">
        <v>21</v>
      </c>
      <c r="I8976" t="s">
        <v>20</v>
      </c>
      <c r="J8976" t="s">
        <v>20</v>
      </c>
      <c r="K8976" t="s">
        <v>31</v>
      </c>
      <c r="L8976" t="s">
        <v>32</v>
      </c>
      <c r="M8976" t="s">
        <v>950</v>
      </c>
      <c r="N8976">
        <v>40.613731000000001</v>
      </c>
      <c r="O8976">
        <v>-111.571048</v>
      </c>
      <c r="P8976">
        <v>9120.4661379999998</v>
      </c>
      <c r="Q8976">
        <v>404</v>
      </c>
      <c r="R8976">
        <v>0</v>
      </c>
    </row>
    <row r="8977" spans="1:18" x14ac:dyDescent="0.25">
      <c r="A8977">
        <v>8826</v>
      </c>
      <c r="B8977">
        <v>94</v>
      </c>
      <c r="C8977" t="e">
        <f>-JYmXZ9HGKexPrUWuLq3Bk</f>
        <v>#NAME?</v>
      </c>
      <c r="D8977" t="s">
        <v>336</v>
      </c>
      <c r="E8977">
        <v>18.797999999999998</v>
      </c>
      <c r="F8977" t="s">
        <v>21</v>
      </c>
      <c r="G8977" t="s">
        <v>20</v>
      </c>
      <c r="H8977" t="s">
        <v>21</v>
      </c>
      <c r="I8977" t="s">
        <v>20</v>
      </c>
      <c r="J8977" t="s">
        <v>20</v>
      </c>
      <c r="K8977" t="s">
        <v>31</v>
      </c>
      <c r="L8977" t="s">
        <v>32</v>
      </c>
      <c r="M8977" t="s">
        <v>950</v>
      </c>
      <c r="N8977">
        <v>40.613731000000001</v>
      </c>
      <c r="O8977">
        <v>-111.571043</v>
      </c>
      <c r="P8977">
        <v>9119.3850640000001</v>
      </c>
      <c r="Q8977">
        <v>404</v>
      </c>
      <c r="R8977">
        <v>0</v>
      </c>
    </row>
    <row r="8978" spans="1:18" x14ac:dyDescent="0.25">
      <c r="A8978">
        <v>8827</v>
      </c>
      <c r="B8978">
        <v>94</v>
      </c>
      <c r="C8978">
        <v>28162872</v>
      </c>
      <c r="D8978" t="s">
        <v>239</v>
      </c>
      <c r="E8978">
        <v>16.718</v>
      </c>
      <c r="F8978" t="s">
        <v>21</v>
      </c>
      <c r="G8978" t="s">
        <v>26</v>
      </c>
      <c r="H8978" t="s">
        <v>21</v>
      </c>
      <c r="I8978" t="s">
        <v>20</v>
      </c>
      <c r="J8978" t="s">
        <v>20</v>
      </c>
      <c r="K8978" t="s">
        <v>41</v>
      </c>
      <c r="L8978" t="s">
        <v>181</v>
      </c>
      <c r="M8978" t="s">
        <v>178</v>
      </c>
      <c r="N8978">
        <v>41.712001999999998</v>
      </c>
      <c r="O8978">
        <v>-112.157374</v>
      </c>
      <c r="P8978">
        <v>4266.3268260000004</v>
      </c>
      <c r="Q8978">
        <v>1392</v>
      </c>
      <c r="R8978">
        <v>0</v>
      </c>
    </row>
    <row r="8979" spans="1:18" x14ac:dyDescent="0.25">
      <c r="A8979">
        <v>8828</v>
      </c>
      <c r="B8979">
        <v>94</v>
      </c>
      <c r="C8979">
        <v>28603201</v>
      </c>
      <c r="D8979" t="s">
        <v>142</v>
      </c>
      <c r="E8979">
        <v>16.721</v>
      </c>
      <c r="F8979" t="s">
        <v>21</v>
      </c>
      <c r="G8979" t="s">
        <v>26</v>
      </c>
      <c r="H8979" t="s">
        <v>21</v>
      </c>
      <c r="I8979" t="s">
        <v>20</v>
      </c>
      <c r="J8979" t="s">
        <v>20</v>
      </c>
      <c r="K8979" t="s">
        <v>27</v>
      </c>
      <c r="L8979" t="s">
        <v>143</v>
      </c>
      <c r="M8979" t="s">
        <v>106</v>
      </c>
      <c r="N8979">
        <v>38.729236</v>
      </c>
      <c r="O8979">
        <v>-113.936567</v>
      </c>
      <c r="P8979">
        <v>5620.123259</v>
      </c>
      <c r="Q8979">
        <v>305</v>
      </c>
      <c r="R8979">
        <v>0</v>
      </c>
    </row>
    <row r="8980" spans="1:18" x14ac:dyDescent="0.25">
      <c r="A8980">
        <v>8829</v>
      </c>
      <c r="B8980">
        <v>94</v>
      </c>
      <c r="C8980">
        <v>31744346</v>
      </c>
      <c r="D8980" t="s">
        <v>336</v>
      </c>
      <c r="E8980">
        <v>16.725000000000001</v>
      </c>
      <c r="F8980" t="s">
        <v>21</v>
      </c>
      <c r="G8980" t="s">
        <v>20</v>
      </c>
      <c r="H8980" t="s">
        <v>21</v>
      </c>
      <c r="I8980" t="s">
        <v>20</v>
      </c>
      <c r="J8980" t="s">
        <v>20</v>
      </c>
      <c r="K8980" t="s">
        <v>31</v>
      </c>
      <c r="L8980" t="s">
        <v>32</v>
      </c>
      <c r="M8980" t="s">
        <v>33</v>
      </c>
      <c r="N8980">
        <v>40.602246000000001</v>
      </c>
      <c r="O8980">
        <v>-111.58193799999999</v>
      </c>
      <c r="P8980">
        <v>8679.8996490000009</v>
      </c>
      <c r="Q8980">
        <v>404</v>
      </c>
      <c r="R8980">
        <v>0</v>
      </c>
    </row>
    <row r="8981" spans="1:18" x14ac:dyDescent="0.25">
      <c r="A8981">
        <v>8830</v>
      </c>
      <c r="B8981">
        <v>94</v>
      </c>
      <c r="C8981" t="e">
        <f>-JOiMQXzGoHVDME479JNBV</f>
        <v>#NAME?</v>
      </c>
      <c r="D8981" t="s">
        <v>268</v>
      </c>
      <c r="E8981">
        <v>16.727</v>
      </c>
      <c r="F8981" t="s">
        <v>21</v>
      </c>
      <c r="G8981" t="s">
        <v>26</v>
      </c>
      <c r="H8981" t="s">
        <v>21</v>
      </c>
      <c r="I8981" t="s">
        <v>20</v>
      </c>
      <c r="J8981" t="s">
        <v>20</v>
      </c>
      <c r="K8981" t="s">
        <v>41</v>
      </c>
      <c r="L8981" t="s">
        <v>181</v>
      </c>
      <c r="M8981" t="s">
        <v>43</v>
      </c>
      <c r="N8981">
        <v>41.638902000000002</v>
      </c>
      <c r="O8981">
        <v>-112.425904</v>
      </c>
      <c r="P8981">
        <v>4263.1526940000003</v>
      </c>
      <c r="Q8981">
        <v>1380</v>
      </c>
      <c r="R8981">
        <v>0</v>
      </c>
    </row>
    <row r="8982" spans="1:18" x14ac:dyDescent="0.25">
      <c r="A8982">
        <v>8831</v>
      </c>
      <c r="B8982">
        <v>94</v>
      </c>
      <c r="C8982" t="e">
        <f>-IovjtVuFw1S2kBWTm7pKk</f>
        <v>#NAME?</v>
      </c>
      <c r="D8982" t="s">
        <v>316</v>
      </c>
      <c r="E8982">
        <v>16.734000000000002</v>
      </c>
      <c r="F8982" t="s">
        <v>21</v>
      </c>
      <c r="G8982" t="s">
        <v>26</v>
      </c>
      <c r="H8982" t="s">
        <v>21</v>
      </c>
      <c r="I8982" t="s">
        <v>20</v>
      </c>
      <c r="J8982" t="s">
        <v>20</v>
      </c>
      <c r="K8982" t="s">
        <v>22</v>
      </c>
      <c r="L8982" t="s">
        <v>168</v>
      </c>
      <c r="M8982" t="s">
        <v>302</v>
      </c>
      <c r="N8982">
        <v>40.515230000000003</v>
      </c>
      <c r="O8982">
        <v>-111.047459</v>
      </c>
      <c r="P8982">
        <v>8369.0311020000008</v>
      </c>
      <c r="Q8982">
        <v>1346</v>
      </c>
      <c r="R8982">
        <v>0</v>
      </c>
    </row>
    <row r="8983" spans="1:18" x14ac:dyDescent="0.25">
      <c r="A8983">
        <v>8832</v>
      </c>
      <c r="B8983">
        <v>94</v>
      </c>
      <c r="C8983">
        <v>31712594</v>
      </c>
      <c r="D8983" t="s">
        <v>118</v>
      </c>
      <c r="E8983">
        <v>16.734000000000002</v>
      </c>
      <c r="F8983" t="s">
        <v>21</v>
      </c>
      <c r="G8983" t="s">
        <v>26</v>
      </c>
      <c r="H8983" t="s">
        <v>21</v>
      </c>
      <c r="I8983" t="s">
        <v>20</v>
      </c>
      <c r="J8983" t="s">
        <v>20</v>
      </c>
      <c r="K8983" t="s">
        <v>22</v>
      </c>
      <c r="L8983" t="s">
        <v>35</v>
      </c>
      <c r="M8983" t="s">
        <v>120</v>
      </c>
      <c r="N8983">
        <v>40.510314000000001</v>
      </c>
      <c r="O8983">
        <v>-111.413421</v>
      </c>
      <c r="P8983">
        <v>5539.8786829999999</v>
      </c>
      <c r="Q8983">
        <v>310</v>
      </c>
      <c r="R8983">
        <v>0</v>
      </c>
    </row>
    <row r="8984" spans="1:18" x14ac:dyDescent="0.25">
      <c r="A8984">
        <v>8833</v>
      </c>
      <c r="B8984">
        <v>94</v>
      </c>
      <c r="C8984">
        <v>31431206</v>
      </c>
      <c r="D8984" t="s">
        <v>345</v>
      </c>
      <c r="E8984">
        <v>16.736000000000001</v>
      </c>
      <c r="F8984" t="s">
        <v>21</v>
      </c>
      <c r="G8984" t="s">
        <v>20</v>
      </c>
      <c r="H8984" t="s">
        <v>21</v>
      </c>
      <c r="I8984" t="s">
        <v>20</v>
      </c>
      <c r="J8984" t="s">
        <v>20</v>
      </c>
      <c r="K8984" t="s">
        <v>27</v>
      </c>
      <c r="L8984" t="s">
        <v>75</v>
      </c>
      <c r="M8984" t="s">
        <v>76</v>
      </c>
      <c r="N8984">
        <v>38.785539</v>
      </c>
      <c r="O8984">
        <v>-112.054045</v>
      </c>
      <c r="P8984">
        <v>5231.8845030000002</v>
      </c>
      <c r="Q8984">
        <v>1403</v>
      </c>
      <c r="R8984">
        <v>0</v>
      </c>
    </row>
    <row r="8985" spans="1:18" x14ac:dyDescent="0.25">
      <c r="A8985">
        <v>8834</v>
      </c>
      <c r="B8985">
        <v>94</v>
      </c>
      <c r="C8985" t="s">
        <v>1032</v>
      </c>
      <c r="D8985" t="s">
        <v>316</v>
      </c>
      <c r="E8985">
        <v>16.768999999999998</v>
      </c>
      <c r="F8985" t="s">
        <v>21</v>
      </c>
      <c r="G8985" t="s">
        <v>20</v>
      </c>
      <c r="H8985" t="s">
        <v>21</v>
      </c>
      <c r="I8985" t="s">
        <v>20</v>
      </c>
      <c r="J8985" t="s">
        <v>20</v>
      </c>
      <c r="K8985" t="s">
        <v>22</v>
      </c>
      <c r="L8985" t="s">
        <v>168</v>
      </c>
      <c r="M8985" t="s">
        <v>302</v>
      </c>
      <c r="N8985">
        <v>40.514805000000003</v>
      </c>
      <c r="O8985">
        <v>-111.047122</v>
      </c>
      <c r="P8985">
        <v>8376.6230309999992</v>
      </c>
      <c r="Q8985">
        <v>1346</v>
      </c>
      <c r="R8985">
        <v>0</v>
      </c>
    </row>
    <row r="8986" spans="1:18" x14ac:dyDescent="0.25">
      <c r="A8986">
        <v>8835</v>
      </c>
      <c r="B8986">
        <v>94</v>
      </c>
      <c r="C8986">
        <v>31496139</v>
      </c>
      <c r="D8986" t="s">
        <v>129</v>
      </c>
      <c r="E8986">
        <v>16.771000000000001</v>
      </c>
      <c r="F8986" t="s">
        <v>21</v>
      </c>
      <c r="G8986" t="s">
        <v>20</v>
      </c>
      <c r="H8986" t="s">
        <v>21</v>
      </c>
      <c r="I8986" t="s">
        <v>20</v>
      </c>
      <c r="J8986" t="s">
        <v>20</v>
      </c>
      <c r="K8986" t="s">
        <v>31</v>
      </c>
      <c r="L8986" t="s">
        <v>130</v>
      </c>
      <c r="M8986" t="s">
        <v>131</v>
      </c>
      <c r="N8986">
        <v>40.590133000000002</v>
      </c>
      <c r="O8986">
        <v>-111.015821</v>
      </c>
      <c r="P8986">
        <v>7960.7914920000003</v>
      </c>
      <c r="Q8986">
        <v>340</v>
      </c>
      <c r="R8986">
        <v>0</v>
      </c>
    </row>
    <row r="8987" spans="1:18" x14ac:dyDescent="0.25">
      <c r="A8987">
        <v>8836</v>
      </c>
      <c r="B8987">
        <v>94</v>
      </c>
      <c r="C8987" t="s">
        <v>1033</v>
      </c>
      <c r="D8987" t="s">
        <v>88</v>
      </c>
      <c r="E8987">
        <v>16.786999999999999</v>
      </c>
      <c r="F8987" t="s">
        <v>21</v>
      </c>
      <c r="G8987" t="s">
        <v>26</v>
      </c>
      <c r="H8987" t="s">
        <v>21</v>
      </c>
      <c r="I8987" t="s">
        <v>20</v>
      </c>
      <c r="J8987" t="s">
        <v>20</v>
      </c>
      <c r="K8987" t="s">
        <v>31</v>
      </c>
      <c r="L8987" t="s">
        <v>69</v>
      </c>
      <c r="M8987" t="s">
        <v>90</v>
      </c>
      <c r="N8987">
        <v>40.678308999999999</v>
      </c>
      <c r="O8987">
        <v>-111.871441</v>
      </c>
      <c r="P8987">
        <v>4243.334476</v>
      </c>
      <c r="Q8987">
        <v>318</v>
      </c>
      <c r="R8987">
        <v>0</v>
      </c>
    </row>
    <row r="8988" spans="1:18" x14ac:dyDescent="0.25">
      <c r="A8988">
        <v>8837</v>
      </c>
      <c r="B8988">
        <v>94</v>
      </c>
      <c r="C8988" t="e">
        <f>-IordGZvI5mxV7Gh8axW2V</f>
        <v>#NAME?</v>
      </c>
      <c r="D8988" t="s">
        <v>175</v>
      </c>
      <c r="E8988">
        <v>0.9</v>
      </c>
      <c r="F8988" t="s">
        <v>21</v>
      </c>
      <c r="G8988" t="s">
        <v>26</v>
      </c>
      <c r="H8988" t="s">
        <v>21</v>
      </c>
      <c r="I8988" t="s">
        <v>20</v>
      </c>
      <c r="J8988" t="s">
        <v>20</v>
      </c>
      <c r="K8988" t="s">
        <v>41</v>
      </c>
      <c r="L8988" t="s">
        <v>87</v>
      </c>
      <c r="M8988" t="s">
        <v>93</v>
      </c>
      <c r="N8988">
        <v>41.060549000000002</v>
      </c>
      <c r="O8988">
        <v>-111.94898999999999</v>
      </c>
      <c r="P8988">
        <v>4329.7511480000003</v>
      </c>
      <c r="Q8988">
        <v>1397</v>
      </c>
      <c r="R8988">
        <v>0</v>
      </c>
    </row>
    <row r="8989" spans="1:18" x14ac:dyDescent="0.25">
      <c r="A8989">
        <v>8838</v>
      </c>
      <c r="B8989">
        <v>94</v>
      </c>
      <c r="C8989">
        <v>31655382</v>
      </c>
      <c r="D8989" t="s">
        <v>71</v>
      </c>
      <c r="E8989">
        <v>0.90100000000000002</v>
      </c>
      <c r="F8989" t="s">
        <v>21</v>
      </c>
      <c r="G8989" t="s">
        <v>26</v>
      </c>
      <c r="H8989" t="s">
        <v>21</v>
      </c>
      <c r="I8989" t="s">
        <v>20</v>
      </c>
      <c r="J8989" t="s">
        <v>20</v>
      </c>
      <c r="K8989" t="s">
        <v>27</v>
      </c>
      <c r="L8989" t="s">
        <v>72</v>
      </c>
      <c r="M8989" t="s">
        <v>73</v>
      </c>
      <c r="N8989">
        <v>37.237282999999998</v>
      </c>
      <c r="O8989">
        <v>-113.361124</v>
      </c>
      <c r="P8989">
        <v>3380.948515</v>
      </c>
      <c r="Q8989">
        <v>423</v>
      </c>
      <c r="R8989">
        <v>0</v>
      </c>
    </row>
    <row r="8990" spans="1:18" x14ac:dyDescent="0.25">
      <c r="A8990">
        <v>8839</v>
      </c>
      <c r="B8990">
        <v>94</v>
      </c>
      <c r="C8990">
        <v>31645824</v>
      </c>
      <c r="D8990" t="s">
        <v>195</v>
      </c>
      <c r="E8990">
        <v>0.90200000000000002</v>
      </c>
      <c r="F8990" t="s">
        <v>21</v>
      </c>
      <c r="G8990" t="s">
        <v>26</v>
      </c>
      <c r="H8990" t="s">
        <v>21</v>
      </c>
      <c r="I8990" t="s">
        <v>20</v>
      </c>
      <c r="J8990" t="s">
        <v>20</v>
      </c>
      <c r="K8990" t="s">
        <v>41</v>
      </c>
      <c r="L8990" t="s">
        <v>57</v>
      </c>
      <c r="M8990" t="s">
        <v>190</v>
      </c>
      <c r="N8990">
        <v>41.089238000000002</v>
      </c>
      <c r="O8990">
        <v>-112.095401</v>
      </c>
      <c r="P8990">
        <v>4180.4394599999996</v>
      </c>
      <c r="Q8990">
        <v>334</v>
      </c>
      <c r="R8990">
        <v>0</v>
      </c>
    </row>
    <row r="8991" spans="1:18" x14ac:dyDescent="0.25">
      <c r="A8991">
        <v>8840</v>
      </c>
      <c r="B8991">
        <v>94</v>
      </c>
      <c r="C8991">
        <v>533805</v>
      </c>
      <c r="D8991" t="s">
        <v>77</v>
      </c>
      <c r="E8991">
        <v>0.90500000000000003</v>
      </c>
      <c r="F8991" t="s">
        <v>21</v>
      </c>
      <c r="G8991" t="s">
        <v>26</v>
      </c>
      <c r="H8991" t="s">
        <v>21</v>
      </c>
      <c r="I8991" t="s">
        <v>20</v>
      </c>
      <c r="J8991" t="s">
        <v>20</v>
      </c>
      <c r="K8991" t="s">
        <v>31</v>
      </c>
      <c r="L8991" t="s">
        <v>48</v>
      </c>
      <c r="M8991" t="s">
        <v>79</v>
      </c>
      <c r="N8991">
        <v>40.651774000000003</v>
      </c>
      <c r="O8991">
        <v>-112.024642</v>
      </c>
      <c r="P8991">
        <v>4732.8555500000002</v>
      </c>
      <c r="Q8991">
        <v>1436</v>
      </c>
      <c r="R8991">
        <v>0</v>
      </c>
    </row>
    <row r="8992" spans="1:18" x14ac:dyDescent="0.25">
      <c r="A8992">
        <v>8841</v>
      </c>
      <c r="B8992">
        <v>94</v>
      </c>
      <c r="C8992">
        <v>31743823</v>
      </c>
      <c r="D8992" t="s">
        <v>59</v>
      </c>
      <c r="E8992">
        <v>0.90700000000000003</v>
      </c>
      <c r="F8992" t="s">
        <v>21</v>
      </c>
      <c r="G8992" t="s">
        <v>26</v>
      </c>
      <c r="H8992" t="s">
        <v>21</v>
      </c>
      <c r="I8992" t="s">
        <v>20</v>
      </c>
      <c r="J8992" t="s">
        <v>20</v>
      </c>
      <c r="K8992" t="s">
        <v>22</v>
      </c>
      <c r="L8992" t="s">
        <v>60</v>
      </c>
      <c r="M8992" t="s">
        <v>24</v>
      </c>
      <c r="N8992">
        <v>40.312038000000001</v>
      </c>
      <c r="O8992">
        <v>-111.717462</v>
      </c>
      <c r="P8992">
        <v>4680.7633210000004</v>
      </c>
      <c r="Q8992">
        <v>313</v>
      </c>
      <c r="R8992">
        <v>0</v>
      </c>
    </row>
    <row r="8993" spans="1:18" x14ac:dyDescent="0.25">
      <c r="A8993">
        <v>8842</v>
      </c>
      <c r="B8993">
        <v>94</v>
      </c>
      <c r="C8993">
        <v>980074</v>
      </c>
      <c r="D8993" t="s">
        <v>397</v>
      </c>
      <c r="E8993">
        <v>0.91</v>
      </c>
      <c r="F8993" t="s">
        <v>21</v>
      </c>
      <c r="G8993" t="s">
        <v>20</v>
      </c>
      <c r="H8993" t="s">
        <v>21</v>
      </c>
      <c r="I8993" t="s">
        <v>20</v>
      </c>
      <c r="J8993" t="s">
        <v>20</v>
      </c>
      <c r="K8993" t="s">
        <v>41</v>
      </c>
      <c r="L8993" t="s">
        <v>177</v>
      </c>
      <c r="M8993" t="s">
        <v>163</v>
      </c>
      <c r="N8993">
        <v>41.503210000000003</v>
      </c>
      <c r="O8993">
        <v>-111.999396</v>
      </c>
      <c r="P8993">
        <v>4507.3849179999997</v>
      </c>
      <c r="Q8993">
        <v>1385</v>
      </c>
      <c r="R8993">
        <v>0</v>
      </c>
    </row>
    <row r="8994" spans="1:18" x14ac:dyDescent="0.25">
      <c r="A8994">
        <v>8843</v>
      </c>
      <c r="B8994">
        <v>94</v>
      </c>
      <c r="C8994">
        <v>31517396</v>
      </c>
      <c r="D8994" t="s">
        <v>396</v>
      </c>
      <c r="E8994">
        <v>0.91</v>
      </c>
      <c r="F8994" t="s">
        <v>21</v>
      </c>
      <c r="G8994" t="s">
        <v>26</v>
      </c>
      <c r="H8994" t="s">
        <v>21</v>
      </c>
      <c r="I8994" t="s">
        <v>20</v>
      </c>
      <c r="J8994" t="s">
        <v>20</v>
      </c>
      <c r="K8994" t="s">
        <v>41</v>
      </c>
      <c r="L8994" t="s">
        <v>255</v>
      </c>
      <c r="M8994" t="s">
        <v>138</v>
      </c>
      <c r="N8994">
        <v>41.142245000000003</v>
      </c>
      <c r="O8994">
        <v>-111.81345</v>
      </c>
      <c r="P8994">
        <v>4788.8437700000004</v>
      </c>
      <c r="Q8994">
        <v>1434</v>
      </c>
      <c r="R8994">
        <v>0</v>
      </c>
    </row>
    <row r="8995" spans="1:18" x14ac:dyDescent="0.25">
      <c r="A8995">
        <v>8844</v>
      </c>
      <c r="B8995">
        <v>94</v>
      </c>
      <c r="C8995" t="e">
        <f>-Iq04LmHFby2gGlTHzeDqk</f>
        <v>#NAME?</v>
      </c>
      <c r="D8995" t="s">
        <v>1034</v>
      </c>
      <c r="E8995">
        <v>0</v>
      </c>
      <c r="F8995" t="s">
        <v>21</v>
      </c>
      <c r="G8995" t="s">
        <v>26</v>
      </c>
      <c r="H8995" t="s">
        <v>21</v>
      </c>
      <c r="I8995" t="s">
        <v>20</v>
      </c>
      <c r="J8995" t="s">
        <v>20</v>
      </c>
      <c r="K8995" t="s">
        <v>41</v>
      </c>
      <c r="L8995" t="s">
        <v>291</v>
      </c>
      <c r="M8995" t="s">
        <v>368</v>
      </c>
      <c r="N8995">
        <v>41.896590000000003</v>
      </c>
      <c r="O8995">
        <v>-112.544391</v>
      </c>
      <c r="P8995">
        <v>5235.17065</v>
      </c>
      <c r="Q8995">
        <v>1381</v>
      </c>
      <c r="R8995">
        <v>0</v>
      </c>
    </row>
    <row r="8996" spans="1:18" x14ac:dyDescent="0.25">
      <c r="A8996">
        <v>8845</v>
      </c>
      <c r="B8996">
        <v>94</v>
      </c>
      <c r="C8996">
        <v>1215391</v>
      </c>
      <c r="D8996" t="s">
        <v>189</v>
      </c>
      <c r="E8996">
        <v>0</v>
      </c>
      <c r="F8996" t="s">
        <v>19</v>
      </c>
      <c r="G8996" t="s">
        <v>20</v>
      </c>
      <c r="H8996" t="s">
        <v>19</v>
      </c>
      <c r="I8996">
        <v>89</v>
      </c>
      <c r="J8996" t="s">
        <v>20</v>
      </c>
      <c r="K8996" t="s">
        <v>41</v>
      </c>
      <c r="L8996" t="s">
        <v>81</v>
      </c>
      <c r="M8996" t="s">
        <v>190</v>
      </c>
      <c r="N8996">
        <v>41.154964999999997</v>
      </c>
      <c r="O8996">
        <v>-111.939724</v>
      </c>
      <c r="P8996">
        <v>4754.7332539999998</v>
      </c>
      <c r="Q8996">
        <v>412</v>
      </c>
      <c r="R8996">
        <v>0</v>
      </c>
    </row>
    <row r="8997" spans="1:18" x14ac:dyDescent="0.25">
      <c r="A8997">
        <v>8846</v>
      </c>
      <c r="B8997">
        <v>94</v>
      </c>
      <c r="C8997">
        <v>1035264</v>
      </c>
      <c r="D8997" t="s">
        <v>127</v>
      </c>
      <c r="E8997">
        <v>0</v>
      </c>
      <c r="F8997" t="s">
        <v>21</v>
      </c>
      <c r="G8997" t="s">
        <v>26</v>
      </c>
      <c r="H8997" t="s">
        <v>19</v>
      </c>
      <c r="I8997">
        <v>23</v>
      </c>
      <c r="J8997" t="s">
        <v>20</v>
      </c>
      <c r="K8997" t="s">
        <v>41</v>
      </c>
      <c r="L8997" t="s">
        <v>95</v>
      </c>
      <c r="M8997" t="s">
        <v>73</v>
      </c>
      <c r="N8997">
        <v>41.975406</v>
      </c>
      <c r="O8997">
        <v>-111.954154</v>
      </c>
      <c r="P8997">
        <v>4433.7792419999996</v>
      </c>
      <c r="Q8997">
        <v>1364</v>
      </c>
      <c r="R8997">
        <v>0</v>
      </c>
    </row>
    <row r="8998" spans="1:18" x14ac:dyDescent="0.25">
      <c r="A8998">
        <v>8847</v>
      </c>
      <c r="B8998">
        <v>94</v>
      </c>
      <c r="C8998">
        <v>31529394</v>
      </c>
      <c r="D8998" t="s">
        <v>944</v>
      </c>
      <c r="E8998">
        <v>0</v>
      </c>
      <c r="F8998" t="s">
        <v>21</v>
      </c>
      <c r="G8998" t="s">
        <v>26</v>
      </c>
      <c r="H8998" t="s">
        <v>19</v>
      </c>
      <c r="I8998">
        <v>95</v>
      </c>
      <c r="J8998" t="s">
        <v>20</v>
      </c>
      <c r="K8998" t="s">
        <v>27</v>
      </c>
      <c r="L8998" t="s">
        <v>327</v>
      </c>
      <c r="M8998" t="s">
        <v>318</v>
      </c>
      <c r="N8998">
        <v>37.581491</v>
      </c>
      <c r="O8998">
        <v>-109.914249</v>
      </c>
      <c r="P8998">
        <v>6789.6982410000001</v>
      </c>
      <c r="Q8998">
        <v>363</v>
      </c>
      <c r="R8998">
        <v>0</v>
      </c>
    </row>
    <row r="8999" spans="1:18" x14ac:dyDescent="0.25">
      <c r="A8999">
        <v>8848</v>
      </c>
      <c r="B8999">
        <v>94</v>
      </c>
      <c r="C8999" t="e">
        <f>-JQJzn5JFoLeGtDi86tfOk</f>
        <v>#NAME?</v>
      </c>
      <c r="D8999" t="s">
        <v>1035</v>
      </c>
      <c r="E8999">
        <v>0</v>
      </c>
      <c r="F8999" t="s">
        <v>21</v>
      </c>
      <c r="G8999" t="s">
        <v>26</v>
      </c>
      <c r="H8999" t="s">
        <v>21</v>
      </c>
      <c r="I8999" t="s">
        <v>20</v>
      </c>
      <c r="J8999" t="s">
        <v>20</v>
      </c>
      <c r="K8999" t="s">
        <v>27</v>
      </c>
      <c r="L8999" t="s">
        <v>400</v>
      </c>
      <c r="M8999" t="s">
        <v>365</v>
      </c>
      <c r="N8999">
        <v>38.615844000000003</v>
      </c>
      <c r="O8999">
        <v>-112.611784</v>
      </c>
      <c r="P8999">
        <v>5880.3108140000004</v>
      </c>
      <c r="Q8999">
        <v>6661</v>
      </c>
      <c r="R8999">
        <v>0</v>
      </c>
    </row>
    <row r="9000" spans="1:18" x14ac:dyDescent="0.25">
      <c r="A9000">
        <v>8849</v>
      </c>
      <c r="B9000">
        <v>94</v>
      </c>
      <c r="C9000" t="e">
        <f>-IqDuxTuHda2f9zn1uhyUF</f>
        <v>#NAME?</v>
      </c>
      <c r="D9000" t="s">
        <v>1036</v>
      </c>
      <c r="E9000">
        <v>0</v>
      </c>
      <c r="F9000" t="s">
        <v>21</v>
      </c>
      <c r="G9000" t="s">
        <v>26</v>
      </c>
      <c r="H9000" t="s">
        <v>21</v>
      </c>
      <c r="I9000" t="s">
        <v>20</v>
      </c>
      <c r="J9000" t="s">
        <v>20</v>
      </c>
      <c r="K9000" t="s">
        <v>41</v>
      </c>
      <c r="L9000" t="s">
        <v>181</v>
      </c>
      <c r="M9000" t="s">
        <v>368</v>
      </c>
      <c r="N9000">
        <v>41.842016999999998</v>
      </c>
      <c r="O9000">
        <v>-112.435642</v>
      </c>
      <c r="P9000">
        <v>4600.606941</v>
      </c>
      <c r="Q9000">
        <v>6664</v>
      </c>
      <c r="R9000">
        <v>0</v>
      </c>
    </row>
    <row r="9001" spans="1:18" x14ac:dyDescent="0.25">
      <c r="A9001">
        <v>8850</v>
      </c>
      <c r="B9001">
        <v>94</v>
      </c>
      <c r="C9001">
        <v>31630962</v>
      </c>
      <c r="D9001" t="s">
        <v>227</v>
      </c>
      <c r="E9001">
        <v>0</v>
      </c>
      <c r="F9001" t="s">
        <v>21</v>
      </c>
      <c r="G9001" t="s">
        <v>26</v>
      </c>
      <c r="H9001" t="s">
        <v>19</v>
      </c>
      <c r="I9001">
        <v>6</v>
      </c>
      <c r="J9001">
        <v>191</v>
      </c>
      <c r="K9001" t="s">
        <v>27</v>
      </c>
      <c r="L9001" t="s">
        <v>158</v>
      </c>
      <c r="M9001" t="s">
        <v>190</v>
      </c>
      <c r="N9001">
        <v>39.525627999999998</v>
      </c>
      <c r="O9001">
        <v>-110.573076</v>
      </c>
      <c r="P9001">
        <v>5463.988319</v>
      </c>
      <c r="Q9001">
        <v>1407</v>
      </c>
      <c r="R9001">
        <v>0</v>
      </c>
    </row>
    <row r="9002" spans="1:18" x14ac:dyDescent="0.25">
      <c r="A9002">
        <v>8851</v>
      </c>
      <c r="B9002">
        <v>94</v>
      </c>
      <c r="C9002">
        <v>31317738</v>
      </c>
      <c r="D9002" t="s">
        <v>333</v>
      </c>
      <c r="E9002">
        <v>0</v>
      </c>
      <c r="F9002" t="s">
        <v>19</v>
      </c>
      <c r="G9002" t="s">
        <v>20</v>
      </c>
      <c r="H9002" t="s">
        <v>21</v>
      </c>
      <c r="I9002" t="s">
        <v>20</v>
      </c>
      <c r="J9002" t="s">
        <v>20</v>
      </c>
      <c r="K9002" t="s">
        <v>31</v>
      </c>
      <c r="L9002" t="s">
        <v>89</v>
      </c>
      <c r="M9002" t="s">
        <v>49</v>
      </c>
      <c r="N9002">
        <v>40.500692999999998</v>
      </c>
      <c r="O9002">
        <v>-111.884883</v>
      </c>
      <c r="P9002">
        <v>4398.1978440000003</v>
      </c>
      <c r="Q9002">
        <v>1426</v>
      </c>
      <c r="R9002">
        <v>0</v>
      </c>
    </row>
    <row r="9003" spans="1:18" x14ac:dyDescent="0.25">
      <c r="A9003">
        <v>8852</v>
      </c>
      <c r="B9003">
        <v>94</v>
      </c>
      <c r="C9003">
        <v>31529308</v>
      </c>
      <c r="D9003" t="s">
        <v>326</v>
      </c>
      <c r="E9003">
        <v>0</v>
      </c>
      <c r="F9003" t="s">
        <v>21</v>
      </c>
      <c r="G9003" t="s">
        <v>26</v>
      </c>
      <c r="H9003" t="s">
        <v>19</v>
      </c>
      <c r="I9003">
        <v>163</v>
      </c>
      <c r="J9003" t="s">
        <v>20</v>
      </c>
      <c r="K9003" t="s">
        <v>27</v>
      </c>
      <c r="L9003" t="s">
        <v>211</v>
      </c>
      <c r="M9003" t="s">
        <v>212</v>
      </c>
      <c r="N9003">
        <v>37.195163000000001</v>
      </c>
      <c r="O9003">
        <v>-109.865442</v>
      </c>
      <c r="P9003">
        <v>4448.9293429999998</v>
      </c>
      <c r="Q9003">
        <v>256</v>
      </c>
      <c r="R9003">
        <v>0</v>
      </c>
    </row>
    <row r="9004" spans="1:18" x14ac:dyDescent="0.25">
      <c r="A9004">
        <v>8853</v>
      </c>
      <c r="B9004">
        <v>94</v>
      </c>
      <c r="C9004">
        <v>31382726</v>
      </c>
      <c r="D9004" t="s">
        <v>391</v>
      </c>
      <c r="E9004">
        <v>0</v>
      </c>
      <c r="F9004" t="s">
        <v>21</v>
      </c>
      <c r="G9004" t="s">
        <v>26</v>
      </c>
      <c r="H9004" t="s">
        <v>21</v>
      </c>
      <c r="I9004" t="s">
        <v>20</v>
      </c>
      <c r="J9004" t="s">
        <v>20</v>
      </c>
      <c r="K9004" t="s">
        <v>27</v>
      </c>
      <c r="L9004" t="s">
        <v>173</v>
      </c>
      <c r="M9004" t="s">
        <v>392</v>
      </c>
      <c r="N9004">
        <v>39.495189000000003</v>
      </c>
      <c r="O9004">
        <v>-112.57826</v>
      </c>
      <c r="P9004">
        <v>4603.066898</v>
      </c>
      <c r="Q9004">
        <v>1438</v>
      </c>
      <c r="R9004">
        <v>0</v>
      </c>
    </row>
    <row r="9005" spans="1:18" x14ac:dyDescent="0.25">
      <c r="A9005">
        <v>8854</v>
      </c>
      <c r="B9005">
        <v>94</v>
      </c>
      <c r="C9005" t="e">
        <f>-JQP_9kGHJHnZ1ZKI-LwiF</f>
        <v>#NAME?</v>
      </c>
      <c r="D9005" t="s">
        <v>1037</v>
      </c>
      <c r="E9005">
        <v>0</v>
      </c>
      <c r="F9005" t="s">
        <v>21</v>
      </c>
      <c r="G9005" t="s">
        <v>26</v>
      </c>
      <c r="H9005" t="s">
        <v>21</v>
      </c>
      <c r="I9005" t="s">
        <v>20</v>
      </c>
      <c r="J9005" t="s">
        <v>20</v>
      </c>
      <c r="K9005" t="s">
        <v>27</v>
      </c>
      <c r="L9005" t="s">
        <v>202</v>
      </c>
      <c r="M9005" t="s">
        <v>365</v>
      </c>
      <c r="N9005">
        <v>39.253542000000003</v>
      </c>
      <c r="O9005">
        <v>-112.11545599999999</v>
      </c>
      <c r="P9005">
        <v>5231.5570699999998</v>
      </c>
      <c r="Q9005">
        <v>6661</v>
      </c>
      <c r="R9005">
        <v>0</v>
      </c>
    </row>
    <row r="9006" spans="1:18" x14ac:dyDescent="0.25">
      <c r="A9006">
        <v>8855</v>
      </c>
      <c r="B9006">
        <v>94</v>
      </c>
      <c r="C9006">
        <v>28999984</v>
      </c>
      <c r="D9006" t="s">
        <v>108</v>
      </c>
      <c r="E9006">
        <v>0</v>
      </c>
      <c r="F9006" t="s">
        <v>19</v>
      </c>
      <c r="G9006" t="s">
        <v>20</v>
      </c>
      <c r="H9006" t="s">
        <v>19</v>
      </c>
      <c r="I9006">
        <v>126</v>
      </c>
      <c r="J9006" t="s">
        <v>20</v>
      </c>
      <c r="K9006" t="s">
        <v>41</v>
      </c>
      <c r="L9006" t="s">
        <v>81</v>
      </c>
      <c r="M9006" t="s">
        <v>93</v>
      </c>
      <c r="N9006">
        <v>41.167400999999998</v>
      </c>
      <c r="O9006">
        <v>-112.025959</v>
      </c>
      <c r="P9006">
        <v>4481.223054</v>
      </c>
      <c r="Q9006">
        <v>1341</v>
      </c>
      <c r="R9006">
        <v>0</v>
      </c>
    </row>
    <row r="9007" spans="1:18" x14ac:dyDescent="0.25">
      <c r="A9007">
        <v>8856</v>
      </c>
      <c r="B9007">
        <v>94</v>
      </c>
      <c r="C9007">
        <v>27338285</v>
      </c>
      <c r="D9007" t="s">
        <v>185</v>
      </c>
      <c r="E9007">
        <v>0.60099999999999998</v>
      </c>
      <c r="F9007" t="s">
        <v>21</v>
      </c>
      <c r="G9007" t="s">
        <v>26</v>
      </c>
      <c r="H9007" t="s">
        <v>21</v>
      </c>
      <c r="I9007" t="s">
        <v>20</v>
      </c>
      <c r="J9007" t="s">
        <v>20</v>
      </c>
      <c r="K9007" t="s">
        <v>41</v>
      </c>
      <c r="L9007" t="s">
        <v>57</v>
      </c>
      <c r="M9007" t="s">
        <v>58</v>
      </c>
      <c r="N9007">
        <v>41.139890999999999</v>
      </c>
      <c r="O9007">
        <v>-112.037594</v>
      </c>
      <c r="P9007">
        <v>4407.232814</v>
      </c>
      <c r="Q9007">
        <v>309</v>
      </c>
      <c r="R9007">
        <v>0</v>
      </c>
    </row>
    <row r="9008" spans="1:18" x14ac:dyDescent="0.25">
      <c r="A9008">
        <v>8857</v>
      </c>
      <c r="B9008">
        <v>94</v>
      </c>
      <c r="C9008">
        <v>31528881</v>
      </c>
      <c r="D9008" t="s">
        <v>716</v>
      </c>
      <c r="E9008">
        <v>0.60199999999999998</v>
      </c>
      <c r="F9008" t="s">
        <v>21</v>
      </c>
      <c r="G9008" t="s">
        <v>26</v>
      </c>
      <c r="H9008" t="s">
        <v>19</v>
      </c>
      <c r="I9008">
        <v>271</v>
      </c>
      <c r="J9008" t="s">
        <v>20</v>
      </c>
      <c r="K9008" t="s">
        <v>27</v>
      </c>
      <c r="L9008" t="s">
        <v>51</v>
      </c>
      <c r="M9008" t="s">
        <v>106</v>
      </c>
      <c r="N9008">
        <v>37.851005000000001</v>
      </c>
      <c r="O9008">
        <v>-112.82777400000001</v>
      </c>
      <c r="P9008">
        <v>5884.8081540000003</v>
      </c>
      <c r="Q9008">
        <v>433</v>
      </c>
      <c r="R9008">
        <v>0</v>
      </c>
    </row>
    <row r="9009" spans="1:18" x14ac:dyDescent="0.25">
      <c r="A9009">
        <v>8858</v>
      </c>
      <c r="B9009">
        <v>94</v>
      </c>
      <c r="C9009">
        <v>1003441</v>
      </c>
      <c r="D9009" t="s">
        <v>171</v>
      </c>
      <c r="E9009">
        <v>0.60299999999999998</v>
      </c>
      <c r="F9009" t="s">
        <v>21</v>
      </c>
      <c r="G9009" t="s">
        <v>26</v>
      </c>
      <c r="H9009" t="s">
        <v>21</v>
      </c>
      <c r="I9009" t="s">
        <v>20</v>
      </c>
      <c r="J9009" t="s">
        <v>20</v>
      </c>
      <c r="K9009" t="s">
        <v>31</v>
      </c>
      <c r="L9009" t="s">
        <v>78</v>
      </c>
      <c r="M9009" t="s">
        <v>79</v>
      </c>
      <c r="N9009">
        <v>40.696491999999999</v>
      </c>
      <c r="O9009">
        <v>-112.080326</v>
      </c>
      <c r="P9009">
        <v>4333.4212820000002</v>
      </c>
      <c r="Q9009">
        <v>346</v>
      </c>
      <c r="R9009">
        <v>0</v>
      </c>
    </row>
    <row r="9010" spans="1:18" x14ac:dyDescent="0.25">
      <c r="A9010">
        <v>8859</v>
      </c>
      <c r="B9010">
        <v>94</v>
      </c>
      <c r="C9010">
        <v>31777749</v>
      </c>
      <c r="D9010" t="s">
        <v>61</v>
      </c>
      <c r="E9010">
        <v>0.60399999999999998</v>
      </c>
      <c r="F9010" t="s">
        <v>19</v>
      </c>
      <c r="G9010" t="s">
        <v>20</v>
      </c>
      <c r="H9010" t="s">
        <v>21</v>
      </c>
      <c r="I9010" t="s">
        <v>20</v>
      </c>
      <c r="J9010" t="s">
        <v>20</v>
      </c>
      <c r="K9010" t="s">
        <v>22</v>
      </c>
      <c r="L9010" t="s">
        <v>23</v>
      </c>
      <c r="M9010" t="s">
        <v>62</v>
      </c>
      <c r="N9010">
        <v>40.214646000000002</v>
      </c>
      <c r="O9010">
        <v>-111.658978</v>
      </c>
      <c r="P9010">
        <v>4439.2906409999996</v>
      </c>
      <c r="Q9010">
        <v>403</v>
      </c>
      <c r="R9010">
        <v>0</v>
      </c>
    </row>
    <row r="9011" spans="1:18" x14ac:dyDescent="0.25">
      <c r="A9011">
        <v>8860</v>
      </c>
      <c r="B9011">
        <v>94</v>
      </c>
      <c r="C9011">
        <v>2340847</v>
      </c>
      <c r="D9011" t="s">
        <v>113</v>
      </c>
      <c r="E9011">
        <v>0.60499999999999998</v>
      </c>
      <c r="F9011" t="s">
        <v>21</v>
      </c>
      <c r="G9011" t="s">
        <v>26</v>
      </c>
      <c r="H9011" t="s">
        <v>21</v>
      </c>
      <c r="I9011" t="s">
        <v>20</v>
      </c>
      <c r="J9011" t="s">
        <v>20</v>
      </c>
      <c r="K9011" t="s">
        <v>41</v>
      </c>
      <c r="L9011" t="s">
        <v>87</v>
      </c>
      <c r="M9011" t="s">
        <v>58</v>
      </c>
      <c r="N9011">
        <v>41.168593999999999</v>
      </c>
      <c r="O9011">
        <v>-112.00675099999999</v>
      </c>
      <c r="P9011">
        <v>4335.2686530000001</v>
      </c>
      <c r="Q9011">
        <v>1363</v>
      </c>
      <c r="R9011">
        <v>0</v>
      </c>
    </row>
    <row r="9012" spans="1:18" x14ac:dyDescent="0.25">
      <c r="A9012">
        <v>8861</v>
      </c>
      <c r="B9012">
        <v>94</v>
      </c>
      <c r="C9012" t="e">
        <f>-Ip07iiSGnH4B7sm7lKwqV</f>
        <v>#NAME?</v>
      </c>
      <c r="D9012" t="s">
        <v>110</v>
      </c>
      <c r="E9012">
        <v>0.60499999999999998</v>
      </c>
      <c r="F9012" t="s">
        <v>21</v>
      </c>
      <c r="G9012" t="s">
        <v>20</v>
      </c>
      <c r="H9012" t="s">
        <v>21</v>
      </c>
      <c r="I9012" t="s">
        <v>20</v>
      </c>
      <c r="J9012" t="s">
        <v>20</v>
      </c>
      <c r="K9012" t="s">
        <v>27</v>
      </c>
      <c r="L9012" t="s">
        <v>111</v>
      </c>
      <c r="M9012" t="s">
        <v>112</v>
      </c>
      <c r="N9012">
        <v>39.184607999999997</v>
      </c>
      <c r="O9012">
        <v>-111.047641</v>
      </c>
      <c r="P9012">
        <v>5678.6253180000003</v>
      </c>
      <c r="Q9012">
        <v>1361</v>
      </c>
      <c r="R9012">
        <v>0</v>
      </c>
    </row>
    <row r="9013" spans="1:18" x14ac:dyDescent="0.25">
      <c r="A9013">
        <v>8862</v>
      </c>
      <c r="B9013">
        <v>94</v>
      </c>
      <c r="C9013">
        <v>31368869</v>
      </c>
      <c r="D9013" t="s">
        <v>345</v>
      </c>
      <c r="E9013">
        <v>0.60499999999999998</v>
      </c>
      <c r="F9013" t="s">
        <v>21</v>
      </c>
      <c r="G9013" t="s">
        <v>26</v>
      </c>
      <c r="H9013" t="s">
        <v>21</v>
      </c>
      <c r="I9013" t="s">
        <v>20</v>
      </c>
      <c r="J9013" t="s">
        <v>20</v>
      </c>
      <c r="K9013" t="s">
        <v>27</v>
      </c>
      <c r="L9013" t="s">
        <v>75</v>
      </c>
      <c r="M9013" t="s">
        <v>76</v>
      </c>
      <c r="N9013">
        <v>38.624234000000001</v>
      </c>
      <c r="O9013">
        <v>-112.216143</v>
      </c>
      <c r="P9013">
        <v>5366.0406620000003</v>
      </c>
      <c r="Q9013">
        <v>1403</v>
      </c>
      <c r="R9013">
        <v>0</v>
      </c>
    </row>
    <row r="9014" spans="1:18" x14ac:dyDescent="0.25">
      <c r="A9014">
        <v>8863</v>
      </c>
      <c r="B9014">
        <v>94</v>
      </c>
      <c r="C9014" t="e">
        <f>-IoX_C_XI8iPENvo5NL4pF</f>
        <v>#NAME?</v>
      </c>
      <c r="D9014" t="s">
        <v>718</v>
      </c>
      <c r="E9014">
        <v>0.60799999999999998</v>
      </c>
      <c r="F9014" t="s">
        <v>19</v>
      </c>
      <c r="G9014" t="s">
        <v>20</v>
      </c>
      <c r="H9014" t="s">
        <v>19</v>
      </c>
      <c r="I9014">
        <v>269</v>
      </c>
      <c r="J9014" t="s">
        <v>20</v>
      </c>
      <c r="K9014" t="s">
        <v>31</v>
      </c>
      <c r="L9014" t="s">
        <v>66</v>
      </c>
      <c r="M9014" t="s">
        <v>67</v>
      </c>
      <c r="N9014">
        <v>40.758499999999998</v>
      </c>
      <c r="O9014">
        <v>-111.89392700000001</v>
      </c>
      <c r="P9014">
        <v>4188.8371150000003</v>
      </c>
      <c r="Q9014">
        <v>1282</v>
      </c>
      <c r="R9014">
        <v>0</v>
      </c>
    </row>
    <row r="9015" spans="1:18" x14ac:dyDescent="0.25">
      <c r="A9015">
        <v>8864</v>
      </c>
      <c r="B9015">
        <v>94</v>
      </c>
      <c r="C9015">
        <v>31747781</v>
      </c>
      <c r="D9015" t="s">
        <v>370</v>
      </c>
      <c r="E9015">
        <v>0.60899999999999999</v>
      </c>
      <c r="F9015" t="s">
        <v>21</v>
      </c>
      <c r="G9015" t="s">
        <v>20</v>
      </c>
      <c r="H9015" t="s">
        <v>21</v>
      </c>
      <c r="I9015" t="s">
        <v>20</v>
      </c>
      <c r="J9015" t="s">
        <v>20</v>
      </c>
      <c r="K9015" t="s">
        <v>41</v>
      </c>
      <c r="L9015" t="s">
        <v>87</v>
      </c>
      <c r="M9015" t="s">
        <v>58</v>
      </c>
      <c r="N9015">
        <v>41.158607000000003</v>
      </c>
      <c r="O9015">
        <v>-112.005522</v>
      </c>
      <c r="P9015">
        <v>4442.5679280000004</v>
      </c>
      <c r="Q9015">
        <v>1435</v>
      </c>
      <c r="R9015">
        <v>0</v>
      </c>
    </row>
    <row r="9016" spans="1:18" x14ac:dyDescent="0.25">
      <c r="A9016">
        <v>8865</v>
      </c>
      <c r="B9016">
        <v>94</v>
      </c>
      <c r="C9016">
        <v>31841999</v>
      </c>
      <c r="D9016" t="s">
        <v>179</v>
      </c>
      <c r="E9016">
        <v>0.61099999999999999</v>
      </c>
      <c r="F9016" t="s">
        <v>19</v>
      </c>
      <c r="G9016" t="s">
        <v>20</v>
      </c>
      <c r="H9016" t="s">
        <v>19</v>
      </c>
      <c r="I9016">
        <v>270</v>
      </c>
      <c r="J9016" t="s">
        <v>20</v>
      </c>
      <c r="K9016" t="s">
        <v>31</v>
      </c>
      <c r="L9016" t="s">
        <v>66</v>
      </c>
      <c r="M9016" t="s">
        <v>67</v>
      </c>
      <c r="N9016">
        <v>40.756295000000001</v>
      </c>
      <c r="O9016">
        <v>-111.893974</v>
      </c>
      <c r="P9016">
        <v>4181.4315479999996</v>
      </c>
      <c r="Q9016">
        <v>362</v>
      </c>
      <c r="R9016">
        <v>0</v>
      </c>
    </row>
    <row r="9017" spans="1:18" x14ac:dyDescent="0.25">
      <c r="A9017">
        <v>8866</v>
      </c>
      <c r="B9017">
        <v>94</v>
      </c>
      <c r="C9017">
        <v>31397393</v>
      </c>
      <c r="D9017" t="s">
        <v>224</v>
      </c>
      <c r="E9017">
        <v>0.61299999999999999</v>
      </c>
      <c r="F9017" t="s">
        <v>21</v>
      </c>
      <c r="G9017" t="s">
        <v>26</v>
      </c>
      <c r="H9017" t="s">
        <v>21</v>
      </c>
      <c r="I9017" t="s">
        <v>20</v>
      </c>
      <c r="J9017" t="s">
        <v>20</v>
      </c>
      <c r="K9017" t="s">
        <v>22</v>
      </c>
      <c r="L9017" t="s">
        <v>198</v>
      </c>
      <c r="M9017" t="s">
        <v>194</v>
      </c>
      <c r="N9017">
        <v>39.983130000000003</v>
      </c>
      <c r="O9017">
        <v>-111.765777</v>
      </c>
      <c r="P9017">
        <v>4822.846614</v>
      </c>
      <c r="Q9017">
        <v>408</v>
      </c>
      <c r="R9017">
        <v>0</v>
      </c>
    </row>
    <row r="9018" spans="1:18" x14ac:dyDescent="0.25">
      <c r="A9018">
        <v>8867</v>
      </c>
      <c r="B9018">
        <v>94</v>
      </c>
      <c r="C9018">
        <v>31464679</v>
      </c>
      <c r="D9018" t="s">
        <v>264</v>
      </c>
      <c r="E9018">
        <v>0.61399999999999999</v>
      </c>
      <c r="F9018" t="s">
        <v>21</v>
      </c>
      <c r="G9018" t="s">
        <v>26</v>
      </c>
      <c r="H9018" t="s">
        <v>21</v>
      </c>
      <c r="I9018" t="s">
        <v>20</v>
      </c>
      <c r="J9018" t="s">
        <v>20</v>
      </c>
      <c r="K9018" t="s">
        <v>22</v>
      </c>
      <c r="L9018" t="s">
        <v>35</v>
      </c>
      <c r="M9018" t="s">
        <v>36</v>
      </c>
      <c r="N9018">
        <v>40.515405999999999</v>
      </c>
      <c r="O9018">
        <v>-111.47959299999999</v>
      </c>
      <c r="P9018">
        <v>5553.3553609999999</v>
      </c>
      <c r="Q9018">
        <v>420</v>
      </c>
      <c r="R9018">
        <v>0</v>
      </c>
    </row>
    <row r="9019" spans="1:18" x14ac:dyDescent="0.25">
      <c r="A9019">
        <v>8868</v>
      </c>
      <c r="B9019">
        <v>94</v>
      </c>
      <c r="C9019">
        <v>31468452</v>
      </c>
      <c r="D9019" t="s">
        <v>348</v>
      </c>
      <c r="E9019">
        <v>0.68200000000000005</v>
      </c>
      <c r="F9019" t="s">
        <v>21</v>
      </c>
      <c r="G9019" t="s">
        <v>26</v>
      </c>
      <c r="H9019" t="s">
        <v>21</v>
      </c>
      <c r="I9019" t="s">
        <v>20</v>
      </c>
      <c r="J9019" t="s">
        <v>20</v>
      </c>
      <c r="K9019" t="s">
        <v>27</v>
      </c>
      <c r="L9019" t="s">
        <v>122</v>
      </c>
      <c r="M9019" t="s">
        <v>123</v>
      </c>
      <c r="N9019">
        <v>38.365071</v>
      </c>
      <c r="O9019">
        <v>-110.70088699999999</v>
      </c>
      <c r="P9019">
        <v>4276.0216840000003</v>
      </c>
      <c r="Q9019">
        <v>1388</v>
      </c>
      <c r="R9019">
        <v>0</v>
      </c>
    </row>
    <row r="9020" spans="1:18" x14ac:dyDescent="0.25">
      <c r="A9020">
        <v>8869</v>
      </c>
      <c r="B9020">
        <v>94</v>
      </c>
      <c r="C9020">
        <v>31308605</v>
      </c>
      <c r="D9020" t="s">
        <v>215</v>
      </c>
      <c r="E9020">
        <v>1.0309999999999999</v>
      </c>
      <c r="F9020" t="s">
        <v>19</v>
      </c>
      <c r="G9020" t="s">
        <v>20</v>
      </c>
      <c r="H9020" t="s">
        <v>21</v>
      </c>
      <c r="I9020" t="s">
        <v>20</v>
      </c>
      <c r="J9020" t="s">
        <v>20</v>
      </c>
      <c r="K9020" t="s">
        <v>22</v>
      </c>
      <c r="L9020" t="s">
        <v>23</v>
      </c>
      <c r="M9020" t="s">
        <v>85</v>
      </c>
      <c r="N9020">
        <v>40.234457999999997</v>
      </c>
      <c r="O9020">
        <v>-111.684703</v>
      </c>
      <c r="P9020">
        <v>4470.1394639999999</v>
      </c>
      <c r="Q9020">
        <v>330</v>
      </c>
      <c r="R9020">
        <v>0</v>
      </c>
    </row>
    <row r="9021" spans="1:18" x14ac:dyDescent="0.25">
      <c r="A9021">
        <v>8870</v>
      </c>
      <c r="B9021">
        <v>94</v>
      </c>
      <c r="C9021">
        <v>31369884</v>
      </c>
      <c r="D9021" t="s">
        <v>199</v>
      </c>
      <c r="E9021">
        <v>1.0369999999999999</v>
      </c>
      <c r="F9021" t="s">
        <v>21</v>
      </c>
      <c r="G9021" t="s">
        <v>26</v>
      </c>
      <c r="H9021" t="s">
        <v>21</v>
      </c>
      <c r="I9021" t="s">
        <v>20</v>
      </c>
      <c r="J9021" t="s">
        <v>20</v>
      </c>
      <c r="K9021" t="s">
        <v>27</v>
      </c>
      <c r="L9021" t="s">
        <v>103</v>
      </c>
      <c r="M9021" t="s">
        <v>200</v>
      </c>
      <c r="N9021">
        <v>38.277068</v>
      </c>
      <c r="O9021">
        <v>-112.622298</v>
      </c>
      <c r="P9021">
        <v>5906.5505999999996</v>
      </c>
      <c r="Q9021">
        <v>341</v>
      </c>
      <c r="R9021">
        <v>0</v>
      </c>
    </row>
    <row r="9022" spans="1:18" x14ac:dyDescent="0.25">
      <c r="A9022">
        <v>8871</v>
      </c>
      <c r="B9022">
        <v>94</v>
      </c>
      <c r="C9022">
        <v>764740</v>
      </c>
      <c r="D9022" t="s">
        <v>86</v>
      </c>
      <c r="E9022">
        <v>1.038</v>
      </c>
      <c r="F9022" t="s">
        <v>21</v>
      </c>
      <c r="G9022" t="s">
        <v>26</v>
      </c>
      <c r="H9022" t="s">
        <v>21</v>
      </c>
      <c r="I9022" t="s">
        <v>20</v>
      </c>
      <c r="J9022" t="s">
        <v>20</v>
      </c>
      <c r="K9022" t="s">
        <v>41</v>
      </c>
      <c r="L9022" t="s">
        <v>87</v>
      </c>
      <c r="M9022" t="s">
        <v>58</v>
      </c>
      <c r="N9022">
        <v>41.021807000000003</v>
      </c>
      <c r="O9022">
        <v>-111.925012</v>
      </c>
      <c r="P9022">
        <v>4338.6881350000003</v>
      </c>
      <c r="Q9022">
        <v>258</v>
      </c>
      <c r="R9022">
        <v>0</v>
      </c>
    </row>
    <row r="9023" spans="1:18" x14ac:dyDescent="0.25">
      <c r="A9023">
        <v>8872</v>
      </c>
      <c r="B9023">
        <v>94</v>
      </c>
      <c r="C9023">
        <v>28085758</v>
      </c>
      <c r="D9023" t="s">
        <v>59</v>
      </c>
      <c r="E9023">
        <v>1.038</v>
      </c>
      <c r="F9023" t="s">
        <v>19</v>
      </c>
      <c r="G9023" t="s">
        <v>20</v>
      </c>
      <c r="H9023" t="s">
        <v>21</v>
      </c>
      <c r="I9023" t="s">
        <v>20</v>
      </c>
      <c r="J9023" t="s">
        <v>20</v>
      </c>
      <c r="K9023" t="s">
        <v>22</v>
      </c>
      <c r="L9023" t="s">
        <v>60</v>
      </c>
      <c r="M9023" t="s">
        <v>24</v>
      </c>
      <c r="N9023">
        <v>40.312063000000002</v>
      </c>
      <c r="O9023">
        <v>-111.71497599999999</v>
      </c>
      <c r="P9023">
        <v>4682.8648869999997</v>
      </c>
      <c r="Q9023">
        <v>313</v>
      </c>
      <c r="R9023">
        <v>0</v>
      </c>
    </row>
    <row r="9024" spans="1:18" x14ac:dyDescent="0.25">
      <c r="A9024">
        <v>8873</v>
      </c>
      <c r="B9024">
        <v>94</v>
      </c>
      <c r="C9024">
        <v>27644589</v>
      </c>
      <c r="D9024" t="s">
        <v>196</v>
      </c>
      <c r="E9024">
        <v>1.0389999999999999</v>
      </c>
      <c r="F9024" t="s">
        <v>19</v>
      </c>
      <c r="G9024" t="s">
        <v>20</v>
      </c>
      <c r="H9024" t="s">
        <v>21</v>
      </c>
      <c r="I9024" t="s">
        <v>20</v>
      </c>
      <c r="J9024" t="s">
        <v>20</v>
      </c>
      <c r="K9024" t="s">
        <v>27</v>
      </c>
      <c r="L9024" t="s">
        <v>72</v>
      </c>
      <c r="M9024" t="s">
        <v>73</v>
      </c>
      <c r="N9024">
        <v>37.109848999999997</v>
      </c>
      <c r="O9024">
        <v>-113.574844</v>
      </c>
      <c r="P9024">
        <v>2660.4890059999998</v>
      </c>
      <c r="Q9024">
        <v>308</v>
      </c>
      <c r="R9024">
        <v>0</v>
      </c>
    </row>
    <row r="9025" spans="1:18" x14ac:dyDescent="0.25">
      <c r="A9025">
        <v>8874</v>
      </c>
      <c r="B9025">
        <v>94</v>
      </c>
      <c r="C9025">
        <v>31347129</v>
      </c>
      <c r="D9025" t="s">
        <v>34</v>
      </c>
      <c r="E9025">
        <v>1.04</v>
      </c>
      <c r="F9025" t="s">
        <v>21</v>
      </c>
      <c r="G9025" t="s">
        <v>26</v>
      </c>
      <c r="H9025" t="s">
        <v>21</v>
      </c>
      <c r="I9025" t="s">
        <v>20</v>
      </c>
      <c r="J9025" t="s">
        <v>20</v>
      </c>
      <c r="K9025" t="s">
        <v>22</v>
      </c>
      <c r="L9025" t="s">
        <v>35</v>
      </c>
      <c r="M9025" t="s">
        <v>36</v>
      </c>
      <c r="N9025">
        <v>40.470638999999998</v>
      </c>
      <c r="O9025">
        <v>-111.471763</v>
      </c>
      <c r="P9025">
        <v>5378.937774</v>
      </c>
      <c r="Q9025">
        <v>1400</v>
      </c>
      <c r="R9025">
        <v>0</v>
      </c>
    </row>
    <row r="9026" spans="1:18" x14ac:dyDescent="0.25">
      <c r="A9026">
        <v>8875</v>
      </c>
      <c r="B9026">
        <v>94</v>
      </c>
      <c r="C9026">
        <v>31377698</v>
      </c>
      <c r="D9026" t="s">
        <v>221</v>
      </c>
      <c r="E9026">
        <v>1.04</v>
      </c>
      <c r="F9026" t="s">
        <v>21</v>
      </c>
      <c r="G9026" t="s">
        <v>26</v>
      </c>
      <c r="H9026" t="s">
        <v>21</v>
      </c>
      <c r="I9026" t="s">
        <v>20</v>
      </c>
      <c r="J9026" t="s">
        <v>20</v>
      </c>
      <c r="K9026" t="s">
        <v>27</v>
      </c>
      <c r="L9026" t="s">
        <v>350</v>
      </c>
      <c r="M9026" t="s">
        <v>174</v>
      </c>
      <c r="N9026">
        <v>39.170845999999997</v>
      </c>
      <c r="O9026">
        <v>-111.828529</v>
      </c>
      <c r="P9026">
        <v>5200.1323300000004</v>
      </c>
      <c r="Q9026">
        <v>1342</v>
      </c>
      <c r="R9026">
        <v>0</v>
      </c>
    </row>
    <row r="9027" spans="1:18" x14ac:dyDescent="0.25">
      <c r="A9027">
        <v>8876</v>
      </c>
      <c r="B9027">
        <v>94</v>
      </c>
      <c r="C9027">
        <v>31655393</v>
      </c>
      <c r="D9027" t="s">
        <v>71</v>
      </c>
      <c r="E9027">
        <v>1.042</v>
      </c>
      <c r="F9027" t="s">
        <v>21</v>
      </c>
      <c r="G9027" t="s">
        <v>26</v>
      </c>
      <c r="H9027" t="s">
        <v>21</v>
      </c>
      <c r="I9027" t="s">
        <v>20</v>
      </c>
      <c r="J9027" t="s">
        <v>20</v>
      </c>
      <c r="K9027" t="s">
        <v>27</v>
      </c>
      <c r="L9027" t="s">
        <v>72</v>
      </c>
      <c r="M9027" t="s">
        <v>73</v>
      </c>
      <c r="N9027">
        <v>37.238646000000003</v>
      </c>
      <c r="O9027">
        <v>-113.359238</v>
      </c>
      <c r="P9027">
        <v>3401.236159</v>
      </c>
      <c r="Q9027">
        <v>423</v>
      </c>
      <c r="R9027">
        <v>0</v>
      </c>
    </row>
    <row r="9028" spans="1:18" x14ac:dyDescent="0.25">
      <c r="A9028">
        <v>8877</v>
      </c>
      <c r="B9028">
        <v>94</v>
      </c>
      <c r="C9028">
        <v>1746644</v>
      </c>
      <c r="D9028" t="s">
        <v>999</v>
      </c>
      <c r="E9028">
        <v>1.0469999999999999</v>
      </c>
      <c r="F9028" t="s">
        <v>21</v>
      </c>
      <c r="G9028" t="s">
        <v>26</v>
      </c>
      <c r="H9028" t="s">
        <v>21</v>
      </c>
      <c r="I9028" t="s">
        <v>20</v>
      </c>
      <c r="J9028" t="s">
        <v>20</v>
      </c>
      <c r="K9028" t="s">
        <v>41</v>
      </c>
      <c r="L9028" t="s">
        <v>223</v>
      </c>
      <c r="M9028" t="s">
        <v>238</v>
      </c>
      <c r="N9028">
        <v>41.63476</v>
      </c>
      <c r="O9028">
        <v>-112.08277</v>
      </c>
      <c r="P9028">
        <v>4216.0377600000002</v>
      </c>
      <c r="Q9028">
        <v>425</v>
      </c>
      <c r="R9028">
        <v>0</v>
      </c>
    </row>
    <row r="9029" spans="1:18" x14ac:dyDescent="0.25">
      <c r="A9029">
        <v>8878</v>
      </c>
      <c r="B9029">
        <v>94</v>
      </c>
      <c r="C9029">
        <v>530456</v>
      </c>
      <c r="D9029" t="s">
        <v>47</v>
      </c>
      <c r="E9029">
        <v>1.0469999999999999</v>
      </c>
      <c r="F9029" t="s">
        <v>21</v>
      </c>
      <c r="G9029" t="s">
        <v>26</v>
      </c>
      <c r="H9029" t="s">
        <v>21</v>
      </c>
      <c r="I9029" t="s">
        <v>20</v>
      </c>
      <c r="J9029" t="s">
        <v>20</v>
      </c>
      <c r="K9029" t="s">
        <v>31</v>
      </c>
      <c r="L9029" t="s">
        <v>48</v>
      </c>
      <c r="M9029" t="s">
        <v>49</v>
      </c>
      <c r="N9029">
        <v>40.544159999999998</v>
      </c>
      <c r="O9029">
        <v>-111.96402500000001</v>
      </c>
      <c r="P9029">
        <v>4492.1689800000004</v>
      </c>
      <c r="Q9029">
        <v>6715</v>
      </c>
      <c r="R9029">
        <v>0</v>
      </c>
    </row>
    <row r="9030" spans="1:18" x14ac:dyDescent="0.25">
      <c r="A9030">
        <v>8879</v>
      </c>
      <c r="B9030">
        <v>94</v>
      </c>
      <c r="C9030">
        <v>31856752</v>
      </c>
      <c r="D9030" t="s">
        <v>179</v>
      </c>
      <c r="E9030">
        <v>1.0489999999999999</v>
      </c>
      <c r="F9030" t="s">
        <v>19</v>
      </c>
      <c r="G9030" t="s">
        <v>20</v>
      </c>
      <c r="H9030" t="s">
        <v>21</v>
      </c>
      <c r="I9030" t="s">
        <v>20</v>
      </c>
      <c r="J9030" t="s">
        <v>20</v>
      </c>
      <c r="K9030" t="s">
        <v>31</v>
      </c>
      <c r="L9030" t="s">
        <v>66</v>
      </c>
      <c r="M9030" t="s">
        <v>67</v>
      </c>
      <c r="N9030">
        <v>40.758490000000002</v>
      </c>
      <c r="O9030">
        <v>-111.891103</v>
      </c>
      <c r="P9030">
        <v>4194.2658810000003</v>
      </c>
      <c r="Q9030">
        <v>362</v>
      </c>
      <c r="R9030">
        <v>0</v>
      </c>
    </row>
    <row r="9031" spans="1:18" x14ac:dyDescent="0.25">
      <c r="A9031">
        <v>8880</v>
      </c>
      <c r="B9031">
        <v>94</v>
      </c>
      <c r="C9031">
        <v>31529014</v>
      </c>
      <c r="D9031" t="s">
        <v>716</v>
      </c>
      <c r="E9031">
        <v>1.05</v>
      </c>
      <c r="F9031" t="s">
        <v>21</v>
      </c>
      <c r="G9031" t="s">
        <v>26</v>
      </c>
      <c r="H9031" t="s">
        <v>21</v>
      </c>
      <c r="I9031" t="s">
        <v>20</v>
      </c>
      <c r="J9031" t="s">
        <v>20</v>
      </c>
      <c r="K9031" t="s">
        <v>27</v>
      </c>
      <c r="L9031" t="s">
        <v>51</v>
      </c>
      <c r="M9031" t="s">
        <v>106</v>
      </c>
      <c r="N9031">
        <v>37.857343</v>
      </c>
      <c r="O9031">
        <v>-112.827905</v>
      </c>
      <c r="P9031">
        <v>5849.8537749999996</v>
      </c>
      <c r="Q9031">
        <v>433</v>
      </c>
      <c r="R9031">
        <v>0</v>
      </c>
    </row>
    <row r="9032" spans="1:18" x14ac:dyDescent="0.25">
      <c r="A9032">
        <v>8881</v>
      </c>
      <c r="B9032">
        <v>94</v>
      </c>
      <c r="C9032">
        <v>514169</v>
      </c>
      <c r="D9032" t="s">
        <v>44</v>
      </c>
      <c r="E9032">
        <v>1.0529999999999999</v>
      </c>
      <c r="F9032" t="s">
        <v>19</v>
      </c>
      <c r="G9032" t="s">
        <v>20</v>
      </c>
      <c r="H9032" t="s">
        <v>21</v>
      </c>
      <c r="I9032" t="s">
        <v>20</v>
      </c>
      <c r="J9032" t="s">
        <v>20</v>
      </c>
      <c r="K9032" t="s">
        <v>41</v>
      </c>
      <c r="L9032" t="s">
        <v>45</v>
      </c>
      <c r="M9032" t="s">
        <v>46</v>
      </c>
      <c r="N9032">
        <v>40.893644999999999</v>
      </c>
      <c r="O9032">
        <v>-111.880729</v>
      </c>
      <c r="P9032">
        <v>4300.868512</v>
      </c>
      <c r="Q9032">
        <v>1395</v>
      </c>
      <c r="R9032">
        <v>0</v>
      </c>
    </row>
    <row r="9033" spans="1:18" x14ac:dyDescent="0.25">
      <c r="A9033">
        <v>8882</v>
      </c>
      <c r="B9033">
        <v>94</v>
      </c>
      <c r="C9033">
        <v>31406681</v>
      </c>
      <c r="D9033" t="s">
        <v>257</v>
      </c>
      <c r="E9033">
        <v>1.054</v>
      </c>
      <c r="F9033" t="s">
        <v>21</v>
      </c>
      <c r="G9033" t="s">
        <v>26</v>
      </c>
      <c r="H9033" t="s">
        <v>21</v>
      </c>
      <c r="I9033" t="s">
        <v>20</v>
      </c>
      <c r="J9033" t="s">
        <v>20</v>
      </c>
      <c r="K9033" t="s">
        <v>22</v>
      </c>
      <c r="L9033" t="s">
        <v>140</v>
      </c>
      <c r="M9033" t="s">
        <v>76</v>
      </c>
      <c r="N9033">
        <v>40.085360999999999</v>
      </c>
      <c r="O9033">
        <v>-111.683463</v>
      </c>
      <c r="P9033">
        <v>4483.3652380000003</v>
      </c>
      <c r="Q9033">
        <v>1433</v>
      </c>
      <c r="R9033">
        <v>0</v>
      </c>
    </row>
    <row r="9034" spans="1:18" x14ac:dyDescent="0.25">
      <c r="A9034">
        <v>8883</v>
      </c>
      <c r="B9034">
        <v>94</v>
      </c>
      <c r="C9034">
        <v>31590351</v>
      </c>
      <c r="D9034" t="s">
        <v>145</v>
      </c>
      <c r="E9034">
        <v>1.054</v>
      </c>
      <c r="F9034" t="s">
        <v>21</v>
      </c>
      <c r="G9034" t="s">
        <v>26</v>
      </c>
      <c r="H9034" t="s">
        <v>21</v>
      </c>
      <c r="I9034" t="s">
        <v>20</v>
      </c>
      <c r="J9034" t="s">
        <v>20</v>
      </c>
      <c r="K9034" t="s">
        <v>27</v>
      </c>
      <c r="L9034" t="s">
        <v>146</v>
      </c>
      <c r="M9034" t="s">
        <v>147</v>
      </c>
      <c r="N9034">
        <v>37.872798000000003</v>
      </c>
      <c r="O9034">
        <v>-109.32356900000001</v>
      </c>
      <c r="P9034">
        <v>6877.3496839999998</v>
      </c>
      <c r="Q9034">
        <v>1291</v>
      </c>
      <c r="R9034">
        <v>0</v>
      </c>
    </row>
    <row r="9035" spans="1:18" x14ac:dyDescent="0.25">
      <c r="A9035">
        <v>8884</v>
      </c>
      <c r="B9035">
        <v>94</v>
      </c>
      <c r="C9035">
        <v>1425864</v>
      </c>
      <c r="D9035" t="s">
        <v>718</v>
      </c>
      <c r="E9035">
        <v>0.74399999999999999</v>
      </c>
      <c r="F9035" t="s">
        <v>19</v>
      </c>
      <c r="G9035" t="s">
        <v>20</v>
      </c>
      <c r="H9035" t="s">
        <v>21</v>
      </c>
      <c r="I9035" t="s">
        <v>20</v>
      </c>
      <c r="J9035" t="s">
        <v>20</v>
      </c>
      <c r="K9035" t="s">
        <v>31</v>
      </c>
      <c r="L9035" t="s">
        <v>66</v>
      </c>
      <c r="M9035" t="s">
        <v>67</v>
      </c>
      <c r="N9035">
        <v>40.760649999999998</v>
      </c>
      <c r="O9035">
        <v>-111.89394</v>
      </c>
      <c r="P9035">
        <v>4202.6095969999997</v>
      </c>
      <c r="Q9035">
        <v>1282</v>
      </c>
      <c r="R9035">
        <v>0</v>
      </c>
    </row>
    <row r="9036" spans="1:18" x14ac:dyDescent="0.25">
      <c r="A9036">
        <v>8885</v>
      </c>
      <c r="B9036">
        <v>94</v>
      </c>
      <c r="C9036">
        <v>31767054</v>
      </c>
      <c r="D9036" t="s">
        <v>184</v>
      </c>
      <c r="E9036">
        <v>0.746</v>
      </c>
      <c r="F9036" t="s">
        <v>21</v>
      </c>
      <c r="G9036" t="s">
        <v>26</v>
      </c>
      <c r="H9036" t="s">
        <v>21</v>
      </c>
      <c r="I9036" t="s">
        <v>20</v>
      </c>
      <c r="J9036" t="s">
        <v>20</v>
      </c>
      <c r="K9036" t="s">
        <v>27</v>
      </c>
      <c r="L9036" t="s">
        <v>54</v>
      </c>
      <c r="M9036" t="s">
        <v>55</v>
      </c>
      <c r="N9036">
        <v>37.659295</v>
      </c>
      <c r="O9036">
        <v>-113.072773</v>
      </c>
      <c r="P9036">
        <v>5898.4915870000004</v>
      </c>
      <c r="Q9036">
        <v>1410</v>
      </c>
      <c r="R9036">
        <v>0</v>
      </c>
    </row>
    <row r="9037" spans="1:18" x14ac:dyDescent="0.25">
      <c r="A9037">
        <v>8886</v>
      </c>
      <c r="B9037">
        <v>94</v>
      </c>
      <c r="C9037" t="e">
        <f>-Iq25xgkIAyqaSrsSIuQTF</f>
        <v>#NAME?</v>
      </c>
      <c r="D9037" t="s">
        <v>272</v>
      </c>
      <c r="E9037">
        <v>501.755</v>
      </c>
      <c r="F9037" t="s">
        <v>21</v>
      </c>
      <c r="G9037" t="s">
        <v>20</v>
      </c>
      <c r="H9037" t="s">
        <v>21</v>
      </c>
      <c r="I9037" t="s">
        <v>20</v>
      </c>
      <c r="J9037" t="s">
        <v>20</v>
      </c>
      <c r="K9037" t="s">
        <v>41</v>
      </c>
      <c r="L9037" t="s">
        <v>325</v>
      </c>
      <c r="M9037" t="s">
        <v>152</v>
      </c>
      <c r="N9037">
        <v>41.989024000000001</v>
      </c>
      <c r="O9037">
        <v>-111.41128399999999</v>
      </c>
      <c r="P9037">
        <v>5892.0959080000002</v>
      </c>
      <c r="Q9037">
        <v>1384</v>
      </c>
      <c r="R9037">
        <v>0</v>
      </c>
    </row>
    <row r="9038" spans="1:18" x14ac:dyDescent="0.25">
      <c r="A9038">
        <v>8887</v>
      </c>
      <c r="B9038">
        <v>94</v>
      </c>
      <c r="C9038" t="e">
        <f>-IpZfdAuILLwp7MnAY3vQF</f>
        <v>#NAME?</v>
      </c>
      <c r="D9038" t="s">
        <v>272</v>
      </c>
      <c r="E9038">
        <v>502.27699999999999</v>
      </c>
      <c r="F9038" t="s">
        <v>21</v>
      </c>
      <c r="G9038" t="s">
        <v>26</v>
      </c>
      <c r="H9038" t="s">
        <v>21</v>
      </c>
      <c r="I9038" t="s">
        <v>20</v>
      </c>
      <c r="J9038" t="s">
        <v>20</v>
      </c>
      <c r="K9038" t="s">
        <v>41</v>
      </c>
      <c r="L9038" t="s">
        <v>325</v>
      </c>
      <c r="M9038" t="s">
        <v>152</v>
      </c>
      <c r="N9038">
        <v>41.996499</v>
      </c>
      <c r="O9038">
        <v>-111.410129</v>
      </c>
      <c r="P9038">
        <v>5898.4373310000001</v>
      </c>
      <c r="Q9038">
        <v>1384</v>
      </c>
      <c r="R9038">
        <v>0</v>
      </c>
    </row>
    <row r="9039" spans="1:18" x14ac:dyDescent="0.25">
      <c r="A9039">
        <v>8888</v>
      </c>
      <c r="B9039">
        <v>94</v>
      </c>
      <c r="C9039">
        <v>31340057</v>
      </c>
      <c r="D9039" t="s">
        <v>288</v>
      </c>
      <c r="E9039">
        <v>51.033999999999999</v>
      </c>
      <c r="F9039" t="s">
        <v>21</v>
      </c>
      <c r="G9039" t="s">
        <v>26</v>
      </c>
      <c r="H9039" t="s">
        <v>21</v>
      </c>
      <c r="I9039" t="s">
        <v>20</v>
      </c>
      <c r="J9039" t="s">
        <v>20</v>
      </c>
      <c r="K9039" t="s">
        <v>27</v>
      </c>
      <c r="L9039" t="s">
        <v>327</v>
      </c>
      <c r="M9039" t="s">
        <v>147</v>
      </c>
      <c r="N9039">
        <v>37.622556000000003</v>
      </c>
      <c r="O9039">
        <v>-109.478011</v>
      </c>
      <c r="P9039">
        <v>6021.7289300000002</v>
      </c>
      <c r="Q9039">
        <v>350</v>
      </c>
      <c r="R9039">
        <v>0</v>
      </c>
    </row>
    <row r="9040" spans="1:18" x14ac:dyDescent="0.25">
      <c r="A9040">
        <v>8889</v>
      </c>
      <c r="B9040">
        <v>94</v>
      </c>
      <c r="C9040">
        <v>31410618</v>
      </c>
      <c r="D9040" t="s">
        <v>124</v>
      </c>
      <c r="E9040">
        <v>51.055</v>
      </c>
      <c r="F9040" t="s">
        <v>19</v>
      </c>
      <c r="G9040" t="s">
        <v>20</v>
      </c>
      <c r="H9040" t="s">
        <v>21</v>
      </c>
      <c r="I9040" t="s">
        <v>20</v>
      </c>
      <c r="J9040" t="s">
        <v>20</v>
      </c>
      <c r="K9040" t="s">
        <v>31</v>
      </c>
      <c r="L9040" t="s">
        <v>48</v>
      </c>
      <c r="M9040" t="s">
        <v>125</v>
      </c>
      <c r="N9040">
        <v>40.649363999999998</v>
      </c>
      <c r="O9040">
        <v>-111.938833</v>
      </c>
      <c r="P9040">
        <v>4281.1520579999997</v>
      </c>
      <c r="Q9040">
        <v>1368</v>
      </c>
      <c r="R9040">
        <v>0</v>
      </c>
    </row>
    <row r="9041" spans="1:18" x14ac:dyDescent="0.25">
      <c r="A9041">
        <v>8890</v>
      </c>
      <c r="B9041">
        <v>94</v>
      </c>
      <c r="C9041">
        <v>31629956</v>
      </c>
      <c r="D9041" t="s">
        <v>244</v>
      </c>
      <c r="E9041">
        <v>51.085000000000001</v>
      </c>
      <c r="F9041" t="s">
        <v>21</v>
      </c>
      <c r="G9041" t="s">
        <v>26</v>
      </c>
      <c r="H9041" t="s">
        <v>21</v>
      </c>
      <c r="I9041" t="s">
        <v>20</v>
      </c>
      <c r="J9041" t="s">
        <v>20</v>
      </c>
      <c r="K9041" t="s">
        <v>27</v>
      </c>
      <c r="L9041" t="s">
        <v>266</v>
      </c>
      <c r="M9041" t="s">
        <v>386</v>
      </c>
      <c r="N9041">
        <v>38.415287999999997</v>
      </c>
      <c r="O9041">
        <v>-111.64945299999999</v>
      </c>
      <c r="P9041">
        <v>7099.6280850000003</v>
      </c>
      <c r="Q9041">
        <v>1340</v>
      </c>
      <c r="R9041">
        <v>0</v>
      </c>
    </row>
    <row r="9042" spans="1:18" x14ac:dyDescent="0.25">
      <c r="A9042">
        <v>8891</v>
      </c>
      <c r="B9042">
        <v>94</v>
      </c>
      <c r="C9042">
        <v>31626826</v>
      </c>
      <c r="D9042" t="s">
        <v>50</v>
      </c>
      <c r="E9042">
        <v>51.1</v>
      </c>
      <c r="F9042" t="s">
        <v>21</v>
      </c>
      <c r="G9042" t="s">
        <v>26</v>
      </c>
      <c r="H9042" t="s">
        <v>21</v>
      </c>
      <c r="I9042" t="s">
        <v>20</v>
      </c>
      <c r="J9042" t="s">
        <v>20</v>
      </c>
      <c r="K9042" t="s">
        <v>27</v>
      </c>
      <c r="L9042" t="s">
        <v>247</v>
      </c>
      <c r="M9042" t="s">
        <v>52</v>
      </c>
      <c r="N9042">
        <v>37.821210999999998</v>
      </c>
      <c r="O9042">
        <v>-112.43564000000001</v>
      </c>
      <c r="P9042">
        <v>6562.3580819999997</v>
      </c>
      <c r="Q9042">
        <v>1418</v>
      </c>
      <c r="R9042">
        <v>0</v>
      </c>
    </row>
    <row r="9043" spans="1:18" x14ac:dyDescent="0.25">
      <c r="A9043">
        <v>8892</v>
      </c>
      <c r="B9043">
        <v>94</v>
      </c>
      <c r="C9043" t="e">
        <f>-JP63Mv7G3ujhHxOOSOixk</f>
        <v>#NAME?</v>
      </c>
      <c r="D9043" t="s">
        <v>124</v>
      </c>
      <c r="E9043">
        <v>51.125</v>
      </c>
      <c r="F9043" t="s">
        <v>21</v>
      </c>
      <c r="G9043" t="s">
        <v>26</v>
      </c>
      <c r="H9043" t="s">
        <v>21</v>
      </c>
      <c r="I9043" t="s">
        <v>20</v>
      </c>
      <c r="J9043" t="s">
        <v>20</v>
      </c>
      <c r="K9043" t="s">
        <v>31</v>
      </c>
      <c r="L9043" t="s">
        <v>48</v>
      </c>
      <c r="M9043" t="s">
        <v>194</v>
      </c>
      <c r="N9043">
        <v>40.650388999999997</v>
      </c>
      <c r="O9043">
        <v>-111.93892200000001</v>
      </c>
      <c r="P9043">
        <v>4278.9891390000003</v>
      </c>
      <c r="Q9043">
        <v>1368</v>
      </c>
      <c r="R9043">
        <v>0</v>
      </c>
    </row>
    <row r="9044" spans="1:18" x14ac:dyDescent="0.25">
      <c r="A9044">
        <v>8893</v>
      </c>
      <c r="B9044">
        <v>94</v>
      </c>
      <c r="C9044">
        <v>31340068</v>
      </c>
      <c r="D9044" t="s">
        <v>288</v>
      </c>
      <c r="E9044">
        <v>51.133000000000003</v>
      </c>
      <c r="F9044" t="s">
        <v>21</v>
      </c>
      <c r="G9044" t="s">
        <v>26</v>
      </c>
      <c r="H9044" t="s">
        <v>21</v>
      </c>
      <c r="I9044" t="s">
        <v>20</v>
      </c>
      <c r="J9044" t="s">
        <v>20</v>
      </c>
      <c r="K9044" t="s">
        <v>27</v>
      </c>
      <c r="L9044" t="s">
        <v>327</v>
      </c>
      <c r="M9044" t="s">
        <v>147</v>
      </c>
      <c r="N9044">
        <v>37.623981999999998</v>
      </c>
      <c r="O9044">
        <v>-109.47800700000001</v>
      </c>
      <c r="P9044">
        <v>6033.3417140000001</v>
      </c>
      <c r="Q9044">
        <v>350</v>
      </c>
      <c r="R9044">
        <v>0</v>
      </c>
    </row>
    <row r="9045" spans="1:18" x14ac:dyDescent="0.25">
      <c r="A9045">
        <v>8894</v>
      </c>
      <c r="B9045">
        <v>94</v>
      </c>
      <c r="C9045">
        <v>31626837</v>
      </c>
      <c r="D9045" t="s">
        <v>50</v>
      </c>
      <c r="E9045">
        <v>51.201999999999998</v>
      </c>
      <c r="F9045" t="s">
        <v>19</v>
      </c>
      <c r="G9045" t="s">
        <v>20</v>
      </c>
      <c r="H9045" t="s">
        <v>19</v>
      </c>
      <c r="I9045">
        <v>89</v>
      </c>
      <c r="J9045" t="s">
        <v>20</v>
      </c>
      <c r="K9045" t="s">
        <v>27</v>
      </c>
      <c r="L9045" t="s">
        <v>247</v>
      </c>
      <c r="M9045" t="s">
        <v>52</v>
      </c>
      <c r="N9045">
        <v>37.822771000000003</v>
      </c>
      <c r="O9045">
        <v>-112.435672</v>
      </c>
      <c r="P9045">
        <v>6558.0311949999996</v>
      </c>
      <c r="Q9045">
        <v>1418</v>
      </c>
      <c r="R9045">
        <v>0</v>
      </c>
    </row>
    <row r="9046" spans="1:18" x14ac:dyDescent="0.25">
      <c r="A9046">
        <v>8895</v>
      </c>
      <c r="B9046">
        <v>94</v>
      </c>
      <c r="C9046">
        <v>31340079</v>
      </c>
      <c r="D9046" t="s">
        <v>288</v>
      </c>
      <c r="E9046">
        <v>51.222999999999999</v>
      </c>
      <c r="F9046" t="s">
        <v>19</v>
      </c>
      <c r="G9046" t="s">
        <v>26</v>
      </c>
      <c r="H9046" t="s">
        <v>21</v>
      </c>
      <c r="I9046" t="s">
        <v>20</v>
      </c>
      <c r="J9046" t="s">
        <v>20</v>
      </c>
      <c r="K9046" t="s">
        <v>27</v>
      </c>
      <c r="L9046" t="s">
        <v>327</v>
      </c>
      <c r="M9046" t="s">
        <v>147</v>
      </c>
      <c r="N9046">
        <v>37.625411</v>
      </c>
      <c r="O9046">
        <v>-109.478026</v>
      </c>
      <c r="P9046">
        <v>6029.098336</v>
      </c>
      <c r="Q9046">
        <v>350</v>
      </c>
      <c r="R9046">
        <v>0</v>
      </c>
    </row>
    <row r="9047" spans="1:18" x14ac:dyDescent="0.25">
      <c r="A9047">
        <v>8896</v>
      </c>
      <c r="B9047">
        <v>94</v>
      </c>
      <c r="C9047" t="s">
        <v>1038</v>
      </c>
      <c r="D9047" t="s">
        <v>203</v>
      </c>
      <c r="E9047">
        <v>51.235999999999997</v>
      </c>
      <c r="F9047" t="s">
        <v>21</v>
      </c>
      <c r="G9047" t="s">
        <v>20</v>
      </c>
      <c r="H9047" t="s">
        <v>21</v>
      </c>
      <c r="I9047" t="s">
        <v>20</v>
      </c>
      <c r="J9047" t="s">
        <v>20</v>
      </c>
      <c r="K9047" t="s">
        <v>41</v>
      </c>
      <c r="L9047" t="s">
        <v>325</v>
      </c>
      <c r="M9047" t="s">
        <v>204</v>
      </c>
      <c r="N9047">
        <v>41.473329999999997</v>
      </c>
      <c r="O9047">
        <v>-111.446106</v>
      </c>
      <c r="P9047">
        <v>8132.9071940000003</v>
      </c>
      <c r="Q9047">
        <v>1349</v>
      </c>
      <c r="R9047">
        <v>0</v>
      </c>
    </row>
    <row r="9048" spans="1:18" x14ac:dyDescent="0.25">
      <c r="A9048">
        <v>8897</v>
      </c>
      <c r="B9048">
        <v>94</v>
      </c>
      <c r="C9048">
        <v>31411173</v>
      </c>
      <c r="D9048" t="s">
        <v>124</v>
      </c>
      <c r="E9048">
        <v>51.316000000000003</v>
      </c>
      <c r="F9048" t="s">
        <v>19</v>
      </c>
      <c r="G9048" t="s">
        <v>20</v>
      </c>
      <c r="H9048" t="s">
        <v>19</v>
      </c>
      <c r="I9048">
        <v>173</v>
      </c>
      <c r="J9048" t="s">
        <v>20</v>
      </c>
      <c r="K9048" t="s">
        <v>31</v>
      </c>
      <c r="L9048" t="s">
        <v>48</v>
      </c>
      <c r="M9048" t="s">
        <v>125</v>
      </c>
      <c r="N9048">
        <v>40.653162000000002</v>
      </c>
      <c r="O9048">
        <v>-111.938829</v>
      </c>
      <c r="P9048">
        <v>4276.4778150000002</v>
      </c>
      <c r="Q9048">
        <v>1368</v>
      </c>
      <c r="R9048">
        <v>0</v>
      </c>
    </row>
    <row r="9049" spans="1:18" x14ac:dyDescent="0.25">
      <c r="A9049">
        <v>8898</v>
      </c>
      <c r="B9049">
        <v>94</v>
      </c>
      <c r="C9049">
        <v>31342446</v>
      </c>
      <c r="D9049" t="s">
        <v>288</v>
      </c>
      <c r="E9049">
        <v>51.328000000000003</v>
      </c>
      <c r="F9049" t="s">
        <v>21</v>
      </c>
      <c r="G9049" t="s">
        <v>26</v>
      </c>
      <c r="H9049" t="s">
        <v>21</v>
      </c>
      <c r="I9049" t="s">
        <v>20</v>
      </c>
      <c r="J9049" t="s">
        <v>20</v>
      </c>
      <c r="K9049" t="s">
        <v>27</v>
      </c>
      <c r="L9049" t="s">
        <v>327</v>
      </c>
      <c r="M9049" t="s">
        <v>147</v>
      </c>
      <c r="N9049">
        <v>37.625410000000002</v>
      </c>
      <c r="O9049">
        <v>-109.476203</v>
      </c>
      <c r="P9049">
        <v>6008.5326949999999</v>
      </c>
      <c r="Q9049">
        <v>350</v>
      </c>
      <c r="R9049">
        <v>0</v>
      </c>
    </row>
    <row r="9050" spans="1:18" x14ac:dyDescent="0.25">
      <c r="A9050">
        <v>8899</v>
      </c>
      <c r="B9050">
        <v>94</v>
      </c>
      <c r="C9050" t="s">
        <v>1039</v>
      </c>
      <c r="D9050" t="s">
        <v>124</v>
      </c>
      <c r="E9050">
        <v>51.371000000000002</v>
      </c>
      <c r="F9050" t="s">
        <v>21</v>
      </c>
      <c r="G9050" t="s">
        <v>26</v>
      </c>
      <c r="H9050" t="s">
        <v>21</v>
      </c>
      <c r="I9050" t="s">
        <v>20</v>
      </c>
      <c r="J9050" t="s">
        <v>20</v>
      </c>
      <c r="K9050" t="s">
        <v>31</v>
      </c>
      <c r="L9050" t="s">
        <v>69</v>
      </c>
      <c r="M9050" t="s">
        <v>194</v>
      </c>
      <c r="N9050">
        <v>40.653953000000001</v>
      </c>
      <c r="O9050">
        <v>-111.938918</v>
      </c>
      <c r="P9050">
        <v>4271.6536150000002</v>
      </c>
      <c r="Q9050">
        <v>1368</v>
      </c>
      <c r="R9050">
        <v>0</v>
      </c>
    </row>
    <row r="9051" spans="1:18" x14ac:dyDescent="0.25">
      <c r="A9051">
        <v>8900</v>
      </c>
      <c r="B9051">
        <v>94</v>
      </c>
      <c r="C9051">
        <v>1290854</v>
      </c>
      <c r="D9051" t="s">
        <v>189</v>
      </c>
      <c r="E9051">
        <v>6.1230000000000002</v>
      </c>
      <c r="F9051" t="s">
        <v>19</v>
      </c>
      <c r="G9051" t="s">
        <v>20</v>
      </c>
      <c r="H9051" t="s">
        <v>19</v>
      </c>
      <c r="I9051">
        <v>39</v>
      </c>
      <c r="J9051" t="s">
        <v>20</v>
      </c>
      <c r="K9051" t="s">
        <v>41</v>
      </c>
      <c r="L9051" t="s">
        <v>81</v>
      </c>
      <c r="M9051" t="s">
        <v>190</v>
      </c>
      <c r="N9051">
        <v>41.241965999999998</v>
      </c>
      <c r="O9051">
        <v>-111.945379</v>
      </c>
      <c r="P9051">
        <v>4303.5109560000001</v>
      </c>
      <c r="Q9051">
        <v>412</v>
      </c>
      <c r="R9051">
        <v>0</v>
      </c>
    </row>
    <row r="9052" spans="1:18" x14ac:dyDescent="0.25">
      <c r="A9052">
        <v>8901</v>
      </c>
      <c r="B9052">
        <v>94</v>
      </c>
      <c r="C9052">
        <v>31386945</v>
      </c>
      <c r="D9052" t="s">
        <v>374</v>
      </c>
      <c r="E9052">
        <v>3.28</v>
      </c>
      <c r="F9052" t="s">
        <v>21</v>
      </c>
      <c r="G9052" t="s">
        <v>20</v>
      </c>
      <c r="H9052" t="s">
        <v>21</v>
      </c>
      <c r="I9052" t="s">
        <v>20</v>
      </c>
      <c r="J9052" t="s">
        <v>20</v>
      </c>
      <c r="K9052" t="s">
        <v>22</v>
      </c>
      <c r="L9052" t="s">
        <v>234</v>
      </c>
      <c r="M9052" t="s">
        <v>169</v>
      </c>
      <c r="N9052">
        <v>40.416133000000002</v>
      </c>
      <c r="O9052">
        <v>-109.33953700000001</v>
      </c>
      <c r="P9052">
        <v>4710.9322300000003</v>
      </c>
      <c r="Q9052">
        <v>1422</v>
      </c>
      <c r="R9052">
        <v>0</v>
      </c>
    </row>
    <row r="9053" spans="1:18" x14ac:dyDescent="0.25">
      <c r="A9053">
        <v>8902</v>
      </c>
      <c r="B9053">
        <v>94</v>
      </c>
      <c r="C9053" t="e">
        <f>-IpPJwMDIeetl8vPOg8WQV</f>
        <v>#NAME?</v>
      </c>
      <c r="D9053" t="s">
        <v>102</v>
      </c>
      <c r="E9053">
        <v>3.2810000000000001</v>
      </c>
      <c r="F9053" t="s">
        <v>21</v>
      </c>
      <c r="G9053" t="s">
        <v>26</v>
      </c>
      <c r="H9053" t="s">
        <v>21</v>
      </c>
      <c r="I9053" t="s">
        <v>20</v>
      </c>
      <c r="J9053" t="s">
        <v>20</v>
      </c>
      <c r="K9053" t="s">
        <v>27</v>
      </c>
      <c r="L9053" t="s">
        <v>103</v>
      </c>
      <c r="M9053" t="s">
        <v>104</v>
      </c>
      <c r="N9053">
        <v>38.292358</v>
      </c>
      <c r="O9053">
        <v>-112.64280599999999</v>
      </c>
      <c r="P9053">
        <v>5897.6040160000002</v>
      </c>
      <c r="Q9053">
        <v>1430</v>
      </c>
      <c r="R9053">
        <v>0</v>
      </c>
    </row>
    <row r="9054" spans="1:18" x14ac:dyDescent="0.25">
      <c r="A9054">
        <v>8903</v>
      </c>
      <c r="B9054">
        <v>94</v>
      </c>
      <c r="C9054">
        <v>31764395</v>
      </c>
      <c r="D9054" t="s">
        <v>312</v>
      </c>
      <c r="E9054">
        <v>3.2839999999999998</v>
      </c>
      <c r="F9054" t="s">
        <v>21</v>
      </c>
      <c r="G9054" t="s">
        <v>20</v>
      </c>
      <c r="H9054" t="s">
        <v>21</v>
      </c>
      <c r="I9054" t="s">
        <v>20</v>
      </c>
      <c r="J9054" t="s">
        <v>20</v>
      </c>
      <c r="K9054" t="s">
        <v>27</v>
      </c>
      <c r="L9054" t="s">
        <v>143</v>
      </c>
      <c r="M9054" t="s">
        <v>313</v>
      </c>
      <c r="N9054">
        <v>38.444681000000003</v>
      </c>
      <c r="O9054">
        <v>-113.00931799999999</v>
      </c>
      <c r="P9054">
        <v>4915.421523</v>
      </c>
      <c r="Q9054">
        <v>255</v>
      </c>
      <c r="R9054">
        <v>0</v>
      </c>
    </row>
    <row r="9055" spans="1:18" x14ac:dyDescent="0.25">
      <c r="A9055">
        <v>8904</v>
      </c>
      <c r="B9055">
        <v>94</v>
      </c>
      <c r="C9055" t="e">
        <f>-IpUGxqMGH1Kf3Qlky565F</f>
        <v>#NAME?</v>
      </c>
      <c r="D9055" t="s">
        <v>182</v>
      </c>
      <c r="E9055">
        <v>3.2869999999999999</v>
      </c>
      <c r="F9055" t="s">
        <v>21</v>
      </c>
      <c r="G9055" t="s">
        <v>20</v>
      </c>
      <c r="H9055" t="s">
        <v>21</v>
      </c>
      <c r="I9055" t="s">
        <v>20</v>
      </c>
      <c r="J9055" t="s">
        <v>20</v>
      </c>
      <c r="K9055" t="s">
        <v>27</v>
      </c>
      <c r="L9055" t="s">
        <v>183</v>
      </c>
      <c r="M9055" t="s">
        <v>76</v>
      </c>
      <c r="N9055">
        <v>38.948399999999999</v>
      </c>
      <c r="O9055">
        <v>-111.934313</v>
      </c>
      <c r="P9055">
        <v>5271.841461</v>
      </c>
      <c r="Q9055">
        <v>429</v>
      </c>
      <c r="R9055">
        <v>0</v>
      </c>
    </row>
    <row r="9056" spans="1:18" x14ac:dyDescent="0.25">
      <c r="A9056">
        <v>8905</v>
      </c>
      <c r="B9056">
        <v>94</v>
      </c>
      <c r="C9056">
        <v>1370429</v>
      </c>
      <c r="D9056" t="s">
        <v>100</v>
      </c>
      <c r="E9056">
        <v>3.2890000000000001</v>
      </c>
      <c r="F9056" t="s">
        <v>21</v>
      </c>
      <c r="G9056" t="s">
        <v>26</v>
      </c>
      <c r="H9056" t="s">
        <v>21</v>
      </c>
      <c r="I9056" t="s">
        <v>20</v>
      </c>
      <c r="J9056" t="s">
        <v>20</v>
      </c>
      <c r="K9056" t="s">
        <v>41</v>
      </c>
      <c r="L9056" t="s">
        <v>57</v>
      </c>
      <c r="M9056" t="s">
        <v>46</v>
      </c>
      <c r="N9056">
        <v>41.089094000000003</v>
      </c>
      <c r="O9056">
        <v>-112.050838</v>
      </c>
      <c r="P9056">
        <v>4256.3667880000003</v>
      </c>
      <c r="Q9056">
        <v>1396</v>
      </c>
      <c r="R9056">
        <v>0</v>
      </c>
    </row>
    <row r="9057" spans="1:18" x14ac:dyDescent="0.25">
      <c r="A9057">
        <v>8906</v>
      </c>
      <c r="B9057">
        <v>94</v>
      </c>
      <c r="C9057">
        <v>28403155</v>
      </c>
      <c r="D9057" t="s">
        <v>99</v>
      </c>
      <c r="E9057">
        <v>3.2959999999999998</v>
      </c>
      <c r="F9057" t="s">
        <v>19</v>
      </c>
      <c r="G9057" t="s">
        <v>20</v>
      </c>
      <c r="H9057" t="s">
        <v>19</v>
      </c>
      <c r="I9057">
        <v>204</v>
      </c>
      <c r="J9057" t="s">
        <v>20</v>
      </c>
      <c r="K9057" t="s">
        <v>41</v>
      </c>
      <c r="L9057" t="s">
        <v>81</v>
      </c>
      <c r="M9057" t="s">
        <v>82</v>
      </c>
      <c r="N9057">
        <v>41.208255999999999</v>
      </c>
      <c r="O9057">
        <v>-111.979275</v>
      </c>
      <c r="P9057">
        <v>4259.5751369999998</v>
      </c>
      <c r="Q9057">
        <v>1376</v>
      </c>
      <c r="R9057">
        <v>0</v>
      </c>
    </row>
    <row r="9058" spans="1:18" x14ac:dyDescent="0.25">
      <c r="A9058">
        <v>8907</v>
      </c>
      <c r="B9058">
        <v>94</v>
      </c>
      <c r="C9058">
        <v>1140671</v>
      </c>
      <c r="D9058" t="s">
        <v>56</v>
      </c>
      <c r="E9058">
        <v>3.302</v>
      </c>
      <c r="F9058" t="s">
        <v>21</v>
      </c>
      <c r="G9058" t="s">
        <v>26</v>
      </c>
      <c r="H9058" t="s">
        <v>21</v>
      </c>
      <c r="I9058" t="s">
        <v>20</v>
      </c>
      <c r="J9058" t="s">
        <v>20</v>
      </c>
      <c r="K9058" t="s">
        <v>41</v>
      </c>
      <c r="L9058" t="s">
        <v>57</v>
      </c>
      <c r="M9058" t="s">
        <v>58</v>
      </c>
      <c r="N9058">
        <v>41.161658000000003</v>
      </c>
      <c r="O9058">
        <v>-112.06026799999999</v>
      </c>
      <c r="P9058">
        <v>4266.6052060000002</v>
      </c>
      <c r="Q9058">
        <v>1459</v>
      </c>
      <c r="R9058">
        <v>0</v>
      </c>
    </row>
    <row r="9059" spans="1:18" x14ac:dyDescent="0.25">
      <c r="A9059">
        <v>8908</v>
      </c>
      <c r="B9059">
        <v>94</v>
      </c>
      <c r="C9059">
        <v>875879</v>
      </c>
      <c r="D9059" t="s">
        <v>115</v>
      </c>
      <c r="E9059">
        <v>3.3029999999999999</v>
      </c>
      <c r="F9059" t="s">
        <v>21</v>
      </c>
      <c r="G9059" t="s">
        <v>26</v>
      </c>
      <c r="H9059" t="s">
        <v>21</v>
      </c>
      <c r="I9059" t="s">
        <v>20</v>
      </c>
      <c r="J9059" t="s">
        <v>20</v>
      </c>
      <c r="K9059" t="s">
        <v>31</v>
      </c>
      <c r="L9059" t="s">
        <v>48</v>
      </c>
      <c r="M9059" t="s">
        <v>70</v>
      </c>
      <c r="N9059">
        <v>40.653036</v>
      </c>
      <c r="O9059">
        <v>-112.01414</v>
      </c>
      <c r="P9059">
        <v>4646.1103970000004</v>
      </c>
      <c r="Q9059">
        <v>1437</v>
      </c>
      <c r="R9059">
        <v>0</v>
      </c>
    </row>
    <row r="9060" spans="1:18" x14ac:dyDescent="0.25">
      <c r="A9060">
        <v>8909</v>
      </c>
      <c r="B9060">
        <v>94</v>
      </c>
      <c r="C9060">
        <v>31289163</v>
      </c>
      <c r="D9060" t="s">
        <v>315</v>
      </c>
      <c r="E9060">
        <v>3.3029999999999999</v>
      </c>
      <c r="F9060" t="s">
        <v>21</v>
      </c>
      <c r="G9060" t="s">
        <v>26</v>
      </c>
      <c r="H9060" t="s">
        <v>21</v>
      </c>
      <c r="I9060" t="s">
        <v>20</v>
      </c>
      <c r="J9060" t="s">
        <v>20</v>
      </c>
      <c r="K9060" t="s">
        <v>27</v>
      </c>
      <c r="L9060" t="s">
        <v>111</v>
      </c>
      <c r="M9060" t="s">
        <v>243</v>
      </c>
      <c r="N9060">
        <v>39.308416999999999</v>
      </c>
      <c r="O9060">
        <v>-111.273368</v>
      </c>
      <c r="P9060">
        <v>6980.861038</v>
      </c>
      <c r="Q9060">
        <v>307</v>
      </c>
      <c r="R9060">
        <v>0</v>
      </c>
    </row>
    <row r="9061" spans="1:18" x14ac:dyDescent="0.25">
      <c r="A9061">
        <v>8910</v>
      </c>
      <c r="B9061">
        <v>94</v>
      </c>
      <c r="C9061">
        <v>31333903</v>
      </c>
      <c r="D9061" t="s">
        <v>288</v>
      </c>
      <c r="E9061">
        <v>47.64</v>
      </c>
      <c r="F9061" t="s">
        <v>21</v>
      </c>
      <c r="G9061" t="s">
        <v>20</v>
      </c>
      <c r="H9061" t="s">
        <v>21</v>
      </c>
      <c r="I9061" t="s">
        <v>20</v>
      </c>
      <c r="J9061" t="s">
        <v>20</v>
      </c>
      <c r="K9061" t="s">
        <v>27</v>
      </c>
      <c r="L9061" t="s">
        <v>327</v>
      </c>
      <c r="M9061" t="s">
        <v>212</v>
      </c>
      <c r="N9061">
        <v>37.574199999999998</v>
      </c>
      <c r="O9061">
        <v>-109.480492</v>
      </c>
      <c r="P9061">
        <v>5697.7731940000003</v>
      </c>
      <c r="Q9061">
        <v>350</v>
      </c>
      <c r="R9061">
        <v>0</v>
      </c>
    </row>
    <row r="9062" spans="1:18" x14ac:dyDescent="0.25">
      <c r="A9062">
        <v>8911</v>
      </c>
      <c r="B9062">
        <v>94</v>
      </c>
      <c r="C9062" t="e">
        <f>-Ip_RZr_HEmQVQZX4g0EpV</f>
        <v>#NAME?</v>
      </c>
      <c r="D9062" t="s">
        <v>272</v>
      </c>
      <c r="E9062">
        <v>47.673999999999999</v>
      </c>
      <c r="F9062" t="s">
        <v>21</v>
      </c>
      <c r="G9062" t="s">
        <v>26</v>
      </c>
      <c r="H9062" t="s">
        <v>21</v>
      </c>
      <c r="I9062" t="s">
        <v>20</v>
      </c>
      <c r="J9062" t="s">
        <v>20</v>
      </c>
      <c r="K9062" t="s">
        <v>27</v>
      </c>
      <c r="L9062" t="s">
        <v>259</v>
      </c>
      <c r="M9062" t="s">
        <v>214</v>
      </c>
      <c r="N9062">
        <v>37.040640000000003</v>
      </c>
      <c r="O9062">
        <v>-112.240881</v>
      </c>
      <c r="P9062">
        <v>5328.1801939999996</v>
      </c>
      <c r="Q9062">
        <v>1384</v>
      </c>
      <c r="R9062">
        <v>0</v>
      </c>
    </row>
    <row r="9063" spans="1:18" x14ac:dyDescent="0.25">
      <c r="A9063">
        <v>8912</v>
      </c>
      <c r="B9063">
        <v>94</v>
      </c>
      <c r="C9063" t="e">
        <f>-IpV8QZzFqu1knUKQ91IWk</f>
        <v>#NAME?</v>
      </c>
      <c r="D9063" t="s">
        <v>272</v>
      </c>
      <c r="E9063">
        <v>425.46199999999999</v>
      </c>
      <c r="F9063" t="s">
        <v>21</v>
      </c>
      <c r="G9063" t="s">
        <v>26</v>
      </c>
      <c r="H9063" t="s">
        <v>21</v>
      </c>
      <c r="I9063" t="s">
        <v>20</v>
      </c>
      <c r="J9063" t="s">
        <v>20</v>
      </c>
      <c r="K9063" t="s">
        <v>41</v>
      </c>
      <c r="L9063" t="s">
        <v>177</v>
      </c>
      <c r="M9063" t="s">
        <v>46</v>
      </c>
      <c r="N9063">
        <v>41.374988000000002</v>
      </c>
      <c r="O9063">
        <v>-112.03323899999999</v>
      </c>
      <c r="P9063">
        <v>4267.6537269999999</v>
      </c>
      <c r="Q9063">
        <v>1384</v>
      </c>
      <c r="R9063">
        <v>0</v>
      </c>
    </row>
    <row r="9064" spans="1:18" x14ac:dyDescent="0.25">
      <c r="A9064">
        <v>8913</v>
      </c>
      <c r="B9064">
        <v>94</v>
      </c>
      <c r="C9064" t="e">
        <f>-IpV8uhMF-TnPtRy9m-DHV</f>
        <v>#NAME?</v>
      </c>
      <c r="D9064" t="s">
        <v>272</v>
      </c>
      <c r="E9064">
        <v>425.54300000000001</v>
      </c>
      <c r="F9064" t="s">
        <v>21</v>
      </c>
      <c r="G9064" t="s">
        <v>26</v>
      </c>
      <c r="H9064" t="s">
        <v>21</v>
      </c>
      <c r="I9064" t="s">
        <v>20</v>
      </c>
      <c r="J9064" t="s">
        <v>20</v>
      </c>
      <c r="K9064" t="s">
        <v>41</v>
      </c>
      <c r="L9064" t="s">
        <v>177</v>
      </c>
      <c r="M9064" t="s">
        <v>46</v>
      </c>
      <c r="N9064">
        <v>41.376154</v>
      </c>
      <c r="O9064">
        <v>-112.033053</v>
      </c>
      <c r="P9064">
        <v>4264.9352070000004</v>
      </c>
      <c r="Q9064">
        <v>1384</v>
      </c>
      <c r="R9064">
        <v>0</v>
      </c>
    </row>
    <row r="9065" spans="1:18" x14ac:dyDescent="0.25">
      <c r="A9065">
        <v>8914</v>
      </c>
      <c r="B9065">
        <v>94</v>
      </c>
      <c r="C9065" t="e">
        <f>-IpV9I6bGbmsRiceXTV26V</f>
        <v>#NAME?</v>
      </c>
      <c r="D9065" t="s">
        <v>272</v>
      </c>
      <c r="E9065">
        <v>425.565</v>
      </c>
      <c r="F9065" t="s">
        <v>21</v>
      </c>
      <c r="G9065" t="s">
        <v>20</v>
      </c>
      <c r="H9065" t="s">
        <v>21</v>
      </c>
      <c r="I9065" t="s">
        <v>20</v>
      </c>
      <c r="J9065" t="s">
        <v>20</v>
      </c>
      <c r="K9065" t="s">
        <v>41</v>
      </c>
      <c r="L9065" t="s">
        <v>177</v>
      </c>
      <c r="M9065" t="s">
        <v>46</v>
      </c>
      <c r="N9065">
        <v>41.376472999999997</v>
      </c>
      <c r="O9065">
        <v>-112.032995</v>
      </c>
      <c r="P9065">
        <v>4264.7008949999999</v>
      </c>
      <c r="Q9065">
        <v>1384</v>
      </c>
      <c r="R9065">
        <v>0</v>
      </c>
    </row>
    <row r="9066" spans="1:18" x14ac:dyDescent="0.25">
      <c r="A9066">
        <v>8915</v>
      </c>
      <c r="B9066">
        <v>94</v>
      </c>
      <c r="C9066">
        <v>27874061</v>
      </c>
      <c r="D9066" t="s">
        <v>91</v>
      </c>
      <c r="E9066">
        <v>18.812000000000001</v>
      </c>
      <c r="F9066" t="s">
        <v>21</v>
      </c>
      <c r="G9066" t="s">
        <v>26</v>
      </c>
      <c r="H9066" t="s">
        <v>21</v>
      </c>
      <c r="I9066" t="s">
        <v>20</v>
      </c>
      <c r="J9066" t="s">
        <v>20</v>
      </c>
      <c r="K9066" t="s">
        <v>41</v>
      </c>
      <c r="L9066" t="s">
        <v>95</v>
      </c>
      <c r="M9066" t="s">
        <v>73</v>
      </c>
      <c r="N9066">
        <v>41.862355000000001</v>
      </c>
      <c r="O9066">
        <v>-111.985652</v>
      </c>
      <c r="P9066">
        <v>4480.4411620000001</v>
      </c>
      <c r="Q9066">
        <v>1339</v>
      </c>
      <c r="R9066">
        <v>0</v>
      </c>
    </row>
    <row r="9067" spans="1:18" x14ac:dyDescent="0.25">
      <c r="A9067">
        <v>8916</v>
      </c>
      <c r="B9067">
        <v>94</v>
      </c>
      <c r="C9067">
        <v>1548511</v>
      </c>
      <c r="D9067" t="s">
        <v>88</v>
      </c>
      <c r="E9067">
        <v>18.827999999999999</v>
      </c>
      <c r="F9067" t="s">
        <v>21</v>
      </c>
      <c r="G9067" t="s">
        <v>26</v>
      </c>
      <c r="H9067" t="s">
        <v>21</v>
      </c>
      <c r="I9067" t="s">
        <v>20</v>
      </c>
      <c r="J9067" t="s">
        <v>20</v>
      </c>
      <c r="K9067" t="s">
        <v>31</v>
      </c>
      <c r="L9067" t="s">
        <v>66</v>
      </c>
      <c r="M9067" t="s">
        <v>90</v>
      </c>
      <c r="N9067">
        <v>40.707861000000001</v>
      </c>
      <c r="O9067">
        <v>-111.871292</v>
      </c>
      <c r="P9067">
        <v>4228.2204099999999</v>
      </c>
      <c r="Q9067">
        <v>318</v>
      </c>
      <c r="R9067">
        <v>0</v>
      </c>
    </row>
    <row r="9068" spans="1:18" x14ac:dyDescent="0.25">
      <c r="A9068">
        <v>8917</v>
      </c>
      <c r="B9068">
        <v>94</v>
      </c>
      <c r="C9068">
        <v>31528804</v>
      </c>
      <c r="D9068" t="s">
        <v>390</v>
      </c>
      <c r="E9068">
        <v>18.832999999999998</v>
      </c>
      <c r="F9068" t="s">
        <v>21</v>
      </c>
      <c r="G9068" t="s">
        <v>20</v>
      </c>
      <c r="H9068" t="s">
        <v>21</v>
      </c>
      <c r="I9068" t="s">
        <v>20</v>
      </c>
      <c r="J9068" t="s">
        <v>20</v>
      </c>
      <c r="K9068" t="s">
        <v>22</v>
      </c>
      <c r="L9068" t="s">
        <v>60</v>
      </c>
      <c r="M9068" t="s">
        <v>335</v>
      </c>
      <c r="N9068">
        <v>40.430531999999999</v>
      </c>
      <c r="O9068">
        <v>-111.612292</v>
      </c>
      <c r="P9068">
        <v>7934.7126779999999</v>
      </c>
      <c r="Q9068">
        <v>1386</v>
      </c>
      <c r="R9068">
        <v>0</v>
      </c>
    </row>
    <row r="9069" spans="1:18" x14ac:dyDescent="0.25">
      <c r="A9069">
        <v>8918</v>
      </c>
      <c r="B9069">
        <v>94</v>
      </c>
      <c r="C9069">
        <v>31783522</v>
      </c>
      <c r="D9069" t="s">
        <v>272</v>
      </c>
      <c r="E9069">
        <v>16.821999999999999</v>
      </c>
      <c r="F9069" t="s">
        <v>21</v>
      </c>
      <c r="G9069" t="s">
        <v>26</v>
      </c>
      <c r="H9069" t="s">
        <v>21</v>
      </c>
      <c r="I9069" t="s">
        <v>20</v>
      </c>
      <c r="J9069" t="s">
        <v>20</v>
      </c>
      <c r="K9069" t="s">
        <v>27</v>
      </c>
      <c r="L9069" t="s">
        <v>259</v>
      </c>
      <c r="M9069" t="s">
        <v>214</v>
      </c>
      <c r="N9069">
        <v>37.104343</v>
      </c>
      <c r="O9069">
        <v>-111.831231</v>
      </c>
      <c r="P9069">
        <v>4542.9073550000003</v>
      </c>
      <c r="Q9069">
        <v>1384</v>
      </c>
      <c r="R9069">
        <v>0</v>
      </c>
    </row>
    <row r="9070" spans="1:18" x14ac:dyDescent="0.25">
      <c r="A9070">
        <v>8919</v>
      </c>
      <c r="B9070">
        <v>94</v>
      </c>
      <c r="C9070">
        <v>27871362</v>
      </c>
      <c r="D9070" t="s">
        <v>91</v>
      </c>
      <c r="E9070">
        <v>16.826000000000001</v>
      </c>
      <c r="F9070" t="s">
        <v>21</v>
      </c>
      <c r="G9070" t="s">
        <v>26</v>
      </c>
      <c r="H9070" t="s">
        <v>21</v>
      </c>
      <c r="I9070" t="s">
        <v>20</v>
      </c>
      <c r="J9070" t="s">
        <v>20</v>
      </c>
      <c r="K9070" t="s">
        <v>41</v>
      </c>
      <c r="L9070" t="s">
        <v>42</v>
      </c>
      <c r="M9070" t="s">
        <v>73</v>
      </c>
      <c r="N9070">
        <v>41.844551000000003</v>
      </c>
      <c r="O9070">
        <v>-112.002433</v>
      </c>
      <c r="P9070">
        <v>4366.6866559999999</v>
      </c>
      <c r="Q9070">
        <v>1339</v>
      </c>
      <c r="R9070">
        <v>0</v>
      </c>
    </row>
    <row r="9071" spans="1:18" x14ac:dyDescent="0.25">
      <c r="A9071">
        <v>8920</v>
      </c>
      <c r="B9071">
        <v>94</v>
      </c>
      <c r="C9071">
        <v>31756451</v>
      </c>
      <c r="D9071" t="s">
        <v>88</v>
      </c>
      <c r="E9071">
        <v>18.88</v>
      </c>
      <c r="F9071" t="s">
        <v>21</v>
      </c>
      <c r="G9071" t="s">
        <v>20</v>
      </c>
      <c r="H9071" t="s">
        <v>21</v>
      </c>
      <c r="I9071" t="s">
        <v>20</v>
      </c>
      <c r="J9071" t="s">
        <v>20</v>
      </c>
      <c r="K9071" t="s">
        <v>31</v>
      </c>
      <c r="L9071" t="s">
        <v>66</v>
      </c>
      <c r="M9071" t="s">
        <v>49</v>
      </c>
      <c r="N9071">
        <v>40.708621999999998</v>
      </c>
      <c r="O9071">
        <v>-111.87142299999999</v>
      </c>
      <c r="P9071">
        <v>4228.2409980000002</v>
      </c>
      <c r="Q9071">
        <v>318</v>
      </c>
      <c r="R9071">
        <v>0</v>
      </c>
    </row>
    <row r="9072" spans="1:18" x14ac:dyDescent="0.25">
      <c r="A9072">
        <v>8921</v>
      </c>
      <c r="B9072">
        <v>94</v>
      </c>
      <c r="C9072" t="e">
        <f>-Ip-d4ErHb9Ysf-fZCK6Dk</f>
        <v>#NAME?</v>
      </c>
      <c r="D9072" t="s">
        <v>338</v>
      </c>
      <c r="E9072">
        <v>18.881</v>
      </c>
      <c r="F9072" t="s">
        <v>21</v>
      </c>
      <c r="G9072" t="s">
        <v>26</v>
      </c>
      <c r="H9072" t="s">
        <v>21</v>
      </c>
      <c r="I9072" t="s">
        <v>20</v>
      </c>
      <c r="J9072" t="s">
        <v>20</v>
      </c>
      <c r="K9072" t="s">
        <v>27</v>
      </c>
      <c r="L9072" t="s">
        <v>72</v>
      </c>
      <c r="M9072" t="s">
        <v>73</v>
      </c>
      <c r="N9072">
        <v>37.156129999999997</v>
      </c>
      <c r="O9072">
        <v>-113.259033</v>
      </c>
      <c r="P9072">
        <v>3863.247844</v>
      </c>
      <c r="Q9072">
        <v>315</v>
      </c>
      <c r="R9072">
        <v>0</v>
      </c>
    </row>
    <row r="9073" spans="1:18" x14ac:dyDescent="0.25">
      <c r="A9073">
        <v>8922</v>
      </c>
      <c r="B9073">
        <v>94</v>
      </c>
      <c r="C9073" t="e">
        <f>-JX90g54IbukQOERbCI7XF</f>
        <v>#NAME?</v>
      </c>
      <c r="D9073" t="s">
        <v>225</v>
      </c>
      <c r="E9073">
        <v>18.905000000000001</v>
      </c>
      <c r="F9073" t="s">
        <v>21</v>
      </c>
      <c r="G9073" t="s">
        <v>26</v>
      </c>
      <c r="H9073" t="s">
        <v>19</v>
      </c>
      <c r="I9073">
        <v>191</v>
      </c>
      <c r="J9073" t="s">
        <v>20</v>
      </c>
      <c r="K9073" t="s">
        <v>27</v>
      </c>
      <c r="L9073" t="s">
        <v>146</v>
      </c>
      <c r="M9073" t="s">
        <v>226</v>
      </c>
      <c r="N9073">
        <v>38.074235999999999</v>
      </c>
      <c r="O9073">
        <v>-109.35025400000001</v>
      </c>
      <c r="P9073">
        <v>5967.2238889999999</v>
      </c>
      <c r="Q9073">
        <v>355</v>
      </c>
      <c r="R9073">
        <v>0</v>
      </c>
    </row>
    <row r="9074" spans="1:18" x14ac:dyDescent="0.25">
      <c r="A9074">
        <v>8923</v>
      </c>
      <c r="B9074">
        <v>94</v>
      </c>
      <c r="C9074">
        <v>1549005</v>
      </c>
      <c r="D9074" t="s">
        <v>88</v>
      </c>
      <c r="E9074">
        <v>18.908999999999999</v>
      </c>
      <c r="F9074" t="s">
        <v>21</v>
      </c>
      <c r="G9074" t="s">
        <v>26</v>
      </c>
      <c r="H9074" t="s">
        <v>21</v>
      </c>
      <c r="I9074" t="s">
        <v>20</v>
      </c>
      <c r="J9074" t="s">
        <v>20</v>
      </c>
      <c r="K9074" t="s">
        <v>31</v>
      </c>
      <c r="L9074" t="s">
        <v>66</v>
      </c>
      <c r="M9074" t="s">
        <v>90</v>
      </c>
      <c r="N9074">
        <v>40.709035999999998</v>
      </c>
      <c r="O9074">
        <v>-111.871173</v>
      </c>
      <c r="P9074">
        <v>4230.1193359999997</v>
      </c>
      <c r="Q9074">
        <v>318</v>
      </c>
      <c r="R9074">
        <v>0</v>
      </c>
    </row>
    <row r="9075" spans="1:18" x14ac:dyDescent="0.25">
      <c r="A9075">
        <v>8924</v>
      </c>
      <c r="B9075">
        <v>94</v>
      </c>
      <c r="C9075" t="e">
        <f>-JS93LMJINLsqY4OqMO63k</f>
        <v>#NAME?</v>
      </c>
      <c r="D9075" t="s">
        <v>118</v>
      </c>
      <c r="E9075">
        <v>18.925999999999998</v>
      </c>
      <c r="F9075" t="s">
        <v>21</v>
      </c>
      <c r="G9075" t="s">
        <v>26</v>
      </c>
      <c r="H9075" t="s">
        <v>21</v>
      </c>
      <c r="I9075" t="s">
        <v>20</v>
      </c>
      <c r="J9075" t="s">
        <v>20</v>
      </c>
      <c r="K9075" t="s">
        <v>22</v>
      </c>
      <c r="L9075" t="s">
        <v>119</v>
      </c>
      <c r="M9075" t="s">
        <v>120</v>
      </c>
      <c r="N9075">
        <v>40.481561999999997</v>
      </c>
      <c r="O9075">
        <v>-111.401704</v>
      </c>
      <c r="P9075">
        <v>5677.351815</v>
      </c>
      <c r="Q9075">
        <v>310</v>
      </c>
      <c r="R9075">
        <v>0</v>
      </c>
    </row>
    <row r="9076" spans="1:18" x14ac:dyDescent="0.25">
      <c r="A9076">
        <v>8925</v>
      </c>
      <c r="B9076">
        <v>94</v>
      </c>
      <c r="C9076">
        <v>1473761</v>
      </c>
      <c r="D9076" t="s">
        <v>304</v>
      </c>
      <c r="E9076">
        <v>18.945</v>
      </c>
      <c r="F9076" t="s">
        <v>21</v>
      </c>
      <c r="G9076" t="s">
        <v>26</v>
      </c>
      <c r="H9076" t="s">
        <v>19</v>
      </c>
      <c r="I9076">
        <v>30</v>
      </c>
      <c r="J9076" t="s">
        <v>20</v>
      </c>
      <c r="K9076" t="s">
        <v>41</v>
      </c>
      <c r="L9076" t="s">
        <v>223</v>
      </c>
      <c r="M9076" t="s">
        <v>43</v>
      </c>
      <c r="N9076">
        <v>41.785294999999998</v>
      </c>
      <c r="O9076">
        <v>-112.0908</v>
      </c>
      <c r="P9076">
        <v>4441.5752549999997</v>
      </c>
      <c r="Q9076">
        <v>1348</v>
      </c>
      <c r="R9076">
        <v>0</v>
      </c>
    </row>
    <row r="9077" spans="1:18" x14ac:dyDescent="0.25">
      <c r="A9077">
        <v>8926</v>
      </c>
      <c r="B9077">
        <v>94</v>
      </c>
      <c r="C9077">
        <v>31422420</v>
      </c>
      <c r="D9077" t="s">
        <v>333</v>
      </c>
      <c r="E9077">
        <v>18.949000000000002</v>
      </c>
      <c r="F9077" t="s">
        <v>19</v>
      </c>
      <c r="G9077" t="s">
        <v>20</v>
      </c>
      <c r="H9077" t="s">
        <v>19</v>
      </c>
      <c r="I9077">
        <v>171</v>
      </c>
      <c r="J9077" t="s">
        <v>20</v>
      </c>
      <c r="K9077" t="s">
        <v>31</v>
      </c>
      <c r="L9077" t="s">
        <v>78</v>
      </c>
      <c r="M9077" t="s">
        <v>49</v>
      </c>
      <c r="N9077">
        <v>40.696624</v>
      </c>
      <c r="O9077">
        <v>-111.980716</v>
      </c>
      <c r="P9077">
        <v>4209.4658890000001</v>
      </c>
      <c r="Q9077">
        <v>1426</v>
      </c>
      <c r="R9077">
        <v>0</v>
      </c>
    </row>
    <row r="9078" spans="1:18" x14ac:dyDescent="0.25">
      <c r="A9078">
        <v>8927</v>
      </c>
      <c r="B9078">
        <v>94</v>
      </c>
      <c r="C9078">
        <v>27874072</v>
      </c>
      <c r="D9078" t="s">
        <v>91</v>
      </c>
      <c r="E9078">
        <v>18.957000000000001</v>
      </c>
      <c r="F9078" t="s">
        <v>21</v>
      </c>
      <c r="G9078" t="s">
        <v>26</v>
      </c>
      <c r="H9078" t="s">
        <v>21</v>
      </c>
      <c r="I9078" t="s">
        <v>20</v>
      </c>
      <c r="J9078" t="s">
        <v>20</v>
      </c>
      <c r="K9078" t="s">
        <v>41</v>
      </c>
      <c r="L9078" t="s">
        <v>95</v>
      </c>
      <c r="M9078" t="s">
        <v>73</v>
      </c>
      <c r="N9078">
        <v>41.862302999999997</v>
      </c>
      <c r="O9078">
        <v>-111.982816</v>
      </c>
      <c r="P9078">
        <v>4482.4898919999996</v>
      </c>
      <c r="Q9078">
        <v>1339</v>
      </c>
      <c r="R9078">
        <v>0</v>
      </c>
    </row>
    <row r="9079" spans="1:18" x14ac:dyDescent="0.25">
      <c r="A9079">
        <v>8928</v>
      </c>
      <c r="B9079">
        <v>94</v>
      </c>
      <c r="C9079">
        <v>1549012</v>
      </c>
      <c r="D9079" t="s">
        <v>88</v>
      </c>
      <c r="E9079">
        <v>18.966999999999999</v>
      </c>
      <c r="F9079" t="s">
        <v>21</v>
      </c>
      <c r="G9079" t="s">
        <v>26</v>
      </c>
      <c r="H9079" t="s">
        <v>21</v>
      </c>
      <c r="I9079" t="s">
        <v>20</v>
      </c>
      <c r="J9079" t="s">
        <v>20</v>
      </c>
      <c r="K9079" t="s">
        <v>31</v>
      </c>
      <c r="L9079" t="s">
        <v>66</v>
      </c>
      <c r="M9079" t="s">
        <v>90</v>
      </c>
      <c r="N9079">
        <v>40.709871</v>
      </c>
      <c r="O9079">
        <v>-111.871184</v>
      </c>
      <c r="P9079">
        <v>4229.6286060000002</v>
      </c>
      <c r="Q9079">
        <v>318</v>
      </c>
      <c r="R9079">
        <v>0</v>
      </c>
    </row>
    <row r="9080" spans="1:18" x14ac:dyDescent="0.25">
      <c r="A9080">
        <v>8929</v>
      </c>
      <c r="B9080">
        <v>94</v>
      </c>
      <c r="C9080">
        <v>31641073</v>
      </c>
      <c r="D9080" t="s">
        <v>233</v>
      </c>
      <c r="E9080">
        <v>18.969000000000001</v>
      </c>
      <c r="F9080" t="s">
        <v>21</v>
      </c>
      <c r="G9080" t="s">
        <v>20</v>
      </c>
      <c r="H9080" t="s">
        <v>21</v>
      </c>
      <c r="I9080" t="s">
        <v>20</v>
      </c>
      <c r="J9080" t="s">
        <v>20</v>
      </c>
      <c r="K9080" t="s">
        <v>22</v>
      </c>
      <c r="L9080" t="s">
        <v>234</v>
      </c>
      <c r="M9080" t="s">
        <v>235</v>
      </c>
      <c r="N9080">
        <v>40.176150999999997</v>
      </c>
      <c r="O9080">
        <v>-109.32235300000001</v>
      </c>
      <c r="P9080">
        <v>5485.5672960000002</v>
      </c>
      <c r="Q9080">
        <v>1354</v>
      </c>
      <c r="R9080">
        <v>0</v>
      </c>
    </row>
    <row r="9081" spans="1:18" x14ac:dyDescent="0.25">
      <c r="A9081">
        <v>8930</v>
      </c>
      <c r="B9081">
        <v>94</v>
      </c>
      <c r="C9081">
        <v>31395123</v>
      </c>
      <c r="D9081" t="s">
        <v>352</v>
      </c>
      <c r="E9081">
        <v>18.983000000000001</v>
      </c>
      <c r="F9081" t="s">
        <v>21</v>
      </c>
      <c r="G9081" t="s">
        <v>26</v>
      </c>
      <c r="H9081" t="s">
        <v>21</v>
      </c>
      <c r="I9081" t="s">
        <v>20</v>
      </c>
      <c r="J9081" t="s">
        <v>20</v>
      </c>
      <c r="K9081" t="s">
        <v>31</v>
      </c>
      <c r="L9081" t="s">
        <v>282</v>
      </c>
      <c r="M9081" t="s">
        <v>206</v>
      </c>
      <c r="N9081">
        <v>40.338766999999997</v>
      </c>
      <c r="O9081">
        <v>-112.46506599999999</v>
      </c>
      <c r="P9081">
        <v>5139.2600110000003</v>
      </c>
      <c r="Q9081">
        <v>409</v>
      </c>
      <c r="R9081">
        <v>0</v>
      </c>
    </row>
    <row r="9082" spans="1:18" x14ac:dyDescent="0.25">
      <c r="A9082">
        <v>8931</v>
      </c>
      <c r="B9082">
        <v>94</v>
      </c>
      <c r="C9082">
        <v>31622212</v>
      </c>
      <c r="D9082" t="s">
        <v>213</v>
      </c>
      <c r="E9082">
        <v>181.85300000000001</v>
      </c>
      <c r="F9082" t="s">
        <v>21</v>
      </c>
      <c r="G9082" t="s">
        <v>26</v>
      </c>
      <c r="H9082" t="s">
        <v>21</v>
      </c>
      <c r="I9082" t="s">
        <v>20</v>
      </c>
      <c r="J9082" t="s">
        <v>20</v>
      </c>
      <c r="K9082" t="s">
        <v>22</v>
      </c>
      <c r="L9082" t="s">
        <v>140</v>
      </c>
      <c r="M9082" t="s">
        <v>159</v>
      </c>
      <c r="N9082">
        <v>40.041823000000001</v>
      </c>
      <c r="O9082">
        <v>-111.543657</v>
      </c>
      <c r="P9082">
        <v>4844.5448710000001</v>
      </c>
      <c r="Q9082">
        <v>1332</v>
      </c>
      <c r="R9082">
        <v>0</v>
      </c>
    </row>
    <row r="9083" spans="1:18" x14ac:dyDescent="0.25">
      <c r="A9083">
        <v>8932</v>
      </c>
      <c r="B9083">
        <v>94</v>
      </c>
      <c r="C9083">
        <v>31622223</v>
      </c>
      <c r="D9083" t="s">
        <v>213</v>
      </c>
      <c r="E9083">
        <v>183.12299999999999</v>
      </c>
      <c r="F9083" t="s">
        <v>21</v>
      </c>
      <c r="G9083" t="s">
        <v>26</v>
      </c>
      <c r="H9083" t="s">
        <v>21</v>
      </c>
      <c r="I9083" t="s">
        <v>20</v>
      </c>
      <c r="J9083" t="s">
        <v>20</v>
      </c>
      <c r="K9083" t="s">
        <v>22</v>
      </c>
      <c r="L9083" t="s">
        <v>140</v>
      </c>
      <c r="M9083" t="s">
        <v>159</v>
      </c>
      <c r="N9083">
        <v>40.034486000000001</v>
      </c>
      <c r="O9083">
        <v>-111.521698</v>
      </c>
      <c r="P9083">
        <v>4887.561823</v>
      </c>
      <c r="Q9083">
        <v>1332</v>
      </c>
      <c r="R9083">
        <v>0</v>
      </c>
    </row>
    <row r="9084" spans="1:18" x14ac:dyDescent="0.25">
      <c r="A9084">
        <v>8933</v>
      </c>
      <c r="B9084">
        <v>94</v>
      </c>
      <c r="C9084">
        <v>1422979</v>
      </c>
      <c r="D9084" t="s">
        <v>94</v>
      </c>
      <c r="E9084">
        <v>1.006</v>
      </c>
      <c r="F9084" t="s">
        <v>21</v>
      </c>
      <c r="G9084" t="s">
        <v>26</v>
      </c>
      <c r="H9084" t="s">
        <v>21</v>
      </c>
      <c r="I9084" t="s">
        <v>20</v>
      </c>
      <c r="J9084" t="s">
        <v>20</v>
      </c>
      <c r="K9084" t="s">
        <v>41</v>
      </c>
      <c r="L9084" t="s">
        <v>95</v>
      </c>
      <c r="M9084" t="s">
        <v>73</v>
      </c>
      <c r="N9084">
        <v>41.990389</v>
      </c>
      <c r="O9084">
        <v>-111.876504</v>
      </c>
      <c r="P9084">
        <v>4458.9817929999999</v>
      </c>
      <c r="Q9084">
        <v>352</v>
      </c>
      <c r="R9084">
        <v>0</v>
      </c>
    </row>
    <row r="9085" spans="1:18" x14ac:dyDescent="0.25">
      <c r="A9085">
        <v>8934</v>
      </c>
      <c r="B9085">
        <v>94</v>
      </c>
      <c r="C9085">
        <v>28830535</v>
      </c>
      <c r="D9085" t="s">
        <v>316</v>
      </c>
      <c r="E9085">
        <v>1.0069999999999999</v>
      </c>
      <c r="F9085" t="s">
        <v>21</v>
      </c>
      <c r="G9085" t="s">
        <v>26</v>
      </c>
      <c r="H9085" t="s">
        <v>21</v>
      </c>
      <c r="I9085" t="s">
        <v>20</v>
      </c>
      <c r="J9085" t="s">
        <v>20</v>
      </c>
      <c r="K9085" t="s">
        <v>31</v>
      </c>
      <c r="L9085" t="s">
        <v>130</v>
      </c>
      <c r="M9085" t="s">
        <v>302</v>
      </c>
      <c r="N9085">
        <v>40.610605</v>
      </c>
      <c r="O9085">
        <v>-111.26150800000001</v>
      </c>
      <c r="P9085">
        <v>6567.0803249999999</v>
      </c>
      <c r="Q9085">
        <v>1346</v>
      </c>
      <c r="R9085">
        <v>0</v>
      </c>
    </row>
    <row r="9086" spans="1:18" x14ac:dyDescent="0.25">
      <c r="A9086">
        <v>8935</v>
      </c>
      <c r="B9086">
        <v>94</v>
      </c>
      <c r="C9086">
        <v>31192563</v>
      </c>
      <c r="D9086" t="s">
        <v>126</v>
      </c>
      <c r="E9086">
        <v>1.008</v>
      </c>
      <c r="F9086" t="s">
        <v>21</v>
      </c>
      <c r="G9086" t="s">
        <v>26</v>
      </c>
      <c r="H9086" t="s">
        <v>21</v>
      </c>
      <c r="I9086" t="s">
        <v>20</v>
      </c>
      <c r="J9086" t="s">
        <v>20</v>
      </c>
      <c r="K9086" t="s">
        <v>41</v>
      </c>
      <c r="L9086" t="s">
        <v>57</v>
      </c>
      <c r="M9086" t="s">
        <v>93</v>
      </c>
      <c r="N9086">
        <v>41.205438000000001</v>
      </c>
      <c r="O9086">
        <v>-112.092902</v>
      </c>
      <c r="P9086">
        <v>4197.973594</v>
      </c>
      <c r="Q9086">
        <v>1412</v>
      </c>
      <c r="R9086">
        <v>0</v>
      </c>
    </row>
    <row r="9087" spans="1:18" x14ac:dyDescent="0.25">
      <c r="A9087">
        <v>8936</v>
      </c>
      <c r="B9087">
        <v>94</v>
      </c>
      <c r="C9087">
        <v>31386923</v>
      </c>
      <c r="D9087" t="s">
        <v>374</v>
      </c>
      <c r="E9087">
        <v>1.008</v>
      </c>
      <c r="F9087" t="s">
        <v>21</v>
      </c>
      <c r="G9087" t="s">
        <v>20</v>
      </c>
      <c r="H9087" t="s">
        <v>21</v>
      </c>
      <c r="I9087" t="s">
        <v>20</v>
      </c>
      <c r="J9087" t="s">
        <v>20</v>
      </c>
      <c r="K9087" t="s">
        <v>22</v>
      </c>
      <c r="L9087" t="s">
        <v>234</v>
      </c>
      <c r="M9087" t="s">
        <v>169</v>
      </c>
      <c r="N9087">
        <v>40.384425999999998</v>
      </c>
      <c r="O9087">
        <v>-109.345876</v>
      </c>
      <c r="P9087">
        <v>4727.8470129999996</v>
      </c>
      <c r="Q9087">
        <v>1422</v>
      </c>
      <c r="R9087">
        <v>0</v>
      </c>
    </row>
    <row r="9088" spans="1:18" x14ac:dyDescent="0.25">
      <c r="A9088">
        <v>8937</v>
      </c>
      <c r="B9088">
        <v>94</v>
      </c>
      <c r="C9088">
        <v>595187</v>
      </c>
      <c r="D9088" t="s">
        <v>135</v>
      </c>
      <c r="E9088">
        <v>1.0089999999999999</v>
      </c>
      <c r="F9088" t="s">
        <v>19</v>
      </c>
      <c r="G9088" t="s">
        <v>20</v>
      </c>
      <c r="H9088" t="s">
        <v>21</v>
      </c>
      <c r="I9088" t="s">
        <v>20</v>
      </c>
      <c r="J9088" t="s">
        <v>20</v>
      </c>
      <c r="K9088" t="s">
        <v>31</v>
      </c>
      <c r="L9088" t="s">
        <v>48</v>
      </c>
      <c r="M9088" t="s">
        <v>144</v>
      </c>
      <c r="N9088">
        <v>40.562275</v>
      </c>
      <c r="O9088">
        <v>-111.957781</v>
      </c>
      <c r="P9088">
        <v>4502.0515130000003</v>
      </c>
      <c r="Q9088">
        <v>1423</v>
      </c>
      <c r="R9088">
        <v>0</v>
      </c>
    </row>
    <row r="9089" spans="1:18" x14ac:dyDescent="0.25">
      <c r="A9089">
        <v>8938</v>
      </c>
      <c r="B9089">
        <v>94</v>
      </c>
      <c r="C9089">
        <v>31188800</v>
      </c>
      <c r="D9089" t="s">
        <v>309</v>
      </c>
      <c r="E9089">
        <v>1.01</v>
      </c>
      <c r="F9089" t="s">
        <v>21</v>
      </c>
      <c r="G9089" t="s">
        <v>26</v>
      </c>
      <c r="H9089" t="s">
        <v>21</v>
      </c>
      <c r="I9089" t="s">
        <v>20</v>
      </c>
      <c r="J9089" t="s">
        <v>20</v>
      </c>
      <c r="K9089" t="s">
        <v>22</v>
      </c>
      <c r="L9089" t="s">
        <v>198</v>
      </c>
      <c r="M9089" t="s">
        <v>125</v>
      </c>
      <c r="N9089">
        <v>40.055594999999997</v>
      </c>
      <c r="O9089">
        <v>-111.78744500000001</v>
      </c>
      <c r="P9089">
        <v>4500.1923109999998</v>
      </c>
      <c r="Q9089">
        <v>339</v>
      </c>
      <c r="R9089">
        <v>0</v>
      </c>
    </row>
    <row r="9090" spans="1:18" x14ac:dyDescent="0.25">
      <c r="A9090">
        <v>8939</v>
      </c>
      <c r="B9090">
        <v>94</v>
      </c>
      <c r="C9090" t="e">
        <f>-Iq3H43lGEPXTny5-KyfFV</f>
        <v>#NAME?</v>
      </c>
      <c r="D9090" t="s">
        <v>1040</v>
      </c>
      <c r="E9090">
        <v>0</v>
      </c>
      <c r="F9090" t="s">
        <v>21</v>
      </c>
      <c r="G9090" t="s">
        <v>26</v>
      </c>
      <c r="H9090" t="s">
        <v>21</v>
      </c>
      <c r="I9090" t="s">
        <v>20</v>
      </c>
      <c r="J9090" t="s">
        <v>20</v>
      </c>
      <c r="K9090" t="s">
        <v>31</v>
      </c>
      <c r="L9090" t="s">
        <v>78</v>
      </c>
      <c r="M9090" t="s">
        <v>123</v>
      </c>
      <c r="N9090">
        <v>40.769908000000001</v>
      </c>
      <c r="O9090">
        <v>-112.063025</v>
      </c>
      <c r="P9090">
        <v>4196.2468179999996</v>
      </c>
      <c r="Q9090">
        <v>321</v>
      </c>
      <c r="R9090">
        <v>0</v>
      </c>
    </row>
    <row r="9091" spans="1:18" x14ac:dyDescent="0.25">
      <c r="A9091">
        <v>8940</v>
      </c>
      <c r="B9091">
        <v>94</v>
      </c>
      <c r="C9091" t="e">
        <f>-IqDzMNfGYaiyvnR-XWNhk</f>
        <v>#NAME?</v>
      </c>
      <c r="D9091" t="s">
        <v>1041</v>
      </c>
      <c r="E9091">
        <v>0</v>
      </c>
      <c r="F9091" t="s">
        <v>21</v>
      </c>
      <c r="G9091" t="s">
        <v>26</v>
      </c>
      <c r="H9091" t="s">
        <v>21</v>
      </c>
      <c r="I9091" t="s">
        <v>20</v>
      </c>
      <c r="J9091" t="s">
        <v>20</v>
      </c>
      <c r="K9091" t="s">
        <v>27</v>
      </c>
      <c r="L9091" t="s">
        <v>405</v>
      </c>
      <c r="M9091" t="s">
        <v>973</v>
      </c>
      <c r="N9091">
        <v>38.920524</v>
      </c>
      <c r="O9091">
        <v>-109.93535199999999</v>
      </c>
      <c r="P9091">
        <v>4557.0212039999997</v>
      </c>
      <c r="Q9091">
        <v>1370</v>
      </c>
      <c r="R9091">
        <v>0</v>
      </c>
    </row>
    <row r="9092" spans="1:18" x14ac:dyDescent="0.25">
      <c r="A9092">
        <v>8941</v>
      </c>
      <c r="B9092">
        <v>94</v>
      </c>
      <c r="C9092">
        <v>31591678</v>
      </c>
      <c r="D9092" t="s">
        <v>232</v>
      </c>
      <c r="E9092">
        <v>0</v>
      </c>
      <c r="F9092" t="s">
        <v>19</v>
      </c>
      <c r="G9092" t="s">
        <v>20</v>
      </c>
      <c r="H9092" t="s">
        <v>19</v>
      </c>
      <c r="I9092">
        <v>224</v>
      </c>
      <c r="J9092" t="s">
        <v>20</v>
      </c>
      <c r="K9092" t="s">
        <v>31</v>
      </c>
      <c r="L9092" t="s">
        <v>209</v>
      </c>
      <c r="M9092" t="s">
        <v>131</v>
      </c>
      <c r="N9092">
        <v>40.660331999999997</v>
      </c>
      <c r="O9092">
        <v>-111.509461</v>
      </c>
      <c r="P9092">
        <v>6763.8702009999997</v>
      </c>
      <c r="Q9092">
        <v>1279</v>
      </c>
      <c r="R9092">
        <v>0</v>
      </c>
    </row>
    <row r="9093" spans="1:18" x14ac:dyDescent="0.25">
      <c r="A9093">
        <v>8942</v>
      </c>
      <c r="B9093">
        <v>94</v>
      </c>
      <c r="C9093">
        <v>31279260</v>
      </c>
      <c r="D9093" t="s">
        <v>731</v>
      </c>
      <c r="E9093">
        <v>0</v>
      </c>
      <c r="F9093" t="s">
        <v>21</v>
      </c>
      <c r="G9093" t="s">
        <v>26</v>
      </c>
      <c r="H9093" t="s">
        <v>19</v>
      </c>
      <c r="I9093">
        <v>14</v>
      </c>
      <c r="J9093" t="s">
        <v>20</v>
      </c>
      <c r="K9093" t="s">
        <v>27</v>
      </c>
      <c r="L9093" t="s">
        <v>501</v>
      </c>
      <c r="M9093" t="s">
        <v>200</v>
      </c>
      <c r="N9093">
        <v>37.572119999999998</v>
      </c>
      <c r="O9093">
        <v>-112.836141</v>
      </c>
      <c r="P9093">
        <v>9702.6090270000004</v>
      </c>
      <c r="Q9093">
        <v>1421</v>
      </c>
      <c r="R9093">
        <v>0</v>
      </c>
    </row>
    <row r="9094" spans="1:18" x14ac:dyDescent="0.25">
      <c r="A9094">
        <v>8943</v>
      </c>
      <c r="B9094">
        <v>94</v>
      </c>
      <c r="C9094" t="e">
        <f>-IqSot6sHLimpmx_cDZBEF</f>
        <v>#NAME?</v>
      </c>
      <c r="D9094" t="s">
        <v>1042</v>
      </c>
      <c r="E9094">
        <v>0</v>
      </c>
      <c r="F9094" t="s">
        <v>21</v>
      </c>
      <c r="G9094" t="s">
        <v>26</v>
      </c>
      <c r="H9094" t="s">
        <v>21</v>
      </c>
      <c r="I9094" t="s">
        <v>20</v>
      </c>
      <c r="J9094" t="s">
        <v>20</v>
      </c>
      <c r="K9094" t="s">
        <v>22</v>
      </c>
      <c r="L9094" t="s">
        <v>155</v>
      </c>
      <c r="M9094" t="s">
        <v>365</v>
      </c>
      <c r="N9094">
        <v>39.710521999999997</v>
      </c>
      <c r="O9094">
        <v>-111.8177</v>
      </c>
      <c r="P9094">
        <v>5142.1964200000002</v>
      </c>
      <c r="Q9094">
        <v>6661</v>
      </c>
      <c r="R9094">
        <v>0</v>
      </c>
    </row>
    <row r="9095" spans="1:18" x14ac:dyDescent="0.25">
      <c r="A9095">
        <v>8944</v>
      </c>
      <c r="B9095">
        <v>94</v>
      </c>
      <c r="C9095">
        <v>31396440</v>
      </c>
      <c r="D9095" t="s">
        <v>30</v>
      </c>
      <c r="E9095">
        <v>0</v>
      </c>
      <c r="F9095" t="s">
        <v>19</v>
      </c>
      <c r="G9095" t="s">
        <v>20</v>
      </c>
      <c r="H9095" t="s">
        <v>19</v>
      </c>
      <c r="I9095">
        <v>190</v>
      </c>
      <c r="J9095" t="s">
        <v>20</v>
      </c>
      <c r="K9095" t="s">
        <v>31</v>
      </c>
      <c r="L9095" t="s">
        <v>32</v>
      </c>
      <c r="M9095" t="s">
        <v>33</v>
      </c>
      <c r="N9095">
        <v>40.619323999999999</v>
      </c>
      <c r="O9095">
        <v>-111.78948800000001</v>
      </c>
      <c r="P9095">
        <v>4855.4653859999999</v>
      </c>
      <c r="Q9095">
        <v>415</v>
      </c>
      <c r="R9095">
        <v>0</v>
      </c>
    </row>
    <row r="9096" spans="1:18" x14ac:dyDescent="0.25">
      <c r="A9096">
        <v>8945</v>
      </c>
      <c r="B9096">
        <v>94</v>
      </c>
      <c r="C9096" t="e">
        <f>-Iq9AF3DHDafGgVLKjGZ3V</f>
        <v>#NAME?</v>
      </c>
      <c r="D9096" t="s">
        <v>1043</v>
      </c>
      <c r="E9096">
        <v>0</v>
      </c>
      <c r="F9096" t="s">
        <v>21</v>
      </c>
      <c r="G9096" t="s">
        <v>26</v>
      </c>
      <c r="H9096" t="s">
        <v>21</v>
      </c>
      <c r="I9096" t="s">
        <v>20</v>
      </c>
      <c r="J9096" t="s">
        <v>20</v>
      </c>
      <c r="K9096" t="s">
        <v>31</v>
      </c>
      <c r="L9096" t="s">
        <v>188</v>
      </c>
      <c r="M9096" t="s">
        <v>46</v>
      </c>
      <c r="N9096">
        <v>40.739775999999999</v>
      </c>
      <c r="O9096">
        <v>-111.67244700000001</v>
      </c>
      <c r="P9096">
        <v>6062.596415</v>
      </c>
      <c r="Q9096">
        <v>6663</v>
      </c>
      <c r="R9096">
        <v>0</v>
      </c>
    </row>
    <row r="9097" spans="1:18" x14ac:dyDescent="0.25">
      <c r="A9097">
        <v>8946</v>
      </c>
      <c r="B9097">
        <v>94</v>
      </c>
      <c r="C9097" t="e">
        <f>-IqE-ZGUI7qVe5fRZg8buF</f>
        <v>#NAME?</v>
      </c>
      <c r="D9097" t="s">
        <v>1044</v>
      </c>
      <c r="E9097">
        <v>0</v>
      </c>
      <c r="F9097" t="s">
        <v>21</v>
      </c>
      <c r="G9097" t="s">
        <v>26</v>
      </c>
      <c r="H9097" t="s">
        <v>21</v>
      </c>
      <c r="I9097" t="s">
        <v>20</v>
      </c>
      <c r="J9097" t="s">
        <v>20</v>
      </c>
      <c r="K9097" t="s">
        <v>31</v>
      </c>
      <c r="L9097" t="s">
        <v>188</v>
      </c>
      <c r="M9097" t="s">
        <v>46</v>
      </c>
      <c r="N9097">
        <v>40.739277999999999</v>
      </c>
      <c r="O9097">
        <v>-111.74229699999999</v>
      </c>
      <c r="P9097">
        <v>5312.246564</v>
      </c>
      <c r="Q9097">
        <v>321</v>
      </c>
      <c r="R9097">
        <v>0</v>
      </c>
    </row>
    <row r="9098" spans="1:18" x14ac:dyDescent="0.25">
      <c r="A9098">
        <v>8947</v>
      </c>
      <c r="B9098">
        <v>94</v>
      </c>
      <c r="C9098">
        <v>31436983</v>
      </c>
      <c r="D9098" t="s">
        <v>254</v>
      </c>
      <c r="E9098">
        <v>0</v>
      </c>
      <c r="F9098" t="s">
        <v>21</v>
      </c>
      <c r="G9098" t="s">
        <v>26</v>
      </c>
      <c r="H9098" t="s">
        <v>21</v>
      </c>
      <c r="I9098" t="s">
        <v>20</v>
      </c>
      <c r="J9098" t="s">
        <v>20</v>
      </c>
      <c r="K9098" t="s">
        <v>41</v>
      </c>
      <c r="L9098" t="s">
        <v>255</v>
      </c>
      <c r="M9098" t="s">
        <v>204</v>
      </c>
      <c r="N9098">
        <v>41.253791</v>
      </c>
      <c r="O9098">
        <v>-111.84170899999999</v>
      </c>
      <c r="P9098">
        <v>4859.1914239999996</v>
      </c>
      <c r="Q9098">
        <v>1429</v>
      </c>
      <c r="R9098">
        <v>0</v>
      </c>
    </row>
    <row r="9099" spans="1:18" x14ac:dyDescent="0.25">
      <c r="A9099">
        <v>8948</v>
      </c>
      <c r="B9099">
        <v>94</v>
      </c>
      <c r="C9099" t="s">
        <v>1045</v>
      </c>
      <c r="D9099" t="s">
        <v>1046</v>
      </c>
      <c r="E9099">
        <v>0</v>
      </c>
      <c r="F9099" t="s">
        <v>21</v>
      </c>
      <c r="G9099" t="s">
        <v>26</v>
      </c>
      <c r="H9099" t="s">
        <v>21</v>
      </c>
      <c r="I9099" t="s">
        <v>20</v>
      </c>
      <c r="J9099" t="s">
        <v>20</v>
      </c>
      <c r="K9099" t="s">
        <v>31</v>
      </c>
      <c r="L9099" t="s">
        <v>188</v>
      </c>
      <c r="M9099" t="s">
        <v>46</v>
      </c>
      <c r="N9099">
        <v>40.739485000000002</v>
      </c>
      <c r="O9099">
        <v>-111.743297</v>
      </c>
      <c r="P9099">
        <v>5307.7940189999999</v>
      </c>
      <c r="Q9099">
        <v>6663</v>
      </c>
      <c r="R9099">
        <v>0</v>
      </c>
    </row>
    <row r="9100" spans="1:18" x14ac:dyDescent="0.25">
      <c r="A9100">
        <v>8949</v>
      </c>
      <c r="B9100">
        <v>94</v>
      </c>
      <c r="C9100" t="e">
        <f>-IqDqE3BINX0tyxkshETNV</f>
        <v>#NAME?</v>
      </c>
      <c r="D9100" t="s">
        <v>1047</v>
      </c>
      <c r="E9100">
        <v>0</v>
      </c>
      <c r="F9100" t="s">
        <v>21</v>
      </c>
      <c r="G9100" t="s">
        <v>361</v>
      </c>
      <c r="H9100" t="s">
        <v>21</v>
      </c>
      <c r="I9100" t="s">
        <v>20</v>
      </c>
      <c r="J9100" t="s">
        <v>20</v>
      </c>
      <c r="K9100" t="s">
        <v>41</v>
      </c>
      <c r="L9100" t="s">
        <v>291</v>
      </c>
      <c r="M9100" t="s">
        <v>368</v>
      </c>
      <c r="N9100">
        <v>41.924232000000003</v>
      </c>
      <c r="O9100">
        <v>-112.635571</v>
      </c>
      <c r="P9100">
        <v>4962.317395</v>
      </c>
      <c r="Q9100">
        <v>1381</v>
      </c>
      <c r="R9100">
        <v>0</v>
      </c>
    </row>
    <row r="9101" spans="1:18" x14ac:dyDescent="0.25">
      <c r="A9101">
        <v>8950</v>
      </c>
      <c r="B9101">
        <v>94</v>
      </c>
      <c r="C9101" t="e">
        <f>-IqE7_wBFG5x8zyRAgy7zk</f>
        <v>#NAME?</v>
      </c>
      <c r="D9101" t="s">
        <v>1048</v>
      </c>
      <c r="E9101">
        <v>0</v>
      </c>
      <c r="F9101" t="s">
        <v>21</v>
      </c>
      <c r="G9101" t="s">
        <v>26</v>
      </c>
      <c r="H9101" t="s">
        <v>21</v>
      </c>
      <c r="I9101" t="s">
        <v>20</v>
      </c>
      <c r="J9101" t="s">
        <v>20</v>
      </c>
      <c r="K9101" t="s">
        <v>31</v>
      </c>
      <c r="L9101" t="s">
        <v>433</v>
      </c>
      <c r="M9101" t="s">
        <v>147</v>
      </c>
      <c r="N9101">
        <v>41.153219999999997</v>
      </c>
      <c r="O9101">
        <v>-111.143855</v>
      </c>
      <c r="P9101">
        <v>6329.1916069999997</v>
      </c>
      <c r="Q9101">
        <v>321</v>
      </c>
      <c r="R9101">
        <v>0</v>
      </c>
    </row>
    <row r="9102" spans="1:18" x14ac:dyDescent="0.25">
      <c r="A9102">
        <v>8951</v>
      </c>
      <c r="B9102">
        <v>94</v>
      </c>
      <c r="C9102" t="e">
        <f>-IqASjc_FyXfO9TYljIfwF</f>
        <v>#NAME?</v>
      </c>
      <c r="D9102" t="s">
        <v>1049</v>
      </c>
      <c r="E9102">
        <v>0</v>
      </c>
      <c r="F9102" t="s">
        <v>21</v>
      </c>
      <c r="G9102" t="s">
        <v>26</v>
      </c>
      <c r="H9102" t="s">
        <v>21</v>
      </c>
      <c r="I9102" t="s">
        <v>20</v>
      </c>
      <c r="J9102" t="s">
        <v>20</v>
      </c>
      <c r="K9102" t="s">
        <v>41</v>
      </c>
      <c r="L9102" t="s">
        <v>291</v>
      </c>
      <c r="M9102" t="s">
        <v>368</v>
      </c>
      <c r="N9102">
        <v>41.884374999999999</v>
      </c>
      <c r="O9102">
        <v>-112.49030999999999</v>
      </c>
      <c r="P9102">
        <v>4815.1939670000002</v>
      </c>
      <c r="Q9102">
        <v>1381</v>
      </c>
      <c r="R9102">
        <v>0</v>
      </c>
    </row>
    <row r="9103" spans="1:18" x14ac:dyDescent="0.25">
      <c r="A9103">
        <v>8952</v>
      </c>
      <c r="B9103">
        <v>94</v>
      </c>
      <c r="C9103">
        <v>31410462</v>
      </c>
      <c r="D9103" t="s">
        <v>129</v>
      </c>
      <c r="E9103">
        <v>0</v>
      </c>
      <c r="F9103" t="s">
        <v>19</v>
      </c>
      <c r="G9103" t="s">
        <v>20</v>
      </c>
      <c r="H9103" t="s">
        <v>19</v>
      </c>
      <c r="I9103">
        <v>32</v>
      </c>
      <c r="J9103" t="s">
        <v>20</v>
      </c>
      <c r="K9103" t="s">
        <v>31</v>
      </c>
      <c r="L9103" t="s">
        <v>130</v>
      </c>
      <c r="M9103" t="s">
        <v>131</v>
      </c>
      <c r="N9103">
        <v>40.643141</v>
      </c>
      <c r="O9103">
        <v>-111.280755</v>
      </c>
      <c r="P9103">
        <v>6432.9382599999999</v>
      </c>
      <c r="Q9103">
        <v>340</v>
      </c>
      <c r="R9103">
        <v>0</v>
      </c>
    </row>
    <row r="9104" spans="1:18" x14ac:dyDescent="0.25">
      <c r="A9104">
        <v>8953</v>
      </c>
      <c r="B9104">
        <v>94</v>
      </c>
      <c r="C9104" t="s">
        <v>1050</v>
      </c>
      <c r="D9104" t="s">
        <v>1051</v>
      </c>
      <c r="E9104">
        <v>0.216</v>
      </c>
      <c r="F9104" t="s">
        <v>21</v>
      </c>
      <c r="G9104" t="s">
        <v>26</v>
      </c>
      <c r="H9104" t="s">
        <v>21</v>
      </c>
      <c r="I9104" t="s">
        <v>20</v>
      </c>
      <c r="J9104" t="s">
        <v>20</v>
      </c>
      <c r="K9104" t="s">
        <v>41</v>
      </c>
      <c r="L9104" t="s">
        <v>87</v>
      </c>
      <c r="M9104" t="s">
        <v>163</v>
      </c>
      <c r="N9104">
        <v>40.997776000000002</v>
      </c>
      <c r="O9104">
        <v>-111.906508</v>
      </c>
      <c r="P9104">
        <v>4216.0519180000001</v>
      </c>
      <c r="Q9104">
        <v>5463</v>
      </c>
      <c r="R9104">
        <v>0</v>
      </c>
    </row>
    <row r="9105" spans="1:18" x14ac:dyDescent="0.25">
      <c r="A9105">
        <v>8954</v>
      </c>
      <c r="B9105">
        <v>94</v>
      </c>
      <c r="C9105">
        <v>507481</v>
      </c>
      <c r="D9105" t="s">
        <v>44</v>
      </c>
      <c r="E9105">
        <v>0.217</v>
      </c>
      <c r="F9105" t="s">
        <v>21</v>
      </c>
      <c r="G9105" t="s">
        <v>20</v>
      </c>
      <c r="H9105" t="s">
        <v>21</v>
      </c>
      <c r="I9105" t="s">
        <v>20</v>
      </c>
      <c r="J9105" t="s">
        <v>20</v>
      </c>
      <c r="K9105" t="s">
        <v>41</v>
      </c>
      <c r="L9105" t="s">
        <v>45</v>
      </c>
      <c r="M9105" t="s">
        <v>46</v>
      </c>
      <c r="N9105">
        <v>40.893818000000003</v>
      </c>
      <c r="O9105">
        <v>-111.896582</v>
      </c>
      <c r="P9105">
        <v>4258.3148769999998</v>
      </c>
      <c r="Q9105">
        <v>1395</v>
      </c>
      <c r="R9105">
        <v>0</v>
      </c>
    </row>
    <row r="9106" spans="1:18" x14ac:dyDescent="0.25">
      <c r="A9106">
        <v>8955</v>
      </c>
      <c r="B9106">
        <v>94</v>
      </c>
      <c r="C9106">
        <v>31557990</v>
      </c>
      <c r="D9106" t="s">
        <v>80</v>
      </c>
      <c r="E9106">
        <v>0.218</v>
      </c>
      <c r="F9106" t="s">
        <v>21</v>
      </c>
      <c r="G9106" t="s">
        <v>26</v>
      </c>
      <c r="H9106" t="s">
        <v>21</v>
      </c>
      <c r="I9106" t="s">
        <v>20</v>
      </c>
      <c r="J9106" t="s">
        <v>20</v>
      </c>
      <c r="K9106" t="s">
        <v>41</v>
      </c>
      <c r="L9106" t="s">
        <v>81</v>
      </c>
      <c r="M9106" t="s">
        <v>82</v>
      </c>
      <c r="N9106">
        <v>41.228786999999997</v>
      </c>
      <c r="O9106">
        <v>-112.021293</v>
      </c>
      <c r="P9106">
        <v>4226.6267989999997</v>
      </c>
      <c r="Q9106">
        <v>1393</v>
      </c>
      <c r="R9106">
        <v>0</v>
      </c>
    </row>
    <row r="9107" spans="1:18" x14ac:dyDescent="0.25">
      <c r="A9107">
        <v>8956</v>
      </c>
      <c r="B9107">
        <v>94</v>
      </c>
      <c r="C9107">
        <v>27643446</v>
      </c>
      <c r="D9107" t="s">
        <v>196</v>
      </c>
      <c r="E9107">
        <v>0.219</v>
      </c>
      <c r="F9107" t="s">
        <v>19</v>
      </c>
      <c r="G9107" t="s">
        <v>20</v>
      </c>
      <c r="H9107" t="s">
        <v>21</v>
      </c>
      <c r="I9107" t="s">
        <v>20</v>
      </c>
      <c r="J9107" t="s">
        <v>20</v>
      </c>
      <c r="K9107" t="s">
        <v>27</v>
      </c>
      <c r="L9107" t="s">
        <v>72</v>
      </c>
      <c r="M9107" t="s">
        <v>73</v>
      </c>
      <c r="N9107">
        <v>37.109937000000002</v>
      </c>
      <c r="O9107">
        <v>-113.589709</v>
      </c>
      <c r="P9107">
        <v>2673.3354909999998</v>
      </c>
      <c r="Q9107">
        <v>308</v>
      </c>
      <c r="R9107">
        <v>0</v>
      </c>
    </row>
    <row r="9108" spans="1:18" x14ac:dyDescent="0.25">
      <c r="A9108">
        <v>8957</v>
      </c>
      <c r="B9108">
        <v>94</v>
      </c>
      <c r="C9108">
        <v>31752331</v>
      </c>
      <c r="D9108" t="s">
        <v>47</v>
      </c>
      <c r="E9108">
        <v>0.219</v>
      </c>
      <c r="F9108" t="s">
        <v>21</v>
      </c>
      <c r="G9108" t="s">
        <v>26</v>
      </c>
      <c r="H9108" t="s">
        <v>21</v>
      </c>
      <c r="I9108" t="s">
        <v>20</v>
      </c>
      <c r="J9108" t="s">
        <v>20</v>
      </c>
      <c r="K9108" t="s">
        <v>31</v>
      </c>
      <c r="L9108" t="s">
        <v>48</v>
      </c>
      <c r="M9108" t="s">
        <v>49</v>
      </c>
      <c r="N9108">
        <v>40.543978000000003</v>
      </c>
      <c r="O9108">
        <v>-111.979809</v>
      </c>
      <c r="P9108">
        <v>4578.5982830000003</v>
      </c>
      <c r="Q9108">
        <v>6715</v>
      </c>
      <c r="R9108">
        <v>0</v>
      </c>
    </row>
    <row r="9109" spans="1:18" x14ac:dyDescent="0.25">
      <c r="A9109">
        <v>8958</v>
      </c>
      <c r="B9109">
        <v>94</v>
      </c>
      <c r="C9109">
        <v>474465</v>
      </c>
      <c r="D9109" t="s">
        <v>83</v>
      </c>
      <c r="E9109">
        <v>0.223</v>
      </c>
      <c r="F9109" t="s">
        <v>21</v>
      </c>
      <c r="G9109" t="s">
        <v>26</v>
      </c>
      <c r="H9109" t="s">
        <v>21</v>
      </c>
      <c r="I9109" t="s">
        <v>20</v>
      </c>
      <c r="J9109" t="s">
        <v>20</v>
      </c>
      <c r="K9109" t="s">
        <v>22</v>
      </c>
      <c r="L9109" t="s">
        <v>84</v>
      </c>
      <c r="M9109" t="s">
        <v>85</v>
      </c>
      <c r="N9109">
        <v>40.380128999999997</v>
      </c>
      <c r="O9109">
        <v>-111.795906</v>
      </c>
      <c r="P9109">
        <v>4561.4244509999999</v>
      </c>
      <c r="Q9109">
        <v>319</v>
      </c>
      <c r="R9109">
        <v>0</v>
      </c>
    </row>
    <row r="9110" spans="1:18" x14ac:dyDescent="0.25">
      <c r="A9110">
        <v>8959</v>
      </c>
      <c r="B9110">
        <v>94</v>
      </c>
      <c r="C9110">
        <v>31485769</v>
      </c>
      <c r="D9110" t="s">
        <v>164</v>
      </c>
      <c r="E9110">
        <v>0.22500000000000001</v>
      </c>
      <c r="F9110" t="s">
        <v>21</v>
      </c>
      <c r="G9110" t="s">
        <v>26</v>
      </c>
      <c r="H9110" t="s">
        <v>21</v>
      </c>
      <c r="I9110" t="s">
        <v>20</v>
      </c>
      <c r="J9110" t="s">
        <v>20</v>
      </c>
      <c r="K9110" t="s">
        <v>27</v>
      </c>
      <c r="L9110" t="s">
        <v>165</v>
      </c>
      <c r="M9110" t="s">
        <v>166</v>
      </c>
      <c r="N9110">
        <v>38.948045</v>
      </c>
      <c r="O9110">
        <v>-112.347358</v>
      </c>
      <c r="P9110">
        <v>4967.9970700000003</v>
      </c>
      <c r="Q9110">
        <v>1390</v>
      </c>
      <c r="R9110">
        <v>0</v>
      </c>
    </row>
    <row r="9111" spans="1:18" x14ac:dyDescent="0.25">
      <c r="A9111">
        <v>8960</v>
      </c>
      <c r="B9111">
        <v>94</v>
      </c>
      <c r="C9111">
        <v>31463096</v>
      </c>
      <c r="D9111" t="s">
        <v>264</v>
      </c>
      <c r="E9111">
        <v>0.22600000000000001</v>
      </c>
      <c r="F9111" t="s">
        <v>21</v>
      </c>
      <c r="G9111" t="s">
        <v>26</v>
      </c>
      <c r="H9111" t="s">
        <v>21</v>
      </c>
      <c r="I9111" t="s">
        <v>20</v>
      </c>
      <c r="J9111" t="s">
        <v>20</v>
      </c>
      <c r="K9111" t="s">
        <v>22</v>
      </c>
      <c r="L9111" t="s">
        <v>35</v>
      </c>
      <c r="M9111" t="s">
        <v>36</v>
      </c>
      <c r="N9111">
        <v>40.512251999999997</v>
      </c>
      <c r="O9111">
        <v>-111.476551</v>
      </c>
      <c r="P9111">
        <v>5542.2658659999997</v>
      </c>
      <c r="Q9111">
        <v>420</v>
      </c>
      <c r="R9111">
        <v>0</v>
      </c>
    </row>
    <row r="9112" spans="1:18" x14ac:dyDescent="0.25">
      <c r="A9112">
        <v>8961</v>
      </c>
      <c r="B9112">
        <v>94</v>
      </c>
      <c r="C9112">
        <v>31410538</v>
      </c>
      <c r="D9112" t="s">
        <v>129</v>
      </c>
      <c r="E9112">
        <v>0.22600000000000001</v>
      </c>
      <c r="F9112" t="s">
        <v>21</v>
      </c>
      <c r="G9112" t="s">
        <v>26</v>
      </c>
      <c r="H9112" t="s">
        <v>21</v>
      </c>
      <c r="I9112" t="s">
        <v>20</v>
      </c>
      <c r="J9112" t="s">
        <v>20</v>
      </c>
      <c r="K9112" t="s">
        <v>31</v>
      </c>
      <c r="L9112" t="s">
        <v>130</v>
      </c>
      <c r="M9112" t="s">
        <v>131</v>
      </c>
      <c r="N9112">
        <v>40.643161999999997</v>
      </c>
      <c r="O9112">
        <v>-111.276506</v>
      </c>
      <c r="P9112">
        <v>6447.7666669999999</v>
      </c>
      <c r="Q9112">
        <v>340</v>
      </c>
      <c r="R9112">
        <v>0</v>
      </c>
    </row>
    <row r="9113" spans="1:18" x14ac:dyDescent="0.25">
      <c r="A9113">
        <v>8962</v>
      </c>
      <c r="B9113">
        <v>94</v>
      </c>
      <c r="C9113" t="e">
        <f>-Ip-cM_bFW5Iptzfb89Jak</f>
        <v>#NAME?</v>
      </c>
      <c r="D9113" t="s">
        <v>59</v>
      </c>
      <c r="E9113">
        <v>0.22700000000000001</v>
      </c>
      <c r="F9113" t="s">
        <v>21</v>
      </c>
      <c r="G9113" t="s">
        <v>26</v>
      </c>
      <c r="H9113" t="s">
        <v>21</v>
      </c>
      <c r="I9113" t="s">
        <v>20</v>
      </c>
      <c r="J9113" t="s">
        <v>20</v>
      </c>
      <c r="K9113" t="s">
        <v>22</v>
      </c>
      <c r="L9113" t="s">
        <v>60</v>
      </c>
      <c r="M9113" t="s">
        <v>24</v>
      </c>
      <c r="N9113">
        <v>40.311844000000001</v>
      </c>
      <c r="O9113">
        <v>-111.730259</v>
      </c>
      <c r="P9113">
        <v>4539.0503040000003</v>
      </c>
      <c r="Q9113">
        <v>313</v>
      </c>
      <c r="R9113">
        <v>0</v>
      </c>
    </row>
    <row r="9114" spans="1:18" x14ac:dyDescent="0.25">
      <c r="A9114">
        <v>8963</v>
      </c>
      <c r="B9114">
        <v>94</v>
      </c>
      <c r="C9114">
        <v>31190093</v>
      </c>
      <c r="D9114" t="s">
        <v>153</v>
      </c>
      <c r="E9114">
        <v>0.22700000000000001</v>
      </c>
      <c r="F9114" t="s">
        <v>19</v>
      </c>
      <c r="G9114" t="s">
        <v>20</v>
      </c>
      <c r="H9114" t="s">
        <v>21</v>
      </c>
      <c r="I9114" t="s">
        <v>20</v>
      </c>
      <c r="J9114" t="s">
        <v>20</v>
      </c>
      <c r="K9114" t="s">
        <v>22</v>
      </c>
      <c r="L9114" t="s">
        <v>84</v>
      </c>
      <c r="M9114" t="s">
        <v>85</v>
      </c>
      <c r="N9114">
        <v>40.361227</v>
      </c>
      <c r="O9114">
        <v>-111.738865</v>
      </c>
      <c r="P9114">
        <v>4543.870903</v>
      </c>
      <c r="R9114">
        <v>0</v>
      </c>
    </row>
    <row r="9115" spans="1:18" x14ac:dyDescent="0.25">
      <c r="A9115">
        <v>8964</v>
      </c>
      <c r="B9115">
        <v>94</v>
      </c>
      <c r="C9115">
        <v>1434378</v>
      </c>
      <c r="D9115" t="s">
        <v>999</v>
      </c>
      <c r="E9115">
        <v>0.22800000000000001</v>
      </c>
      <c r="F9115" t="s">
        <v>21</v>
      </c>
      <c r="G9115" t="s">
        <v>26</v>
      </c>
      <c r="H9115" t="s">
        <v>21</v>
      </c>
      <c r="I9115" t="s">
        <v>20</v>
      </c>
      <c r="J9115" t="s">
        <v>20</v>
      </c>
      <c r="K9115" t="s">
        <v>41</v>
      </c>
      <c r="L9115" t="s">
        <v>223</v>
      </c>
      <c r="M9115" t="s">
        <v>238</v>
      </c>
      <c r="N9115">
        <v>41.635024999999999</v>
      </c>
      <c r="O9115">
        <v>-112.09838999999999</v>
      </c>
      <c r="P9115">
        <v>4222.4711459999999</v>
      </c>
      <c r="Q9115">
        <v>425</v>
      </c>
      <c r="R9115">
        <v>0</v>
      </c>
    </row>
    <row r="9116" spans="1:18" x14ac:dyDescent="0.25">
      <c r="A9116">
        <v>8965</v>
      </c>
      <c r="B9116">
        <v>94</v>
      </c>
      <c r="C9116">
        <v>31760953</v>
      </c>
      <c r="D9116" t="s">
        <v>86</v>
      </c>
      <c r="E9116">
        <v>0.22800000000000001</v>
      </c>
      <c r="F9116" t="s">
        <v>21</v>
      </c>
      <c r="G9116" t="s">
        <v>26</v>
      </c>
      <c r="H9116" t="s">
        <v>21</v>
      </c>
      <c r="I9116" t="s">
        <v>20</v>
      </c>
      <c r="J9116" t="s">
        <v>20</v>
      </c>
      <c r="K9116" t="s">
        <v>41</v>
      </c>
      <c r="L9116" t="s">
        <v>87</v>
      </c>
      <c r="M9116" t="s">
        <v>58</v>
      </c>
      <c r="N9116">
        <v>41.013218999999999</v>
      </c>
      <c r="O9116">
        <v>-111.914585</v>
      </c>
      <c r="P9116">
        <v>4339.0910780000004</v>
      </c>
      <c r="Q9116">
        <v>258</v>
      </c>
      <c r="R9116">
        <v>0</v>
      </c>
    </row>
    <row r="9117" spans="1:18" x14ac:dyDescent="0.25">
      <c r="A9117">
        <v>8966</v>
      </c>
      <c r="B9117">
        <v>94</v>
      </c>
      <c r="C9117" t="s">
        <v>1052</v>
      </c>
      <c r="D9117" t="s">
        <v>1015</v>
      </c>
      <c r="E9117">
        <v>0.22800000000000001</v>
      </c>
      <c r="F9117" t="s">
        <v>21</v>
      </c>
      <c r="G9117" t="s">
        <v>361</v>
      </c>
      <c r="H9117" t="s">
        <v>21</v>
      </c>
      <c r="I9117" t="s">
        <v>20</v>
      </c>
      <c r="J9117" t="s">
        <v>20</v>
      </c>
      <c r="K9117" t="s">
        <v>27</v>
      </c>
      <c r="L9117" t="s">
        <v>400</v>
      </c>
      <c r="M9117" t="s">
        <v>978</v>
      </c>
      <c r="N9117">
        <v>38.537976</v>
      </c>
      <c r="O9117">
        <v>-112.607601</v>
      </c>
      <c r="P9117">
        <v>6000.8772319999998</v>
      </c>
      <c r="Q9117">
        <v>1333</v>
      </c>
      <c r="R9117">
        <v>0</v>
      </c>
    </row>
    <row r="9118" spans="1:18" x14ac:dyDescent="0.25">
      <c r="A9118">
        <v>8967</v>
      </c>
      <c r="B9118">
        <v>94</v>
      </c>
      <c r="C9118" t="e">
        <f>-JLzAhTLI2TAnVQkIS8SPk</f>
        <v>#NAME?</v>
      </c>
      <c r="D9118" t="s">
        <v>47</v>
      </c>
      <c r="E9118">
        <v>0.22800000000000001</v>
      </c>
      <c r="F9118" t="s">
        <v>21</v>
      </c>
      <c r="G9118" t="s">
        <v>26</v>
      </c>
      <c r="H9118" t="s">
        <v>21</v>
      </c>
      <c r="I9118" t="s">
        <v>20</v>
      </c>
      <c r="J9118" t="s">
        <v>20</v>
      </c>
      <c r="K9118" t="s">
        <v>31</v>
      </c>
      <c r="L9118" t="s">
        <v>48</v>
      </c>
      <c r="M9118" t="s">
        <v>49</v>
      </c>
      <c r="N9118">
        <v>40.544367000000001</v>
      </c>
      <c r="O9118">
        <v>-111.979771</v>
      </c>
      <c r="P9118">
        <v>4580.2175520000001</v>
      </c>
      <c r="Q9118">
        <v>6715</v>
      </c>
      <c r="R9118">
        <v>0</v>
      </c>
    </row>
    <row r="9119" spans="1:18" x14ac:dyDescent="0.25">
      <c r="A9119">
        <v>8968</v>
      </c>
      <c r="B9119">
        <v>94</v>
      </c>
      <c r="C9119">
        <v>31499925</v>
      </c>
      <c r="D9119" t="s">
        <v>292</v>
      </c>
      <c r="E9119">
        <v>0.23</v>
      </c>
      <c r="F9119" t="s">
        <v>21</v>
      </c>
      <c r="G9119" t="s">
        <v>26</v>
      </c>
      <c r="H9119" t="s">
        <v>21</v>
      </c>
      <c r="I9119" t="s">
        <v>20</v>
      </c>
      <c r="J9119" t="s">
        <v>20</v>
      </c>
      <c r="K9119" t="s">
        <v>22</v>
      </c>
      <c r="L9119" t="s">
        <v>253</v>
      </c>
      <c r="M9119" t="s">
        <v>134</v>
      </c>
      <c r="N9119">
        <v>40.166859000000002</v>
      </c>
      <c r="O9119">
        <v>-110.401386</v>
      </c>
      <c r="P9119">
        <v>5464.4327890000004</v>
      </c>
      <c r="Q9119">
        <v>323</v>
      </c>
      <c r="R9119">
        <v>0</v>
      </c>
    </row>
    <row r="9120" spans="1:18" x14ac:dyDescent="0.25">
      <c r="A9120">
        <v>8969</v>
      </c>
      <c r="B9120">
        <v>94</v>
      </c>
      <c r="C9120">
        <v>31346359</v>
      </c>
      <c r="D9120" t="s">
        <v>34</v>
      </c>
      <c r="E9120">
        <v>0.23200000000000001</v>
      </c>
      <c r="F9120" t="s">
        <v>21</v>
      </c>
      <c r="G9120" t="s">
        <v>26</v>
      </c>
      <c r="H9120" t="s">
        <v>21</v>
      </c>
      <c r="I9120" t="s">
        <v>20</v>
      </c>
      <c r="J9120" t="s">
        <v>20</v>
      </c>
      <c r="K9120" t="s">
        <v>22</v>
      </c>
      <c r="L9120" t="s">
        <v>35</v>
      </c>
      <c r="M9120" t="s">
        <v>36</v>
      </c>
      <c r="N9120">
        <v>40.458950000000002</v>
      </c>
      <c r="O9120">
        <v>-111.47168499999999</v>
      </c>
      <c r="P9120">
        <v>5371.1039030000002</v>
      </c>
      <c r="Q9120">
        <v>1400</v>
      </c>
      <c r="R9120">
        <v>0</v>
      </c>
    </row>
    <row r="9121" spans="1:18" x14ac:dyDescent="0.25">
      <c r="A9121">
        <v>8970</v>
      </c>
      <c r="B9121">
        <v>94</v>
      </c>
      <c r="C9121">
        <v>31660034</v>
      </c>
      <c r="D9121" t="s">
        <v>602</v>
      </c>
      <c r="E9121">
        <v>0.23599999999999999</v>
      </c>
      <c r="F9121" t="s">
        <v>21</v>
      </c>
      <c r="G9121" t="s">
        <v>26</v>
      </c>
      <c r="H9121" t="s">
        <v>21</v>
      </c>
      <c r="I9121" t="s">
        <v>20</v>
      </c>
      <c r="J9121" t="s">
        <v>20</v>
      </c>
      <c r="K9121" t="s">
        <v>27</v>
      </c>
      <c r="L9121" t="s">
        <v>183</v>
      </c>
      <c r="M9121" t="s">
        <v>76</v>
      </c>
      <c r="N9121">
        <v>38.873280000000001</v>
      </c>
      <c r="O9121">
        <v>-111.965138</v>
      </c>
      <c r="P9121">
        <v>5190.0600560000003</v>
      </c>
      <c r="Q9121">
        <v>1280</v>
      </c>
      <c r="R9121">
        <v>0</v>
      </c>
    </row>
    <row r="9122" spans="1:18" x14ac:dyDescent="0.25">
      <c r="A9122">
        <v>8971</v>
      </c>
      <c r="B9122">
        <v>94</v>
      </c>
      <c r="C9122">
        <v>990131</v>
      </c>
      <c r="D9122" t="s">
        <v>375</v>
      </c>
      <c r="E9122">
        <v>0.23799999999999999</v>
      </c>
      <c r="F9122" t="s">
        <v>19</v>
      </c>
      <c r="G9122" t="s">
        <v>20</v>
      </c>
      <c r="H9122" t="s">
        <v>21</v>
      </c>
      <c r="I9122" t="s">
        <v>20</v>
      </c>
      <c r="J9122" t="s">
        <v>20</v>
      </c>
      <c r="K9122" t="s">
        <v>41</v>
      </c>
      <c r="L9122" t="s">
        <v>87</v>
      </c>
      <c r="M9122" t="s">
        <v>67</v>
      </c>
      <c r="N9122">
        <v>40.991053999999998</v>
      </c>
      <c r="O9122">
        <v>-111.90343</v>
      </c>
      <c r="P9122">
        <v>4233.4867969999996</v>
      </c>
      <c r="Q9122">
        <v>422</v>
      </c>
      <c r="R9122">
        <v>0</v>
      </c>
    </row>
    <row r="9123" spans="1:18" x14ac:dyDescent="0.25">
      <c r="A9123">
        <v>8972</v>
      </c>
      <c r="B9123">
        <v>94</v>
      </c>
      <c r="C9123">
        <v>979587</v>
      </c>
      <c r="D9123" t="s">
        <v>397</v>
      </c>
      <c r="E9123">
        <v>0.23899999999999999</v>
      </c>
      <c r="F9123" t="s">
        <v>21</v>
      </c>
      <c r="G9123" t="s">
        <v>26</v>
      </c>
      <c r="H9123" t="s">
        <v>21</v>
      </c>
      <c r="I9123" t="s">
        <v>20</v>
      </c>
      <c r="J9123" t="s">
        <v>20</v>
      </c>
      <c r="K9123" t="s">
        <v>41</v>
      </c>
      <c r="L9123" t="s">
        <v>177</v>
      </c>
      <c r="M9123" t="s">
        <v>163</v>
      </c>
      <c r="N9123">
        <v>41.506019999999999</v>
      </c>
      <c r="O9123">
        <v>-112.011123</v>
      </c>
      <c r="P9123">
        <v>4434.9484769999999</v>
      </c>
      <c r="Q9123">
        <v>1385</v>
      </c>
      <c r="R9123">
        <v>0</v>
      </c>
    </row>
    <row r="9124" spans="1:18" x14ac:dyDescent="0.25">
      <c r="A9124">
        <v>8973</v>
      </c>
      <c r="B9124">
        <v>94</v>
      </c>
      <c r="C9124">
        <v>31415277</v>
      </c>
      <c r="D9124" t="s">
        <v>107</v>
      </c>
      <c r="E9124">
        <v>0.747</v>
      </c>
      <c r="F9124" t="s">
        <v>21</v>
      </c>
      <c r="G9124" t="s">
        <v>26</v>
      </c>
      <c r="H9124" t="s">
        <v>21</v>
      </c>
      <c r="I9124" t="s">
        <v>20</v>
      </c>
      <c r="J9124" t="s">
        <v>20</v>
      </c>
      <c r="K9124" t="s">
        <v>41</v>
      </c>
      <c r="L9124" t="s">
        <v>81</v>
      </c>
      <c r="M9124" t="s">
        <v>93</v>
      </c>
      <c r="N9124">
        <v>41.203440999999998</v>
      </c>
      <c r="O9124">
        <v>-111.979292</v>
      </c>
      <c r="P9124">
        <v>4264.7983910000003</v>
      </c>
      <c r="Q9124">
        <v>413</v>
      </c>
      <c r="R9124">
        <v>0</v>
      </c>
    </row>
    <row r="9125" spans="1:18" x14ac:dyDescent="0.25">
      <c r="A9125">
        <v>8974</v>
      </c>
      <c r="B9125">
        <v>94</v>
      </c>
      <c r="C9125">
        <v>31835134</v>
      </c>
      <c r="D9125" t="s">
        <v>161</v>
      </c>
      <c r="E9125">
        <v>0.748</v>
      </c>
      <c r="F9125" t="s">
        <v>21</v>
      </c>
      <c r="G9125" t="s">
        <v>26</v>
      </c>
      <c r="H9125" t="s">
        <v>21</v>
      </c>
      <c r="I9125" t="s">
        <v>20</v>
      </c>
      <c r="J9125" t="s">
        <v>20</v>
      </c>
      <c r="K9125" t="s">
        <v>27</v>
      </c>
      <c r="L9125" t="s">
        <v>162</v>
      </c>
      <c r="M9125" t="s">
        <v>163</v>
      </c>
      <c r="N9125">
        <v>37.573540999999999</v>
      </c>
      <c r="O9125">
        <v>-113.721335</v>
      </c>
      <c r="P9125">
        <v>5238.1482749999996</v>
      </c>
      <c r="Q9125">
        <v>419</v>
      </c>
      <c r="R9125">
        <v>0</v>
      </c>
    </row>
    <row r="9126" spans="1:18" x14ac:dyDescent="0.25">
      <c r="A9126">
        <v>8975</v>
      </c>
      <c r="B9126">
        <v>94</v>
      </c>
      <c r="C9126">
        <v>7588467</v>
      </c>
      <c r="D9126" t="s">
        <v>322</v>
      </c>
      <c r="E9126">
        <v>0.748</v>
      </c>
      <c r="F9126" t="s">
        <v>21</v>
      </c>
      <c r="G9126" t="s">
        <v>20</v>
      </c>
      <c r="H9126" t="s">
        <v>21</v>
      </c>
      <c r="I9126" t="s">
        <v>20</v>
      </c>
      <c r="J9126" t="s">
        <v>20</v>
      </c>
      <c r="K9126" t="s">
        <v>22</v>
      </c>
      <c r="L9126" t="s">
        <v>84</v>
      </c>
      <c r="M9126" t="s">
        <v>24</v>
      </c>
      <c r="N9126">
        <v>40.413272999999997</v>
      </c>
      <c r="O9126">
        <v>-111.880543</v>
      </c>
      <c r="P9126">
        <v>4487.5292499999996</v>
      </c>
      <c r="Q9126">
        <v>6660</v>
      </c>
      <c r="R9126">
        <v>0</v>
      </c>
    </row>
    <row r="9127" spans="1:18" x14ac:dyDescent="0.25">
      <c r="A9127">
        <v>8976</v>
      </c>
      <c r="B9127">
        <v>94</v>
      </c>
      <c r="C9127" t="e">
        <f>-Ip5obm3G-mAGf8QPYIpwk</f>
        <v>#NAME?</v>
      </c>
      <c r="D9127" t="s">
        <v>1053</v>
      </c>
      <c r="E9127">
        <v>0.752</v>
      </c>
      <c r="F9127" t="s">
        <v>21</v>
      </c>
      <c r="G9127" t="s">
        <v>20</v>
      </c>
      <c r="H9127" t="s">
        <v>21</v>
      </c>
      <c r="I9127" t="s">
        <v>20</v>
      </c>
      <c r="J9127" t="s">
        <v>20</v>
      </c>
      <c r="K9127" t="s">
        <v>41</v>
      </c>
      <c r="L9127" t="s">
        <v>95</v>
      </c>
      <c r="M9127" t="s">
        <v>152</v>
      </c>
      <c r="N9127">
        <v>41.973700999999998</v>
      </c>
      <c r="O9127">
        <v>-111.532021</v>
      </c>
      <c r="P9127">
        <v>7018.3128459999998</v>
      </c>
      <c r="Q9127">
        <v>254</v>
      </c>
      <c r="R9127">
        <v>0</v>
      </c>
    </row>
    <row r="9128" spans="1:18" x14ac:dyDescent="0.25">
      <c r="A9128">
        <v>8977</v>
      </c>
      <c r="B9128">
        <v>94</v>
      </c>
      <c r="C9128">
        <v>493990</v>
      </c>
      <c r="D9128" t="s">
        <v>249</v>
      </c>
      <c r="E9128">
        <v>0.752</v>
      </c>
      <c r="F9128" t="s">
        <v>21</v>
      </c>
      <c r="G9128" t="s">
        <v>26</v>
      </c>
      <c r="H9128" t="s">
        <v>21</v>
      </c>
      <c r="I9128" t="s">
        <v>20</v>
      </c>
      <c r="J9128" t="s">
        <v>20</v>
      </c>
      <c r="K9128" t="s">
        <v>31</v>
      </c>
      <c r="L9128" t="s">
        <v>89</v>
      </c>
      <c r="M9128" t="s">
        <v>24</v>
      </c>
      <c r="N9128">
        <v>40.486451000000002</v>
      </c>
      <c r="O9128">
        <v>-111.929886</v>
      </c>
      <c r="P9128">
        <v>4346.220765</v>
      </c>
      <c r="Q9128">
        <v>337</v>
      </c>
      <c r="R9128">
        <v>0</v>
      </c>
    </row>
    <row r="9129" spans="1:18" x14ac:dyDescent="0.25">
      <c r="A9129">
        <v>8978</v>
      </c>
      <c r="B9129">
        <v>94</v>
      </c>
      <c r="C9129">
        <v>31368801</v>
      </c>
      <c r="D9129" t="s">
        <v>199</v>
      </c>
      <c r="E9129">
        <v>0.755</v>
      </c>
      <c r="F9129" t="s">
        <v>21</v>
      </c>
      <c r="G9129" t="s">
        <v>26</v>
      </c>
      <c r="H9129" t="s">
        <v>21</v>
      </c>
      <c r="I9129" t="s">
        <v>20</v>
      </c>
      <c r="J9129" t="s">
        <v>20</v>
      </c>
      <c r="K9129" t="s">
        <v>27</v>
      </c>
      <c r="L9129" t="s">
        <v>103</v>
      </c>
      <c r="M9129" t="s">
        <v>200</v>
      </c>
      <c r="N9129">
        <v>38.277017999999998</v>
      </c>
      <c r="O9129">
        <v>-112.627455</v>
      </c>
      <c r="P9129">
        <v>5885.4121759999998</v>
      </c>
      <c r="Q9129">
        <v>341</v>
      </c>
      <c r="R9129">
        <v>0</v>
      </c>
    </row>
    <row r="9130" spans="1:18" x14ac:dyDescent="0.25">
      <c r="A9130">
        <v>8979</v>
      </c>
      <c r="B9130">
        <v>94</v>
      </c>
      <c r="C9130">
        <v>31529003</v>
      </c>
      <c r="D9130" t="s">
        <v>716</v>
      </c>
      <c r="E9130">
        <v>0.75600000000000001</v>
      </c>
      <c r="F9130" t="s">
        <v>21</v>
      </c>
      <c r="G9130" t="s">
        <v>26</v>
      </c>
      <c r="H9130" t="s">
        <v>21</v>
      </c>
      <c r="I9130" t="s">
        <v>20</v>
      </c>
      <c r="J9130" t="s">
        <v>20</v>
      </c>
      <c r="K9130" t="s">
        <v>27</v>
      </c>
      <c r="L9130" t="s">
        <v>51</v>
      </c>
      <c r="M9130" t="s">
        <v>106</v>
      </c>
      <c r="N9130">
        <v>37.853175</v>
      </c>
      <c r="O9130">
        <v>-112.827822</v>
      </c>
      <c r="P9130">
        <v>5867.2913040000003</v>
      </c>
      <c r="Q9130">
        <v>433</v>
      </c>
      <c r="R9130">
        <v>0</v>
      </c>
    </row>
    <row r="9131" spans="1:18" x14ac:dyDescent="0.25">
      <c r="A9131">
        <v>8980</v>
      </c>
      <c r="B9131">
        <v>94</v>
      </c>
      <c r="C9131">
        <v>31844178</v>
      </c>
      <c r="D9131" t="s">
        <v>179</v>
      </c>
      <c r="E9131">
        <v>0.75700000000000001</v>
      </c>
      <c r="F9131" t="s">
        <v>19</v>
      </c>
      <c r="G9131" t="s">
        <v>20</v>
      </c>
      <c r="H9131" t="s">
        <v>21</v>
      </c>
      <c r="I9131" t="s">
        <v>20</v>
      </c>
      <c r="J9131" t="s">
        <v>20</v>
      </c>
      <c r="K9131" t="s">
        <v>31</v>
      </c>
      <c r="L9131" t="s">
        <v>66</v>
      </c>
      <c r="M9131" t="s">
        <v>67</v>
      </c>
      <c r="N9131">
        <v>40.756287999999998</v>
      </c>
      <c r="O9131">
        <v>-111.891113</v>
      </c>
      <c r="P9131">
        <v>4186.1755350000003</v>
      </c>
      <c r="Q9131">
        <v>362</v>
      </c>
      <c r="R9131">
        <v>0</v>
      </c>
    </row>
    <row r="9132" spans="1:18" x14ac:dyDescent="0.25">
      <c r="A9132">
        <v>8981</v>
      </c>
      <c r="B9132">
        <v>94</v>
      </c>
      <c r="C9132">
        <v>964881</v>
      </c>
      <c r="D9132" t="s">
        <v>175</v>
      </c>
      <c r="E9132">
        <v>0.75700000000000001</v>
      </c>
      <c r="F9132" t="s">
        <v>21</v>
      </c>
      <c r="G9132" t="s">
        <v>26</v>
      </c>
      <c r="H9132" t="s">
        <v>21</v>
      </c>
      <c r="I9132" t="s">
        <v>20</v>
      </c>
      <c r="J9132" t="s">
        <v>20</v>
      </c>
      <c r="K9132" t="s">
        <v>41</v>
      </c>
      <c r="L9132" t="s">
        <v>87</v>
      </c>
      <c r="M9132" t="s">
        <v>93</v>
      </c>
      <c r="N9132">
        <v>41.060042000000003</v>
      </c>
      <c r="O9132">
        <v>-111.95159200000001</v>
      </c>
      <c r="P9132">
        <v>4322.0064890000003</v>
      </c>
      <c r="Q9132">
        <v>1397</v>
      </c>
      <c r="R9132">
        <v>0</v>
      </c>
    </row>
    <row r="9133" spans="1:18" x14ac:dyDescent="0.25">
      <c r="A9133">
        <v>8982</v>
      </c>
      <c r="B9133">
        <v>94</v>
      </c>
      <c r="C9133" t="e">
        <f>-JYBqNNXGTH6xWBQq-RWFF</f>
        <v>#NAME?</v>
      </c>
      <c r="D9133" t="s">
        <v>61</v>
      </c>
      <c r="E9133">
        <v>1.2010000000000001</v>
      </c>
      <c r="F9133" t="s">
        <v>21</v>
      </c>
      <c r="G9133" t="s">
        <v>26</v>
      </c>
      <c r="H9133" t="s">
        <v>21</v>
      </c>
      <c r="I9133" t="s">
        <v>20</v>
      </c>
      <c r="J9133" t="s">
        <v>20</v>
      </c>
      <c r="K9133" t="s">
        <v>22</v>
      </c>
      <c r="L9133" t="s">
        <v>23</v>
      </c>
      <c r="M9133" t="s">
        <v>62</v>
      </c>
      <c r="N9133">
        <v>40.223371</v>
      </c>
      <c r="O9133">
        <v>-111.65874700000001</v>
      </c>
      <c r="P9133">
        <v>4455.3835280000003</v>
      </c>
      <c r="Q9133">
        <v>403</v>
      </c>
      <c r="R9133">
        <v>0</v>
      </c>
    </row>
    <row r="9134" spans="1:18" x14ac:dyDescent="0.25">
      <c r="A9134">
        <v>8983</v>
      </c>
      <c r="B9134">
        <v>94</v>
      </c>
      <c r="C9134" t="s">
        <v>1054</v>
      </c>
      <c r="D9134" t="s">
        <v>74</v>
      </c>
      <c r="E9134">
        <v>1.206</v>
      </c>
      <c r="F9134" t="s">
        <v>21</v>
      </c>
      <c r="G9134" t="s">
        <v>26</v>
      </c>
      <c r="H9134" t="s">
        <v>21</v>
      </c>
      <c r="I9134" t="s">
        <v>20</v>
      </c>
      <c r="J9134" t="s">
        <v>20</v>
      </c>
      <c r="K9134" t="s">
        <v>27</v>
      </c>
      <c r="L9134" t="s">
        <v>75</v>
      </c>
      <c r="M9134" t="s">
        <v>76</v>
      </c>
      <c r="N9134">
        <v>38.752357000000003</v>
      </c>
      <c r="O9134">
        <v>-112.086601</v>
      </c>
      <c r="P9134">
        <v>5224.5438169999998</v>
      </c>
      <c r="Q9134">
        <v>332</v>
      </c>
      <c r="R9134">
        <v>0</v>
      </c>
    </row>
    <row r="9135" spans="1:18" x14ac:dyDescent="0.25">
      <c r="A9135">
        <v>8984</v>
      </c>
      <c r="B9135">
        <v>94</v>
      </c>
      <c r="C9135">
        <v>31501424</v>
      </c>
      <c r="D9135" t="s">
        <v>292</v>
      </c>
      <c r="E9135">
        <v>1.2070000000000001</v>
      </c>
      <c r="F9135" t="s">
        <v>21</v>
      </c>
      <c r="G9135" t="s">
        <v>26</v>
      </c>
      <c r="H9135" t="s">
        <v>21</v>
      </c>
      <c r="I9135" t="s">
        <v>20</v>
      </c>
      <c r="J9135" t="s">
        <v>20</v>
      </c>
      <c r="K9135" t="s">
        <v>22</v>
      </c>
      <c r="L9135" t="s">
        <v>253</v>
      </c>
      <c r="M9135" t="s">
        <v>134</v>
      </c>
      <c r="N9135">
        <v>40.180768999999998</v>
      </c>
      <c r="O9135">
        <v>-110.398861</v>
      </c>
      <c r="P9135">
        <v>5619.5604759999997</v>
      </c>
      <c r="Q9135">
        <v>323</v>
      </c>
      <c r="R9135">
        <v>0</v>
      </c>
    </row>
    <row r="9136" spans="1:18" x14ac:dyDescent="0.25">
      <c r="A9136">
        <v>8985</v>
      </c>
      <c r="B9136">
        <v>94</v>
      </c>
      <c r="C9136">
        <v>1625583</v>
      </c>
      <c r="D9136" t="s">
        <v>180</v>
      </c>
      <c r="E9136">
        <v>1.208</v>
      </c>
      <c r="F9136" t="s">
        <v>21</v>
      </c>
      <c r="G9136" t="s">
        <v>26</v>
      </c>
      <c r="H9136" t="s">
        <v>21</v>
      </c>
      <c r="I9136" t="s">
        <v>20</v>
      </c>
      <c r="J9136" t="s">
        <v>20</v>
      </c>
      <c r="K9136" t="s">
        <v>41</v>
      </c>
      <c r="L9136" t="s">
        <v>181</v>
      </c>
      <c r="M9136" t="s">
        <v>117</v>
      </c>
      <c r="N9136">
        <v>41.729551999999998</v>
      </c>
      <c r="O9136">
        <v>-112.16229800000001</v>
      </c>
      <c r="P9136">
        <v>4281.5044969999999</v>
      </c>
      <c r="Q9136">
        <v>1379</v>
      </c>
      <c r="R9136">
        <v>0</v>
      </c>
    </row>
    <row r="9137" spans="1:18" x14ac:dyDescent="0.25">
      <c r="A9137">
        <v>8986</v>
      </c>
      <c r="B9137">
        <v>94</v>
      </c>
      <c r="C9137">
        <v>1105349</v>
      </c>
      <c r="D9137" t="s">
        <v>195</v>
      </c>
      <c r="E9137">
        <v>1.2090000000000001</v>
      </c>
      <c r="F9137" t="s">
        <v>21</v>
      </c>
      <c r="G9137" t="s">
        <v>26</v>
      </c>
      <c r="H9137" t="s">
        <v>21</v>
      </c>
      <c r="I9137" t="s">
        <v>20</v>
      </c>
      <c r="J9137" t="s">
        <v>20</v>
      </c>
      <c r="K9137" t="s">
        <v>41</v>
      </c>
      <c r="L9137" t="s">
        <v>57</v>
      </c>
      <c r="M9137" t="s">
        <v>190</v>
      </c>
      <c r="N9137">
        <v>41.089235000000002</v>
      </c>
      <c r="O9137">
        <v>-112.08952499999999</v>
      </c>
      <c r="P9137">
        <v>4183.6480940000001</v>
      </c>
      <c r="Q9137">
        <v>334</v>
      </c>
      <c r="R9137">
        <v>0</v>
      </c>
    </row>
    <row r="9138" spans="1:18" x14ac:dyDescent="0.25">
      <c r="A9138">
        <v>8987</v>
      </c>
      <c r="B9138">
        <v>94</v>
      </c>
      <c r="C9138">
        <v>615521</v>
      </c>
      <c r="D9138" t="s">
        <v>47</v>
      </c>
      <c r="E9138">
        <v>1.2110000000000001</v>
      </c>
      <c r="F9138" t="s">
        <v>21</v>
      </c>
      <c r="G9138" t="s">
        <v>26</v>
      </c>
      <c r="H9138" t="s">
        <v>21</v>
      </c>
      <c r="I9138" t="s">
        <v>20</v>
      </c>
      <c r="J9138" t="s">
        <v>20</v>
      </c>
      <c r="K9138" t="s">
        <v>31</v>
      </c>
      <c r="L9138" t="s">
        <v>48</v>
      </c>
      <c r="M9138" t="s">
        <v>49</v>
      </c>
      <c r="N9138">
        <v>40.544201000000001</v>
      </c>
      <c r="O9138">
        <v>-111.960915</v>
      </c>
      <c r="P9138">
        <v>4475.8423579999999</v>
      </c>
      <c r="Q9138">
        <v>6715</v>
      </c>
      <c r="R9138">
        <v>0</v>
      </c>
    </row>
    <row r="9139" spans="1:18" x14ac:dyDescent="0.25">
      <c r="A9139">
        <v>8988</v>
      </c>
      <c r="B9139">
        <v>94</v>
      </c>
      <c r="C9139">
        <v>31527144</v>
      </c>
      <c r="D9139" t="s">
        <v>367</v>
      </c>
      <c r="E9139">
        <v>1.2110000000000001</v>
      </c>
      <c r="F9139" t="s">
        <v>21</v>
      </c>
      <c r="G9139" t="s">
        <v>20</v>
      </c>
      <c r="H9139" t="s">
        <v>21</v>
      </c>
      <c r="I9139" t="s">
        <v>20</v>
      </c>
      <c r="J9139" t="s">
        <v>20</v>
      </c>
      <c r="K9139" t="s">
        <v>41</v>
      </c>
      <c r="L9139" t="s">
        <v>177</v>
      </c>
      <c r="M9139" t="s">
        <v>368</v>
      </c>
      <c r="N9139">
        <v>41.422634000000002</v>
      </c>
      <c r="O9139">
        <v>-112.046398</v>
      </c>
      <c r="P9139">
        <v>4215.7716840000003</v>
      </c>
      <c r="Q9139">
        <v>266</v>
      </c>
      <c r="R9139">
        <v>0</v>
      </c>
    </row>
    <row r="9140" spans="1:18" x14ac:dyDescent="0.25">
      <c r="A9140">
        <v>8989</v>
      </c>
      <c r="B9140">
        <v>94</v>
      </c>
      <c r="C9140">
        <v>1434943</v>
      </c>
      <c r="D9140" t="s">
        <v>999</v>
      </c>
      <c r="E9140">
        <v>1.2110000000000001</v>
      </c>
      <c r="F9140" t="s">
        <v>21</v>
      </c>
      <c r="G9140" t="s">
        <v>26</v>
      </c>
      <c r="H9140" t="s">
        <v>19</v>
      </c>
      <c r="I9140">
        <v>38</v>
      </c>
      <c r="J9140" t="s">
        <v>20</v>
      </c>
      <c r="K9140" t="s">
        <v>41</v>
      </c>
      <c r="L9140" t="s">
        <v>223</v>
      </c>
      <c r="M9140" t="s">
        <v>238</v>
      </c>
      <c r="N9140">
        <v>41.634715999999997</v>
      </c>
      <c r="O9140">
        <v>-112.079542</v>
      </c>
      <c r="P9140">
        <v>4225.7428920000002</v>
      </c>
      <c r="Q9140">
        <v>425</v>
      </c>
      <c r="R9140">
        <v>0</v>
      </c>
    </row>
    <row r="9141" spans="1:18" x14ac:dyDescent="0.25">
      <c r="A9141">
        <v>8990</v>
      </c>
      <c r="B9141">
        <v>94</v>
      </c>
      <c r="C9141">
        <v>28866103</v>
      </c>
      <c r="D9141" t="s">
        <v>18</v>
      </c>
      <c r="E9141">
        <v>1.2130000000000001</v>
      </c>
      <c r="F9141" t="s">
        <v>19</v>
      </c>
      <c r="G9141" t="s">
        <v>20</v>
      </c>
      <c r="H9141" t="s">
        <v>21</v>
      </c>
      <c r="I9141" t="s">
        <v>20</v>
      </c>
      <c r="J9141" t="s">
        <v>20</v>
      </c>
      <c r="K9141" t="s">
        <v>22</v>
      </c>
      <c r="L9141" t="s">
        <v>23</v>
      </c>
      <c r="M9141" t="s">
        <v>24</v>
      </c>
      <c r="N9141">
        <v>40.273536</v>
      </c>
      <c r="O9141">
        <v>-111.70466399999999</v>
      </c>
      <c r="P9141">
        <v>4648.4987629999996</v>
      </c>
      <c r="Q9141">
        <v>1281</v>
      </c>
      <c r="R9141">
        <v>0</v>
      </c>
    </row>
    <row r="9142" spans="1:18" x14ac:dyDescent="0.25">
      <c r="A9142">
        <v>8991</v>
      </c>
      <c r="B9142">
        <v>94</v>
      </c>
      <c r="C9142">
        <v>31403643</v>
      </c>
      <c r="D9142" t="s">
        <v>30</v>
      </c>
      <c r="E9142">
        <v>1.2150000000000001</v>
      </c>
      <c r="F9142" t="s">
        <v>19</v>
      </c>
      <c r="G9142" t="s">
        <v>20</v>
      </c>
      <c r="H9142" t="s">
        <v>21</v>
      </c>
      <c r="I9142" t="s">
        <v>20</v>
      </c>
      <c r="J9142" t="s">
        <v>20</v>
      </c>
      <c r="K9142" t="s">
        <v>31</v>
      </c>
      <c r="L9142" t="s">
        <v>32</v>
      </c>
      <c r="M9142" t="s">
        <v>33</v>
      </c>
      <c r="N9142">
        <v>40.602907000000002</v>
      </c>
      <c r="O9142">
        <v>-111.79562799999999</v>
      </c>
      <c r="P9142">
        <v>4986.3564509999997</v>
      </c>
      <c r="Q9142">
        <v>415</v>
      </c>
      <c r="R9142">
        <v>0</v>
      </c>
    </row>
    <row r="9143" spans="1:18" x14ac:dyDescent="0.25">
      <c r="A9143">
        <v>8992</v>
      </c>
      <c r="B9143">
        <v>94</v>
      </c>
      <c r="C9143">
        <v>27527152</v>
      </c>
      <c r="D9143" t="s">
        <v>157</v>
      </c>
      <c r="E9143">
        <v>1.2170000000000001</v>
      </c>
      <c r="F9143" t="s">
        <v>19</v>
      </c>
      <c r="G9143" t="s">
        <v>20</v>
      </c>
      <c r="H9143" t="s">
        <v>21</v>
      </c>
      <c r="I9143" t="s">
        <v>20</v>
      </c>
      <c r="J9143" t="s">
        <v>20</v>
      </c>
      <c r="K9143" t="s">
        <v>27</v>
      </c>
      <c r="L9143" t="s">
        <v>158</v>
      </c>
      <c r="M9143" t="s">
        <v>159</v>
      </c>
      <c r="N9143">
        <v>39.600999999999999</v>
      </c>
      <c r="O9143">
        <v>-110.80547900000001</v>
      </c>
      <c r="P9143">
        <v>5527.0360760000003</v>
      </c>
      <c r="Q9143">
        <v>1360</v>
      </c>
      <c r="R9143">
        <v>0</v>
      </c>
    </row>
    <row r="9144" spans="1:18" x14ac:dyDescent="0.25">
      <c r="A9144">
        <v>8993</v>
      </c>
      <c r="B9144">
        <v>94</v>
      </c>
      <c r="C9144">
        <v>31620794</v>
      </c>
      <c r="D9144" t="s">
        <v>185</v>
      </c>
      <c r="E9144">
        <v>1.218</v>
      </c>
      <c r="F9144" t="s">
        <v>21</v>
      </c>
      <c r="G9144" t="s">
        <v>26</v>
      </c>
      <c r="H9144" t="s">
        <v>21</v>
      </c>
      <c r="I9144" t="s">
        <v>20</v>
      </c>
      <c r="J9144" t="s">
        <v>20</v>
      </c>
      <c r="K9144" t="s">
        <v>41</v>
      </c>
      <c r="L9144" t="s">
        <v>57</v>
      </c>
      <c r="M9144" t="s">
        <v>58</v>
      </c>
      <c r="N9144">
        <v>41.139879999999998</v>
      </c>
      <c r="O9144">
        <v>-112.049504</v>
      </c>
      <c r="P9144">
        <v>4341.7077650000001</v>
      </c>
      <c r="Q9144">
        <v>309</v>
      </c>
      <c r="R9144">
        <v>0</v>
      </c>
    </row>
    <row r="9145" spans="1:18" x14ac:dyDescent="0.25">
      <c r="A9145">
        <v>8994</v>
      </c>
      <c r="B9145">
        <v>94</v>
      </c>
      <c r="C9145">
        <v>31418318</v>
      </c>
      <c r="D9145" t="s">
        <v>107</v>
      </c>
      <c r="E9145">
        <v>1.22</v>
      </c>
      <c r="F9145" t="s">
        <v>19</v>
      </c>
      <c r="G9145" t="s">
        <v>20</v>
      </c>
      <c r="H9145" t="s">
        <v>19</v>
      </c>
      <c r="I9145">
        <v>79</v>
      </c>
      <c r="J9145" t="s">
        <v>20</v>
      </c>
      <c r="K9145" t="s">
        <v>41</v>
      </c>
      <c r="L9145" t="s">
        <v>81</v>
      </c>
      <c r="M9145" t="s">
        <v>93</v>
      </c>
      <c r="N9145">
        <v>41.210354000000002</v>
      </c>
      <c r="O9145">
        <v>-111.979236</v>
      </c>
      <c r="P9145">
        <v>4257.2255080000004</v>
      </c>
      <c r="Q9145">
        <v>413</v>
      </c>
      <c r="R9145">
        <v>0</v>
      </c>
    </row>
    <row r="9146" spans="1:18" x14ac:dyDescent="0.25">
      <c r="A9146">
        <v>8995</v>
      </c>
      <c r="B9146">
        <v>94</v>
      </c>
      <c r="C9146">
        <v>505839</v>
      </c>
      <c r="D9146" t="s">
        <v>135</v>
      </c>
      <c r="E9146">
        <v>1.2230000000000001</v>
      </c>
      <c r="F9146" t="s">
        <v>21</v>
      </c>
      <c r="G9146" t="s">
        <v>26</v>
      </c>
      <c r="H9146" t="s">
        <v>21</v>
      </c>
      <c r="I9146" t="s">
        <v>20</v>
      </c>
      <c r="J9146" t="s">
        <v>20</v>
      </c>
      <c r="K9146" t="s">
        <v>31</v>
      </c>
      <c r="L9146" t="s">
        <v>48</v>
      </c>
      <c r="M9146" t="s">
        <v>144</v>
      </c>
      <c r="N9146">
        <v>40.562274000000002</v>
      </c>
      <c r="O9146">
        <v>-111.95367299999999</v>
      </c>
      <c r="P9146">
        <v>4474.7442339999998</v>
      </c>
      <c r="Q9146">
        <v>1423</v>
      </c>
      <c r="R9146">
        <v>0</v>
      </c>
    </row>
    <row r="9147" spans="1:18" x14ac:dyDescent="0.25">
      <c r="A9147">
        <v>8996</v>
      </c>
      <c r="B9147">
        <v>94</v>
      </c>
      <c r="C9147">
        <v>31192042</v>
      </c>
      <c r="D9147" t="s">
        <v>153</v>
      </c>
      <c r="E9147">
        <v>1.2230000000000001</v>
      </c>
      <c r="F9147" t="s">
        <v>19</v>
      </c>
      <c r="G9147" t="s">
        <v>20</v>
      </c>
      <c r="H9147" t="s">
        <v>21</v>
      </c>
      <c r="I9147" t="s">
        <v>20</v>
      </c>
      <c r="J9147" t="s">
        <v>20</v>
      </c>
      <c r="K9147" t="s">
        <v>22</v>
      </c>
      <c r="L9147" t="s">
        <v>84</v>
      </c>
      <c r="M9147" t="s">
        <v>85</v>
      </c>
      <c r="N9147">
        <v>40.375540999999998</v>
      </c>
      <c r="O9147">
        <v>-111.73982700000001</v>
      </c>
      <c r="P9147">
        <v>4585.5259669999996</v>
      </c>
      <c r="R9147">
        <v>0</v>
      </c>
    </row>
    <row r="9148" spans="1:18" x14ac:dyDescent="0.25">
      <c r="A9148">
        <v>8997</v>
      </c>
      <c r="B9148">
        <v>94</v>
      </c>
      <c r="C9148" t="e">
        <f>-Ip08VefG1eD6uKPKt7Lmk</f>
        <v>#NAME?</v>
      </c>
      <c r="D9148" t="s">
        <v>110</v>
      </c>
      <c r="E9148">
        <v>1.224</v>
      </c>
      <c r="F9148" t="s">
        <v>21</v>
      </c>
      <c r="G9148" t="s">
        <v>20</v>
      </c>
      <c r="H9148" t="s">
        <v>21</v>
      </c>
      <c r="I9148" t="s">
        <v>20</v>
      </c>
      <c r="J9148" t="s">
        <v>20</v>
      </c>
      <c r="K9148" t="s">
        <v>27</v>
      </c>
      <c r="L9148" t="s">
        <v>111</v>
      </c>
      <c r="M9148" t="s">
        <v>112</v>
      </c>
      <c r="N9148">
        <v>39.193607</v>
      </c>
      <c r="O9148">
        <v>-111.04778399999999</v>
      </c>
      <c r="P9148">
        <v>5671.9362970000002</v>
      </c>
      <c r="Q9148">
        <v>1361</v>
      </c>
      <c r="R9148">
        <v>0</v>
      </c>
    </row>
    <row r="9149" spans="1:18" x14ac:dyDescent="0.25">
      <c r="A9149">
        <v>8998</v>
      </c>
      <c r="B9149">
        <v>94</v>
      </c>
      <c r="C9149">
        <v>31837307</v>
      </c>
      <c r="D9149" t="s">
        <v>161</v>
      </c>
      <c r="E9149">
        <v>1.226</v>
      </c>
      <c r="F9149" t="s">
        <v>21</v>
      </c>
      <c r="G9149" t="s">
        <v>26</v>
      </c>
      <c r="H9149" t="s">
        <v>21</v>
      </c>
      <c r="I9149" t="s">
        <v>20</v>
      </c>
      <c r="J9149" t="s">
        <v>20</v>
      </c>
      <c r="K9149" t="s">
        <v>27</v>
      </c>
      <c r="L9149" t="s">
        <v>162</v>
      </c>
      <c r="M9149" t="s">
        <v>163</v>
      </c>
      <c r="N9149">
        <v>37.573574000000001</v>
      </c>
      <c r="O9149">
        <v>-113.712582</v>
      </c>
      <c r="P9149">
        <v>5253.1504850000001</v>
      </c>
      <c r="Q9149">
        <v>419</v>
      </c>
      <c r="R9149">
        <v>0</v>
      </c>
    </row>
    <row r="9150" spans="1:18" x14ac:dyDescent="0.25">
      <c r="A9150">
        <v>8999</v>
      </c>
      <c r="B9150">
        <v>94</v>
      </c>
      <c r="C9150">
        <v>31534900</v>
      </c>
      <c r="D9150" t="s">
        <v>53</v>
      </c>
      <c r="E9150">
        <v>1.226</v>
      </c>
      <c r="F9150" t="s">
        <v>21</v>
      </c>
      <c r="G9150" t="s">
        <v>26</v>
      </c>
      <c r="H9150" t="s">
        <v>21</v>
      </c>
      <c r="I9150" t="s">
        <v>20</v>
      </c>
      <c r="J9150" t="s">
        <v>20</v>
      </c>
      <c r="K9150" t="s">
        <v>27</v>
      </c>
      <c r="L9150" t="s">
        <v>54</v>
      </c>
      <c r="M9150" t="s">
        <v>55</v>
      </c>
      <c r="N9150">
        <v>37.674146999999998</v>
      </c>
      <c r="O9150">
        <v>-113.07495400000001</v>
      </c>
      <c r="P9150">
        <v>5741.1682650000002</v>
      </c>
      <c r="Q9150">
        <v>1285</v>
      </c>
      <c r="R9150">
        <v>0</v>
      </c>
    </row>
    <row r="9151" spans="1:18" x14ac:dyDescent="0.25">
      <c r="A9151">
        <v>9000</v>
      </c>
      <c r="B9151">
        <v>94</v>
      </c>
      <c r="C9151" t="e">
        <f>-IoI8zteF6XZkqPcP48Lrk</f>
        <v>#NAME?</v>
      </c>
      <c r="D9151" t="s">
        <v>272</v>
      </c>
      <c r="E9151">
        <v>161.05099999999999</v>
      </c>
      <c r="F9151" t="s">
        <v>21</v>
      </c>
      <c r="G9151" t="s">
        <v>26</v>
      </c>
      <c r="H9151" t="s">
        <v>21</v>
      </c>
      <c r="I9151" t="s">
        <v>20</v>
      </c>
      <c r="J9151" t="s">
        <v>20</v>
      </c>
      <c r="K9151" t="s">
        <v>27</v>
      </c>
      <c r="L9151" t="s">
        <v>64</v>
      </c>
      <c r="M9151" t="s">
        <v>214</v>
      </c>
      <c r="N9151">
        <v>38.193367000000002</v>
      </c>
      <c r="O9151">
        <v>-112.23462499999999</v>
      </c>
      <c r="P9151">
        <v>5966.0403390000001</v>
      </c>
      <c r="Q9151">
        <v>1384</v>
      </c>
      <c r="R9151">
        <v>0</v>
      </c>
    </row>
    <row r="9152" spans="1:18" x14ac:dyDescent="0.25">
      <c r="A9152">
        <v>9001</v>
      </c>
      <c r="B9152">
        <v>94</v>
      </c>
      <c r="C9152" t="e">
        <f>-IoI9ugxG4aPOfdKUqSgPV</f>
        <v>#NAME?</v>
      </c>
      <c r="D9152" t="s">
        <v>272</v>
      </c>
      <c r="E9152">
        <v>161.82400000000001</v>
      </c>
      <c r="F9152" t="s">
        <v>21</v>
      </c>
      <c r="G9152" t="s">
        <v>26</v>
      </c>
      <c r="H9152" t="s">
        <v>21</v>
      </c>
      <c r="I9152" t="s">
        <v>20</v>
      </c>
      <c r="J9152" t="s">
        <v>20</v>
      </c>
      <c r="K9152" t="s">
        <v>27</v>
      </c>
      <c r="L9152" t="s">
        <v>64</v>
      </c>
      <c r="M9152" t="s">
        <v>214</v>
      </c>
      <c r="N9152">
        <v>38.204107</v>
      </c>
      <c r="O9152">
        <v>-112.23062899999999</v>
      </c>
      <c r="P9152">
        <v>5985.1806580000002</v>
      </c>
      <c r="Q9152">
        <v>1384</v>
      </c>
      <c r="R9152">
        <v>0</v>
      </c>
    </row>
    <row r="9153" spans="1:18" x14ac:dyDescent="0.25">
      <c r="A9153">
        <v>9002</v>
      </c>
      <c r="B9153">
        <v>94</v>
      </c>
      <c r="C9153" t="s">
        <v>1055</v>
      </c>
      <c r="D9153" t="s">
        <v>272</v>
      </c>
      <c r="E9153">
        <v>162.16200000000001</v>
      </c>
      <c r="F9153" t="s">
        <v>21</v>
      </c>
      <c r="G9153" t="s">
        <v>26</v>
      </c>
      <c r="H9153" t="s">
        <v>21</v>
      </c>
      <c r="I9153" t="s">
        <v>20</v>
      </c>
      <c r="J9153" t="s">
        <v>20</v>
      </c>
      <c r="K9153" t="s">
        <v>27</v>
      </c>
      <c r="L9153" t="s">
        <v>64</v>
      </c>
      <c r="M9153" t="s">
        <v>214</v>
      </c>
      <c r="N9153">
        <v>38.207360000000001</v>
      </c>
      <c r="O9153">
        <v>-112.226018</v>
      </c>
      <c r="P9153">
        <v>5971.9206169999998</v>
      </c>
      <c r="Q9153">
        <v>1384</v>
      </c>
      <c r="R9153">
        <v>0</v>
      </c>
    </row>
    <row r="9154" spans="1:18" x14ac:dyDescent="0.25">
      <c r="A9154">
        <v>9003</v>
      </c>
      <c r="B9154">
        <v>94</v>
      </c>
      <c r="C9154">
        <v>31527536</v>
      </c>
      <c r="D9154" t="s">
        <v>182</v>
      </c>
      <c r="E9154">
        <v>2.5000000000000001E-2</v>
      </c>
      <c r="F9154" t="s">
        <v>21</v>
      </c>
      <c r="G9154" t="s">
        <v>26</v>
      </c>
      <c r="H9154" t="s">
        <v>21</v>
      </c>
      <c r="I9154" t="s">
        <v>20</v>
      </c>
      <c r="J9154" t="s">
        <v>20</v>
      </c>
      <c r="K9154" t="s">
        <v>27</v>
      </c>
      <c r="L9154" t="s">
        <v>183</v>
      </c>
      <c r="M9154" t="s">
        <v>76</v>
      </c>
      <c r="N9154">
        <v>38.902299999999997</v>
      </c>
      <c r="O9154">
        <v>-111.941283</v>
      </c>
      <c r="P9154">
        <v>5126.1183629999996</v>
      </c>
      <c r="Q9154">
        <v>429</v>
      </c>
      <c r="R9154">
        <v>0</v>
      </c>
    </row>
    <row r="9155" spans="1:18" x14ac:dyDescent="0.25">
      <c r="A9155">
        <v>9004</v>
      </c>
      <c r="B9155">
        <v>94</v>
      </c>
      <c r="C9155">
        <v>31256512</v>
      </c>
      <c r="D9155" t="s">
        <v>241</v>
      </c>
      <c r="E9155">
        <v>2.5999999999999999E-2</v>
      </c>
      <c r="F9155" t="s">
        <v>21</v>
      </c>
      <c r="G9155" t="s">
        <v>26</v>
      </c>
      <c r="H9155" t="s">
        <v>21</v>
      </c>
      <c r="I9155" t="s">
        <v>20</v>
      </c>
      <c r="J9155" t="s">
        <v>20</v>
      </c>
      <c r="K9155" t="s">
        <v>27</v>
      </c>
      <c r="L9155" t="s">
        <v>242</v>
      </c>
      <c r="M9155" t="s">
        <v>243</v>
      </c>
      <c r="N9155">
        <v>38.765278000000002</v>
      </c>
      <c r="O9155">
        <v>-111.34958899999999</v>
      </c>
      <c r="P9155">
        <v>6448.7431969999998</v>
      </c>
      <c r="Q9155">
        <v>1327</v>
      </c>
      <c r="R9155">
        <v>0</v>
      </c>
    </row>
    <row r="9156" spans="1:18" x14ac:dyDescent="0.25">
      <c r="A9156">
        <v>9005</v>
      </c>
      <c r="B9156">
        <v>94</v>
      </c>
      <c r="C9156">
        <v>31389039</v>
      </c>
      <c r="D9156" t="s">
        <v>352</v>
      </c>
      <c r="E9156">
        <v>2.5999999999999999E-2</v>
      </c>
      <c r="F9156" t="s">
        <v>21</v>
      </c>
      <c r="G9156" t="s">
        <v>20</v>
      </c>
      <c r="H9156" t="s">
        <v>21</v>
      </c>
      <c r="I9156" t="s">
        <v>20</v>
      </c>
      <c r="J9156" t="s">
        <v>20</v>
      </c>
      <c r="K9156" t="s">
        <v>31</v>
      </c>
      <c r="L9156" t="s">
        <v>282</v>
      </c>
      <c r="M9156" t="s">
        <v>206</v>
      </c>
      <c r="N9156">
        <v>40.231928000000003</v>
      </c>
      <c r="O9156">
        <v>-112.723422</v>
      </c>
      <c r="P9156">
        <v>4789.3048840000001</v>
      </c>
      <c r="Q9156">
        <v>409</v>
      </c>
      <c r="R9156">
        <v>0</v>
      </c>
    </row>
    <row r="9157" spans="1:18" x14ac:dyDescent="0.25">
      <c r="A9157">
        <v>9006</v>
      </c>
      <c r="B9157">
        <v>94</v>
      </c>
      <c r="C9157">
        <v>965913</v>
      </c>
      <c r="D9157" t="s">
        <v>599</v>
      </c>
      <c r="E9157">
        <v>2.8000000000000001E-2</v>
      </c>
      <c r="F9157" t="s">
        <v>19</v>
      </c>
      <c r="G9157" t="s">
        <v>20</v>
      </c>
      <c r="H9157" t="s">
        <v>21</v>
      </c>
      <c r="I9157" t="s">
        <v>20</v>
      </c>
      <c r="J9157" t="s">
        <v>20</v>
      </c>
      <c r="K9157" t="s">
        <v>41</v>
      </c>
      <c r="L9157" t="s">
        <v>45</v>
      </c>
      <c r="M9157" t="s">
        <v>67</v>
      </c>
      <c r="N9157">
        <v>40.861896999999999</v>
      </c>
      <c r="O9157">
        <v>-111.902625</v>
      </c>
      <c r="P9157">
        <v>4257.2295480000002</v>
      </c>
      <c r="Q9157">
        <v>1387</v>
      </c>
      <c r="R9157">
        <v>0</v>
      </c>
    </row>
    <row r="9158" spans="1:18" x14ac:dyDescent="0.25">
      <c r="A9158">
        <v>9007</v>
      </c>
      <c r="B9158">
        <v>94</v>
      </c>
      <c r="C9158" t="s">
        <v>1056</v>
      </c>
      <c r="D9158" t="s">
        <v>1057</v>
      </c>
      <c r="E9158">
        <v>2.8000000000000001E-2</v>
      </c>
      <c r="F9158" t="s">
        <v>21</v>
      </c>
      <c r="G9158" t="s">
        <v>26</v>
      </c>
      <c r="H9158" t="s">
        <v>21</v>
      </c>
      <c r="I9158" t="s">
        <v>20</v>
      </c>
      <c r="J9158" t="s">
        <v>20</v>
      </c>
      <c r="K9158" t="s">
        <v>27</v>
      </c>
      <c r="L9158" t="s">
        <v>202</v>
      </c>
      <c r="M9158" t="s">
        <v>365</v>
      </c>
      <c r="N9158">
        <v>39.202334999999998</v>
      </c>
      <c r="O9158">
        <v>-112.173181</v>
      </c>
      <c r="P9158">
        <v>5903.369549</v>
      </c>
      <c r="Q9158">
        <v>1333</v>
      </c>
      <c r="R9158">
        <v>0</v>
      </c>
    </row>
    <row r="9159" spans="1:18" x14ac:dyDescent="0.25">
      <c r="A9159">
        <v>9008</v>
      </c>
      <c r="B9159">
        <v>94</v>
      </c>
      <c r="C9159" t="e">
        <f>-Ip9cf-VHueFNphP7QWagk</f>
        <v>#NAME?</v>
      </c>
      <c r="D9159" t="s">
        <v>250</v>
      </c>
      <c r="E9159">
        <v>3.1E-2</v>
      </c>
      <c r="F9159" t="s">
        <v>21</v>
      </c>
      <c r="G9159" t="s">
        <v>361</v>
      </c>
      <c r="H9159" t="s">
        <v>21</v>
      </c>
      <c r="I9159" t="s">
        <v>20</v>
      </c>
      <c r="J9159" t="s">
        <v>20</v>
      </c>
      <c r="K9159" t="s">
        <v>27</v>
      </c>
      <c r="L9159" t="s">
        <v>75</v>
      </c>
      <c r="M9159" t="s">
        <v>76</v>
      </c>
      <c r="N9159">
        <v>38.772399</v>
      </c>
      <c r="O9159">
        <v>-112.068292</v>
      </c>
      <c r="P9159">
        <v>5236.0002009999998</v>
      </c>
      <c r="Q9159">
        <v>1404</v>
      </c>
      <c r="R9159">
        <v>0</v>
      </c>
    </row>
    <row r="9160" spans="1:18" x14ac:dyDescent="0.25">
      <c r="A9160">
        <v>9009</v>
      </c>
      <c r="B9160">
        <v>94</v>
      </c>
      <c r="C9160">
        <v>31465177</v>
      </c>
      <c r="D9160" t="s">
        <v>404</v>
      </c>
      <c r="E9160">
        <v>3.2000000000000001E-2</v>
      </c>
      <c r="F9160" t="s">
        <v>21</v>
      </c>
      <c r="G9160" t="s">
        <v>26</v>
      </c>
      <c r="H9160" t="s">
        <v>21</v>
      </c>
      <c r="I9160" t="s">
        <v>20</v>
      </c>
      <c r="J9160" t="s">
        <v>20</v>
      </c>
      <c r="K9160" t="s">
        <v>27</v>
      </c>
      <c r="L9160" t="s">
        <v>405</v>
      </c>
      <c r="M9160" t="s">
        <v>238</v>
      </c>
      <c r="N9160">
        <v>38.961150000000004</v>
      </c>
      <c r="O9160">
        <v>-109.72216</v>
      </c>
      <c r="P9160">
        <v>5043.3448779999999</v>
      </c>
      <c r="Q9160">
        <v>325</v>
      </c>
      <c r="R9160">
        <v>0</v>
      </c>
    </row>
    <row r="9161" spans="1:18" x14ac:dyDescent="0.25">
      <c r="A9161">
        <v>9010</v>
      </c>
      <c r="B9161">
        <v>94</v>
      </c>
      <c r="C9161">
        <v>28846263</v>
      </c>
      <c r="D9161" t="s">
        <v>322</v>
      </c>
      <c r="E9161">
        <v>3.5999999999999997E-2</v>
      </c>
      <c r="F9161" t="s">
        <v>19</v>
      </c>
      <c r="G9161" t="s">
        <v>20</v>
      </c>
      <c r="H9161" t="s">
        <v>21</v>
      </c>
      <c r="I9161" t="s">
        <v>20</v>
      </c>
      <c r="J9161" t="s">
        <v>20</v>
      </c>
      <c r="K9161" t="s">
        <v>22</v>
      </c>
      <c r="L9161" t="s">
        <v>84</v>
      </c>
      <c r="M9161" t="s">
        <v>24</v>
      </c>
      <c r="N9161">
        <v>40.414343000000002</v>
      </c>
      <c r="O9161">
        <v>-111.868742</v>
      </c>
      <c r="P9161">
        <v>4513.9379440000002</v>
      </c>
      <c r="Q9161">
        <v>6660</v>
      </c>
      <c r="R9161">
        <v>0</v>
      </c>
    </row>
    <row r="9162" spans="1:18" x14ac:dyDescent="0.25">
      <c r="A9162">
        <v>9011</v>
      </c>
      <c r="B9162">
        <v>94</v>
      </c>
      <c r="C9162" t="s">
        <v>1058</v>
      </c>
      <c r="D9162" t="s">
        <v>1059</v>
      </c>
      <c r="E9162">
        <v>3.5999999999999997E-2</v>
      </c>
      <c r="F9162" t="s">
        <v>21</v>
      </c>
      <c r="G9162" t="s">
        <v>361</v>
      </c>
      <c r="H9162" t="s">
        <v>21</v>
      </c>
      <c r="I9162" t="s">
        <v>20</v>
      </c>
      <c r="J9162" t="s">
        <v>20</v>
      </c>
      <c r="K9162" t="s">
        <v>22</v>
      </c>
      <c r="L9162" t="s">
        <v>155</v>
      </c>
      <c r="M9162" t="s">
        <v>76</v>
      </c>
      <c r="N9162">
        <v>39.680546999999997</v>
      </c>
      <c r="O9162">
        <v>-111.838982</v>
      </c>
      <c r="P9162">
        <v>5041.7292779999998</v>
      </c>
      <c r="Q9162">
        <v>1333</v>
      </c>
      <c r="R9162">
        <v>0</v>
      </c>
    </row>
    <row r="9163" spans="1:18" x14ac:dyDescent="0.25">
      <c r="A9163">
        <v>9012</v>
      </c>
      <c r="B9163">
        <v>94</v>
      </c>
      <c r="C9163">
        <v>694695</v>
      </c>
      <c r="D9163" t="s">
        <v>68</v>
      </c>
      <c r="E9163">
        <v>3.7999999999999999E-2</v>
      </c>
      <c r="F9163" t="s">
        <v>19</v>
      </c>
      <c r="G9163" t="s">
        <v>20</v>
      </c>
      <c r="H9163" t="s">
        <v>21</v>
      </c>
      <c r="I9163" t="s">
        <v>20</v>
      </c>
      <c r="J9163" t="s">
        <v>20</v>
      </c>
      <c r="K9163" t="s">
        <v>31</v>
      </c>
      <c r="L9163" t="s">
        <v>69</v>
      </c>
      <c r="M9163" t="s">
        <v>70</v>
      </c>
      <c r="N9163">
        <v>40.667617999999997</v>
      </c>
      <c r="O9163">
        <v>-111.95333599999999</v>
      </c>
      <c r="P9163">
        <v>4265.9618710000004</v>
      </c>
      <c r="Q9163">
        <v>431</v>
      </c>
      <c r="R9163">
        <v>0</v>
      </c>
    </row>
    <row r="9164" spans="1:18" x14ac:dyDescent="0.25">
      <c r="A9164">
        <v>9013</v>
      </c>
      <c r="B9164">
        <v>94</v>
      </c>
      <c r="C9164">
        <v>31503478</v>
      </c>
      <c r="D9164" t="s">
        <v>25</v>
      </c>
      <c r="E9164">
        <v>3.9E-2</v>
      </c>
      <c r="F9164" t="s">
        <v>21</v>
      </c>
      <c r="G9164" t="s">
        <v>20</v>
      </c>
      <c r="H9164" t="s">
        <v>21</v>
      </c>
      <c r="I9164" t="s">
        <v>20</v>
      </c>
      <c r="J9164" t="s">
        <v>20</v>
      </c>
      <c r="K9164" t="s">
        <v>27</v>
      </c>
      <c r="L9164" t="s">
        <v>28</v>
      </c>
      <c r="M9164" t="s">
        <v>29</v>
      </c>
      <c r="N9164">
        <v>37.655656</v>
      </c>
      <c r="O9164">
        <v>-112.162544</v>
      </c>
      <c r="P9164">
        <v>7717.1817019999999</v>
      </c>
      <c r="Q9164">
        <v>316</v>
      </c>
      <c r="R9164">
        <v>0</v>
      </c>
    </row>
    <row r="9165" spans="1:18" x14ac:dyDescent="0.25">
      <c r="A9165">
        <v>9014</v>
      </c>
      <c r="B9165">
        <v>94</v>
      </c>
      <c r="C9165">
        <v>27818048</v>
      </c>
      <c r="D9165" t="s">
        <v>409</v>
      </c>
      <c r="E9165">
        <v>0.04</v>
      </c>
      <c r="F9165" t="s">
        <v>21</v>
      </c>
      <c r="G9165" t="s">
        <v>26</v>
      </c>
      <c r="H9165" t="s">
        <v>21</v>
      </c>
      <c r="I9165" t="s">
        <v>20</v>
      </c>
      <c r="J9165" t="s">
        <v>20</v>
      </c>
      <c r="K9165" t="s">
        <v>27</v>
      </c>
      <c r="L9165" t="s">
        <v>51</v>
      </c>
      <c r="M9165" t="s">
        <v>117</v>
      </c>
      <c r="N9165">
        <v>38.072110000000002</v>
      </c>
      <c r="O9165">
        <v>-112.68955099999999</v>
      </c>
      <c r="P9165">
        <v>5869.1621740000001</v>
      </c>
      <c r="Q9165">
        <v>1337</v>
      </c>
      <c r="R9165">
        <v>0</v>
      </c>
    </row>
    <row r="9166" spans="1:18" x14ac:dyDescent="0.25">
      <c r="A9166">
        <v>9015</v>
      </c>
      <c r="B9166">
        <v>94</v>
      </c>
      <c r="C9166">
        <v>31397371</v>
      </c>
      <c r="D9166" t="s">
        <v>224</v>
      </c>
      <c r="E9166">
        <v>4.1000000000000002E-2</v>
      </c>
      <c r="F9166" t="s">
        <v>19</v>
      </c>
      <c r="G9166" t="s">
        <v>20</v>
      </c>
      <c r="H9166" t="s">
        <v>21</v>
      </c>
      <c r="I9166" t="s">
        <v>20</v>
      </c>
      <c r="J9166" t="s">
        <v>20</v>
      </c>
      <c r="K9166" t="s">
        <v>22</v>
      </c>
      <c r="L9166" t="s">
        <v>198</v>
      </c>
      <c r="M9166" t="s">
        <v>194</v>
      </c>
      <c r="N9166">
        <v>39.975588999999999</v>
      </c>
      <c r="O9166">
        <v>-111.770347</v>
      </c>
      <c r="P9166">
        <v>4923.2185369999997</v>
      </c>
      <c r="Q9166">
        <v>408</v>
      </c>
      <c r="R9166">
        <v>0</v>
      </c>
    </row>
    <row r="9167" spans="1:18" x14ac:dyDescent="0.25">
      <c r="A9167">
        <v>9016</v>
      </c>
      <c r="B9167">
        <v>94</v>
      </c>
      <c r="C9167">
        <v>27946167</v>
      </c>
      <c r="D9167" t="s">
        <v>281</v>
      </c>
      <c r="E9167">
        <v>4.2999999999999997E-2</v>
      </c>
      <c r="F9167" t="s">
        <v>21</v>
      </c>
      <c r="G9167" t="s">
        <v>26</v>
      </c>
      <c r="H9167" t="s">
        <v>19</v>
      </c>
      <c r="I9167">
        <v>6</v>
      </c>
      <c r="J9167" t="s">
        <v>20</v>
      </c>
      <c r="K9167" t="s">
        <v>22</v>
      </c>
      <c r="L9167" t="s">
        <v>193</v>
      </c>
      <c r="M9167" t="s">
        <v>174</v>
      </c>
      <c r="N9167">
        <v>39.919651999999999</v>
      </c>
      <c r="O9167">
        <v>-112.14454499999999</v>
      </c>
      <c r="P9167">
        <v>5954.7954920000002</v>
      </c>
      <c r="Q9167">
        <v>1347</v>
      </c>
      <c r="R9167">
        <v>0</v>
      </c>
    </row>
    <row r="9168" spans="1:18" x14ac:dyDescent="0.25">
      <c r="A9168">
        <v>9017</v>
      </c>
      <c r="B9168">
        <v>94</v>
      </c>
      <c r="C9168">
        <v>998253</v>
      </c>
      <c r="D9168" t="s">
        <v>604</v>
      </c>
      <c r="E9168">
        <v>4.3999999999999997E-2</v>
      </c>
      <c r="F9168" t="s">
        <v>21</v>
      </c>
      <c r="G9168" t="s">
        <v>26</v>
      </c>
      <c r="H9168" t="s">
        <v>21</v>
      </c>
      <c r="I9168" t="s">
        <v>20</v>
      </c>
      <c r="J9168" t="s">
        <v>20</v>
      </c>
      <c r="K9168" t="s">
        <v>41</v>
      </c>
      <c r="L9168" t="s">
        <v>45</v>
      </c>
      <c r="M9168" t="s">
        <v>46</v>
      </c>
      <c r="N9168">
        <v>40.921526</v>
      </c>
      <c r="O9168">
        <v>-111.899574</v>
      </c>
      <c r="P9168">
        <v>4162.0571659999996</v>
      </c>
      <c r="Q9168">
        <v>1394</v>
      </c>
      <c r="R9168">
        <v>0</v>
      </c>
    </row>
    <row r="9169" spans="1:18" x14ac:dyDescent="0.25">
      <c r="A9169">
        <v>9018</v>
      </c>
      <c r="B9169">
        <v>94</v>
      </c>
      <c r="C9169" t="e">
        <f>-JPNFhZPF7Hg1iG0CQEW8k</f>
        <v>#NAME?</v>
      </c>
      <c r="D9169" t="s">
        <v>1060</v>
      </c>
      <c r="E9169">
        <v>4.4999999999999998E-2</v>
      </c>
      <c r="F9169" t="s">
        <v>21</v>
      </c>
      <c r="G9169" t="s">
        <v>26</v>
      </c>
      <c r="H9169" t="s">
        <v>21</v>
      </c>
      <c r="I9169" t="s">
        <v>20</v>
      </c>
      <c r="J9169" t="s">
        <v>20</v>
      </c>
      <c r="K9169" t="s">
        <v>27</v>
      </c>
      <c r="L9169" t="s">
        <v>72</v>
      </c>
      <c r="M9169" t="s">
        <v>948</v>
      </c>
      <c r="N9169">
        <v>37.283360999999999</v>
      </c>
      <c r="O9169">
        <v>-113.304963</v>
      </c>
      <c r="P9169">
        <v>3729.5339429999999</v>
      </c>
      <c r="Q9169">
        <v>1333</v>
      </c>
      <c r="R9169">
        <v>0</v>
      </c>
    </row>
    <row r="9170" spans="1:18" x14ac:dyDescent="0.25">
      <c r="A9170">
        <v>9019</v>
      </c>
      <c r="B9170">
        <v>94</v>
      </c>
      <c r="C9170">
        <v>1292387</v>
      </c>
      <c r="D9170" t="s">
        <v>191</v>
      </c>
      <c r="E9170">
        <v>0.371</v>
      </c>
      <c r="F9170" t="s">
        <v>21</v>
      </c>
      <c r="G9170" t="s">
        <v>26</v>
      </c>
      <c r="H9170" t="s">
        <v>21</v>
      </c>
      <c r="I9170" t="s">
        <v>20</v>
      </c>
      <c r="J9170" t="s">
        <v>20</v>
      </c>
      <c r="K9170" t="s">
        <v>41</v>
      </c>
      <c r="L9170" t="s">
        <v>57</v>
      </c>
      <c r="M9170" t="s">
        <v>190</v>
      </c>
      <c r="N9170">
        <v>41.094664999999999</v>
      </c>
      <c r="O9170">
        <v>-112.112718</v>
      </c>
      <c r="P9170">
        <v>4170.732626</v>
      </c>
      <c r="Q9170">
        <v>329</v>
      </c>
      <c r="R9170">
        <v>0</v>
      </c>
    </row>
    <row r="9171" spans="1:18" x14ac:dyDescent="0.25">
      <c r="A9171">
        <v>9020</v>
      </c>
      <c r="B9171">
        <v>94</v>
      </c>
      <c r="C9171">
        <v>493882</v>
      </c>
      <c r="D9171" t="s">
        <v>249</v>
      </c>
      <c r="E9171">
        <v>0.376</v>
      </c>
      <c r="F9171" t="s">
        <v>21</v>
      </c>
      <c r="G9171" t="s">
        <v>26</v>
      </c>
      <c r="H9171" t="s">
        <v>21</v>
      </c>
      <c r="I9171" t="s">
        <v>20</v>
      </c>
      <c r="J9171" t="s">
        <v>20</v>
      </c>
      <c r="K9171" t="s">
        <v>31</v>
      </c>
      <c r="L9171" t="s">
        <v>89</v>
      </c>
      <c r="M9171" t="s">
        <v>24</v>
      </c>
      <c r="N9171">
        <v>40.486319000000002</v>
      </c>
      <c r="O9171">
        <v>-111.93705</v>
      </c>
      <c r="P9171">
        <v>4348.3707370000002</v>
      </c>
      <c r="Q9171">
        <v>337</v>
      </c>
      <c r="R9171">
        <v>0</v>
      </c>
    </row>
    <row r="9172" spans="1:18" x14ac:dyDescent="0.25">
      <c r="A9172">
        <v>9021</v>
      </c>
      <c r="B9172">
        <v>94</v>
      </c>
      <c r="C9172" t="e">
        <f>-JNUP56iGEH2EXGvLfSp7k</f>
        <v>#NAME?</v>
      </c>
      <c r="D9172" t="s">
        <v>187</v>
      </c>
      <c r="E9172">
        <v>0.377</v>
      </c>
      <c r="F9172" t="s">
        <v>21</v>
      </c>
      <c r="G9172" t="s">
        <v>26</v>
      </c>
      <c r="H9172" t="s">
        <v>21</v>
      </c>
      <c r="I9172" t="s">
        <v>20</v>
      </c>
      <c r="J9172" t="s">
        <v>20</v>
      </c>
      <c r="K9172" t="s">
        <v>31</v>
      </c>
      <c r="L9172" t="s">
        <v>188</v>
      </c>
      <c r="M9172" t="s">
        <v>90</v>
      </c>
      <c r="N9172">
        <v>40.760311999999999</v>
      </c>
      <c r="O9172">
        <v>-111.846583</v>
      </c>
      <c r="P9172">
        <v>4622.3262679999998</v>
      </c>
      <c r="Q9172">
        <v>435</v>
      </c>
      <c r="R9172">
        <v>0</v>
      </c>
    </row>
    <row r="9173" spans="1:18" x14ac:dyDescent="0.25">
      <c r="A9173">
        <v>9022</v>
      </c>
      <c r="B9173">
        <v>94</v>
      </c>
      <c r="C9173">
        <v>31445233</v>
      </c>
      <c r="D9173" t="s">
        <v>288</v>
      </c>
      <c r="E9173">
        <v>121.21899999999999</v>
      </c>
      <c r="F9173" t="s">
        <v>21</v>
      </c>
      <c r="G9173" t="s">
        <v>26</v>
      </c>
      <c r="H9173" t="s">
        <v>21</v>
      </c>
      <c r="I9173" t="s">
        <v>20</v>
      </c>
      <c r="J9173" t="s">
        <v>20</v>
      </c>
      <c r="K9173" t="s">
        <v>27</v>
      </c>
      <c r="L9173" t="s">
        <v>38</v>
      </c>
      <c r="M9173" t="s">
        <v>152</v>
      </c>
      <c r="N9173">
        <v>38.525334000000001</v>
      </c>
      <c r="O9173">
        <v>-109.500456</v>
      </c>
      <c r="P9173">
        <v>4513.4417199999998</v>
      </c>
      <c r="Q9173">
        <v>350</v>
      </c>
      <c r="R9173">
        <v>0</v>
      </c>
    </row>
    <row r="9174" spans="1:18" x14ac:dyDescent="0.25">
      <c r="A9174">
        <v>9023</v>
      </c>
      <c r="B9174">
        <v>94</v>
      </c>
      <c r="C9174" t="s">
        <v>1061</v>
      </c>
      <c r="D9174" t="s">
        <v>288</v>
      </c>
      <c r="E9174">
        <v>121.245</v>
      </c>
      <c r="F9174" t="s">
        <v>21</v>
      </c>
      <c r="G9174" t="s">
        <v>26</v>
      </c>
      <c r="H9174" t="s">
        <v>21</v>
      </c>
      <c r="I9174" t="s">
        <v>20</v>
      </c>
      <c r="J9174" t="s">
        <v>20</v>
      </c>
      <c r="K9174" t="s">
        <v>27</v>
      </c>
      <c r="L9174" t="s">
        <v>38</v>
      </c>
      <c r="M9174" t="s">
        <v>152</v>
      </c>
      <c r="N9174">
        <v>38.525626000000003</v>
      </c>
      <c r="O9174">
        <v>-109.500744</v>
      </c>
      <c r="P9174">
        <v>4507.6042799999996</v>
      </c>
      <c r="Q9174">
        <v>350</v>
      </c>
      <c r="R9174">
        <v>0</v>
      </c>
    </row>
    <row r="9175" spans="1:18" x14ac:dyDescent="0.25">
      <c r="A9175">
        <v>9024</v>
      </c>
      <c r="B9175">
        <v>94</v>
      </c>
      <c r="C9175">
        <v>31821530</v>
      </c>
      <c r="D9175" t="s">
        <v>118</v>
      </c>
      <c r="E9175">
        <v>121.27500000000001</v>
      </c>
      <c r="F9175" t="s">
        <v>21</v>
      </c>
      <c r="G9175" t="s">
        <v>26</v>
      </c>
      <c r="H9175" t="s">
        <v>21</v>
      </c>
      <c r="I9175" t="s">
        <v>20</v>
      </c>
      <c r="J9175" t="s">
        <v>20</v>
      </c>
      <c r="K9175" t="s">
        <v>22</v>
      </c>
      <c r="L9175" t="s">
        <v>133</v>
      </c>
      <c r="M9175" t="s">
        <v>169</v>
      </c>
      <c r="N9175">
        <v>40.301848</v>
      </c>
      <c r="O9175">
        <v>-109.861673</v>
      </c>
      <c r="P9175">
        <v>4988.7762080000002</v>
      </c>
      <c r="Q9175">
        <v>310</v>
      </c>
      <c r="R9175">
        <v>0</v>
      </c>
    </row>
    <row r="9176" spans="1:18" x14ac:dyDescent="0.25">
      <c r="A9176">
        <v>9025</v>
      </c>
      <c r="B9176">
        <v>94</v>
      </c>
      <c r="C9176">
        <v>31557481</v>
      </c>
      <c r="D9176" t="s">
        <v>348</v>
      </c>
      <c r="E9176">
        <v>121.283</v>
      </c>
      <c r="F9176" t="s">
        <v>21</v>
      </c>
      <c r="G9176" t="s">
        <v>20</v>
      </c>
      <c r="H9176" t="s">
        <v>21</v>
      </c>
      <c r="I9176" t="s">
        <v>20</v>
      </c>
      <c r="J9176" t="s">
        <v>20</v>
      </c>
      <c r="K9176" t="s">
        <v>27</v>
      </c>
      <c r="L9176" t="s">
        <v>327</v>
      </c>
      <c r="M9176" t="s">
        <v>123</v>
      </c>
      <c r="N9176">
        <v>37.573402999999999</v>
      </c>
      <c r="O9176">
        <v>-109.48827</v>
      </c>
      <c r="P9176">
        <v>5698.8361070000001</v>
      </c>
      <c r="Q9176">
        <v>1388</v>
      </c>
      <c r="R9176">
        <v>0</v>
      </c>
    </row>
    <row r="9177" spans="1:18" x14ac:dyDescent="0.25">
      <c r="A9177">
        <v>9026</v>
      </c>
      <c r="B9177">
        <v>94</v>
      </c>
      <c r="C9177">
        <v>31553827</v>
      </c>
      <c r="D9177" t="s">
        <v>348</v>
      </c>
      <c r="E9177">
        <v>121.33499999999999</v>
      </c>
      <c r="F9177" t="s">
        <v>21</v>
      </c>
      <c r="G9177" t="s">
        <v>26</v>
      </c>
      <c r="H9177" t="s">
        <v>19</v>
      </c>
      <c r="I9177">
        <v>191</v>
      </c>
      <c r="J9177" t="s">
        <v>20</v>
      </c>
      <c r="K9177" t="s">
        <v>27</v>
      </c>
      <c r="L9177" t="s">
        <v>327</v>
      </c>
      <c r="M9177" t="s">
        <v>123</v>
      </c>
      <c r="N9177">
        <v>37.572844000000003</v>
      </c>
      <c r="O9177">
        <v>-109.48750099999999</v>
      </c>
      <c r="P9177">
        <v>5691.7369619999999</v>
      </c>
      <c r="Q9177">
        <v>1388</v>
      </c>
      <c r="R9177">
        <v>0</v>
      </c>
    </row>
    <row r="9178" spans="1:18" x14ac:dyDescent="0.25">
      <c r="A9178">
        <v>9027</v>
      </c>
      <c r="B9178">
        <v>94</v>
      </c>
      <c r="C9178">
        <v>31445555</v>
      </c>
      <c r="D9178" t="s">
        <v>288</v>
      </c>
      <c r="E9178">
        <v>121.376</v>
      </c>
      <c r="F9178" t="s">
        <v>21</v>
      </c>
      <c r="G9178" t="s">
        <v>26</v>
      </c>
      <c r="H9178" t="s">
        <v>21</v>
      </c>
      <c r="I9178" t="s">
        <v>20</v>
      </c>
      <c r="J9178" t="s">
        <v>20</v>
      </c>
      <c r="K9178" t="s">
        <v>27</v>
      </c>
      <c r="L9178" t="s">
        <v>38</v>
      </c>
      <c r="M9178" t="s">
        <v>152</v>
      </c>
      <c r="N9178">
        <v>38.527116999999997</v>
      </c>
      <c r="O9178">
        <v>-109.502244</v>
      </c>
      <c r="P9178">
        <v>4498.2150410000004</v>
      </c>
      <c r="Q9178">
        <v>350</v>
      </c>
      <c r="R9178">
        <v>0</v>
      </c>
    </row>
    <row r="9179" spans="1:18" x14ac:dyDescent="0.25">
      <c r="A9179">
        <v>9028</v>
      </c>
      <c r="B9179">
        <v>94</v>
      </c>
      <c r="C9179">
        <v>31822970</v>
      </c>
      <c r="D9179" t="s">
        <v>118</v>
      </c>
      <c r="E9179">
        <v>121.40300000000001</v>
      </c>
      <c r="F9179" t="s">
        <v>19</v>
      </c>
      <c r="G9179" t="s">
        <v>20</v>
      </c>
      <c r="H9179" t="s">
        <v>21</v>
      </c>
      <c r="I9179" t="s">
        <v>20</v>
      </c>
      <c r="J9179" t="s">
        <v>20</v>
      </c>
      <c r="K9179" t="s">
        <v>22</v>
      </c>
      <c r="L9179" t="s">
        <v>133</v>
      </c>
      <c r="M9179" t="s">
        <v>169</v>
      </c>
      <c r="N9179">
        <v>40.301853000000001</v>
      </c>
      <c r="O9179">
        <v>-109.859258</v>
      </c>
      <c r="P9179">
        <v>4983.3813170000003</v>
      </c>
      <c r="Q9179">
        <v>310</v>
      </c>
      <c r="R9179">
        <v>0</v>
      </c>
    </row>
    <row r="9180" spans="1:18" x14ac:dyDescent="0.25">
      <c r="A9180">
        <v>9029</v>
      </c>
      <c r="B9180">
        <v>94</v>
      </c>
      <c r="C9180" t="e">
        <f>-IovyBiLIe14liUh31BENV</f>
        <v>#NAME?</v>
      </c>
      <c r="D9180" t="s">
        <v>290</v>
      </c>
      <c r="E9180">
        <v>121.465</v>
      </c>
      <c r="F9180" t="s">
        <v>21</v>
      </c>
      <c r="G9180" t="s">
        <v>26</v>
      </c>
      <c r="H9180" t="s">
        <v>21</v>
      </c>
      <c r="I9180" t="s">
        <v>20</v>
      </c>
      <c r="J9180" t="s">
        <v>20</v>
      </c>
      <c r="K9180" t="s">
        <v>41</v>
      </c>
      <c r="L9180" t="s">
        <v>325</v>
      </c>
      <c r="M9180" t="s">
        <v>280</v>
      </c>
      <c r="N9180">
        <v>41.824624999999997</v>
      </c>
      <c r="O9180">
        <v>-111.292895</v>
      </c>
      <c r="P9180">
        <v>6384.1993400000001</v>
      </c>
      <c r="Q9180">
        <v>1343</v>
      </c>
      <c r="R9180">
        <v>0</v>
      </c>
    </row>
    <row r="9181" spans="1:18" x14ac:dyDescent="0.25">
      <c r="A9181">
        <v>9030</v>
      </c>
      <c r="B9181">
        <v>94</v>
      </c>
      <c r="C9181">
        <v>31568615</v>
      </c>
      <c r="D9181" t="s">
        <v>213</v>
      </c>
      <c r="E9181">
        <v>121.471</v>
      </c>
      <c r="F9181" t="s">
        <v>21</v>
      </c>
      <c r="G9181" t="s">
        <v>26</v>
      </c>
      <c r="H9181" t="s">
        <v>21</v>
      </c>
      <c r="I9181" t="s">
        <v>20</v>
      </c>
      <c r="J9181" t="s">
        <v>20</v>
      </c>
      <c r="K9181" t="s">
        <v>22</v>
      </c>
      <c r="L9181" t="s">
        <v>193</v>
      </c>
      <c r="M9181" t="s">
        <v>214</v>
      </c>
      <c r="N9181">
        <v>39.713320000000003</v>
      </c>
      <c r="O9181">
        <v>-112.203362</v>
      </c>
      <c r="P9181">
        <v>5143.2758759999997</v>
      </c>
      <c r="Q9181">
        <v>1332</v>
      </c>
      <c r="R9181">
        <v>0</v>
      </c>
    </row>
    <row r="9182" spans="1:18" x14ac:dyDescent="0.25">
      <c r="A9182">
        <v>9031</v>
      </c>
      <c r="B9182">
        <v>94</v>
      </c>
      <c r="C9182">
        <v>31445566</v>
      </c>
      <c r="D9182" t="s">
        <v>288</v>
      </c>
      <c r="E9182">
        <v>121.48</v>
      </c>
      <c r="F9182" t="s">
        <v>21</v>
      </c>
      <c r="G9182" t="s">
        <v>26</v>
      </c>
      <c r="H9182" t="s">
        <v>21</v>
      </c>
      <c r="I9182" t="s">
        <v>20</v>
      </c>
      <c r="J9182" t="s">
        <v>20</v>
      </c>
      <c r="K9182" t="s">
        <v>27</v>
      </c>
      <c r="L9182" t="s">
        <v>38</v>
      </c>
      <c r="M9182" t="s">
        <v>152</v>
      </c>
      <c r="N9182">
        <v>38.528326999999997</v>
      </c>
      <c r="O9182">
        <v>-109.503434</v>
      </c>
      <c r="P9182">
        <v>4489.4081580000002</v>
      </c>
      <c r="Q9182">
        <v>350</v>
      </c>
      <c r="R9182">
        <v>0</v>
      </c>
    </row>
    <row r="9183" spans="1:18" x14ac:dyDescent="0.25">
      <c r="A9183">
        <v>9032</v>
      </c>
      <c r="B9183">
        <v>94</v>
      </c>
      <c r="C9183">
        <v>31445588</v>
      </c>
      <c r="D9183" t="s">
        <v>288</v>
      </c>
      <c r="E9183">
        <v>121.587</v>
      </c>
      <c r="F9183" t="s">
        <v>21</v>
      </c>
      <c r="G9183" t="s">
        <v>26</v>
      </c>
      <c r="H9183" t="s">
        <v>21</v>
      </c>
      <c r="I9183" t="s">
        <v>20</v>
      </c>
      <c r="J9183" t="s">
        <v>20</v>
      </c>
      <c r="K9183" t="s">
        <v>27</v>
      </c>
      <c r="L9183" t="s">
        <v>38</v>
      </c>
      <c r="M9183" t="s">
        <v>152</v>
      </c>
      <c r="N9183">
        <v>38.529528999999997</v>
      </c>
      <c r="O9183">
        <v>-109.504662</v>
      </c>
      <c r="P9183">
        <v>4472.1943359999996</v>
      </c>
      <c r="Q9183">
        <v>350</v>
      </c>
      <c r="R9183">
        <v>0</v>
      </c>
    </row>
    <row r="9184" spans="1:18" x14ac:dyDescent="0.25">
      <c r="A9184">
        <v>9033</v>
      </c>
      <c r="B9184">
        <v>94</v>
      </c>
      <c r="C9184" t="e">
        <f>-Iq9dXukGEHZqvMKb31WDk</f>
        <v>#NAME?</v>
      </c>
      <c r="D9184" t="s">
        <v>1062</v>
      </c>
      <c r="E9184">
        <v>0</v>
      </c>
      <c r="F9184" t="s">
        <v>21</v>
      </c>
      <c r="G9184" t="s">
        <v>26</v>
      </c>
      <c r="H9184" t="s">
        <v>21</v>
      </c>
      <c r="I9184" t="s">
        <v>20</v>
      </c>
      <c r="J9184" t="s">
        <v>20</v>
      </c>
      <c r="K9184" t="s">
        <v>31</v>
      </c>
      <c r="L9184" t="s">
        <v>188</v>
      </c>
      <c r="M9184" t="s">
        <v>46</v>
      </c>
      <c r="N9184">
        <v>40.752119</v>
      </c>
      <c r="O9184">
        <v>-111.61484</v>
      </c>
      <c r="P9184">
        <v>6815.4582810000002</v>
      </c>
      <c r="Q9184">
        <v>321</v>
      </c>
      <c r="R9184">
        <v>0</v>
      </c>
    </row>
    <row r="9185" spans="1:18" x14ac:dyDescent="0.25">
      <c r="A9185">
        <v>9034</v>
      </c>
      <c r="B9185">
        <v>94</v>
      </c>
      <c r="C9185">
        <v>31751687</v>
      </c>
      <c r="D9185" t="s">
        <v>346</v>
      </c>
      <c r="E9185">
        <v>0</v>
      </c>
      <c r="F9185" t="s">
        <v>21</v>
      </c>
      <c r="G9185" t="s">
        <v>26</v>
      </c>
      <c r="H9185" t="s">
        <v>21</v>
      </c>
      <c r="I9185" t="s">
        <v>20</v>
      </c>
      <c r="J9185" t="s">
        <v>20</v>
      </c>
      <c r="K9185" t="s">
        <v>27</v>
      </c>
      <c r="L9185" t="s">
        <v>307</v>
      </c>
      <c r="M9185" t="s">
        <v>159</v>
      </c>
      <c r="N9185">
        <v>39.645218</v>
      </c>
      <c r="O9185">
        <v>-111.15253800000001</v>
      </c>
      <c r="P9185">
        <v>8226.4513920000009</v>
      </c>
      <c r="Q9185">
        <v>1389</v>
      </c>
      <c r="R9185">
        <v>0</v>
      </c>
    </row>
    <row r="9186" spans="1:18" x14ac:dyDescent="0.25">
      <c r="A9186">
        <v>9035</v>
      </c>
      <c r="B9186">
        <v>94</v>
      </c>
      <c r="C9186">
        <v>920872</v>
      </c>
      <c r="D9186" t="s">
        <v>205</v>
      </c>
      <c r="E9186">
        <v>0</v>
      </c>
      <c r="F9186" t="s">
        <v>21</v>
      </c>
      <c r="G9186" t="s">
        <v>26</v>
      </c>
      <c r="H9186" t="s">
        <v>21</v>
      </c>
      <c r="I9186" t="s">
        <v>20</v>
      </c>
      <c r="J9186" t="s">
        <v>20</v>
      </c>
      <c r="K9186" t="s">
        <v>31</v>
      </c>
      <c r="L9186" t="s">
        <v>78</v>
      </c>
      <c r="M9186" t="s">
        <v>206</v>
      </c>
      <c r="N9186">
        <v>40.726132</v>
      </c>
      <c r="O9186">
        <v>-112.16272600000001</v>
      </c>
      <c r="P9186">
        <v>4190.7380229999999</v>
      </c>
      <c r="Q9186">
        <v>353</v>
      </c>
      <c r="R9186">
        <v>0</v>
      </c>
    </row>
    <row r="9187" spans="1:18" x14ac:dyDescent="0.25">
      <c r="A9187">
        <v>9036</v>
      </c>
      <c r="B9187">
        <v>94</v>
      </c>
      <c r="C9187">
        <v>1105307</v>
      </c>
      <c r="D9187" t="s">
        <v>195</v>
      </c>
      <c r="E9187">
        <v>0</v>
      </c>
      <c r="F9187" t="s">
        <v>21</v>
      </c>
      <c r="G9187" t="s">
        <v>26</v>
      </c>
      <c r="H9187" t="s">
        <v>19</v>
      </c>
      <c r="I9187">
        <v>110</v>
      </c>
      <c r="J9187" t="s">
        <v>20</v>
      </c>
      <c r="K9187" t="s">
        <v>41</v>
      </c>
      <c r="L9187" t="s">
        <v>57</v>
      </c>
      <c r="M9187" t="s">
        <v>190</v>
      </c>
      <c r="N9187">
        <v>41.08925</v>
      </c>
      <c r="O9187">
        <v>-112.11272599999999</v>
      </c>
      <c r="P9187">
        <v>4172.1426469999997</v>
      </c>
      <c r="Q9187">
        <v>334</v>
      </c>
      <c r="R9187">
        <v>0</v>
      </c>
    </row>
    <row r="9188" spans="1:18" x14ac:dyDescent="0.25">
      <c r="A9188">
        <v>9037</v>
      </c>
      <c r="B9188">
        <v>94</v>
      </c>
      <c r="C9188">
        <v>31536355</v>
      </c>
      <c r="D9188" t="s">
        <v>376</v>
      </c>
      <c r="E9188">
        <v>0</v>
      </c>
      <c r="F9188" t="s">
        <v>21</v>
      </c>
      <c r="G9188" t="s">
        <v>26</v>
      </c>
      <c r="H9188" t="s">
        <v>19</v>
      </c>
      <c r="I9188">
        <v>21</v>
      </c>
      <c r="J9188" t="s">
        <v>20</v>
      </c>
      <c r="K9188" t="s">
        <v>27</v>
      </c>
      <c r="L9188" t="s">
        <v>173</v>
      </c>
      <c r="M9188" t="s">
        <v>106</v>
      </c>
      <c r="N9188">
        <v>38.940382</v>
      </c>
      <c r="O9188">
        <v>-114.034392</v>
      </c>
      <c r="P9188">
        <v>5200.5840340000004</v>
      </c>
      <c r="Q9188">
        <v>343</v>
      </c>
      <c r="R9188">
        <v>0</v>
      </c>
    </row>
    <row r="9189" spans="1:18" x14ac:dyDescent="0.25">
      <c r="A9189">
        <v>9038</v>
      </c>
      <c r="B9189">
        <v>94</v>
      </c>
      <c r="C9189" t="s">
        <v>1063</v>
      </c>
      <c r="D9189" t="s">
        <v>1064</v>
      </c>
      <c r="E9189">
        <v>0</v>
      </c>
      <c r="F9189" t="s">
        <v>21</v>
      </c>
      <c r="G9189" t="s">
        <v>26</v>
      </c>
      <c r="H9189" t="s">
        <v>21</v>
      </c>
      <c r="I9189" t="s">
        <v>20</v>
      </c>
      <c r="J9189" t="s">
        <v>20</v>
      </c>
      <c r="K9189" t="s">
        <v>31</v>
      </c>
      <c r="L9189" t="s">
        <v>285</v>
      </c>
      <c r="M9189" t="s">
        <v>123</v>
      </c>
      <c r="N9189">
        <v>40.763312999999997</v>
      </c>
      <c r="O9189">
        <v>-112.780852</v>
      </c>
      <c r="P9189">
        <v>4196.4708289999999</v>
      </c>
      <c r="Q9189">
        <v>6663</v>
      </c>
      <c r="R9189">
        <v>0</v>
      </c>
    </row>
    <row r="9190" spans="1:18" x14ac:dyDescent="0.25">
      <c r="A9190">
        <v>9039</v>
      </c>
      <c r="B9190">
        <v>94</v>
      </c>
      <c r="C9190" t="e">
        <f>-Iq7KWvcHVyZwI5ag6j9rk</f>
        <v>#NAME?</v>
      </c>
      <c r="D9190" t="s">
        <v>1065</v>
      </c>
      <c r="E9190">
        <v>0</v>
      </c>
      <c r="F9190" t="s">
        <v>21</v>
      </c>
      <c r="G9190" t="s">
        <v>26</v>
      </c>
      <c r="H9190" t="s">
        <v>21</v>
      </c>
      <c r="I9190" t="s">
        <v>20</v>
      </c>
      <c r="J9190" t="s">
        <v>20</v>
      </c>
      <c r="K9190" t="s">
        <v>31</v>
      </c>
      <c r="L9190" t="s">
        <v>373</v>
      </c>
      <c r="M9190" t="s">
        <v>123</v>
      </c>
      <c r="N9190">
        <v>40.725816999999999</v>
      </c>
      <c r="O9190">
        <v>-113.25873300000001</v>
      </c>
      <c r="P9190">
        <v>4217.7522639999997</v>
      </c>
      <c r="Q9190">
        <v>321</v>
      </c>
      <c r="R9190">
        <v>0</v>
      </c>
    </row>
    <row r="9191" spans="1:18" x14ac:dyDescent="0.25">
      <c r="A9191">
        <v>9040</v>
      </c>
      <c r="B9191">
        <v>94</v>
      </c>
      <c r="C9191">
        <v>1359705</v>
      </c>
      <c r="D9191" t="s">
        <v>191</v>
      </c>
      <c r="E9191">
        <v>0</v>
      </c>
      <c r="F9191" t="s">
        <v>21</v>
      </c>
      <c r="G9191" t="s">
        <v>26</v>
      </c>
      <c r="H9191" t="s">
        <v>19</v>
      </c>
      <c r="I9191">
        <v>127</v>
      </c>
      <c r="J9191" t="s">
        <v>20</v>
      </c>
      <c r="K9191" t="s">
        <v>41</v>
      </c>
      <c r="L9191" t="s">
        <v>57</v>
      </c>
      <c r="M9191" t="s">
        <v>190</v>
      </c>
      <c r="N9191">
        <v>41.089255000000001</v>
      </c>
      <c r="O9191">
        <v>-112.112725</v>
      </c>
      <c r="P9191">
        <v>4171.9450660000002</v>
      </c>
      <c r="Q9191">
        <v>329</v>
      </c>
      <c r="R9191">
        <v>0</v>
      </c>
    </row>
    <row r="9192" spans="1:18" x14ac:dyDescent="0.25">
      <c r="A9192">
        <v>9041</v>
      </c>
      <c r="B9192">
        <v>94</v>
      </c>
      <c r="C9192">
        <v>28225902</v>
      </c>
      <c r="D9192" t="s">
        <v>240</v>
      </c>
      <c r="E9192">
        <v>0</v>
      </c>
      <c r="F9192" t="s">
        <v>21</v>
      </c>
      <c r="G9192" t="s">
        <v>26</v>
      </c>
      <c r="H9192" t="s">
        <v>19</v>
      </c>
      <c r="I9192">
        <v>191</v>
      </c>
      <c r="J9192" t="s">
        <v>20</v>
      </c>
      <c r="K9192" t="s">
        <v>27</v>
      </c>
      <c r="L9192" t="s">
        <v>146</v>
      </c>
      <c r="M9192" t="s">
        <v>147</v>
      </c>
      <c r="N9192">
        <v>38.309145000000001</v>
      </c>
      <c r="O9192">
        <v>-109.40350100000001</v>
      </c>
      <c r="P9192">
        <v>5844.9569240000001</v>
      </c>
      <c r="Q9192">
        <v>1355</v>
      </c>
      <c r="R9192">
        <v>0</v>
      </c>
    </row>
    <row r="9193" spans="1:18" x14ac:dyDescent="0.25">
      <c r="A9193">
        <v>9042</v>
      </c>
      <c r="B9193">
        <v>94</v>
      </c>
      <c r="C9193" t="e">
        <f>-JQtkbzZIp9MphmLrju6qk</f>
        <v>#NAME?</v>
      </c>
      <c r="D9193" t="s">
        <v>1066</v>
      </c>
      <c r="E9193">
        <v>0</v>
      </c>
      <c r="F9193" t="s">
        <v>21</v>
      </c>
      <c r="G9193" t="s">
        <v>26</v>
      </c>
      <c r="H9193" t="s">
        <v>21</v>
      </c>
      <c r="I9193" t="s">
        <v>20</v>
      </c>
      <c r="J9193" t="s">
        <v>20</v>
      </c>
      <c r="K9193" t="s">
        <v>31</v>
      </c>
      <c r="L9193" t="s">
        <v>373</v>
      </c>
      <c r="M9193" t="s">
        <v>123</v>
      </c>
      <c r="N9193">
        <v>40.769221000000002</v>
      </c>
      <c r="O9193">
        <v>-112.98506399999999</v>
      </c>
      <c r="P9193">
        <v>4592.4840169999998</v>
      </c>
      <c r="Q9193">
        <v>6663</v>
      </c>
      <c r="R9193">
        <v>0</v>
      </c>
    </row>
    <row r="9194" spans="1:18" x14ac:dyDescent="0.25">
      <c r="A9194">
        <v>9043</v>
      </c>
      <c r="B9194">
        <v>94</v>
      </c>
      <c r="C9194">
        <v>31638442</v>
      </c>
      <c r="D9194" t="s">
        <v>157</v>
      </c>
      <c r="E9194">
        <v>0</v>
      </c>
      <c r="F9194" t="s">
        <v>19</v>
      </c>
      <c r="G9194" t="s">
        <v>20</v>
      </c>
      <c r="H9194" t="s">
        <v>21</v>
      </c>
      <c r="I9194" t="s">
        <v>20</v>
      </c>
      <c r="J9194" t="s">
        <v>20</v>
      </c>
      <c r="K9194" t="s">
        <v>27</v>
      </c>
      <c r="L9194" t="s">
        <v>158</v>
      </c>
      <c r="M9194" t="s">
        <v>159</v>
      </c>
      <c r="N9194">
        <v>39.600842</v>
      </c>
      <c r="O9194">
        <v>-110.828394</v>
      </c>
      <c r="P9194">
        <v>5487.5117929999997</v>
      </c>
      <c r="Q9194">
        <v>1360</v>
      </c>
      <c r="R9194">
        <v>0</v>
      </c>
    </row>
    <row r="9195" spans="1:18" x14ac:dyDescent="0.25">
      <c r="A9195">
        <v>9044</v>
      </c>
      <c r="B9195">
        <v>94</v>
      </c>
      <c r="C9195" t="e">
        <f>-IpypSkIF7yoXZ9eZa6pTF</f>
        <v>#NAME?</v>
      </c>
      <c r="D9195" t="s">
        <v>1067</v>
      </c>
      <c r="E9195">
        <v>0</v>
      </c>
      <c r="F9195" t="s">
        <v>21</v>
      </c>
      <c r="G9195" t="s">
        <v>361</v>
      </c>
      <c r="H9195" t="s">
        <v>21</v>
      </c>
      <c r="I9195" t="s">
        <v>20</v>
      </c>
      <c r="J9195" t="s">
        <v>20</v>
      </c>
      <c r="K9195" t="s">
        <v>31</v>
      </c>
      <c r="L9195" t="s">
        <v>285</v>
      </c>
      <c r="M9195" t="s">
        <v>123</v>
      </c>
      <c r="N9195">
        <v>40.822454999999998</v>
      </c>
      <c r="O9195">
        <v>-112.90394000000001</v>
      </c>
      <c r="P9195">
        <v>4633.3234510000002</v>
      </c>
      <c r="Q9195">
        <v>6663</v>
      </c>
      <c r="R9195">
        <v>0</v>
      </c>
    </row>
    <row r="9196" spans="1:18" x14ac:dyDescent="0.25">
      <c r="A9196">
        <v>9045</v>
      </c>
      <c r="B9196">
        <v>94</v>
      </c>
      <c r="C9196" t="e">
        <f>-JQuauvLFqDHTQdZndltfF</f>
        <v>#NAME?</v>
      </c>
      <c r="D9196" t="s">
        <v>1068</v>
      </c>
      <c r="E9196">
        <v>0</v>
      </c>
      <c r="F9196" t="s">
        <v>21</v>
      </c>
      <c r="G9196" t="s">
        <v>26</v>
      </c>
      <c r="H9196" t="s">
        <v>21</v>
      </c>
      <c r="I9196" t="s">
        <v>20</v>
      </c>
      <c r="J9196" t="s">
        <v>20</v>
      </c>
      <c r="K9196" t="s">
        <v>31</v>
      </c>
      <c r="L9196" t="s">
        <v>285</v>
      </c>
      <c r="M9196" t="s">
        <v>123</v>
      </c>
      <c r="N9196">
        <v>40.767958</v>
      </c>
      <c r="O9196">
        <v>-112.98384</v>
      </c>
      <c r="P9196">
        <v>4590.3280489999997</v>
      </c>
      <c r="Q9196">
        <v>321</v>
      </c>
      <c r="R9196">
        <v>0</v>
      </c>
    </row>
    <row r="9197" spans="1:18" x14ac:dyDescent="0.25">
      <c r="A9197">
        <v>9046</v>
      </c>
      <c r="B9197">
        <v>94</v>
      </c>
      <c r="C9197">
        <v>31756827</v>
      </c>
      <c r="D9197" t="s">
        <v>77</v>
      </c>
      <c r="E9197">
        <v>0</v>
      </c>
      <c r="F9197" t="s">
        <v>19</v>
      </c>
      <c r="G9197" t="s">
        <v>20</v>
      </c>
      <c r="H9197" t="s">
        <v>21</v>
      </c>
      <c r="I9197" t="s">
        <v>20</v>
      </c>
      <c r="J9197" t="s">
        <v>20</v>
      </c>
      <c r="K9197" t="s">
        <v>31</v>
      </c>
      <c r="L9197" t="s">
        <v>48</v>
      </c>
      <c r="M9197" t="s">
        <v>79</v>
      </c>
      <c r="N9197">
        <v>40.638550000000002</v>
      </c>
      <c r="O9197">
        <v>-112.024576</v>
      </c>
      <c r="P9197">
        <v>4761.6925700000002</v>
      </c>
      <c r="Q9197">
        <v>1436</v>
      </c>
      <c r="R9197">
        <v>0</v>
      </c>
    </row>
    <row r="9198" spans="1:18" x14ac:dyDescent="0.25">
      <c r="A9198">
        <v>9047</v>
      </c>
      <c r="B9198">
        <v>94</v>
      </c>
      <c r="C9198" t="e">
        <f>-Iq7Q_PXHyTE_zTHJ-MArV</f>
        <v>#NAME?</v>
      </c>
      <c r="D9198" t="s">
        <v>1069</v>
      </c>
      <c r="E9198">
        <v>0</v>
      </c>
      <c r="F9198" t="s">
        <v>21</v>
      </c>
      <c r="G9198" t="s">
        <v>26</v>
      </c>
      <c r="H9198" t="s">
        <v>21</v>
      </c>
      <c r="I9198" t="s">
        <v>20</v>
      </c>
      <c r="J9198" t="s">
        <v>20</v>
      </c>
      <c r="K9198" t="s">
        <v>27</v>
      </c>
      <c r="L9198" t="s">
        <v>405</v>
      </c>
      <c r="M9198" t="s">
        <v>238</v>
      </c>
      <c r="N9198">
        <v>39.113149999999997</v>
      </c>
      <c r="O9198">
        <v>-109.18329</v>
      </c>
      <c r="P9198">
        <v>4476.7146720000001</v>
      </c>
      <c r="Q9198">
        <v>1370</v>
      </c>
      <c r="R9198">
        <v>0</v>
      </c>
    </row>
    <row r="9199" spans="1:18" x14ac:dyDescent="0.25">
      <c r="A9199">
        <v>9048</v>
      </c>
      <c r="B9199">
        <v>94</v>
      </c>
      <c r="C9199">
        <v>28830190</v>
      </c>
      <c r="D9199" t="s">
        <v>316</v>
      </c>
      <c r="E9199">
        <v>0</v>
      </c>
      <c r="F9199" t="s">
        <v>21</v>
      </c>
      <c r="G9199" t="s">
        <v>26</v>
      </c>
      <c r="H9199" t="s">
        <v>21</v>
      </c>
      <c r="I9199" t="s">
        <v>20</v>
      </c>
      <c r="J9199" t="s">
        <v>20</v>
      </c>
      <c r="K9199" t="s">
        <v>31</v>
      </c>
      <c r="L9199" t="s">
        <v>130</v>
      </c>
      <c r="M9199" t="s">
        <v>302</v>
      </c>
      <c r="N9199">
        <v>40.610501999999997</v>
      </c>
      <c r="O9199">
        <v>-111.280697</v>
      </c>
      <c r="P9199">
        <v>6512.3945089999997</v>
      </c>
      <c r="Q9199">
        <v>1346</v>
      </c>
      <c r="R9199">
        <v>0</v>
      </c>
    </row>
    <row r="9200" spans="1:18" x14ac:dyDescent="0.25">
      <c r="A9200">
        <v>9049</v>
      </c>
      <c r="B9200">
        <v>94</v>
      </c>
      <c r="C9200">
        <v>27677688</v>
      </c>
      <c r="D9200" t="s">
        <v>217</v>
      </c>
      <c r="E9200">
        <v>0.19900000000000001</v>
      </c>
      <c r="F9200" t="s">
        <v>19</v>
      </c>
      <c r="G9200" t="s">
        <v>20</v>
      </c>
      <c r="H9200" t="s">
        <v>21</v>
      </c>
      <c r="I9200" t="s">
        <v>20</v>
      </c>
      <c r="J9200" t="s">
        <v>20</v>
      </c>
      <c r="K9200" t="s">
        <v>27</v>
      </c>
      <c r="L9200" t="s">
        <v>72</v>
      </c>
      <c r="M9200" t="s">
        <v>163</v>
      </c>
      <c r="N9200">
        <v>37.084215</v>
      </c>
      <c r="O9200">
        <v>-113.583142</v>
      </c>
      <c r="P9200">
        <v>2508.713373</v>
      </c>
      <c r="Q9200">
        <v>304</v>
      </c>
      <c r="R9200">
        <v>0</v>
      </c>
    </row>
    <row r="9201" spans="1:18" x14ac:dyDescent="0.25">
      <c r="A9201">
        <v>9050</v>
      </c>
      <c r="B9201">
        <v>94</v>
      </c>
      <c r="C9201">
        <v>31501402</v>
      </c>
      <c r="D9201" t="s">
        <v>292</v>
      </c>
      <c r="E9201">
        <v>1.0629999999999999</v>
      </c>
      <c r="F9201" t="s">
        <v>21</v>
      </c>
      <c r="G9201" t="s">
        <v>26</v>
      </c>
      <c r="H9201" t="s">
        <v>21</v>
      </c>
      <c r="I9201" t="s">
        <v>20</v>
      </c>
      <c r="J9201" t="s">
        <v>20</v>
      </c>
      <c r="K9201" t="s">
        <v>22</v>
      </c>
      <c r="L9201" t="s">
        <v>253</v>
      </c>
      <c r="M9201" t="s">
        <v>134</v>
      </c>
      <c r="N9201">
        <v>40.178804999999997</v>
      </c>
      <c r="O9201">
        <v>-110.399807</v>
      </c>
      <c r="P9201">
        <v>5600.1704959999997</v>
      </c>
      <c r="Q9201">
        <v>323</v>
      </c>
      <c r="R9201">
        <v>0</v>
      </c>
    </row>
    <row r="9202" spans="1:18" x14ac:dyDescent="0.25">
      <c r="A9202">
        <v>9051</v>
      </c>
      <c r="B9202">
        <v>94</v>
      </c>
      <c r="C9202">
        <v>27947364</v>
      </c>
      <c r="D9202" t="s">
        <v>281</v>
      </c>
      <c r="E9202">
        <v>1.0640000000000001</v>
      </c>
      <c r="F9202" t="s">
        <v>21</v>
      </c>
      <c r="G9202" t="s">
        <v>26</v>
      </c>
      <c r="H9202" t="s">
        <v>21</v>
      </c>
      <c r="I9202" t="s">
        <v>20</v>
      </c>
      <c r="J9202" t="s">
        <v>20</v>
      </c>
      <c r="K9202" t="s">
        <v>22</v>
      </c>
      <c r="L9202" t="s">
        <v>193</v>
      </c>
      <c r="M9202" t="s">
        <v>174</v>
      </c>
      <c r="N9202">
        <v>39.927428999999997</v>
      </c>
      <c r="O9202">
        <v>-112.16081699999999</v>
      </c>
      <c r="P9202">
        <v>5848.6394090000003</v>
      </c>
      <c r="Q9202">
        <v>1347</v>
      </c>
      <c r="R9202">
        <v>0</v>
      </c>
    </row>
    <row r="9203" spans="1:18" x14ac:dyDescent="0.25">
      <c r="A9203">
        <v>9052</v>
      </c>
      <c r="B9203">
        <v>94</v>
      </c>
      <c r="C9203">
        <v>1836184</v>
      </c>
      <c r="D9203" t="s">
        <v>83</v>
      </c>
      <c r="E9203">
        <v>1.0640000000000001</v>
      </c>
      <c r="F9203" t="s">
        <v>21</v>
      </c>
      <c r="G9203" t="s">
        <v>26</v>
      </c>
      <c r="H9203" t="s">
        <v>21</v>
      </c>
      <c r="I9203" t="s">
        <v>20</v>
      </c>
      <c r="J9203" t="s">
        <v>20</v>
      </c>
      <c r="K9203" t="s">
        <v>22</v>
      </c>
      <c r="L9203" t="s">
        <v>84</v>
      </c>
      <c r="M9203" t="s">
        <v>85</v>
      </c>
      <c r="N9203">
        <v>40.392268000000001</v>
      </c>
      <c r="O9203">
        <v>-111.79579099999999</v>
      </c>
      <c r="P9203">
        <v>4656.8631509999996</v>
      </c>
      <c r="Q9203">
        <v>319</v>
      </c>
      <c r="R9203">
        <v>0</v>
      </c>
    </row>
    <row r="9204" spans="1:18" x14ac:dyDescent="0.25">
      <c r="A9204">
        <v>9053</v>
      </c>
      <c r="B9204">
        <v>94</v>
      </c>
      <c r="C9204">
        <v>31534878</v>
      </c>
      <c r="D9204" t="s">
        <v>53</v>
      </c>
      <c r="E9204">
        <v>1.0649999999999999</v>
      </c>
      <c r="F9204" t="s">
        <v>21</v>
      </c>
      <c r="G9204" t="s">
        <v>26</v>
      </c>
      <c r="H9204" t="s">
        <v>21</v>
      </c>
      <c r="I9204" t="s">
        <v>20</v>
      </c>
      <c r="J9204" t="s">
        <v>20</v>
      </c>
      <c r="K9204" t="s">
        <v>27</v>
      </c>
      <c r="L9204" t="s">
        <v>54</v>
      </c>
      <c r="M9204" t="s">
        <v>55</v>
      </c>
      <c r="N9204">
        <v>37.674149999999997</v>
      </c>
      <c r="O9204">
        <v>-113.077884</v>
      </c>
      <c r="P9204">
        <v>5731.8337330000004</v>
      </c>
      <c r="Q9204">
        <v>1285</v>
      </c>
      <c r="R9204">
        <v>0</v>
      </c>
    </row>
    <row r="9205" spans="1:18" x14ac:dyDescent="0.25">
      <c r="A9205">
        <v>9054</v>
      </c>
      <c r="B9205">
        <v>94</v>
      </c>
      <c r="C9205">
        <v>31508231</v>
      </c>
      <c r="D9205" t="s">
        <v>132</v>
      </c>
      <c r="E9205">
        <v>1.069</v>
      </c>
      <c r="F9205" t="s">
        <v>21</v>
      </c>
      <c r="G9205" t="s">
        <v>26</v>
      </c>
      <c r="H9205" t="s">
        <v>21</v>
      </c>
      <c r="I9205" t="s">
        <v>20</v>
      </c>
      <c r="J9205" t="s">
        <v>20</v>
      </c>
      <c r="K9205" t="s">
        <v>22</v>
      </c>
      <c r="L9205" t="s">
        <v>133</v>
      </c>
      <c r="M9205" t="s">
        <v>134</v>
      </c>
      <c r="N9205">
        <v>40.307738999999998</v>
      </c>
      <c r="O9205">
        <v>-110.006055</v>
      </c>
      <c r="P9205">
        <v>5117.1809499999999</v>
      </c>
      <c r="Q9205">
        <v>1405</v>
      </c>
      <c r="R9205">
        <v>0</v>
      </c>
    </row>
    <row r="9206" spans="1:18" x14ac:dyDescent="0.25">
      <c r="A9206">
        <v>9055</v>
      </c>
      <c r="B9206">
        <v>94</v>
      </c>
      <c r="C9206">
        <v>31410860</v>
      </c>
      <c r="D9206" t="s">
        <v>129</v>
      </c>
      <c r="E9206">
        <v>1.07</v>
      </c>
      <c r="F9206" t="s">
        <v>21</v>
      </c>
      <c r="G9206" t="s">
        <v>26</v>
      </c>
      <c r="H9206" t="s">
        <v>21</v>
      </c>
      <c r="I9206" t="s">
        <v>20</v>
      </c>
      <c r="J9206" t="s">
        <v>20</v>
      </c>
      <c r="K9206" t="s">
        <v>31</v>
      </c>
      <c r="L9206" t="s">
        <v>130</v>
      </c>
      <c r="M9206" t="s">
        <v>131</v>
      </c>
      <c r="N9206">
        <v>40.639617000000001</v>
      </c>
      <c r="O9206">
        <v>-111.26151</v>
      </c>
      <c r="P9206">
        <v>6565.4008899999999</v>
      </c>
      <c r="Q9206">
        <v>340</v>
      </c>
      <c r="R9206">
        <v>0</v>
      </c>
    </row>
    <row r="9207" spans="1:18" x14ac:dyDescent="0.25">
      <c r="A9207">
        <v>9056</v>
      </c>
      <c r="B9207">
        <v>94</v>
      </c>
      <c r="C9207" t="e">
        <f>-JZs5MDDHbiyi6C6C6Y4MV</f>
        <v>#NAME?</v>
      </c>
      <c r="D9207" t="s">
        <v>199</v>
      </c>
      <c r="E9207">
        <v>0</v>
      </c>
      <c r="F9207" t="s">
        <v>21</v>
      </c>
      <c r="G9207" t="s">
        <v>26</v>
      </c>
      <c r="H9207" t="s">
        <v>19</v>
      </c>
      <c r="I9207">
        <v>160</v>
      </c>
      <c r="J9207" t="s">
        <v>20</v>
      </c>
      <c r="K9207" t="s">
        <v>27</v>
      </c>
      <c r="L9207" t="s">
        <v>103</v>
      </c>
      <c r="M9207" t="s">
        <v>200</v>
      </c>
      <c r="N9207">
        <v>38.276890000000002</v>
      </c>
      <c r="O9207">
        <v>-112.641276</v>
      </c>
      <c r="P9207">
        <v>5832.6590480000004</v>
      </c>
      <c r="Q9207">
        <v>341</v>
      </c>
      <c r="R9207">
        <v>0</v>
      </c>
    </row>
    <row r="9208" spans="1:18" x14ac:dyDescent="0.25">
      <c r="A9208">
        <v>9057</v>
      </c>
      <c r="B9208">
        <v>94</v>
      </c>
      <c r="C9208">
        <v>31660012</v>
      </c>
      <c r="D9208" t="s">
        <v>602</v>
      </c>
      <c r="E9208">
        <v>0</v>
      </c>
      <c r="F9208" t="s">
        <v>21</v>
      </c>
      <c r="G9208" t="s">
        <v>504</v>
      </c>
      <c r="H9208" t="s">
        <v>19</v>
      </c>
      <c r="I9208">
        <v>24</v>
      </c>
      <c r="J9208" t="s">
        <v>20</v>
      </c>
      <c r="K9208" t="s">
        <v>27</v>
      </c>
      <c r="L9208" t="s">
        <v>183</v>
      </c>
      <c r="M9208" t="s">
        <v>76</v>
      </c>
      <c r="N9208">
        <v>38.871169999999999</v>
      </c>
      <c r="O9208">
        <v>-111.961839</v>
      </c>
      <c r="P9208">
        <v>5181.7794800000001</v>
      </c>
      <c r="Q9208">
        <v>1280</v>
      </c>
      <c r="R9208">
        <v>0</v>
      </c>
    </row>
    <row r="9209" spans="1:18" x14ac:dyDescent="0.25">
      <c r="A9209">
        <v>9058</v>
      </c>
      <c r="B9209">
        <v>94</v>
      </c>
      <c r="C9209">
        <v>31299934</v>
      </c>
      <c r="D9209" t="s">
        <v>116</v>
      </c>
      <c r="E9209">
        <v>0</v>
      </c>
      <c r="F9209" t="s">
        <v>21</v>
      </c>
      <c r="G9209" t="s">
        <v>26</v>
      </c>
      <c r="H9209" t="s">
        <v>21</v>
      </c>
      <c r="I9209" t="s">
        <v>20</v>
      </c>
      <c r="J9209" t="s">
        <v>20</v>
      </c>
      <c r="K9209" t="s">
        <v>41</v>
      </c>
      <c r="L9209" t="s">
        <v>177</v>
      </c>
      <c r="M9209" t="s">
        <v>43</v>
      </c>
      <c r="N9209">
        <v>41.485619999999997</v>
      </c>
      <c r="O9209">
        <v>-112.05421200000001</v>
      </c>
      <c r="P9209">
        <v>4195.3538660000004</v>
      </c>
      <c r="Q9209">
        <v>324</v>
      </c>
      <c r="R9209">
        <v>0</v>
      </c>
    </row>
    <row r="9210" spans="1:18" x14ac:dyDescent="0.25">
      <c r="A9210">
        <v>9059</v>
      </c>
      <c r="B9210">
        <v>94</v>
      </c>
      <c r="C9210">
        <v>31386223</v>
      </c>
      <c r="D9210" t="s">
        <v>369</v>
      </c>
      <c r="E9210">
        <v>0</v>
      </c>
      <c r="F9210" t="s">
        <v>19</v>
      </c>
      <c r="G9210" t="s">
        <v>20</v>
      </c>
      <c r="H9210" t="s">
        <v>21</v>
      </c>
      <c r="I9210" t="s">
        <v>20</v>
      </c>
      <c r="J9210" t="s">
        <v>20</v>
      </c>
      <c r="K9210" t="s">
        <v>22</v>
      </c>
      <c r="L9210" t="s">
        <v>198</v>
      </c>
      <c r="M9210" t="s">
        <v>76</v>
      </c>
      <c r="N9210">
        <v>40.031429000000003</v>
      </c>
      <c r="O9210">
        <v>-111.758723</v>
      </c>
      <c r="P9210">
        <v>4578.1769649999997</v>
      </c>
      <c r="Q9210">
        <v>347</v>
      </c>
      <c r="R9210">
        <v>0</v>
      </c>
    </row>
    <row r="9211" spans="1:18" x14ac:dyDescent="0.25">
      <c r="A9211">
        <v>9060</v>
      </c>
      <c r="B9211">
        <v>94</v>
      </c>
      <c r="C9211">
        <v>31632121</v>
      </c>
      <c r="D9211" t="s">
        <v>260</v>
      </c>
      <c r="E9211">
        <v>0</v>
      </c>
      <c r="F9211" t="s">
        <v>19</v>
      </c>
      <c r="G9211" t="s">
        <v>20</v>
      </c>
      <c r="H9211" t="s">
        <v>21</v>
      </c>
      <c r="I9211" t="s">
        <v>20</v>
      </c>
      <c r="J9211" t="s">
        <v>20</v>
      </c>
      <c r="K9211" t="s">
        <v>41</v>
      </c>
      <c r="L9211" t="s">
        <v>81</v>
      </c>
      <c r="M9211" t="s">
        <v>46</v>
      </c>
      <c r="N9211">
        <v>41.218944999999998</v>
      </c>
      <c r="O9211">
        <v>-112.005608</v>
      </c>
      <c r="P9211">
        <v>4271.1818860000003</v>
      </c>
      <c r="Q9211">
        <v>1358</v>
      </c>
      <c r="R9211">
        <v>0</v>
      </c>
    </row>
    <row r="9212" spans="1:18" x14ac:dyDescent="0.25">
      <c r="A9212">
        <v>9061</v>
      </c>
      <c r="B9212">
        <v>94</v>
      </c>
      <c r="C9212" t="s">
        <v>1070</v>
      </c>
      <c r="D9212" t="s">
        <v>1071</v>
      </c>
      <c r="E9212">
        <v>0</v>
      </c>
      <c r="F9212" t="s">
        <v>21</v>
      </c>
      <c r="G9212" t="s">
        <v>26</v>
      </c>
      <c r="H9212" t="s">
        <v>21</v>
      </c>
      <c r="I9212" t="s">
        <v>20</v>
      </c>
      <c r="J9212" t="s">
        <v>20</v>
      </c>
      <c r="K9212" t="s">
        <v>41</v>
      </c>
      <c r="L9212" t="s">
        <v>223</v>
      </c>
      <c r="M9212" t="s">
        <v>43</v>
      </c>
      <c r="N9212">
        <v>41.976861</v>
      </c>
      <c r="O9212">
        <v>-112.189075</v>
      </c>
      <c r="P9212">
        <v>4419.30422</v>
      </c>
      <c r="Q9212">
        <v>1333</v>
      </c>
      <c r="R9212">
        <v>0</v>
      </c>
    </row>
    <row r="9213" spans="1:18" x14ac:dyDescent="0.25">
      <c r="A9213">
        <v>9062</v>
      </c>
      <c r="B9213">
        <v>94</v>
      </c>
      <c r="C9213">
        <v>28323569</v>
      </c>
      <c r="D9213" t="s">
        <v>160</v>
      </c>
      <c r="E9213">
        <v>0.17699999999999999</v>
      </c>
      <c r="F9213" t="s">
        <v>21</v>
      </c>
      <c r="G9213" t="s">
        <v>26</v>
      </c>
      <c r="H9213" t="s">
        <v>21</v>
      </c>
      <c r="I9213" t="s">
        <v>20</v>
      </c>
      <c r="J9213" t="s">
        <v>20</v>
      </c>
      <c r="K9213" t="s">
        <v>27</v>
      </c>
      <c r="L9213" t="s">
        <v>72</v>
      </c>
      <c r="M9213" t="s">
        <v>73</v>
      </c>
      <c r="N9213">
        <v>37.213481000000002</v>
      </c>
      <c r="O9213">
        <v>-113.27218999999999</v>
      </c>
      <c r="P9213">
        <v>3163.982923</v>
      </c>
      <c r="Q9213">
        <v>1335</v>
      </c>
      <c r="R9213">
        <v>0</v>
      </c>
    </row>
    <row r="9214" spans="1:18" x14ac:dyDescent="0.25">
      <c r="A9214">
        <v>9063</v>
      </c>
      <c r="B9214">
        <v>94</v>
      </c>
      <c r="C9214">
        <v>1095479</v>
      </c>
      <c r="D9214" t="s">
        <v>101</v>
      </c>
      <c r="E9214">
        <v>0.51</v>
      </c>
      <c r="F9214" t="s">
        <v>21</v>
      </c>
      <c r="G9214" t="s">
        <v>26</v>
      </c>
      <c r="H9214" t="s">
        <v>21</v>
      </c>
      <c r="I9214" t="s">
        <v>20</v>
      </c>
      <c r="J9214" t="s">
        <v>20</v>
      </c>
      <c r="K9214" t="s">
        <v>41</v>
      </c>
      <c r="L9214" t="s">
        <v>57</v>
      </c>
      <c r="M9214" t="s">
        <v>58</v>
      </c>
      <c r="N9214">
        <v>41.118118000000003</v>
      </c>
      <c r="O9214">
        <v>-112.102808</v>
      </c>
      <c r="P9214">
        <v>4213.7309649999997</v>
      </c>
      <c r="Q9214">
        <v>328</v>
      </c>
      <c r="R9214">
        <v>0</v>
      </c>
    </row>
    <row r="9215" spans="1:18" x14ac:dyDescent="0.25">
      <c r="A9215">
        <v>9064</v>
      </c>
      <c r="B9215">
        <v>94</v>
      </c>
      <c r="C9215">
        <v>31290336</v>
      </c>
      <c r="D9215" t="s">
        <v>203</v>
      </c>
      <c r="E9215">
        <v>0.51100000000000001</v>
      </c>
      <c r="F9215" t="s">
        <v>21</v>
      </c>
      <c r="G9215" t="s">
        <v>26</v>
      </c>
      <c r="H9215" t="s">
        <v>21</v>
      </c>
      <c r="I9215" t="s">
        <v>20</v>
      </c>
      <c r="J9215" t="s">
        <v>20</v>
      </c>
      <c r="K9215" t="s">
        <v>41</v>
      </c>
      <c r="L9215" t="s">
        <v>57</v>
      </c>
      <c r="M9215" t="s">
        <v>204</v>
      </c>
      <c r="N9215">
        <v>41.244432000000003</v>
      </c>
      <c r="O9215">
        <v>-112.083136</v>
      </c>
      <c r="P9215">
        <v>4182.4716790000002</v>
      </c>
      <c r="Q9215">
        <v>1349</v>
      </c>
      <c r="R9215">
        <v>0</v>
      </c>
    </row>
    <row r="9216" spans="1:18" x14ac:dyDescent="0.25">
      <c r="A9216">
        <v>9065</v>
      </c>
      <c r="B9216">
        <v>94</v>
      </c>
      <c r="C9216">
        <v>506545</v>
      </c>
      <c r="D9216" t="s">
        <v>135</v>
      </c>
      <c r="E9216">
        <v>0.51100000000000001</v>
      </c>
      <c r="F9216" t="s">
        <v>19</v>
      </c>
      <c r="G9216" t="s">
        <v>20</v>
      </c>
      <c r="H9216" t="s">
        <v>21</v>
      </c>
      <c r="I9216" t="s">
        <v>20</v>
      </c>
      <c r="J9216" t="s">
        <v>20</v>
      </c>
      <c r="K9216" t="s">
        <v>31</v>
      </c>
      <c r="L9216" t="s">
        <v>48</v>
      </c>
      <c r="M9216" t="s">
        <v>144</v>
      </c>
      <c r="N9216">
        <v>40.562193999999998</v>
      </c>
      <c r="O9216">
        <v>-111.967291</v>
      </c>
      <c r="P9216">
        <v>4555.5623850000002</v>
      </c>
      <c r="Q9216">
        <v>1423</v>
      </c>
      <c r="R9216">
        <v>0</v>
      </c>
    </row>
    <row r="9217" spans="1:18" x14ac:dyDescent="0.25">
      <c r="A9217">
        <v>9066</v>
      </c>
      <c r="B9217">
        <v>94</v>
      </c>
      <c r="C9217">
        <v>2129142</v>
      </c>
      <c r="D9217" t="s">
        <v>304</v>
      </c>
      <c r="E9217">
        <v>0.51300000000000001</v>
      </c>
      <c r="F9217" t="s">
        <v>21</v>
      </c>
      <c r="G9217" t="s">
        <v>26</v>
      </c>
      <c r="H9217" t="s">
        <v>21</v>
      </c>
      <c r="I9217" t="s">
        <v>20</v>
      </c>
      <c r="J9217" t="s">
        <v>20</v>
      </c>
      <c r="K9217" t="s">
        <v>41</v>
      </c>
      <c r="L9217" t="s">
        <v>177</v>
      </c>
      <c r="M9217" t="s">
        <v>43</v>
      </c>
      <c r="N9217">
        <v>41.535803999999999</v>
      </c>
      <c r="O9217">
        <v>-112.01535699999999</v>
      </c>
      <c r="P9217">
        <v>4211.6492129999997</v>
      </c>
      <c r="Q9217">
        <v>1348</v>
      </c>
      <c r="R9217">
        <v>0</v>
      </c>
    </row>
    <row r="9218" spans="1:18" x14ac:dyDescent="0.25">
      <c r="A9218">
        <v>9067</v>
      </c>
      <c r="B9218">
        <v>94</v>
      </c>
      <c r="C9218">
        <v>31269420</v>
      </c>
      <c r="D9218" t="s">
        <v>278</v>
      </c>
      <c r="E9218">
        <v>0.51300000000000001</v>
      </c>
      <c r="F9218" t="s">
        <v>21</v>
      </c>
      <c r="G9218" t="s">
        <v>26</v>
      </c>
      <c r="H9218" t="s">
        <v>21</v>
      </c>
      <c r="I9218" t="s">
        <v>20</v>
      </c>
      <c r="J9218" t="s">
        <v>20</v>
      </c>
      <c r="K9218" t="s">
        <v>27</v>
      </c>
      <c r="L9218" t="s">
        <v>501</v>
      </c>
      <c r="M9218" t="s">
        <v>280</v>
      </c>
      <c r="N9218">
        <v>37.67718</v>
      </c>
      <c r="O9218">
        <v>-113.05236499999999</v>
      </c>
      <c r="P9218">
        <v>5814.5063730000002</v>
      </c>
      <c r="Q9218">
        <v>1330</v>
      </c>
      <c r="R9218">
        <v>0</v>
      </c>
    </row>
    <row r="9219" spans="1:18" x14ac:dyDescent="0.25">
      <c r="A9219">
        <v>9068</v>
      </c>
      <c r="B9219">
        <v>94</v>
      </c>
      <c r="C9219">
        <v>31764301</v>
      </c>
      <c r="D9219" t="s">
        <v>312</v>
      </c>
      <c r="E9219">
        <v>0.51400000000000001</v>
      </c>
      <c r="F9219" t="s">
        <v>21</v>
      </c>
      <c r="G9219" t="s">
        <v>26</v>
      </c>
      <c r="H9219" t="s">
        <v>21</v>
      </c>
      <c r="I9219" t="s">
        <v>20</v>
      </c>
      <c r="J9219" t="s">
        <v>20</v>
      </c>
      <c r="K9219" t="s">
        <v>27</v>
      </c>
      <c r="L9219" t="s">
        <v>143</v>
      </c>
      <c r="M9219" t="s">
        <v>313</v>
      </c>
      <c r="N9219">
        <v>38.404477</v>
      </c>
      <c r="O9219">
        <v>-113.009866</v>
      </c>
      <c r="P9219">
        <v>4924.7904319999998</v>
      </c>
      <c r="Q9219">
        <v>255</v>
      </c>
      <c r="R9219">
        <v>0</v>
      </c>
    </row>
    <row r="9220" spans="1:18" x14ac:dyDescent="0.25">
      <c r="A9220">
        <v>9069</v>
      </c>
      <c r="B9220">
        <v>94</v>
      </c>
      <c r="C9220">
        <v>1128175</v>
      </c>
      <c r="D9220" t="s">
        <v>56</v>
      </c>
      <c r="E9220">
        <v>0.51500000000000001</v>
      </c>
      <c r="F9220" t="s">
        <v>21</v>
      </c>
      <c r="G9220" t="s">
        <v>26</v>
      </c>
      <c r="H9220" t="s">
        <v>21</v>
      </c>
      <c r="I9220" t="s">
        <v>20</v>
      </c>
      <c r="J9220" t="s">
        <v>20</v>
      </c>
      <c r="K9220" t="s">
        <v>41</v>
      </c>
      <c r="L9220" t="s">
        <v>57</v>
      </c>
      <c r="M9220" t="s">
        <v>58</v>
      </c>
      <c r="N9220">
        <v>41.163913999999998</v>
      </c>
      <c r="O9220">
        <v>-112.112903</v>
      </c>
      <c r="P9220">
        <v>4185.9667799999997</v>
      </c>
      <c r="Q9220">
        <v>1459</v>
      </c>
      <c r="R9220">
        <v>0</v>
      </c>
    </row>
    <row r="9221" spans="1:18" x14ac:dyDescent="0.25">
      <c r="A9221">
        <v>9070</v>
      </c>
      <c r="B9221">
        <v>94</v>
      </c>
      <c r="C9221">
        <v>31193003</v>
      </c>
      <c r="D9221" t="s">
        <v>395</v>
      </c>
      <c r="E9221">
        <v>0.51500000000000001</v>
      </c>
      <c r="F9221" t="s">
        <v>21</v>
      </c>
      <c r="G9221" t="s">
        <v>26</v>
      </c>
      <c r="H9221" t="s">
        <v>21</v>
      </c>
      <c r="I9221" t="s">
        <v>20</v>
      </c>
      <c r="J9221" t="s">
        <v>20</v>
      </c>
      <c r="K9221" t="s">
        <v>27</v>
      </c>
      <c r="L9221" t="s">
        <v>165</v>
      </c>
      <c r="M9221" t="s">
        <v>166</v>
      </c>
      <c r="N9221">
        <v>38.801397999999999</v>
      </c>
      <c r="O9221">
        <v>-112.437707</v>
      </c>
      <c r="P9221">
        <v>4953.3789459999998</v>
      </c>
      <c r="Q9221">
        <v>335</v>
      </c>
      <c r="R9221">
        <v>0</v>
      </c>
    </row>
    <row r="9222" spans="1:18" x14ac:dyDescent="0.25">
      <c r="A9222">
        <v>9071</v>
      </c>
      <c r="B9222">
        <v>94</v>
      </c>
      <c r="C9222">
        <v>31631246</v>
      </c>
      <c r="D9222" t="s">
        <v>402</v>
      </c>
      <c r="E9222">
        <v>0.51600000000000001</v>
      </c>
      <c r="F9222" t="s">
        <v>21</v>
      </c>
      <c r="G9222" t="s">
        <v>26</v>
      </c>
      <c r="H9222" t="s">
        <v>21</v>
      </c>
      <c r="I9222" t="s">
        <v>20</v>
      </c>
      <c r="J9222" t="s">
        <v>20</v>
      </c>
      <c r="K9222" t="s">
        <v>27</v>
      </c>
      <c r="L9222" t="s">
        <v>350</v>
      </c>
      <c r="M9222" t="s">
        <v>58</v>
      </c>
      <c r="N9222">
        <v>39.361584000000001</v>
      </c>
      <c r="O9222">
        <v>-111.577145</v>
      </c>
      <c r="P9222">
        <v>5509.9186909999999</v>
      </c>
      <c r="Q9222">
        <v>438</v>
      </c>
      <c r="R9222">
        <v>0</v>
      </c>
    </row>
    <row r="9223" spans="1:18" x14ac:dyDescent="0.25">
      <c r="A9223">
        <v>9072</v>
      </c>
      <c r="B9223">
        <v>94</v>
      </c>
      <c r="C9223">
        <v>31657119</v>
      </c>
      <c r="D9223" t="s">
        <v>156</v>
      </c>
      <c r="E9223">
        <v>0.26300000000000001</v>
      </c>
      <c r="F9223" t="s">
        <v>21</v>
      </c>
      <c r="G9223" t="s">
        <v>20</v>
      </c>
      <c r="H9223" t="s">
        <v>21</v>
      </c>
      <c r="I9223" t="s">
        <v>20</v>
      </c>
      <c r="J9223" t="s">
        <v>20</v>
      </c>
      <c r="K9223" t="s">
        <v>41</v>
      </c>
      <c r="L9223" t="s">
        <v>81</v>
      </c>
      <c r="M9223" t="s">
        <v>93</v>
      </c>
      <c r="N9223">
        <v>41.263112</v>
      </c>
      <c r="O9223">
        <v>-111.969572</v>
      </c>
      <c r="P9223">
        <v>4238.1691959999998</v>
      </c>
      <c r="Q9223">
        <v>424</v>
      </c>
      <c r="R9223">
        <v>0</v>
      </c>
    </row>
    <row r="9224" spans="1:18" x14ac:dyDescent="0.25">
      <c r="A9224">
        <v>9073</v>
      </c>
      <c r="B9224">
        <v>94</v>
      </c>
      <c r="C9224">
        <v>31399323</v>
      </c>
      <c r="D9224" t="s">
        <v>139</v>
      </c>
      <c r="E9224">
        <v>0.26400000000000001</v>
      </c>
      <c r="F9224" t="s">
        <v>19</v>
      </c>
      <c r="G9224" t="s">
        <v>20</v>
      </c>
      <c r="H9224" t="s">
        <v>21</v>
      </c>
      <c r="I9224" t="s">
        <v>20</v>
      </c>
      <c r="J9224" t="s">
        <v>20</v>
      </c>
      <c r="K9224" t="s">
        <v>22</v>
      </c>
      <c r="L9224" t="s">
        <v>140</v>
      </c>
      <c r="M9224" t="s">
        <v>141</v>
      </c>
      <c r="N9224">
        <v>40.109780999999998</v>
      </c>
      <c r="O9224">
        <v>-111.654768</v>
      </c>
      <c r="P9224">
        <v>4527.4389689999998</v>
      </c>
      <c r="Q9224">
        <v>342</v>
      </c>
      <c r="R9224">
        <v>0</v>
      </c>
    </row>
    <row r="9225" spans="1:18" x14ac:dyDescent="0.25">
      <c r="A9225">
        <v>9074</v>
      </c>
      <c r="B9225">
        <v>94</v>
      </c>
      <c r="C9225">
        <v>31402598</v>
      </c>
      <c r="D9225" t="s">
        <v>257</v>
      </c>
      <c r="E9225">
        <v>0.26500000000000001</v>
      </c>
      <c r="F9225" t="s">
        <v>21</v>
      </c>
      <c r="G9225" t="s">
        <v>26</v>
      </c>
      <c r="H9225" t="s">
        <v>21</v>
      </c>
      <c r="I9225" t="s">
        <v>20</v>
      </c>
      <c r="J9225" t="s">
        <v>20</v>
      </c>
      <c r="K9225" t="s">
        <v>22</v>
      </c>
      <c r="L9225" t="s">
        <v>140</v>
      </c>
      <c r="M9225" t="s">
        <v>76</v>
      </c>
      <c r="N9225">
        <v>40.085335999999998</v>
      </c>
      <c r="O9225">
        <v>-111.698329</v>
      </c>
      <c r="P9225">
        <v>4485.6347809999997</v>
      </c>
      <c r="Q9225">
        <v>1433</v>
      </c>
      <c r="R9225">
        <v>0</v>
      </c>
    </row>
    <row r="9226" spans="1:18" x14ac:dyDescent="0.25">
      <c r="A9226">
        <v>9075</v>
      </c>
      <c r="B9226">
        <v>94</v>
      </c>
      <c r="C9226" t="e">
        <f>-JQEq7-MI1TkLoq7V_NKQk</f>
        <v>#NAME?</v>
      </c>
      <c r="D9226" t="s">
        <v>993</v>
      </c>
      <c r="E9226">
        <v>0.26500000000000001</v>
      </c>
      <c r="F9226" t="s">
        <v>21</v>
      </c>
      <c r="G9226" t="s">
        <v>504</v>
      </c>
      <c r="H9226" t="s">
        <v>21</v>
      </c>
      <c r="I9226" t="s">
        <v>20</v>
      </c>
      <c r="J9226" t="s">
        <v>20</v>
      </c>
      <c r="K9226" t="s">
        <v>27</v>
      </c>
      <c r="L9226" t="s">
        <v>103</v>
      </c>
      <c r="M9226" t="s">
        <v>125</v>
      </c>
      <c r="N9226">
        <v>38.128763999999997</v>
      </c>
      <c r="O9226">
        <v>-112.625011</v>
      </c>
      <c r="P9226">
        <v>6189.132509</v>
      </c>
      <c r="Q9226">
        <v>1333</v>
      </c>
      <c r="R9226">
        <v>0</v>
      </c>
    </row>
    <row r="9227" spans="1:18" x14ac:dyDescent="0.25">
      <c r="A9227">
        <v>9076</v>
      </c>
      <c r="B9227">
        <v>94</v>
      </c>
      <c r="C9227">
        <v>31596361</v>
      </c>
      <c r="D9227" t="s">
        <v>232</v>
      </c>
      <c r="E9227">
        <v>0.26600000000000001</v>
      </c>
      <c r="F9227" t="s">
        <v>21</v>
      </c>
      <c r="G9227" t="s">
        <v>26</v>
      </c>
      <c r="H9227" t="s">
        <v>21</v>
      </c>
      <c r="I9227" t="s">
        <v>20</v>
      </c>
      <c r="J9227" t="s">
        <v>20</v>
      </c>
      <c r="K9227" t="s">
        <v>31</v>
      </c>
      <c r="L9227" t="s">
        <v>209</v>
      </c>
      <c r="M9227" t="s">
        <v>131</v>
      </c>
      <c r="N9227">
        <v>40.661473999999998</v>
      </c>
      <c r="O9227">
        <v>-111.504676</v>
      </c>
      <c r="P9227">
        <v>6761.112239</v>
      </c>
      <c r="Q9227">
        <v>1279</v>
      </c>
      <c r="R9227">
        <v>0</v>
      </c>
    </row>
    <row r="9228" spans="1:18" x14ac:dyDescent="0.25">
      <c r="A9228">
        <v>9077</v>
      </c>
      <c r="B9228">
        <v>94</v>
      </c>
      <c r="C9228">
        <v>31307682</v>
      </c>
      <c r="D9228" t="s">
        <v>215</v>
      </c>
      <c r="E9228">
        <v>0.26700000000000002</v>
      </c>
      <c r="F9228" t="s">
        <v>21</v>
      </c>
      <c r="G9228" t="s">
        <v>26</v>
      </c>
      <c r="H9228" t="s">
        <v>21</v>
      </c>
      <c r="I9228" t="s">
        <v>20</v>
      </c>
      <c r="J9228" t="s">
        <v>20</v>
      </c>
      <c r="K9228" t="s">
        <v>22</v>
      </c>
      <c r="L9228" t="s">
        <v>23</v>
      </c>
      <c r="M9228" t="s">
        <v>85</v>
      </c>
      <c r="N9228">
        <v>40.233778999999998</v>
      </c>
      <c r="O9228">
        <v>-111.67274</v>
      </c>
      <c r="P9228">
        <v>4481.8374059999996</v>
      </c>
      <c r="Q9228">
        <v>330</v>
      </c>
      <c r="R9228">
        <v>0</v>
      </c>
    </row>
    <row r="9229" spans="1:18" x14ac:dyDescent="0.25">
      <c r="A9229">
        <v>9078</v>
      </c>
      <c r="B9229">
        <v>94</v>
      </c>
      <c r="C9229">
        <v>1666968</v>
      </c>
      <c r="D9229" t="s">
        <v>175</v>
      </c>
      <c r="E9229">
        <v>0.26700000000000002</v>
      </c>
      <c r="F9229" t="s">
        <v>19</v>
      </c>
      <c r="G9229" t="s">
        <v>20</v>
      </c>
      <c r="H9229" t="s">
        <v>21</v>
      </c>
      <c r="I9229" t="s">
        <v>20</v>
      </c>
      <c r="J9229" t="s">
        <v>20</v>
      </c>
      <c r="K9229" t="s">
        <v>41</v>
      </c>
      <c r="L9229" t="s">
        <v>87</v>
      </c>
      <c r="M9229" t="s">
        <v>93</v>
      </c>
      <c r="N9229">
        <v>41.060122</v>
      </c>
      <c r="O9229">
        <v>-111.961032</v>
      </c>
      <c r="P9229">
        <v>4305.408864</v>
      </c>
      <c r="Q9229">
        <v>1397</v>
      </c>
      <c r="R9229">
        <v>0</v>
      </c>
    </row>
    <row r="9230" spans="1:18" x14ac:dyDescent="0.25">
      <c r="A9230">
        <v>9079</v>
      </c>
      <c r="B9230">
        <v>94</v>
      </c>
      <c r="C9230">
        <v>31420423</v>
      </c>
      <c r="D9230" t="s">
        <v>216</v>
      </c>
      <c r="E9230">
        <v>0.26900000000000002</v>
      </c>
      <c r="F9230" t="s">
        <v>21</v>
      </c>
      <c r="G9230" t="s">
        <v>26</v>
      </c>
      <c r="H9230" t="s">
        <v>21</v>
      </c>
      <c r="I9230" t="s">
        <v>20</v>
      </c>
      <c r="J9230" t="s">
        <v>20</v>
      </c>
      <c r="K9230" t="s">
        <v>27</v>
      </c>
      <c r="L9230" t="s">
        <v>158</v>
      </c>
      <c r="M9230" t="s">
        <v>159</v>
      </c>
      <c r="N9230">
        <v>39.681353999999999</v>
      </c>
      <c r="O9230">
        <v>-110.854743</v>
      </c>
      <c r="P9230">
        <v>5762.2979720000003</v>
      </c>
      <c r="Q9230">
        <v>1428</v>
      </c>
      <c r="R9230">
        <v>0</v>
      </c>
    </row>
    <row r="9231" spans="1:18" x14ac:dyDescent="0.25">
      <c r="A9231">
        <v>9080</v>
      </c>
      <c r="B9231">
        <v>94</v>
      </c>
      <c r="C9231">
        <v>31757600</v>
      </c>
      <c r="D9231" t="s">
        <v>105</v>
      </c>
      <c r="E9231">
        <v>0.27</v>
      </c>
      <c r="F9231" t="s">
        <v>21</v>
      </c>
      <c r="G9231" t="s">
        <v>26</v>
      </c>
      <c r="H9231" t="s">
        <v>21</v>
      </c>
      <c r="I9231" t="s">
        <v>20</v>
      </c>
      <c r="J9231" t="s">
        <v>20</v>
      </c>
      <c r="K9231" t="s">
        <v>27</v>
      </c>
      <c r="L9231" t="s">
        <v>51</v>
      </c>
      <c r="M9231" t="s">
        <v>106</v>
      </c>
      <c r="N9231">
        <v>37.85324</v>
      </c>
      <c r="O9231">
        <v>-112.823815</v>
      </c>
      <c r="P9231">
        <v>5873.5070470000001</v>
      </c>
      <c r="Q9231">
        <v>432</v>
      </c>
      <c r="R9231">
        <v>0</v>
      </c>
    </row>
    <row r="9232" spans="1:18" x14ac:dyDescent="0.25">
      <c r="A9232">
        <v>9081</v>
      </c>
      <c r="B9232">
        <v>94</v>
      </c>
      <c r="C9232">
        <v>1366831</v>
      </c>
      <c r="D9232" t="s">
        <v>100</v>
      </c>
      <c r="E9232">
        <v>0.27100000000000002</v>
      </c>
      <c r="F9232" t="s">
        <v>19</v>
      </c>
      <c r="G9232" t="s">
        <v>20</v>
      </c>
      <c r="H9232" t="s">
        <v>21</v>
      </c>
      <c r="I9232" t="s">
        <v>20</v>
      </c>
      <c r="J9232" t="s">
        <v>20</v>
      </c>
      <c r="K9232" t="s">
        <v>41</v>
      </c>
      <c r="L9232" t="s">
        <v>57</v>
      </c>
      <c r="M9232" t="s">
        <v>46</v>
      </c>
      <c r="N9232">
        <v>41.089199999999998</v>
      </c>
      <c r="O9232">
        <v>-111.993009</v>
      </c>
      <c r="P9232">
        <v>4428.4726629999996</v>
      </c>
      <c r="Q9232">
        <v>1396</v>
      </c>
      <c r="R9232">
        <v>0</v>
      </c>
    </row>
    <row r="9233" spans="1:18" x14ac:dyDescent="0.25">
      <c r="A9233">
        <v>9082</v>
      </c>
      <c r="B9233">
        <v>94</v>
      </c>
      <c r="C9233">
        <v>31387527</v>
      </c>
      <c r="D9233" t="s">
        <v>364</v>
      </c>
      <c r="E9233">
        <v>0.27100000000000002</v>
      </c>
      <c r="F9233" t="s">
        <v>21</v>
      </c>
      <c r="G9233" t="s">
        <v>26</v>
      </c>
      <c r="H9233" t="s">
        <v>21</v>
      </c>
      <c r="I9233" t="s">
        <v>20</v>
      </c>
      <c r="J9233" t="s">
        <v>20</v>
      </c>
      <c r="K9233" t="s">
        <v>22</v>
      </c>
      <c r="L9233" t="s">
        <v>198</v>
      </c>
      <c r="M9233" t="s">
        <v>85</v>
      </c>
      <c r="N9233">
        <v>40.0486</v>
      </c>
      <c r="O9233">
        <v>-111.732286</v>
      </c>
      <c r="P9233">
        <v>4569.8403719999997</v>
      </c>
      <c r="Q9233">
        <v>1401</v>
      </c>
      <c r="R9233">
        <v>0</v>
      </c>
    </row>
    <row r="9234" spans="1:18" x14ac:dyDescent="0.25">
      <c r="A9234">
        <v>9083</v>
      </c>
      <c r="B9234">
        <v>94</v>
      </c>
      <c r="C9234">
        <v>31520754</v>
      </c>
      <c r="D9234" t="s">
        <v>148</v>
      </c>
      <c r="E9234">
        <v>0.27200000000000002</v>
      </c>
      <c r="F9234" t="s">
        <v>21</v>
      </c>
      <c r="G9234" t="s">
        <v>20</v>
      </c>
      <c r="H9234" t="s">
        <v>21</v>
      </c>
      <c r="I9234" t="s">
        <v>20</v>
      </c>
      <c r="J9234" t="s">
        <v>20</v>
      </c>
      <c r="K9234" t="s">
        <v>31</v>
      </c>
      <c r="L9234" t="s">
        <v>149</v>
      </c>
      <c r="M9234" t="s">
        <v>131</v>
      </c>
      <c r="N9234">
        <v>40.753805999999997</v>
      </c>
      <c r="O9234">
        <v>-111.371925</v>
      </c>
      <c r="P9234">
        <v>5998.1156199999996</v>
      </c>
      <c r="Q9234">
        <v>263</v>
      </c>
      <c r="R9234">
        <v>0</v>
      </c>
    </row>
    <row r="9235" spans="1:18" x14ac:dyDescent="0.25">
      <c r="A9235">
        <v>9084</v>
      </c>
      <c r="B9235">
        <v>94</v>
      </c>
      <c r="C9235">
        <v>493765</v>
      </c>
      <c r="D9235" t="s">
        <v>249</v>
      </c>
      <c r="E9235">
        <v>0.27200000000000002</v>
      </c>
      <c r="F9235" t="s">
        <v>21</v>
      </c>
      <c r="G9235" t="s">
        <v>26</v>
      </c>
      <c r="H9235" t="s">
        <v>21</v>
      </c>
      <c r="I9235" t="s">
        <v>20</v>
      </c>
      <c r="J9235" t="s">
        <v>20</v>
      </c>
      <c r="K9235" t="s">
        <v>31</v>
      </c>
      <c r="L9235" t="s">
        <v>89</v>
      </c>
      <c r="M9235" t="s">
        <v>24</v>
      </c>
      <c r="N9235">
        <v>40.486379999999997</v>
      </c>
      <c r="O9235">
        <v>-111.938987</v>
      </c>
      <c r="P9235">
        <v>4366.8900999999996</v>
      </c>
      <c r="Q9235">
        <v>337</v>
      </c>
      <c r="R9235">
        <v>0</v>
      </c>
    </row>
    <row r="9236" spans="1:18" x14ac:dyDescent="0.25">
      <c r="A9236">
        <v>9085</v>
      </c>
      <c r="B9236">
        <v>94</v>
      </c>
      <c r="C9236">
        <v>31631224</v>
      </c>
      <c r="D9236" t="s">
        <v>402</v>
      </c>
      <c r="E9236">
        <v>0.27200000000000002</v>
      </c>
      <c r="F9236" t="s">
        <v>21</v>
      </c>
      <c r="G9236" t="s">
        <v>26</v>
      </c>
      <c r="H9236" t="s">
        <v>21</v>
      </c>
      <c r="I9236" t="s">
        <v>20</v>
      </c>
      <c r="J9236" t="s">
        <v>20</v>
      </c>
      <c r="K9236" t="s">
        <v>27</v>
      </c>
      <c r="L9236" t="s">
        <v>350</v>
      </c>
      <c r="M9236" t="s">
        <v>58</v>
      </c>
      <c r="N9236">
        <v>39.361607999999997</v>
      </c>
      <c r="O9236">
        <v>-111.581846</v>
      </c>
      <c r="P9236">
        <v>5495.5116680000001</v>
      </c>
      <c r="Q9236">
        <v>438</v>
      </c>
      <c r="R9236">
        <v>0</v>
      </c>
    </row>
    <row r="9237" spans="1:18" x14ac:dyDescent="0.25">
      <c r="A9237">
        <v>9086</v>
      </c>
      <c r="B9237">
        <v>94</v>
      </c>
      <c r="C9237">
        <v>31266698</v>
      </c>
      <c r="D9237" t="s">
        <v>278</v>
      </c>
      <c r="E9237">
        <v>0.27400000000000002</v>
      </c>
      <c r="F9237" t="s">
        <v>21</v>
      </c>
      <c r="G9237" t="s">
        <v>26</v>
      </c>
      <c r="H9237" t="s">
        <v>21</v>
      </c>
      <c r="I9237" t="s">
        <v>20</v>
      </c>
      <c r="J9237" t="s">
        <v>20</v>
      </c>
      <c r="K9237" t="s">
        <v>27</v>
      </c>
      <c r="L9237" t="s">
        <v>501</v>
      </c>
      <c r="M9237" t="s">
        <v>280</v>
      </c>
      <c r="N9237">
        <v>37.677402999999998</v>
      </c>
      <c r="O9237">
        <v>-113.056628</v>
      </c>
      <c r="P9237">
        <v>5791.1898300000003</v>
      </c>
      <c r="Q9237">
        <v>1330</v>
      </c>
      <c r="R9237">
        <v>0</v>
      </c>
    </row>
    <row r="9238" spans="1:18" x14ac:dyDescent="0.25">
      <c r="A9238">
        <v>9087</v>
      </c>
      <c r="B9238">
        <v>94</v>
      </c>
      <c r="C9238">
        <v>1736307</v>
      </c>
      <c r="D9238" t="s">
        <v>260</v>
      </c>
      <c r="E9238">
        <v>0.27500000000000002</v>
      </c>
      <c r="F9238" t="s">
        <v>21</v>
      </c>
      <c r="G9238" t="s">
        <v>26</v>
      </c>
      <c r="H9238" t="s">
        <v>21</v>
      </c>
      <c r="I9238" t="s">
        <v>20</v>
      </c>
      <c r="J9238" t="s">
        <v>20</v>
      </c>
      <c r="K9238" t="s">
        <v>41</v>
      </c>
      <c r="L9238" t="s">
        <v>81</v>
      </c>
      <c r="M9238" t="s">
        <v>46</v>
      </c>
      <c r="N9238">
        <v>41.221868999999998</v>
      </c>
      <c r="O9238">
        <v>-112.002026</v>
      </c>
      <c r="P9238">
        <v>4270.4530290000002</v>
      </c>
      <c r="Q9238">
        <v>1358</v>
      </c>
      <c r="R9238">
        <v>0</v>
      </c>
    </row>
    <row r="9239" spans="1:18" x14ac:dyDescent="0.25">
      <c r="A9239">
        <v>9088</v>
      </c>
      <c r="B9239">
        <v>94</v>
      </c>
      <c r="C9239">
        <v>28481506</v>
      </c>
      <c r="D9239" t="s">
        <v>436</v>
      </c>
      <c r="E9239">
        <v>0.27500000000000002</v>
      </c>
      <c r="F9239" t="s">
        <v>21</v>
      </c>
      <c r="G9239" t="s">
        <v>26</v>
      </c>
      <c r="H9239" t="s">
        <v>21</v>
      </c>
      <c r="I9239" t="s">
        <v>20</v>
      </c>
      <c r="J9239" t="s">
        <v>20</v>
      </c>
      <c r="K9239" t="s">
        <v>22</v>
      </c>
      <c r="L9239" t="s">
        <v>234</v>
      </c>
      <c r="M9239" t="s">
        <v>98</v>
      </c>
      <c r="N9239">
        <v>40.518020999999997</v>
      </c>
      <c r="O9239">
        <v>-109.542661</v>
      </c>
      <c r="P9239">
        <v>5492.1269300000004</v>
      </c>
      <c r="Q9239">
        <v>441</v>
      </c>
      <c r="R9239">
        <v>0</v>
      </c>
    </row>
    <row r="9240" spans="1:18" x14ac:dyDescent="0.25">
      <c r="A9240">
        <v>9089</v>
      </c>
      <c r="B9240">
        <v>94</v>
      </c>
      <c r="C9240">
        <v>31764268</v>
      </c>
      <c r="D9240" t="s">
        <v>312</v>
      </c>
      <c r="E9240">
        <v>0.27600000000000002</v>
      </c>
      <c r="F9240" t="s">
        <v>21</v>
      </c>
      <c r="G9240" t="s">
        <v>26</v>
      </c>
      <c r="H9240" t="s">
        <v>21</v>
      </c>
      <c r="I9240" t="s">
        <v>20</v>
      </c>
      <c r="J9240" t="s">
        <v>20</v>
      </c>
      <c r="K9240" t="s">
        <v>27</v>
      </c>
      <c r="L9240" t="s">
        <v>143</v>
      </c>
      <c r="M9240" t="s">
        <v>313</v>
      </c>
      <c r="N9240">
        <v>38.401032000000001</v>
      </c>
      <c r="O9240">
        <v>-113.009956</v>
      </c>
      <c r="P9240">
        <v>4914.574764</v>
      </c>
      <c r="Q9240">
        <v>255</v>
      </c>
      <c r="R9240">
        <v>0</v>
      </c>
    </row>
    <row r="9241" spans="1:18" x14ac:dyDescent="0.25">
      <c r="A9241">
        <v>9090</v>
      </c>
      <c r="B9241">
        <v>94</v>
      </c>
      <c r="C9241">
        <v>27864948</v>
      </c>
      <c r="D9241" t="s">
        <v>59</v>
      </c>
      <c r="E9241">
        <v>0.27800000000000002</v>
      </c>
      <c r="F9241" t="s">
        <v>21</v>
      </c>
      <c r="G9241" t="s">
        <v>26</v>
      </c>
      <c r="H9241" t="s">
        <v>21</v>
      </c>
      <c r="I9241" t="s">
        <v>20</v>
      </c>
      <c r="J9241" t="s">
        <v>20</v>
      </c>
      <c r="K9241" t="s">
        <v>22</v>
      </c>
      <c r="L9241" t="s">
        <v>60</v>
      </c>
      <c r="M9241" t="s">
        <v>24</v>
      </c>
      <c r="N9241">
        <v>40.311836999999997</v>
      </c>
      <c r="O9241">
        <v>-111.72928</v>
      </c>
      <c r="P9241">
        <v>4544.8423140000004</v>
      </c>
      <c r="Q9241">
        <v>313</v>
      </c>
      <c r="R9241">
        <v>0</v>
      </c>
    </row>
    <row r="9242" spans="1:18" x14ac:dyDescent="0.25">
      <c r="A9242">
        <v>9091</v>
      </c>
      <c r="B9242">
        <v>94</v>
      </c>
      <c r="C9242">
        <v>31295069</v>
      </c>
      <c r="D9242" t="s">
        <v>338</v>
      </c>
      <c r="E9242">
        <v>0.28000000000000003</v>
      </c>
      <c r="F9242" t="s">
        <v>21</v>
      </c>
      <c r="G9242" t="s">
        <v>26</v>
      </c>
      <c r="H9242" t="s">
        <v>21</v>
      </c>
      <c r="I9242" t="s">
        <v>20</v>
      </c>
      <c r="J9242" t="s">
        <v>20</v>
      </c>
      <c r="K9242" t="s">
        <v>27</v>
      </c>
      <c r="L9242" t="s">
        <v>72</v>
      </c>
      <c r="M9242" t="s">
        <v>73</v>
      </c>
      <c r="N9242">
        <v>37.003342000000004</v>
      </c>
      <c r="O9242">
        <v>-113.00192199999999</v>
      </c>
      <c r="P9242">
        <v>5001.5475100000003</v>
      </c>
      <c r="Q9242">
        <v>315</v>
      </c>
      <c r="R9242">
        <v>0</v>
      </c>
    </row>
    <row r="9243" spans="1:18" x14ac:dyDescent="0.25">
      <c r="A9243">
        <v>9092</v>
      </c>
      <c r="B9243">
        <v>94</v>
      </c>
      <c r="C9243" t="e">
        <f>-IoIAZrxI9Lk1MaLQ77BhV</f>
        <v>#NAME?</v>
      </c>
      <c r="D9243" t="s">
        <v>272</v>
      </c>
      <c r="E9243">
        <v>162.38200000000001</v>
      </c>
      <c r="F9243" t="s">
        <v>21</v>
      </c>
      <c r="G9243" t="s">
        <v>26</v>
      </c>
      <c r="H9243" t="s">
        <v>19</v>
      </c>
      <c r="I9243">
        <v>62</v>
      </c>
      <c r="J9243" t="s">
        <v>20</v>
      </c>
      <c r="K9243" t="s">
        <v>27</v>
      </c>
      <c r="L9243" t="s">
        <v>64</v>
      </c>
      <c r="M9243" t="s">
        <v>214</v>
      </c>
      <c r="N9243">
        <v>38.210326999999999</v>
      </c>
      <c r="O9243">
        <v>-112.224592</v>
      </c>
      <c r="P9243">
        <v>5967.689695</v>
      </c>
      <c r="Q9243">
        <v>1384</v>
      </c>
      <c r="R9243">
        <v>0</v>
      </c>
    </row>
    <row r="9244" spans="1:18" x14ac:dyDescent="0.25">
      <c r="A9244">
        <v>9093</v>
      </c>
      <c r="B9244">
        <v>94</v>
      </c>
      <c r="C9244" t="e">
        <f>-IoIBhrHIEP3T5TTYB_XiV</f>
        <v>#NAME?</v>
      </c>
      <c r="D9244" t="s">
        <v>272</v>
      </c>
      <c r="E9244">
        <v>163.69</v>
      </c>
      <c r="F9244" t="s">
        <v>21</v>
      </c>
      <c r="G9244" t="s">
        <v>26</v>
      </c>
      <c r="H9244" t="s">
        <v>21</v>
      </c>
      <c r="I9244" t="s">
        <v>20</v>
      </c>
      <c r="J9244" t="s">
        <v>20</v>
      </c>
      <c r="K9244" t="s">
        <v>27</v>
      </c>
      <c r="L9244" t="s">
        <v>64</v>
      </c>
      <c r="M9244" t="s">
        <v>214</v>
      </c>
      <c r="N9244">
        <v>38.228321000000001</v>
      </c>
      <c r="O9244">
        <v>-112.219809</v>
      </c>
      <c r="P9244">
        <v>5930.3266080000003</v>
      </c>
      <c r="Q9244">
        <v>1384</v>
      </c>
      <c r="R9244">
        <v>0</v>
      </c>
    </row>
    <row r="9245" spans="1:18" x14ac:dyDescent="0.25">
      <c r="A9245">
        <v>9094</v>
      </c>
      <c r="B9245">
        <v>94</v>
      </c>
      <c r="C9245" t="s">
        <v>1072</v>
      </c>
      <c r="D9245" t="s">
        <v>272</v>
      </c>
      <c r="E9245">
        <v>164.07900000000001</v>
      </c>
      <c r="F9245" t="s">
        <v>21</v>
      </c>
      <c r="G9245" t="s">
        <v>26</v>
      </c>
      <c r="H9245" t="s">
        <v>21</v>
      </c>
      <c r="I9245" t="s">
        <v>20</v>
      </c>
      <c r="J9245" t="s">
        <v>20</v>
      </c>
      <c r="K9245" t="s">
        <v>27</v>
      </c>
      <c r="L9245" t="s">
        <v>64</v>
      </c>
      <c r="M9245" t="s">
        <v>214</v>
      </c>
      <c r="N9245">
        <v>38.233984999999997</v>
      </c>
      <c r="O9245">
        <v>-112.219893</v>
      </c>
      <c r="P9245">
        <v>5932.7366169999996</v>
      </c>
      <c r="Q9245">
        <v>1384</v>
      </c>
      <c r="R9245">
        <v>0</v>
      </c>
    </row>
    <row r="9246" spans="1:18" x14ac:dyDescent="0.25">
      <c r="A9246">
        <v>9095</v>
      </c>
      <c r="B9246">
        <v>94</v>
      </c>
      <c r="C9246" t="e">
        <f>-IoICHlzIYmbQgc55MEt2k</f>
        <v>#NAME?</v>
      </c>
      <c r="D9246" t="s">
        <v>272</v>
      </c>
      <c r="E9246">
        <v>164.18100000000001</v>
      </c>
      <c r="F9246" t="s">
        <v>21</v>
      </c>
      <c r="G9246" t="s">
        <v>26</v>
      </c>
      <c r="H9246" t="s">
        <v>21</v>
      </c>
      <c r="I9246" t="s">
        <v>20</v>
      </c>
      <c r="J9246" t="s">
        <v>20</v>
      </c>
      <c r="K9246" t="s">
        <v>27</v>
      </c>
      <c r="L9246" t="s">
        <v>64</v>
      </c>
      <c r="M9246" t="s">
        <v>214</v>
      </c>
      <c r="N9246">
        <v>38.235461000000001</v>
      </c>
      <c r="O9246">
        <v>-112.219915</v>
      </c>
      <c r="P9246">
        <v>5935.9709039999998</v>
      </c>
      <c r="Q9246">
        <v>1384</v>
      </c>
      <c r="R9246">
        <v>0</v>
      </c>
    </row>
    <row r="9247" spans="1:18" x14ac:dyDescent="0.25">
      <c r="A9247">
        <v>9096</v>
      </c>
      <c r="B9247">
        <v>94</v>
      </c>
      <c r="C9247" t="e">
        <f>-IoICYLdI15bn9WoZ0VCUk</f>
        <v>#NAME?</v>
      </c>
      <c r="D9247" t="s">
        <v>272</v>
      </c>
      <c r="E9247">
        <v>164.28100000000001</v>
      </c>
      <c r="F9247" t="s">
        <v>21</v>
      </c>
      <c r="G9247" t="s">
        <v>26</v>
      </c>
      <c r="H9247" t="s">
        <v>19</v>
      </c>
      <c r="I9247">
        <v>153</v>
      </c>
      <c r="J9247" t="s">
        <v>20</v>
      </c>
      <c r="K9247" t="s">
        <v>27</v>
      </c>
      <c r="L9247" t="s">
        <v>64</v>
      </c>
      <c r="M9247" t="s">
        <v>214</v>
      </c>
      <c r="N9247">
        <v>38.236919999999998</v>
      </c>
      <c r="O9247">
        <v>-112.21993500000001</v>
      </c>
      <c r="P9247">
        <v>5938.9880910000002</v>
      </c>
      <c r="Q9247">
        <v>1384</v>
      </c>
      <c r="R9247">
        <v>0</v>
      </c>
    </row>
    <row r="9248" spans="1:18" x14ac:dyDescent="0.25">
      <c r="A9248">
        <v>9097</v>
      </c>
      <c r="B9248">
        <v>94</v>
      </c>
      <c r="C9248" t="s">
        <v>1073</v>
      </c>
      <c r="D9248" t="s">
        <v>272</v>
      </c>
      <c r="E9248">
        <v>164.333</v>
      </c>
      <c r="F9248" t="s">
        <v>21</v>
      </c>
      <c r="G9248" t="s">
        <v>26</v>
      </c>
      <c r="H9248" t="s">
        <v>21</v>
      </c>
      <c r="I9248" t="s">
        <v>20</v>
      </c>
      <c r="J9248" t="s">
        <v>20</v>
      </c>
      <c r="K9248" t="s">
        <v>27</v>
      </c>
      <c r="L9248" t="s">
        <v>64</v>
      </c>
      <c r="M9248" t="s">
        <v>214</v>
      </c>
      <c r="N9248">
        <v>38.237667999999999</v>
      </c>
      <c r="O9248">
        <v>-112.21995</v>
      </c>
      <c r="P9248">
        <v>5941.8540979999998</v>
      </c>
      <c r="Q9248">
        <v>1384</v>
      </c>
      <c r="R9248">
        <v>0</v>
      </c>
    </row>
    <row r="9249" spans="1:18" x14ac:dyDescent="0.25">
      <c r="A9249">
        <v>9098</v>
      </c>
      <c r="B9249">
        <v>94</v>
      </c>
      <c r="C9249" t="e">
        <f>-IoICoYkGImi47wrJNa4VV</f>
        <v>#NAME?</v>
      </c>
      <c r="D9249" t="s">
        <v>272</v>
      </c>
      <c r="E9249">
        <v>164.38300000000001</v>
      </c>
      <c r="F9249" t="s">
        <v>21</v>
      </c>
      <c r="G9249" t="s">
        <v>26</v>
      </c>
      <c r="H9249" t="s">
        <v>21</v>
      </c>
      <c r="I9249" t="s">
        <v>20</v>
      </c>
      <c r="J9249" t="s">
        <v>20</v>
      </c>
      <c r="K9249" t="s">
        <v>27</v>
      </c>
      <c r="L9249" t="s">
        <v>64</v>
      </c>
      <c r="M9249" t="s">
        <v>214</v>
      </c>
      <c r="N9249">
        <v>38.238391999999997</v>
      </c>
      <c r="O9249">
        <v>-112.219967</v>
      </c>
      <c r="P9249">
        <v>5942.4656089999999</v>
      </c>
      <c r="Q9249">
        <v>1384</v>
      </c>
      <c r="R9249">
        <v>0</v>
      </c>
    </row>
    <row r="9250" spans="1:18" x14ac:dyDescent="0.25">
      <c r="A9250">
        <v>9099</v>
      </c>
      <c r="B9250">
        <v>94</v>
      </c>
      <c r="C9250">
        <v>31506181</v>
      </c>
      <c r="D9250" t="s">
        <v>224</v>
      </c>
      <c r="E9250">
        <v>15.329000000000001</v>
      </c>
      <c r="F9250" t="s">
        <v>21</v>
      </c>
      <c r="G9250" t="s">
        <v>26</v>
      </c>
      <c r="H9250" t="s">
        <v>21</v>
      </c>
      <c r="I9250" t="s">
        <v>20</v>
      </c>
      <c r="J9250" t="s">
        <v>20</v>
      </c>
      <c r="K9250" t="s">
        <v>22</v>
      </c>
      <c r="L9250" t="s">
        <v>140</v>
      </c>
      <c r="M9250" t="s">
        <v>194</v>
      </c>
      <c r="N9250">
        <v>40.091996999999999</v>
      </c>
      <c r="O9250">
        <v>-111.602147</v>
      </c>
      <c r="P9250">
        <v>4703.952456</v>
      </c>
      <c r="Q9250">
        <v>408</v>
      </c>
      <c r="R9250">
        <v>0</v>
      </c>
    </row>
    <row r="9251" spans="1:18" x14ac:dyDescent="0.25">
      <c r="A9251">
        <v>9100</v>
      </c>
      <c r="B9251">
        <v>94</v>
      </c>
      <c r="C9251">
        <v>31607901</v>
      </c>
      <c r="D9251" t="s">
        <v>50</v>
      </c>
      <c r="E9251">
        <v>15.331</v>
      </c>
      <c r="F9251" t="s">
        <v>21</v>
      </c>
      <c r="G9251" t="s">
        <v>26</v>
      </c>
      <c r="H9251" t="s">
        <v>21</v>
      </c>
      <c r="I9251" t="s">
        <v>20</v>
      </c>
      <c r="J9251" t="s">
        <v>20</v>
      </c>
      <c r="K9251" t="s">
        <v>27</v>
      </c>
      <c r="L9251" t="s">
        <v>51</v>
      </c>
      <c r="M9251" t="s">
        <v>52</v>
      </c>
      <c r="N9251">
        <v>37.694522999999997</v>
      </c>
      <c r="O9251">
        <v>-112.847741</v>
      </c>
      <c r="P9251">
        <v>9663.2109330000003</v>
      </c>
      <c r="Q9251">
        <v>1418</v>
      </c>
      <c r="R9251">
        <v>0</v>
      </c>
    </row>
    <row r="9252" spans="1:18" x14ac:dyDescent="0.25">
      <c r="A9252">
        <v>9101</v>
      </c>
      <c r="B9252">
        <v>94</v>
      </c>
      <c r="C9252" t="e">
        <f>-IordgUnIb1jRXGh0XImnF</f>
        <v>#NAME?</v>
      </c>
      <c r="D9252" t="s">
        <v>91</v>
      </c>
      <c r="E9252">
        <v>15.333</v>
      </c>
      <c r="F9252" t="s">
        <v>21</v>
      </c>
      <c r="G9252" t="s">
        <v>26</v>
      </c>
      <c r="H9252" t="s">
        <v>21</v>
      </c>
      <c r="I9252" t="s">
        <v>20</v>
      </c>
      <c r="J9252" t="s">
        <v>20</v>
      </c>
      <c r="K9252" t="s">
        <v>41</v>
      </c>
      <c r="L9252" t="s">
        <v>42</v>
      </c>
      <c r="M9252" t="s">
        <v>73</v>
      </c>
      <c r="N9252">
        <v>41.825108</v>
      </c>
      <c r="O9252">
        <v>-111.99977</v>
      </c>
      <c r="P9252">
        <v>4394.8151859999998</v>
      </c>
      <c r="Q9252">
        <v>1339</v>
      </c>
      <c r="R9252">
        <v>0</v>
      </c>
    </row>
    <row r="9253" spans="1:18" x14ac:dyDescent="0.25">
      <c r="A9253">
        <v>9102</v>
      </c>
      <c r="B9253">
        <v>94</v>
      </c>
      <c r="C9253">
        <v>31193956</v>
      </c>
      <c r="D9253" t="s">
        <v>310</v>
      </c>
      <c r="E9253">
        <v>15.337999999999999</v>
      </c>
      <c r="F9253" t="s">
        <v>21</v>
      </c>
      <c r="G9253" t="s">
        <v>20</v>
      </c>
      <c r="H9253" t="s">
        <v>21</v>
      </c>
      <c r="I9253" t="s">
        <v>20</v>
      </c>
      <c r="J9253" t="s">
        <v>20</v>
      </c>
      <c r="K9253" t="s">
        <v>31</v>
      </c>
      <c r="L9253" t="s">
        <v>285</v>
      </c>
      <c r="M9253" t="s">
        <v>206</v>
      </c>
      <c r="N9253">
        <v>40.614320999999997</v>
      </c>
      <c r="O9253">
        <v>-112.37117000000001</v>
      </c>
      <c r="P9253">
        <v>4217.5998470000004</v>
      </c>
      <c r="Q9253">
        <v>1414</v>
      </c>
      <c r="R9253">
        <v>0</v>
      </c>
    </row>
    <row r="9254" spans="1:18" x14ac:dyDescent="0.25">
      <c r="A9254">
        <v>9103</v>
      </c>
      <c r="B9254">
        <v>94</v>
      </c>
      <c r="C9254">
        <v>31277032</v>
      </c>
      <c r="D9254" t="s">
        <v>241</v>
      </c>
      <c r="E9254">
        <v>15.34</v>
      </c>
      <c r="F9254" t="s">
        <v>21</v>
      </c>
      <c r="G9254" t="s">
        <v>26</v>
      </c>
      <c r="H9254" t="s">
        <v>21</v>
      </c>
      <c r="I9254" t="s">
        <v>20</v>
      </c>
      <c r="J9254" t="s">
        <v>20</v>
      </c>
      <c r="K9254" t="s">
        <v>27</v>
      </c>
      <c r="L9254" t="s">
        <v>242</v>
      </c>
      <c r="M9254" t="s">
        <v>243</v>
      </c>
      <c r="N9254">
        <v>38.948652000000003</v>
      </c>
      <c r="O9254">
        <v>-111.212062</v>
      </c>
      <c r="P9254">
        <v>6177.5706460000001</v>
      </c>
      <c r="Q9254">
        <v>1327</v>
      </c>
      <c r="R9254">
        <v>0</v>
      </c>
    </row>
    <row r="9255" spans="1:18" x14ac:dyDescent="0.25">
      <c r="A9255">
        <v>9104</v>
      </c>
      <c r="B9255">
        <v>94</v>
      </c>
      <c r="C9255">
        <v>31420518</v>
      </c>
      <c r="D9255" t="s">
        <v>345</v>
      </c>
      <c r="E9255">
        <v>15.342000000000001</v>
      </c>
      <c r="F9255" t="s">
        <v>21</v>
      </c>
      <c r="G9255" t="s">
        <v>26</v>
      </c>
      <c r="H9255" t="s">
        <v>21</v>
      </c>
      <c r="I9255" t="s">
        <v>20</v>
      </c>
      <c r="J9255" t="s">
        <v>20</v>
      </c>
      <c r="K9255" t="s">
        <v>27</v>
      </c>
      <c r="L9255" t="s">
        <v>75</v>
      </c>
      <c r="M9255" t="s">
        <v>76</v>
      </c>
      <c r="N9255">
        <v>38.772269999999999</v>
      </c>
      <c r="O9255">
        <v>-112.072355</v>
      </c>
      <c r="P9255">
        <v>5249.5508030000001</v>
      </c>
      <c r="Q9255">
        <v>1403</v>
      </c>
      <c r="R9255">
        <v>0</v>
      </c>
    </row>
    <row r="9256" spans="1:18" x14ac:dyDescent="0.25">
      <c r="A9256">
        <v>9105</v>
      </c>
      <c r="B9256">
        <v>94</v>
      </c>
      <c r="C9256">
        <v>31515717</v>
      </c>
      <c r="D9256" t="s">
        <v>132</v>
      </c>
      <c r="E9256">
        <v>15.343</v>
      </c>
      <c r="F9256" t="s">
        <v>21</v>
      </c>
      <c r="G9256" t="s">
        <v>26</v>
      </c>
      <c r="H9256" t="s">
        <v>21</v>
      </c>
      <c r="I9256" t="s">
        <v>20</v>
      </c>
      <c r="J9256" t="s">
        <v>20</v>
      </c>
      <c r="K9256" t="s">
        <v>22</v>
      </c>
      <c r="L9256" t="s">
        <v>133</v>
      </c>
      <c r="M9256" t="s">
        <v>134</v>
      </c>
      <c r="N9256">
        <v>40.432870999999999</v>
      </c>
      <c r="O9256">
        <v>-109.928815</v>
      </c>
      <c r="P9256">
        <v>5721.0226169999996</v>
      </c>
      <c r="Q9256">
        <v>1405</v>
      </c>
      <c r="R9256">
        <v>0</v>
      </c>
    </row>
    <row r="9257" spans="1:18" x14ac:dyDescent="0.25">
      <c r="A9257">
        <v>9106</v>
      </c>
      <c r="B9257">
        <v>94</v>
      </c>
      <c r="C9257">
        <v>1129354</v>
      </c>
      <c r="D9257" t="s">
        <v>171</v>
      </c>
      <c r="E9257">
        <v>15.347</v>
      </c>
      <c r="F9257" t="s">
        <v>19</v>
      </c>
      <c r="G9257" t="s">
        <v>20</v>
      </c>
      <c r="H9257" t="s">
        <v>21</v>
      </c>
      <c r="I9257" t="s">
        <v>20</v>
      </c>
      <c r="J9257" t="s">
        <v>20</v>
      </c>
      <c r="K9257" t="s">
        <v>31</v>
      </c>
      <c r="L9257" t="s">
        <v>188</v>
      </c>
      <c r="M9257" t="s">
        <v>79</v>
      </c>
      <c r="N9257">
        <v>40.699854999999999</v>
      </c>
      <c r="O9257">
        <v>-111.800594</v>
      </c>
      <c r="P9257">
        <v>4793.4209209999999</v>
      </c>
      <c r="Q9257">
        <v>346</v>
      </c>
      <c r="R9257">
        <v>0</v>
      </c>
    </row>
    <row r="9258" spans="1:18" x14ac:dyDescent="0.25">
      <c r="A9258">
        <v>9107</v>
      </c>
      <c r="B9258">
        <v>94</v>
      </c>
      <c r="C9258">
        <v>31406989</v>
      </c>
      <c r="D9258" t="s">
        <v>63</v>
      </c>
      <c r="E9258">
        <v>15.351000000000001</v>
      </c>
      <c r="F9258" t="s">
        <v>21</v>
      </c>
      <c r="G9258" t="s">
        <v>20</v>
      </c>
      <c r="H9258" t="s">
        <v>21</v>
      </c>
      <c r="I9258" t="s">
        <v>20</v>
      </c>
      <c r="J9258" t="s">
        <v>20</v>
      </c>
      <c r="K9258" t="s">
        <v>27</v>
      </c>
      <c r="L9258" t="s">
        <v>64</v>
      </c>
      <c r="M9258" t="s">
        <v>29</v>
      </c>
      <c r="N9258">
        <v>38.205505000000002</v>
      </c>
      <c r="O9258">
        <v>-112.006044</v>
      </c>
      <c r="P9258">
        <v>6438.8167439999997</v>
      </c>
      <c r="Q9258">
        <v>1365</v>
      </c>
      <c r="R9258">
        <v>0</v>
      </c>
    </row>
    <row r="9259" spans="1:18" x14ac:dyDescent="0.25">
      <c r="A9259">
        <v>9108</v>
      </c>
      <c r="B9259">
        <v>94</v>
      </c>
      <c r="C9259">
        <v>31665523</v>
      </c>
      <c r="D9259" t="s">
        <v>306</v>
      </c>
      <c r="E9259">
        <v>15.364000000000001</v>
      </c>
      <c r="F9259" t="s">
        <v>21</v>
      </c>
      <c r="G9259" t="s">
        <v>26</v>
      </c>
      <c r="H9259" t="s">
        <v>19</v>
      </c>
      <c r="I9259">
        <v>96</v>
      </c>
      <c r="J9259" t="s">
        <v>20</v>
      </c>
      <c r="K9259" t="s">
        <v>27</v>
      </c>
      <c r="L9259" t="s">
        <v>307</v>
      </c>
      <c r="M9259" t="s">
        <v>82</v>
      </c>
      <c r="N9259">
        <v>39.685133</v>
      </c>
      <c r="O9259">
        <v>-111.156019</v>
      </c>
      <c r="P9259">
        <v>7868.5323090000002</v>
      </c>
      <c r="Q9259">
        <v>430</v>
      </c>
      <c r="R9259">
        <v>0</v>
      </c>
    </row>
    <row r="9260" spans="1:18" x14ac:dyDescent="0.25">
      <c r="A9260">
        <v>9109</v>
      </c>
      <c r="B9260">
        <v>94</v>
      </c>
      <c r="C9260">
        <v>31506192</v>
      </c>
      <c r="D9260" t="s">
        <v>224</v>
      </c>
      <c r="E9260">
        <v>15.411</v>
      </c>
      <c r="F9260" t="s">
        <v>21</v>
      </c>
      <c r="G9260" t="s">
        <v>26</v>
      </c>
      <c r="H9260" t="s">
        <v>21</v>
      </c>
      <c r="I9260" t="s">
        <v>20</v>
      </c>
      <c r="J9260" t="s">
        <v>20</v>
      </c>
      <c r="K9260" t="s">
        <v>22</v>
      </c>
      <c r="L9260" t="s">
        <v>140</v>
      </c>
      <c r="M9260" t="s">
        <v>194</v>
      </c>
      <c r="N9260">
        <v>40.091513999999997</v>
      </c>
      <c r="O9260">
        <v>-111.600729</v>
      </c>
      <c r="P9260">
        <v>4706.5359369999996</v>
      </c>
      <c r="Q9260">
        <v>408</v>
      </c>
      <c r="R9260">
        <v>0</v>
      </c>
    </row>
    <row r="9261" spans="1:18" x14ac:dyDescent="0.25">
      <c r="A9261">
        <v>9110</v>
      </c>
      <c r="B9261">
        <v>94</v>
      </c>
      <c r="C9261">
        <v>31305365</v>
      </c>
      <c r="D9261" t="s">
        <v>203</v>
      </c>
      <c r="E9261">
        <v>17.088999999999999</v>
      </c>
      <c r="F9261" t="s">
        <v>21</v>
      </c>
      <c r="G9261" t="s">
        <v>26</v>
      </c>
      <c r="H9261" t="s">
        <v>21</v>
      </c>
      <c r="I9261" t="s">
        <v>20</v>
      </c>
      <c r="J9261" t="s">
        <v>20</v>
      </c>
      <c r="K9261" t="s">
        <v>41</v>
      </c>
      <c r="L9261" t="s">
        <v>255</v>
      </c>
      <c r="M9261" t="s">
        <v>204</v>
      </c>
      <c r="N9261">
        <v>41.249575</v>
      </c>
      <c r="O9261">
        <v>-111.783806</v>
      </c>
      <c r="P9261">
        <v>4872.1636589999998</v>
      </c>
      <c r="Q9261">
        <v>1349</v>
      </c>
      <c r="R9261">
        <v>0</v>
      </c>
    </row>
    <row r="9262" spans="1:18" x14ac:dyDescent="0.25">
      <c r="A9262">
        <v>9111</v>
      </c>
      <c r="B9262">
        <v>94</v>
      </c>
      <c r="C9262">
        <v>31195280</v>
      </c>
      <c r="D9262" t="s">
        <v>339</v>
      </c>
      <c r="E9262">
        <v>17.094000000000001</v>
      </c>
      <c r="F9262" t="s">
        <v>21</v>
      </c>
      <c r="G9262" t="s">
        <v>26</v>
      </c>
      <c r="H9262" t="s">
        <v>21</v>
      </c>
      <c r="I9262" t="s">
        <v>20</v>
      </c>
      <c r="J9262" t="s">
        <v>20</v>
      </c>
      <c r="K9262" t="s">
        <v>41</v>
      </c>
      <c r="L9262" t="s">
        <v>95</v>
      </c>
      <c r="M9262" t="s">
        <v>73</v>
      </c>
      <c r="N9262">
        <v>41.922787999999997</v>
      </c>
      <c r="O9262">
        <v>-111.81930800000001</v>
      </c>
      <c r="P9262">
        <v>4533.1272680000002</v>
      </c>
      <c r="Q9262">
        <v>1417</v>
      </c>
      <c r="R9262">
        <v>0</v>
      </c>
    </row>
    <row r="9263" spans="1:18" x14ac:dyDescent="0.25">
      <c r="A9263">
        <v>9112</v>
      </c>
      <c r="B9263">
        <v>94</v>
      </c>
      <c r="C9263">
        <v>31715098</v>
      </c>
      <c r="D9263" t="s">
        <v>118</v>
      </c>
      <c r="E9263">
        <v>17.817</v>
      </c>
      <c r="F9263" t="s">
        <v>21</v>
      </c>
      <c r="G9263" t="s">
        <v>26</v>
      </c>
      <c r="H9263" t="s">
        <v>21</v>
      </c>
      <c r="I9263" t="s">
        <v>20</v>
      </c>
      <c r="J9263" t="s">
        <v>20</v>
      </c>
      <c r="K9263" t="s">
        <v>22</v>
      </c>
      <c r="L9263" t="s">
        <v>35</v>
      </c>
      <c r="M9263" t="s">
        <v>120</v>
      </c>
      <c r="N9263">
        <v>40.494622</v>
      </c>
      <c r="O9263">
        <v>-111.413618</v>
      </c>
      <c r="P9263">
        <v>5576.0654210000002</v>
      </c>
      <c r="Q9263">
        <v>310</v>
      </c>
      <c r="R9263">
        <v>0</v>
      </c>
    </row>
    <row r="9264" spans="1:18" x14ac:dyDescent="0.25">
      <c r="A9264">
        <v>9113</v>
      </c>
      <c r="B9264">
        <v>94</v>
      </c>
      <c r="C9264">
        <v>31416078</v>
      </c>
      <c r="D9264" t="s">
        <v>333</v>
      </c>
      <c r="E9264">
        <v>17.82</v>
      </c>
      <c r="F9264" t="s">
        <v>19</v>
      </c>
      <c r="G9264" t="s">
        <v>20</v>
      </c>
      <c r="H9264" t="s">
        <v>21</v>
      </c>
      <c r="I9264" t="s">
        <v>20</v>
      </c>
      <c r="J9264" t="s">
        <v>20</v>
      </c>
      <c r="K9264" t="s">
        <v>31</v>
      </c>
      <c r="L9264" t="s">
        <v>78</v>
      </c>
      <c r="M9264" t="s">
        <v>49</v>
      </c>
      <c r="N9264">
        <v>40.680363999999997</v>
      </c>
      <c r="O9264">
        <v>-111.981599</v>
      </c>
      <c r="P9264">
        <v>4290.9074229999997</v>
      </c>
      <c r="Q9264">
        <v>1426</v>
      </c>
      <c r="R9264">
        <v>0</v>
      </c>
    </row>
    <row r="9265" spans="1:18" x14ac:dyDescent="0.25">
      <c r="A9265">
        <v>9114</v>
      </c>
      <c r="B9265">
        <v>94</v>
      </c>
      <c r="C9265">
        <v>31292067</v>
      </c>
      <c r="D9265" t="s">
        <v>315</v>
      </c>
      <c r="E9265">
        <v>17.821000000000002</v>
      </c>
      <c r="F9265" t="s">
        <v>21</v>
      </c>
      <c r="G9265" t="s">
        <v>26</v>
      </c>
      <c r="H9265" t="s">
        <v>21</v>
      </c>
      <c r="I9265" t="s">
        <v>20</v>
      </c>
      <c r="J9265" t="s">
        <v>20</v>
      </c>
      <c r="K9265" t="s">
        <v>27</v>
      </c>
      <c r="L9265" t="s">
        <v>111</v>
      </c>
      <c r="M9265" t="s">
        <v>243</v>
      </c>
      <c r="N9265">
        <v>39.232160999999998</v>
      </c>
      <c r="O9265">
        <v>-111.05322</v>
      </c>
      <c r="P9265">
        <v>5702.6635269999997</v>
      </c>
      <c r="Q9265">
        <v>307</v>
      </c>
      <c r="R9265">
        <v>0</v>
      </c>
    </row>
    <row r="9266" spans="1:18" x14ac:dyDescent="0.25">
      <c r="A9266">
        <v>9115</v>
      </c>
      <c r="B9266">
        <v>94</v>
      </c>
      <c r="C9266">
        <v>2595781</v>
      </c>
      <c r="D9266" t="s">
        <v>176</v>
      </c>
      <c r="E9266">
        <v>17.827000000000002</v>
      </c>
      <c r="F9266" t="s">
        <v>21</v>
      </c>
      <c r="G9266" t="s">
        <v>26</v>
      </c>
      <c r="H9266" t="s">
        <v>21</v>
      </c>
      <c r="I9266" t="s">
        <v>20</v>
      </c>
      <c r="J9266" t="s">
        <v>20</v>
      </c>
      <c r="K9266" t="s">
        <v>41</v>
      </c>
      <c r="L9266" t="s">
        <v>181</v>
      </c>
      <c r="M9266" t="s">
        <v>178</v>
      </c>
      <c r="N9266">
        <v>41.678175000000003</v>
      </c>
      <c r="O9266">
        <v>-112.141164</v>
      </c>
      <c r="P9266">
        <v>4246.8922419999999</v>
      </c>
      <c r="Q9266">
        <v>1329</v>
      </c>
      <c r="R9266">
        <v>0</v>
      </c>
    </row>
    <row r="9267" spans="1:18" x14ac:dyDescent="0.25">
      <c r="A9267">
        <v>9116</v>
      </c>
      <c r="B9267">
        <v>94</v>
      </c>
      <c r="C9267">
        <v>31641062</v>
      </c>
      <c r="D9267" t="s">
        <v>233</v>
      </c>
      <c r="E9267">
        <v>17.827999999999999</v>
      </c>
      <c r="F9267" t="s">
        <v>21</v>
      </c>
      <c r="G9267" t="s">
        <v>20</v>
      </c>
      <c r="H9267" t="s">
        <v>21</v>
      </c>
      <c r="I9267" t="s">
        <v>20</v>
      </c>
      <c r="J9267" t="s">
        <v>20</v>
      </c>
      <c r="K9267" t="s">
        <v>22</v>
      </c>
      <c r="L9267" t="s">
        <v>234</v>
      </c>
      <c r="M9267" t="s">
        <v>235</v>
      </c>
      <c r="N9267">
        <v>40.162101999999997</v>
      </c>
      <c r="O9267">
        <v>-109.311218</v>
      </c>
      <c r="P9267">
        <v>5368.1254639999997</v>
      </c>
      <c r="Q9267">
        <v>1354</v>
      </c>
      <c r="R9267">
        <v>0</v>
      </c>
    </row>
    <row r="9268" spans="1:18" x14ac:dyDescent="0.25">
      <c r="A9268">
        <v>9117</v>
      </c>
      <c r="B9268">
        <v>94</v>
      </c>
      <c r="C9268">
        <v>31463427</v>
      </c>
      <c r="D9268" t="s">
        <v>710</v>
      </c>
      <c r="E9268">
        <v>0.42699999999999999</v>
      </c>
      <c r="F9268" t="s">
        <v>21</v>
      </c>
      <c r="G9268" t="s">
        <v>26</v>
      </c>
      <c r="H9268" t="s">
        <v>21</v>
      </c>
      <c r="I9268" t="s">
        <v>20</v>
      </c>
      <c r="J9268" t="s">
        <v>20</v>
      </c>
      <c r="K9268" t="s">
        <v>22</v>
      </c>
      <c r="L9268" t="s">
        <v>35</v>
      </c>
      <c r="M9268" t="s">
        <v>169</v>
      </c>
      <c r="N9268">
        <v>40.625906999999998</v>
      </c>
      <c r="O9268">
        <v>-111.43468900000001</v>
      </c>
      <c r="P9268">
        <v>6331.611543</v>
      </c>
      <c r="Q9268">
        <v>369</v>
      </c>
      <c r="R9268">
        <v>0</v>
      </c>
    </row>
    <row r="9269" spans="1:18" x14ac:dyDescent="0.25">
      <c r="A9269">
        <v>9118</v>
      </c>
      <c r="B9269">
        <v>94</v>
      </c>
      <c r="C9269" t="s">
        <v>1074</v>
      </c>
      <c r="D9269" t="s">
        <v>184</v>
      </c>
      <c r="E9269">
        <v>0.42799999999999999</v>
      </c>
      <c r="F9269" t="s">
        <v>21</v>
      </c>
      <c r="G9269" t="s">
        <v>26</v>
      </c>
      <c r="H9269" t="s">
        <v>21</v>
      </c>
      <c r="I9269" t="s">
        <v>20</v>
      </c>
      <c r="J9269" t="s">
        <v>20</v>
      </c>
      <c r="K9269" t="s">
        <v>27</v>
      </c>
      <c r="L9269" t="s">
        <v>54</v>
      </c>
      <c r="M9269" t="s">
        <v>55</v>
      </c>
      <c r="N9269">
        <v>37.656224999999999</v>
      </c>
      <c r="O9269">
        <v>-113.076988</v>
      </c>
      <c r="P9269">
        <v>5922.4568529999997</v>
      </c>
      <c r="Q9269">
        <v>1410</v>
      </c>
      <c r="R9269">
        <v>0</v>
      </c>
    </row>
    <row r="9270" spans="1:18" x14ac:dyDescent="0.25">
      <c r="A9270">
        <v>9119</v>
      </c>
      <c r="B9270">
        <v>94</v>
      </c>
      <c r="C9270">
        <v>31525156</v>
      </c>
      <c r="D9270" t="s">
        <v>936</v>
      </c>
      <c r="E9270">
        <v>0.42899999999999999</v>
      </c>
      <c r="F9270" t="s">
        <v>21</v>
      </c>
      <c r="G9270" t="s">
        <v>26</v>
      </c>
      <c r="H9270" t="s">
        <v>21</v>
      </c>
      <c r="I9270" t="s">
        <v>20</v>
      </c>
      <c r="J9270" t="s">
        <v>20</v>
      </c>
      <c r="K9270" t="s">
        <v>22</v>
      </c>
      <c r="L9270" t="s">
        <v>60</v>
      </c>
      <c r="M9270" t="s">
        <v>36</v>
      </c>
      <c r="N9270">
        <v>40.412543999999997</v>
      </c>
      <c r="O9270">
        <v>-111.505354</v>
      </c>
      <c r="P9270">
        <v>5467.6306130000003</v>
      </c>
      <c r="Q9270">
        <v>445</v>
      </c>
      <c r="R9270">
        <v>0</v>
      </c>
    </row>
    <row r="9271" spans="1:18" x14ac:dyDescent="0.25">
      <c r="A9271">
        <v>9120</v>
      </c>
      <c r="B9271">
        <v>94</v>
      </c>
      <c r="C9271" t="e">
        <f>-JOAJ_vmHG5Mrg76cRMqEF</f>
        <v>#NAME?</v>
      </c>
      <c r="D9271" t="s">
        <v>541</v>
      </c>
      <c r="E9271">
        <v>0.43</v>
      </c>
      <c r="F9271" t="s">
        <v>21</v>
      </c>
      <c r="G9271" t="s">
        <v>26</v>
      </c>
      <c r="H9271" t="s">
        <v>21</v>
      </c>
      <c r="I9271" t="s">
        <v>20</v>
      </c>
      <c r="J9271" t="s">
        <v>20</v>
      </c>
      <c r="K9271" t="s">
        <v>27</v>
      </c>
      <c r="L9271" t="s">
        <v>158</v>
      </c>
      <c r="M9271" t="s">
        <v>112</v>
      </c>
      <c r="N9271">
        <v>39.484121999999999</v>
      </c>
      <c r="O9271">
        <v>-110.998711</v>
      </c>
      <c r="P9271">
        <v>6992.7456949999996</v>
      </c>
      <c r="Q9271">
        <v>1406</v>
      </c>
      <c r="R9271">
        <v>0</v>
      </c>
    </row>
    <row r="9272" spans="1:18" x14ac:dyDescent="0.25">
      <c r="A9272">
        <v>9121</v>
      </c>
      <c r="B9272">
        <v>94</v>
      </c>
      <c r="C9272" t="e">
        <f>-IpVAUvIFiaJ0JutSRajrF</f>
        <v>#NAME?</v>
      </c>
      <c r="D9272" t="s">
        <v>272</v>
      </c>
      <c r="E9272">
        <v>425.827</v>
      </c>
      <c r="F9272" t="s">
        <v>21</v>
      </c>
      <c r="G9272" t="s">
        <v>26</v>
      </c>
      <c r="H9272" t="s">
        <v>21</v>
      </c>
      <c r="I9272" t="s">
        <v>20</v>
      </c>
      <c r="J9272" t="s">
        <v>20</v>
      </c>
      <c r="K9272" t="s">
        <v>41</v>
      </c>
      <c r="L9272" t="s">
        <v>177</v>
      </c>
      <c r="M9272" t="s">
        <v>46</v>
      </c>
      <c r="N9272">
        <v>41.380232999999997</v>
      </c>
      <c r="O9272">
        <v>-112.032443</v>
      </c>
      <c r="P9272">
        <v>4261.246537</v>
      </c>
      <c r="Q9272">
        <v>1384</v>
      </c>
      <c r="R9272">
        <v>0</v>
      </c>
    </row>
    <row r="9273" spans="1:18" x14ac:dyDescent="0.25">
      <c r="A9273">
        <v>9122</v>
      </c>
      <c r="B9273">
        <v>94</v>
      </c>
      <c r="C9273" t="e">
        <f>-JSxEYFTGh1B8RZRSUzD7k</f>
        <v>#NAME?</v>
      </c>
      <c r="D9273" t="s">
        <v>272</v>
      </c>
      <c r="E9273">
        <v>426.42200000000003</v>
      </c>
      <c r="F9273" t="s">
        <v>21</v>
      </c>
      <c r="G9273" t="s">
        <v>26</v>
      </c>
      <c r="H9273" t="s">
        <v>21</v>
      </c>
      <c r="I9273" t="s">
        <v>20</v>
      </c>
      <c r="J9273" t="s">
        <v>20</v>
      </c>
      <c r="K9273" t="s">
        <v>41</v>
      </c>
      <c r="L9273" t="s">
        <v>177</v>
      </c>
      <c r="M9273" t="s">
        <v>46</v>
      </c>
      <c r="N9273">
        <v>41.388668000000003</v>
      </c>
      <c r="O9273">
        <v>-112.033325</v>
      </c>
      <c r="P9273">
        <v>4261.923213</v>
      </c>
      <c r="Q9273">
        <v>1384</v>
      </c>
      <c r="R9273">
        <v>0</v>
      </c>
    </row>
    <row r="9274" spans="1:18" x14ac:dyDescent="0.25">
      <c r="A9274">
        <v>9123</v>
      </c>
      <c r="B9274">
        <v>94</v>
      </c>
      <c r="C9274" t="e">
        <f>-IpVCOPyHKeWlM-bITb-PF</f>
        <v>#NAME?</v>
      </c>
      <c r="D9274" t="s">
        <v>272</v>
      </c>
      <c r="E9274">
        <v>426.66</v>
      </c>
      <c r="F9274" t="s">
        <v>21</v>
      </c>
      <c r="G9274" t="s">
        <v>26</v>
      </c>
      <c r="H9274" t="s">
        <v>21</v>
      </c>
      <c r="I9274" t="s">
        <v>20</v>
      </c>
      <c r="J9274" t="s">
        <v>20</v>
      </c>
      <c r="K9274" t="s">
        <v>41</v>
      </c>
      <c r="L9274" t="s">
        <v>177</v>
      </c>
      <c r="M9274" t="s">
        <v>46</v>
      </c>
      <c r="N9274">
        <v>41.391992999999999</v>
      </c>
      <c r="O9274">
        <v>-112.034451</v>
      </c>
      <c r="P9274">
        <v>4257.5551109999997</v>
      </c>
      <c r="Q9274">
        <v>1384</v>
      </c>
      <c r="R9274">
        <v>0</v>
      </c>
    </row>
    <row r="9275" spans="1:18" x14ac:dyDescent="0.25">
      <c r="A9275">
        <v>9124</v>
      </c>
      <c r="B9275">
        <v>94</v>
      </c>
      <c r="C9275" t="e">
        <f>-IpVD7BiHW9pRniQLswilV</f>
        <v>#NAME?</v>
      </c>
      <c r="D9275" t="s">
        <v>272</v>
      </c>
      <c r="E9275">
        <v>427.017</v>
      </c>
      <c r="F9275" t="s">
        <v>21</v>
      </c>
      <c r="G9275" t="s">
        <v>26</v>
      </c>
      <c r="H9275" t="s">
        <v>21</v>
      </c>
      <c r="I9275" t="s">
        <v>20</v>
      </c>
      <c r="J9275" t="s">
        <v>20</v>
      </c>
      <c r="K9275" t="s">
        <v>41</v>
      </c>
      <c r="L9275" t="s">
        <v>177</v>
      </c>
      <c r="M9275" t="s">
        <v>46</v>
      </c>
      <c r="N9275">
        <v>41.397157999999997</v>
      </c>
      <c r="O9275">
        <v>-112.034335</v>
      </c>
      <c r="P9275">
        <v>4243.5895520000004</v>
      </c>
      <c r="Q9275">
        <v>1384</v>
      </c>
      <c r="R9275">
        <v>0</v>
      </c>
    </row>
    <row r="9276" spans="1:18" x14ac:dyDescent="0.25">
      <c r="A9276">
        <v>9125</v>
      </c>
      <c r="B9276">
        <v>94</v>
      </c>
      <c r="C9276" t="e">
        <f>-IpVDDIhGDaEQW3-bS4uDV</f>
        <v>#NAME?</v>
      </c>
      <c r="D9276" t="s">
        <v>272</v>
      </c>
      <c r="E9276">
        <v>427.06700000000001</v>
      </c>
      <c r="F9276" t="s">
        <v>21</v>
      </c>
      <c r="G9276" t="s">
        <v>26</v>
      </c>
      <c r="H9276" t="s">
        <v>21</v>
      </c>
      <c r="I9276" t="s">
        <v>20</v>
      </c>
      <c r="J9276" t="s">
        <v>20</v>
      </c>
      <c r="K9276" t="s">
        <v>41</v>
      </c>
      <c r="L9276" t="s">
        <v>177</v>
      </c>
      <c r="M9276" t="s">
        <v>46</v>
      </c>
      <c r="N9276">
        <v>41.397869999999998</v>
      </c>
      <c r="O9276">
        <v>-112.03445000000001</v>
      </c>
      <c r="P9276">
        <v>4241.9526729999998</v>
      </c>
      <c r="Q9276">
        <v>1384</v>
      </c>
      <c r="R9276">
        <v>0</v>
      </c>
    </row>
    <row r="9277" spans="1:18" x14ac:dyDescent="0.25">
      <c r="A9277">
        <v>9126</v>
      </c>
      <c r="B9277">
        <v>94</v>
      </c>
      <c r="C9277" t="s">
        <v>1075</v>
      </c>
      <c r="D9277" t="s">
        <v>272</v>
      </c>
      <c r="E9277">
        <v>427.11900000000003</v>
      </c>
      <c r="F9277" t="s">
        <v>21</v>
      </c>
      <c r="G9277" t="s">
        <v>26</v>
      </c>
      <c r="H9277" t="s">
        <v>21</v>
      </c>
      <c r="I9277" t="s">
        <v>20</v>
      </c>
      <c r="J9277" t="s">
        <v>20</v>
      </c>
      <c r="K9277" t="s">
        <v>41</v>
      </c>
      <c r="L9277" t="s">
        <v>177</v>
      </c>
      <c r="M9277" t="s">
        <v>46</v>
      </c>
      <c r="N9277">
        <v>41.398600000000002</v>
      </c>
      <c r="O9277">
        <v>-112.034633</v>
      </c>
      <c r="P9277">
        <v>4241.4400500000002</v>
      </c>
      <c r="Q9277">
        <v>1384</v>
      </c>
      <c r="R9277">
        <v>0</v>
      </c>
    </row>
    <row r="9278" spans="1:18" x14ac:dyDescent="0.25">
      <c r="A9278">
        <v>9127</v>
      </c>
      <c r="B9278">
        <v>94</v>
      </c>
      <c r="C9278" t="e">
        <f>-IpVEwJEHcqTwjWh41KqBk</f>
        <v>#NAME?</v>
      </c>
      <c r="D9278" t="s">
        <v>272</v>
      </c>
      <c r="E9278">
        <v>427.46</v>
      </c>
      <c r="F9278" t="s">
        <v>21</v>
      </c>
      <c r="G9278" t="s">
        <v>26</v>
      </c>
      <c r="H9278" t="s">
        <v>21</v>
      </c>
      <c r="I9278" t="s">
        <v>20</v>
      </c>
      <c r="J9278" t="s">
        <v>20</v>
      </c>
      <c r="K9278" t="s">
        <v>41</v>
      </c>
      <c r="L9278" t="s">
        <v>177</v>
      </c>
      <c r="M9278" t="s">
        <v>46</v>
      </c>
      <c r="N9278">
        <v>41.403444999999998</v>
      </c>
      <c r="O9278">
        <v>-112.035956</v>
      </c>
      <c r="P9278">
        <v>4264.588487</v>
      </c>
      <c r="Q9278">
        <v>1384</v>
      </c>
      <c r="R9278">
        <v>0</v>
      </c>
    </row>
    <row r="9279" spans="1:18" x14ac:dyDescent="0.25">
      <c r="A9279">
        <v>9128</v>
      </c>
      <c r="B9279">
        <v>94</v>
      </c>
      <c r="C9279" t="e">
        <f>-IpVF94JFVy52M29p8W_EV</f>
        <v>#NAME?</v>
      </c>
      <c r="D9279" t="s">
        <v>272</v>
      </c>
      <c r="E9279">
        <v>427.58800000000002</v>
      </c>
      <c r="F9279" t="s">
        <v>21</v>
      </c>
      <c r="G9279" t="s">
        <v>26</v>
      </c>
      <c r="H9279" t="s">
        <v>21</v>
      </c>
      <c r="I9279" t="s">
        <v>20</v>
      </c>
      <c r="J9279" t="s">
        <v>20</v>
      </c>
      <c r="K9279" t="s">
        <v>41</v>
      </c>
      <c r="L9279" t="s">
        <v>177</v>
      </c>
      <c r="M9279" t="s">
        <v>46</v>
      </c>
      <c r="N9279">
        <v>41.405275000000003</v>
      </c>
      <c r="O9279">
        <v>-112.036338</v>
      </c>
      <c r="P9279">
        <v>4271.3875310000003</v>
      </c>
      <c r="Q9279">
        <v>1384</v>
      </c>
      <c r="R9279">
        <v>0</v>
      </c>
    </row>
    <row r="9280" spans="1:18" x14ac:dyDescent="0.25">
      <c r="A9280">
        <v>9129</v>
      </c>
      <c r="B9280">
        <v>94</v>
      </c>
      <c r="C9280" t="e">
        <f>-IpVFKirIpTVlPMqy8YKvk</f>
        <v>#NAME?</v>
      </c>
      <c r="D9280" t="s">
        <v>272</v>
      </c>
      <c r="E9280">
        <v>427.70400000000001</v>
      </c>
      <c r="F9280" t="s">
        <v>21</v>
      </c>
      <c r="G9280" t="s">
        <v>26</v>
      </c>
      <c r="H9280" t="s">
        <v>21</v>
      </c>
      <c r="I9280" t="s">
        <v>20</v>
      </c>
      <c r="J9280" t="s">
        <v>20</v>
      </c>
      <c r="K9280" t="s">
        <v>41</v>
      </c>
      <c r="L9280" t="s">
        <v>177</v>
      </c>
      <c r="M9280" t="s">
        <v>46</v>
      </c>
      <c r="N9280">
        <v>41.406955000000004</v>
      </c>
      <c r="O9280">
        <v>-112.03637000000001</v>
      </c>
      <c r="P9280">
        <v>4280.9619389999998</v>
      </c>
      <c r="Q9280">
        <v>1384</v>
      </c>
      <c r="R9280">
        <v>0</v>
      </c>
    </row>
    <row r="9281" spans="1:18" x14ac:dyDescent="0.25">
      <c r="A9281">
        <v>9130</v>
      </c>
      <c r="B9281">
        <v>94</v>
      </c>
      <c r="C9281" t="e">
        <f>-IpVFSVGFQagiRPn4nWO6k</f>
        <v>#NAME?</v>
      </c>
      <c r="D9281" t="s">
        <v>272</v>
      </c>
      <c r="E9281">
        <v>427.78500000000003</v>
      </c>
      <c r="F9281" t="s">
        <v>21</v>
      </c>
      <c r="G9281" t="s">
        <v>26</v>
      </c>
      <c r="H9281" t="s">
        <v>21</v>
      </c>
      <c r="I9281" t="s">
        <v>20</v>
      </c>
      <c r="J9281" t="s">
        <v>20</v>
      </c>
      <c r="K9281" t="s">
        <v>41</v>
      </c>
      <c r="L9281" t="s">
        <v>177</v>
      </c>
      <c r="M9281" t="s">
        <v>46</v>
      </c>
      <c r="N9281">
        <v>41.408133999999997</v>
      </c>
      <c r="O9281">
        <v>-112.036309</v>
      </c>
      <c r="P9281">
        <v>4289.0727479999996</v>
      </c>
      <c r="Q9281">
        <v>1384</v>
      </c>
      <c r="R9281">
        <v>0</v>
      </c>
    </row>
    <row r="9282" spans="1:18" x14ac:dyDescent="0.25">
      <c r="A9282">
        <v>9131</v>
      </c>
      <c r="B9282">
        <v>94</v>
      </c>
      <c r="C9282" t="e">
        <f>-IpVFXyEIJeH1t3w3CsW1F</f>
        <v>#NAME?</v>
      </c>
      <c r="D9282" t="s">
        <v>272</v>
      </c>
      <c r="E9282">
        <v>427.83100000000002</v>
      </c>
      <c r="F9282" t="s">
        <v>21</v>
      </c>
      <c r="G9282" t="s">
        <v>26</v>
      </c>
      <c r="H9282" t="s">
        <v>21</v>
      </c>
      <c r="I9282" t="s">
        <v>20</v>
      </c>
      <c r="J9282" t="s">
        <v>20</v>
      </c>
      <c r="K9282" t="s">
        <v>41</v>
      </c>
      <c r="L9282" t="s">
        <v>177</v>
      </c>
      <c r="M9282" t="s">
        <v>46</v>
      </c>
      <c r="N9282">
        <v>41.408791000000001</v>
      </c>
      <c r="O9282">
        <v>-112.036297</v>
      </c>
      <c r="P9282">
        <v>4292.6284880000003</v>
      </c>
      <c r="Q9282">
        <v>1384</v>
      </c>
      <c r="R9282">
        <v>0</v>
      </c>
    </row>
    <row r="9283" spans="1:18" x14ac:dyDescent="0.25">
      <c r="A9283">
        <v>9132</v>
      </c>
      <c r="B9283">
        <v>94</v>
      </c>
      <c r="C9283">
        <v>31407847</v>
      </c>
      <c r="D9283" t="s">
        <v>124</v>
      </c>
      <c r="E9283">
        <v>48.920999999999999</v>
      </c>
      <c r="F9283" t="s">
        <v>21</v>
      </c>
      <c r="G9283" t="s">
        <v>26</v>
      </c>
      <c r="H9283" t="s">
        <v>21</v>
      </c>
      <c r="I9283" t="s">
        <v>20</v>
      </c>
      <c r="J9283" t="s">
        <v>20</v>
      </c>
      <c r="K9283" t="s">
        <v>31</v>
      </c>
      <c r="L9283" t="s">
        <v>48</v>
      </c>
      <c r="M9283" t="s">
        <v>125</v>
      </c>
      <c r="N9283">
        <v>40.618369000000001</v>
      </c>
      <c r="O9283">
        <v>-111.938776</v>
      </c>
      <c r="P9283">
        <v>4314.5668889999997</v>
      </c>
      <c r="Q9283">
        <v>1368</v>
      </c>
      <c r="R9283">
        <v>0</v>
      </c>
    </row>
    <row r="9284" spans="1:18" x14ac:dyDescent="0.25">
      <c r="A9284">
        <v>9133</v>
      </c>
      <c r="B9284">
        <v>94</v>
      </c>
      <c r="C9284" t="e">
        <f>-Iq1jepsIUqfHvEyQ_TCVF</f>
        <v>#NAME?</v>
      </c>
      <c r="D9284" t="s">
        <v>272</v>
      </c>
      <c r="E9284">
        <v>480.28199999999998</v>
      </c>
      <c r="F9284" t="s">
        <v>21</v>
      </c>
      <c r="G9284" t="s">
        <v>26</v>
      </c>
      <c r="H9284" t="s">
        <v>21</v>
      </c>
      <c r="I9284" t="s">
        <v>20</v>
      </c>
      <c r="J9284" t="s">
        <v>20</v>
      </c>
      <c r="K9284" t="s">
        <v>41</v>
      </c>
      <c r="L9284" t="s">
        <v>95</v>
      </c>
      <c r="M9284" t="s">
        <v>152</v>
      </c>
      <c r="N9284">
        <v>41.876052000000001</v>
      </c>
      <c r="O9284">
        <v>-111.565183</v>
      </c>
      <c r="P9284">
        <v>6131.2549719999997</v>
      </c>
      <c r="Q9284">
        <v>1384</v>
      </c>
      <c r="R9284">
        <v>0</v>
      </c>
    </row>
    <row r="9285" spans="1:18" x14ac:dyDescent="0.25">
      <c r="A9285">
        <v>9134</v>
      </c>
      <c r="B9285">
        <v>94</v>
      </c>
      <c r="C9285" t="e">
        <f>-IpVQuBMF4isnw57Cz9diV</f>
        <v>#NAME?</v>
      </c>
      <c r="D9285" t="s">
        <v>272</v>
      </c>
      <c r="E9285">
        <v>431.69499999999999</v>
      </c>
      <c r="F9285" t="s">
        <v>21</v>
      </c>
      <c r="G9285" t="s">
        <v>26</v>
      </c>
      <c r="H9285" t="s">
        <v>21</v>
      </c>
      <c r="I9285" t="s">
        <v>20</v>
      </c>
      <c r="J9285" t="s">
        <v>20</v>
      </c>
      <c r="K9285" t="s">
        <v>41</v>
      </c>
      <c r="L9285" t="s">
        <v>177</v>
      </c>
      <c r="M9285" t="s">
        <v>46</v>
      </c>
      <c r="N9285">
        <v>41.463695999999999</v>
      </c>
      <c r="O9285">
        <v>-112.03459700000001</v>
      </c>
      <c r="P9285">
        <v>4307.8886849999999</v>
      </c>
      <c r="Q9285">
        <v>1384</v>
      </c>
      <c r="R9285">
        <v>0</v>
      </c>
    </row>
    <row r="9286" spans="1:18" x14ac:dyDescent="0.25">
      <c r="A9286">
        <v>9135</v>
      </c>
      <c r="B9286">
        <v>94</v>
      </c>
      <c r="C9286" t="e">
        <f>-IpVQz0ZF399N3kGv9YNmk</f>
        <v>#NAME?</v>
      </c>
      <c r="D9286" t="s">
        <v>272</v>
      </c>
      <c r="E9286">
        <v>431.80399999999997</v>
      </c>
      <c r="F9286" t="s">
        <v>21</v>
      </c>
      <c r="G9286" t="s">
        <v>26</v>
      </c>
      <c r="H9286" t="s">
        <v>21</v>
      </c>
      <c r="I9286" t="s">
        <v>20</v>
      </c>
      <c r="J9286" t="s">
        <v>20</v>
      </c>
      <c r="K9286" t="s">
        <v>41</v>
      </c>
      <c r="L9286" t="s">
        <v>177</v>
      </c>
      <c r="M9286" t="s">
        <v>46</v>
      </c>
      <c r="N9286">
        <v>41.465024999999997</v>
      </c>
      <c r="O9286">
        <v>-112.033489</v>
      </c>
      <c r="P9286">
        <v>4307.448907</v>
      </c>
      <c r="Q9286">
        <v>1384</v>
      </c>
      <c r="R9286">
        <v>0</v>
      </c>
    </row>
    <row r="9287" spans="1:18" x14ac:dyDescent="0.25">
      <c r="A9287">
        <v>9136</v>
      </c>
      <c r="B9287">
        <v>94</v>
      </c>
      <c r="C9287" t="e">
        <f>-IpVRIvbFVXzf-eXqXBbwk</f>
        <v>#NAME?</v>
      </c>
      <c r="D9287" t="s">
        <v>272</v>
      </c>
      <c r="E9287">
        <v>431.91500000000002</v>
      </c>
      <c r="F9287" t="s">
        <v>21</v>
      </c>
      <c r="G9287" t="s">
        <v>26</v>
      </c>
      <c r="H9287" t="s">
        <v>21</v>
      </c>
      <c r="I9287" t="s">
        <v>20</v>
      </c>
      <c r="J9287" t="s">
        <v>20</v>
      </c>
      <c r="K9287" t="s">
        <v>41</v>
      </c>
      <c r="L9287" t="s">
        <v>177</v>
      </c>
      <c r="M9287" t="s">
        <v>46</v>
      </c>
      <c r="N9287">
        <v>41.466377999999999</v>
      </c>
      <c r="O9287">
        <v>-112.032354</v>
      </c>
      <c r="P9287">
        <v>4309.640257</v>
      </c>
      <c r="Q9287">
        <v>1384</v>
      </c>
      <c r="R9287">
        <v>0</v>
      </c>
    </row>
    <row r="9288" spans="1:18" x14ac:dyDescent="0.25">
      <c r="A9288">
        <v>9137</v>
      </c>
      <c r="B9288">
        <v>94</v>
      </c>
      <c r="C9288" t="e">
        <f>-IpVRkU0Fo9jXAOGtQAEPF</f>
        <v>#NAME?</v>
      </c>
      <c r="D9288" t="s">
        <v>272</v>
      </c>
      <c r="E9288">
        <v>432.04599999999999</v>
      </c>
      <c r="F9288" t="s">
        <v>21</v>
      </c>
      <c r="G9288" t="s">
        <v>26</v>
      </c>
      <c r="H9288" t="s">
        <v>21</v>
      </c>
      <c r="I9288" t="s">
        <v>20</v>
      </c>
      <c r="J9288" t="s">
        <v>20</v>
      </c>
      <c r="K9288" t="s">
        <v>41</v>
      </c>
      <c r="L9288" t="s">
        <v>177</v>
      </c>
      <c r="M9288" t="s">
        <v>46</v>
      </c>
      <c r="N9288">
        <v>41.467981000000002</v>
      </c>
      <c r="O9288">
        <v>-112.03102800000001</v>
      </c>
      <c r="P9288">
        <v>4306.6379459999998</v>
      </c>
      <c r="Q9288">
        <v>1384</v>
      </c>
      <c r="R9288">
        <v>0</v>
      </c>
    </row>
    <row r="9289" spans="1:18" x14ac:dyDescent="0.25">
      <c r="A9289">
        <v>9138</v>
      </c>
      <c r="B9289">
        <v>94</v>
      </c>
      <c r="C9289">
        <v>524344</v>
      </c>
      <c r="D9289" t="s">
        <v>262</v>
      </c>
      <c r="E9289">
        <v>5.0250000000000004</v>
      </c>
      <c r="F9289" t="s">
        <v>21</v>
      </c>
      <c r="G9289" t="s">
        <v>26</v>
      </c>
      <c r="H9289" t="s">
        <v>21</v>
      </c>
      <c r="I9289" t="s">
        <v>20</v>
      </c>
      <c r="J9289" t="s">
        <v>20</v>
      </c>
      <c r="K9289" t="s">
        <v>22</v>
      </c>
      <c r="L9289" t="s">
        <v>263</v>
      </c>
      <c r="M9289" t="s">
        <v>24</v>
      </c>
      <c r="N9289">
        <v>40.376862000000003</v>
      </c>
      <c r="O9289">
        <v>-111.824905</v>
      </c>
      <c r="P9289">
        <v>4471.8530810000002</v>
      </c>
      <c r="Q9289">
        <v>1419</v>
      </c>
      <c r="R9289">
        <v>0</v>
      </c>
    </row>
    <row r="9290" spans="1:18" x14ac:dyDescent="0.25">
      <c r="A9290">
        <v>9139</v>
      </c>
      <c r="B9290">
        <v>94</v>
      </c>
      <c r="C9290">
        <v>807904</v>
      </c>
      <c r="D9290" t="s">
        <v>68</v>
      </c>
      <c r="E9290">
        <v>5.0270000000000001</v>
      </c>
      <c r="F9290" t="s">
        <v>19</v>
      </c>
      <c r="G9290" t="s">
        <v>20</v>
      </c>
      <c r="H9290" t="s">
        <v>21</v>
      </c>
      <c r="I9290" t="s">
        <v>20</v>
      </c>
      <c r="J9290" t="s">
        <v>20</v>
      </c>
      <c r="K9290" t="s">
        <v>31</v>
      </c>
      <c r="L9290" t="s">
        <v>32</v>
      </c>
      <c r="M9290" t="s">
        <v>70</v>
      </c>
      <c r="N9290">
        <v>40.674315999999997</v>
      </c>
      <c r="O9290">
        <v>-111.859939</v>
      </c>
      <c r="P9290">
        <v>4271.7123490000004</v>
      </c>
      <c r="Q9290">
        <v>431</v>
      </c>
      <c r="R9290">
        <v>0</v>
      </c>
    </row>
    <row r="9291" spans="1:18" x14ac:dyDescent="0.25">
      <c r="A9291">
        <v>9140</v>
      </c>
      <c r="B9291">
        <v>94</v>
      </c>
      <c r="C9291">
        <v>1047596</v>
      </c>
      <c r="D9291" t="s">
        <v>127</v>
      </c>
      <c r="E9291">
        <v>5.0289999999999999</v>
      </c>
      <c r="F9291" t="s">
        <v>21</v>
      </c>
      <c r="G9291" t="s">
        <v>26</v>
      </c>
      <c r="H9291" t="s">
        <v>21</v>
      </c>
      <c r="I9291" t="s">
        <v>20</v>
      </c>
      <c r="J9291" t="s">
        <v>20</v>
      </c>
      <c r="K9291" t="s">
        <v>41</v>
      </c>
      <c r="L9291" t="s">
        <v>95</v>
      </c>
      <c r="M9291" t="s">
        <v>73</v>
      </c>
      <c r="N9291">
        <v>41.975906000000002</v>
      </c>
      <c r="O9291">
        <v>-111.856696</v>
      </c>
      <c r="P9291">
        <v>4458.3305300000002</v>
      </c>
      <c r="Q9291">
        <v>1364</v>
      </c>
      <c r="R9291">
        <v>0</v>
      </c>
    </row>
    <row r="9292" spans="1:18" x14ac:dyDescent="0.25">
      <c r="A9292">
        <v>9141</v>
      </c>
      <c r="B9292">
        <v>94</v>
      </c>
      <c r="C9292">
        <v>31403114</v>
      </c>
      <c r="D9292" t="s">
        <v>124</v>
      </c>
      <c r="E9292">
        <v>45.572000000000003</v>
      </c>
      <c r="F9292" t="s">
        <v>21</v>
      </c>
      <c r="G9292" t="s">
        <v>26</v>
      </c>
      <c r="H9292" t="s">
        <v>21</v>
      </c>
      <c r="I9292" t="s">
        <v>20</v>
      </c>
      <c r="J9292" t="s">
        <v>20</v>
      </c>
      <c r="K9292" t="s">
        <v>31</v>
      </c>
      <c r="L9292" t="s">
        <v>48</v>
      </c>
      <c r="M9292" t="s">
        <v>125</v>
      </c>
      <c r="N9292">
        <v>40.569676999999999</v>
      </c>
      <c r="O9292">
        <v>-111.93867</v>
      </c>
      <c r="P9292">
        <v>4403.7574850000001</v>
      </c>
      <c r="Q9292">
        <v>1368</v>
      </c>
      <c r="R9292">
        <v>0</v>
      </c>
    </row>
    <row r="9293" spans="1:18" x14ac:dyDescent="0.25">
      <c r="A9293">
        <v>9142</v>
      </c>
      <c r="B9293">
        <v>94</v>
      </c>
      <c r="C9293">
        <v>31503331</v>
      </c>
      <c r="D9293" t="s">
        <v>129</v>
      </c>
      <c r="E9293">
        <v>45.652000000000001</v>
      </c>
      <c r="F9293" t="s">
        <v>21</v>
      </c>
      <c r="G9293" t="s">
        <v>26</v>
      </c>
      <c r="H9293" t="s">
        <v>21</v>
      </c>
      <c r="I9293" t="s">
        <v>20</v>
      </c>
      <c r="J9293" t="s">
        <v>20</v>
      </c>
      <c r="K9293" t="s">
        <v>31</v>
      </c>
      <c r="L9293" t="s">
        <v>130</v>
      </c>
      <c r="M9293" t="s">
        <v>328</v>
      </c>
      <c r="N9293">
        <v>40.872582999999999</v>
      </c>
      <c r="O9293">
        <v>-110.83373899999999</v>
      </c>
      <c r="P9293">
        <v>8443.8511450000005</v>
      </c>
      <c r="Q9293">
        <v>340</v>
      </c>
      <c r="R9293">
        <v>0</v>
      </c>
    </row>
    <row r="9294" spans="1:18" x14ac:dyDescent="0.25">
      <c r="A9294">
        <v>9143</v>
      </c>
      <c r="B9294">
        <v>94</v>
      </c>
      <c r="C9294">
        <v>31401019</v>
      </c>
      <c r="D9294" t="s">
        <v>224</v>
      </c>
      <c r="E9294">
        <v>4.0860000000000003</v>
      </c>
      <c r="F9294" t="s">
        <v>21</v>
      </c>
      <c r="G9294" t="s">
        <v>26</v>
      </c>
      <c r="H9294" t="s">
        <v>21</v>
      </c>
      <c r="I9294" t="s">
        <v>20</v>
      </c>
      <c r="J9294" t="s">
        <v>20</v>
      </c>
      <c r="K9294" t="s">
        <v>22</v>
      </c>
      <c r="L9294" t="s">
        <v>198</v>
      </c>
      <c r="M9294" t="s">
        <v>194</v>
      </c>
      <c r="N9294">
        <v>40.027968000000001</v>
      </c>
      <c r="O9294">
        <v>-111.73954999999999</v>
      </c>
      <c r="P9294">
        <v>4692.4424129999998</v>
      </c>
      <c r="Q9294">
        <v>408</v>
      </c>
      <c r="R9294">
        <v>0</v>
      </c>
    </row>
    <row r="9295" spans="1:18" x14ac:dyDescent="0.25">
      <c r="A9295">
        <v>9144</v>
      </c>
      <c r="B9295">
        <v>94</v>
      </c>
      <c r="C9295">
        <v>1145889</v>
      </c>
      <c r="D9295" t="s">
        <v>56</v>
      </c>
      <c r="E9295">
        <v>4.09</v>
      </c>
      <c r="F9295" t="s">
        <v>19</v>
      </c>
      <c r="G9295" t="s">
        <v>20</v>
      </c>
      <c r="H9295" t="s">
        <v>21</v>
      </c>
      <c r="I9295" t="s">
        <v>20</v>
      </c>
      <c r="J9295" t="s">
        <v>20</v>
      </c>
      <c r="K9295" t="s">
        <v>41</v>
      </c>
      <c r="L9295" t="s">
        <v>57</v>
      </c>
      <c r="M9295" t="s">
        <v>58</v>
      </c>
      <c r="N9295">
        <v>41.161659</v>
      </c>
      <c r="O9295">
        <v>-112.04521099999999</v>
      </c>
      <c r="P9295">
        <v>4352.6004679999996</v>
      </c>
      <c r="Q9295">
        <v>1459</v>
      </c>
      <c r="R9295">
        <v>0</v>
      </c>
    </row>
    <row r="9296" spans="1:18" x14ac:dyDescent="0.25">
      <c r="A9296">
        <v>9145</v>
      </c>
      <c r="B9296">
        <v>94</v>
      </c>
      <c r="C9296" t="e">
        <f>-JLjCLIAHAHPZgsixCCROk</f>
        <v>#NAME?</v>
      </c>
      <c r="D9296" t="s">
        <v>59</v>
      </c>
      <c r="E9296">
        <v>4.0910000000000002</v>
      </c>
      <c r="F9296" t="s">
        <v>21</v>
      </c>
      <c r="G9296" t="s">
        <v>26</v>
      </c>
      <c r="H9296" t="s">
        <v>21</v>
      </c>
      <c r="I9296" t="s">
        <v>20</v>
      </c>
      <c r="J9296" t="s">
        <v>20</v>
      </c>
      <c r="K9296" t="s">
        <v>22</v>
      </c>
      <c r="L9296" t="s">
        <v>60</v>
      </c>
      <c r="M9296" t="s">
        <v>24</v>
      </c>
      <c r="N9296">
        <v>40.313263999999997</v>
      </c>
      <c r="O9296">
        <v>-111.657726</v>
      </c>
      <c r="P9296">
        <v>4775.7875439999998</v>
      </c>
      <c r="Q9296">
        <v>313</v>
      </c>
      <c r="R9296">
        <v>0</v>
      </c>
    </row>
    <row r="9297" spans="1:18" x14ac:dyDescent="0.25">
      <c r="A9297">
        <v>9146</v>
      </c>
      <c r="B9297">
        <v>94</v>
      </c>
      <c r="C9297">
        <v>31411777</v>
      </c>
      <c r="D9297" t="s">
        <v>317</v>
      </c>
      <c r="E9297">
        <v>4.0940000000000003</v>
      </c>
      <c r="F9297" t="s">
        <v>21</v>
      </c>
      <c r="G9297" t="s">
        <v>20</v>
      </c>
      <c r="H9297" t="s">
        <v>21</v>
      </c>
      <c r="I9297" t="s">
        <v>20</v>
      </c>
      <c r="J9297" t="s">
        <v>20</v>
      </c>
      <c r="K9297" t="s">
        <v>27</v>
      </c>
      <c r="L9297" t="s">
        <v>211</v>
      </c>
      <c r="M9297" t="s">
        <v>212</v>
      </c>
      <c r="N9297">
        <v>37.03078</v>
      </c>
      <c r="O9297">
        <v>-110.11837199999999</v>
      </c>
      <c r="P9297">
        <v>5375.4903439999998</v>
      </c>
      <c r="Q9297">
        <v>1432</v>
      </c>
      <c r="R9297">
        <v>0</v>
      </c>
    </row>
    <row r="9298" spans="1:18" x14ac:dyDescent="0.25">
      <c r="A9298">
        <v>9147</v>
      </c>
      <c r="B9298">
        <v>94</v>
      </c>
      <c r="C9298" t="e">
        <f>-IpVS5CnGHy9k_WMMdLsXF</f>
        <v>#NAME?</v>
      </c>
      <c r="D9298" t="s">
        <v>272</v>
      </c>
      <c r="E9298">
        <v>432.51499999999999</v>
      </c>
      <c r="F9298" t="s">
        <v>21</v>
      </c>
      <c r="G9298" t="s">
        <v>26</v>
      </c>
      <c r="H9298" t="s">
        <v>21</v>
      </c>
      <c r="I9298" t="s">
        <v>20</v>
      </c>
      <c r="J9298" t="s">
        <v>20</v>
      </c>
      <c r="K9298" t="s">
        <v>41</v>
      </c>
      <c r="L9298" t="s">
        <v>177</v>
      </c>
      <c r="M9298" t="s">
        <v>46</v>
      </c>
      <c r="N9298">
        <v>41.473683999999999</v>
      </c>
      <c r="O9298">
        <v>-112.026265</v>
      </c>
      <c r="P9298">
        <v>4272.0382159999999</v>
      </c>
      <c r="Q9298">
        <v>1384</v>
      </c>
      <c r="R9298">
        <v>0</v>
      </c>
    </row>
    <row r="9299" spans="1:18" x14ac:dyDescent="0.25">
      <c r="A9299">
        <v>9148</v>
      </c>
      <c r="B9299">
        <v>94</v>
      </c>
      <c r="C9299" t="e">
        <f>-JQKQA16HDLCaPuovJcyPV</f>
        <v>#NAME?</v>
      </c>
      <c r="D9299" t="s">
        <v>1076</v>
      </c>
      <c r="E9299">
        <v>0</v>
      </c>
      <c r="F9299" t="s">
        <v>21</v>
      </c>
      <c r="G9299" t="s">
        <v>26</v>
      </c>
      <c r="H9299" t="s">
        <v>21</v>
      </c>
      <c r="I9299" t="s">
        <v>20</v>
      </c>
      <c r="J9299" t="s">
        <v>20</v>
      </c>
      <c r="K9299" t="s">
        <v>27</v>
      </c>
      <c r="L9299" t="s">
        <v>72</v>
      </c>
      <c r="M9299" t="s">
        <v>125</v>
      </c>
      <c r="N9299">
        <v>37.34158</v>
      </c>
      <c r="O9299">
        <v>-113.275699</v>
      </c>
      <c r="P9299">
        <v>4023.196637</v>
      </c>
      <c r="Q9299">
        <v>6661</v>
      </c>
      <c r="R9299">
        <v>0</v>
      </c>
    </row>
    <row r="9300" spans="1:18" x14ac:dyDescent="0.25">
      <c r="A9300">
        <v>9149</v>
      </c>
      <c r="B9300">
        <v>94</v>
      </c>
      <c r="C9300" t="e">
        <f>-Iq8OuCtH9LNRemtqbWHsk</f>
        <v>#NAME?</v>
      </c>
      <c r="D9300" t="s">
        <v>1077</v>
      </c>
      <c r="E9300">
        <v>0</v>
      </c>
      <c r="F9300" t="s">
        <v>21</v>
      </c>
      <c r="G9300" t="s">
        <v>26</v>
      </c>
      <c r="H9300" t="s">
        <v>21</v>
      </c>
      <c r="I9300" t="s">
        <v>20</v>
      </c>
      <c r="J9300" t="s">
        <v>20</v>
      </c>
      <c r="K9300" t="s">
        <v>27</v>
      </c>
      <c r="L9300" t="s">
        <v>183</v>
      </c>
      <c r="M9300" t="s">
        <v>379</v>
      </c>
      <c r="N9300">
        <v>38.916829</v>
      </c>
      <c r="O9300">
        <v>-111.73996</v>
      </c>
      <c r="P9300">
        <v>5692.1647389999998</v>
      </c>
      <c r="Q9300">
        <v>6662</v>
      </c>
      <c r="R9300">
        <v>0</v>
      </c>
    </row>
    <row r="9301" spans="1:18" x14ac:dyDescent="0.25">
      <c r="A9301">
        <v>9150</v>
      </c>
      <c r="B9301">
        <v>94</v>
      </c>
      <c r="C9301">
        <v>1433994</v>
      </c>
      <c r="D9301" t="s">
        <v>999</v>
      </c>
      <c r="E9301">
        <v>0</v>
      </c>
      <c r="F9301" t="s">
        <v>21</v>
      </c>
      <c r="G9301" t="s">
        <v>26</v>
      </c>
      <c r="H9301" t="s">
        <v>21</v>
      </c>
      <c r="I9301" t="s">
        <v>20</v>
      </c>
      <c r="J9301" t="s">
        <v>20</v>
      </c>
      <c r="K9301" t="s">
        <v>41</v>
      </c>
      <c r="L9301" t="s">
        <v>223</v>
      </c>
      <c r="M9301" t="s">
        <v>238</v>
      </c>
      <c r="N9301">
        <v>41.635131999999999</v>
      </c>
      <c r="O9301">
        <v>-112.102777</v>
      </c>
      <c r="P9301">
        <v>4222.5632679999999</v>
      </c>
      <c r="Q9301">
        <v>425</v>
      </c>
      <c r="R9301">
        <v>0</v>
      </c>
    </row>
    <row r="9302" spans="1:18" x14ac:dyDescent="0.25">
      <c r="A9302">
        <v>9151</v>
      </c>
      <c r="B9302">
        <v>94</v>
      </c>
      <c r="C9302" t="s">
        <v>1078</v>
      </c>
      <c r="D9302" t="s">
        <v>1079</v>
      </c>
      <c r="E9302">
        <v>0</v>
      </c>
      <c r="F9302" t="s">
        <v>21</v>
      </c>
      <c r="G9302" t="s">
        <v>26</v>
      </c>
      <c r="H9302" t="s">
        <v>21</v>
      </c>
      <c r="I9302" t="s">
        <v>20</v>
      </c>
      <c r="J9302" t="s">
        <v>20</v>
      </c>
      <c r="K9302" t="s">
        <v>27</v>
      </c>
      <c r="L9302" t="s">
        <v>103</v>
      </c>
      <c r="M9302" t="s">
        <v>365</v>
      </c>
      <c r="N9302">
        <v>38.293528999999999</v>
      </c>
      <c r="O9302">
        <v>-112.651786</v>
      </c>
      <c r="P9302">
        <v>5861.7583940000004</v>
      </c>
      <c r="Q9302">
        <v>6661</v>
      </c>
      <c r="R9302">
        <v>0</v>
      </c>
    </row>
    <row r="9303" spans="1:18" x14ac:dyDescent="0.25">
      <c r="A9303">
        <v>9152</v>
      </c>
      <c r="B9303">
        <v>94</v>
      </c>
      <c r="C9303" t="e">
        <f>-JQyTzfSHOqIpyj2VlFh0V</f>
        <v>#NAME?</v>
      </c>
      <c r="D9303" t="s">
        <v>1080</v>
      </c>
      <c r="E9303">
        <v>0</v>
      </c>
      <c r="F9303" t="s">
        <v>21</v>
      </c>
      <c r="G9303" t="s">
        <v>26</v>
      </c>
      <c r="H9303" t="s">
        <v>21</v>
      </c>
      <c r="I9303" t="s">
        <v>20</v>
      </c>
      <c r="J9303" t="s">
        <v>20</v>
      </c>
      <c r="K9303" t="s">
        <v>27</v>
      </c>
      <c r="L9303" t="s">
        <v>405</v>
      </c>
      <c r="M9303" t="s">
        <v>973</v>
      </c>
      <c r="N9303">
        <v>38.943306999999997</v>
      </c>
      <c r="O9303">
        <v>-109.614791</v>
      </c>
      <c r="P9303">
        <v>4766.9206889999996</v>
      </c>
      <c r="Q9303">
        <v>6662</v>
      </c>
      <c r="R9303">
        <v>0</v>
      </c>
    </row>
    <row r="9304" spans="1:18" x14ac:dyDescent="0.25">
      <c r="A9304">
        <v>9153</v>
      </c>
      <c r="B9304">
        <v>94</v>
      </c>
      <c r="C9304" t="e">
        <f>-JRGHzhIGC9iHgCdDsWz5V</f>
        <v>#NAME?</v>
      </c>
      <c r="D9304" t="s">
        <v>1081</v>
      </c>
      <c r="E9304">
        <v>0</v>
      </c>
      <c r="F9304" t="s">
        <v>21</v>
      </c>
      <c r="G9304" t="s">
        <v>26</v>
      </c>
      <c r="H9304" t="s">
        <v>21</v>
      </c>
      <c r="I9304" t="s">
        <v>20</v>
      </c>
      <c r="J9304" t="s">
        <v>20</v>
      </c>
      <c r="K9304" t="s">
        <v>27</v>
      </c>
      <c r="L9304" t="s">
        <v>242</v>
      </c>
      <c r="M9304" t="s">
        <v>973</v>
      </c>
      <c r="N9304">
        <v>38.856372999999998</v>
      </c>
      <c r="O9304">
        <v>-110.913718</v>
      </c>
      <c r="P9304">
        <v>7027.2570230000001</v>
      </c>
      <c r="Q9304">
        <v>6662</v>
      </c>
      <c r="R9304">
        <v>0</v>
      </c>
    </row>
    <row r="9305" spans="1:18" x14ac:dyDescent="0.25">
      <c r="A9305">
        <v>9154</v>
      </c>
      <c r="B9305">
        <v>94</v>
      </c>
      <c r="C9305">
        <v>998146</v>
      </c>
      <c r="D9305" t="s">
        <v>604</v>
      </c>
      <c r="E9305">
        <v>0</v>
      </c>
      <c r="F9305" t="s">
        <v>21</v>
      </c>
      <c r="G9305" t="s">
        <v>26</v>
      </c>
      <c r="H9305" t="s">
        <v>21</v>
      </c>
      <c r="I9305" t="s">
        <v>20</v>
      </c>
      <c r="J9305" t="s">
        <v>20</v>
      </c>
      <c r="K9305" t="s">
        <v>41</v>
      </c>
      <c r="L9305" t="s">
        <v>45</v>
      </c>
      <c r="M9305" t="s">
        <v>46</v>
      </c>
      <c r="N9305">
        <v>40.921523999999998</v>
      </c>
      <c r="O9305">
        <v>-111.90034</v>
      </c>
      <c r="P9305">
        <v>4161.5890399999998</v>
      </c>
      <c r="Q9305">
        <v>1394</v>
      </c>
      <c r="R9305">
        <v>0</v>
      </c>
    </row>
    <row r="9306" spans="1:18" x14ac:dyDescent="0.25">
      <c r="A9306">
        <v>9155</v>
      </c>
      <c r="B9306">
        <v>94</v>
      </c>
      <c r="C9306" t="e">
        <f>-Iq2A73lGK1CGVgDE83mjV</f>
        <v>#NAME?</v>
      </c>
      <c r="D9306" t="s">
        <v>1082</v>
      </c>
      <c r="E9306">
        <v>0</v>
      </c>
      <c r="F9306" t="s">
        <v>21</v>
      </c>
      <c r="G9306" t="s">
        <v>26</v>
      </c>
      <c r="H9306" t="s">
        <v>21</v>
      </c>
      <c r="I9306" t="s">
        <v>20</v>
      </c>
      <c r="J9306" t="s">
        <v>20</v>
      </c>
      <c r="K9306" t="s">
        <v>31</v>
      </c>
      <c r="L9306" t="s">
        <v>149</v>
      </c>
      <c r="M9306" t="s">
        <v>147</v>
      </c>
      <c r="N9306">
        <v>40.775308000000003</v>
      </c>
      <c r="O9306">
        <v>-111.469168</v>
      </c>
      <c r="P9306">
        <v>6254.4567440000001</v>
      </c>
      <c r="Q9306">
        <v>6663</v>
      </c>
      <c r="R9306">
        <v>0</v>
      </c>
    </row>
    <row r="9307" spans="1:18" x14ac:dyDescent="0.25">
      <c r="A9307">
        <v>9156</v>
      </c>
      <c r="B9307">
        <v>94</v>
      </c>
      <c r="C9307">
        <v>1405174</v>
      </c>
      <c r="D9307" t="s">
        <v>109</v>
      </c>
      <c r="E9307">
        <v>0</v>
      </c>
      <c r="F9307" t="s">
        <v>21</v>
      </c>
      <c r="G9307" t="s">
        <v>26</v>
      </c>
      <c r="H9307" t="s">
        <v>21</v>
      </c>
      <c r="I9307" t="s">
        <v>20</v>
      </c>
      <c r="J9307" t="s">
        <v>20</v>
      </c>
      <c r="K9307" t="s">
        <v>41</v>
      </c>
      <c r="L9307" t="s">
        <v>42</v>
      </c>
      <c r="M9307" t="s">
        <v>73</v>
      </c>
      <c r="N9307">
        <v>41.566521000000002</v>
      </c>
      <c r="O9307">
        <v>-111.832814</v>
      </c>
      <c r="P9307">
        <v>4898.1063370000002</v>
      </c>
      <c r="Q9307">
        <v>345</v>
      </c>
      <c r="R9307">
        <v>0</v>
      </c>
    </row>
    <row r="9308" spans="1:18" x14ac:dyDescent="0.25">
      <c r="A9308">
        <v>9157</v>
      </c>
      <c r="B9308">
        <v>94</v>
      </c>
      <c r="C9308">
        <v>31367891</v>
      </c>
      <c r="D9308" t="s">
        <v>345</v>
      </c>
      <c r="E9308">
        <v>0</v>
      </c>
      <c r="F9308" t="s">
        <v>21</v>
      </c>
      <c r="G9308" t="s">
        <v>26</v>
      </c>
      <c r="H9308" t="s">
        <v>21</v>
      </c>
      <c r="I9308" t="s">
        <v>20</v>
      </c>
      <c r="J9308" t="s">
        <v>20</v>
      </c>
      <c r="K9308" t="s">
        <v>27</v>
      </c>
      <c r="L9308" t="s">
        <v>75</v>
      </c>
      <c r="M9308" t="s">
        <v>76</v>
      </c>
      <c r="N9308">
        <v>38.625188999999999</v>
      </c>
      <c r="O9308">
        <v>-112.22720099999999</v>
      </c>
      <c r="P9308">
        <v>5475.5640960000001</v>
      </c>
      <c r="Q9308">
        <v>1403</v>
      </c>
      <c r="R9308">
        <v>0</v>
      </c>
    </row>
    <row r="9309" spans="1:18" x14ac:dyDescent="0.25">
      <c r="A9309">
        <v>9158</v>
      </c>
      <c r="B9309">
        <v>94</v>
      </c>
      <c r="C9309">
        <v>31394471</v>
      </c>
      <c r="D9309" t="s">
        <v>399</v>
      </c>
      <c r="E9309">
        <v>0</v>
      </c>
      <c r="F9309" t="s">
        <v>21</v>
      </c>
      <c r="G9309" t="s">
        <v>26</v>
      </c>
      <c r="H9309" t="s">
        <v>19</v>
      </c>
      <c r="I9309">
        <v>70</v>
      </c>
      <c r="J9309" t="s">
        <v>20</v>
      </c>
      <c r="K9309" t="s">
        <v>27</v>
      </c>
      <c r="L9309" t="s">
        <v>400</v>
      </c>
      <c r="M9309" t="s">
        <v>166</v>
      </c>
      <c r="N9309">
        <v>38.586284999999997</v>
      </c>
      <c r="O9309">
        <v>-112.584548</v>
      </c>
      <c r="P9309">
        <v>5920.3183980000003</v>
      </c>
      <c r="Q9309">
        <v>1431</v>
      </c>
      <c r="R9309">
        <v>0</v>
      </c>
    </row>
    <row r="9310" spans="1:18" x14ac:dyDescent="0.25">
      <c r="A9310">
        <v>9159</v>
      </c>
      <c r="B9310">
        <v>94</v>
      </c>
      <c r="C9310" t="e">
        <f>-JQtf6XLGr5JwXQhIlOHgF</f>
        <v>#NAME?</v>
      </c>
      <c r="D9310" t="s">
        <v>1083</v>
      </c>
      <c r="E9310">
        <v>0</v>
      </c>
      <c r="F9310" t="s">
        <v>21</v>
      </c>
      <c r="G9310" t="s">
        <v>26</v>
      </c>
      <c r="H9310" t="s">
        <v>21</v>
      </c>
      <c r="I9310" t="s">
        <v>20</v>
      </c>
      <c r="J9310" t="s">
        <v>20</v>
      </c>
      <c r="K9310" t="s">
        <v>31</v>
      </c>
      <c r="L9310" t="s">
        <v>373</v>
      </c>
      <c r="M9310" t="s">
        <v>123</v>
      </c>
      <c r="N9310">
        <v>40.727975999999998</v>
      </c>
      <c r="O9310">
        <v>-113.2587</v>
      </c>
      <c r="P9310">
        <v>4217.1691840000003</v>
      </c>
      <c r="Q9310">
        <v>6663</v>
      </c>
      <c r="R9310">
        <v>0</v>
      </c>
    </row>
    <row r="9311" spans="1:18" x14ac:dyDescent="0.25">
      <c r="A9311">
        <v>9160</v>
      </c>
      <c r="B9311">
        <v>94</v>
      </c>
      <c r="C9311">
        <v>31190727</v>
      </c>
      <c r="D9311" t="s">
        <v>310</v>
      </c>
      <c r="E9311">
        <v>1E-3</v>
      </c>
      <c r="F9311" t="s">
        <v>21</v>
      </c>
      <c r="G9311" t="s">
        <v>26</v>
      </c>
      <c r="H9311" t="s">
        <v>21</v>
      </c>
      <c r="I9311" t="s">
        <v>20</v>
      </c>
      <c r="J9311" t="s">
        <v>20</v>
      </c>
      <c r="K9311" t="s">
        <v>31</v>
      </c>
      <c r="L9311" t="s">
        <v>285</v>
      </c>
      <c r="M9311" t="s">
        <v>206</v>
      </c>
      <c r="N9311">
        <v>40.711060000000003</v>
      </c>
      <c r="O9311">
        <v>-112.527072</v>
      </c>
      <c r="P9311">
        <v>4159.0055179999999</v>
      </c>
      <c r="Q9311">
        <v>1414</v>
      </c>
      <c r="R9311">
        <v>0</v>
      </c>
    </row>
    <row r="9312" spans="1:18" x14ac:dyDescent="0.25">
      <c r="A9312">
        <v>9161</v>
      </c>
      <c r="B9312">
        <v>94</v>
      </c>
      <c r="C9312" t="e">
        <f>-Iq-qcU-FyXTgAcUFX79JF</f>
        <v>#NAME?</v>
      </c>
      <c r="D9312" t="s">
        <v>1084</v>
      </c>
      <c r="E9312">
        <v>1E-3</v>
      </c>
      <c r="F9312" t="s">
        <v>21</v>
      </c>
      <c r="G9312" t="s">
        <v>26</v>
      </c>
      <c r="H9312" t="s">
        <v>21</v>
      </c>
      <c r="I9312" t="s">
        <v>20</v>
      </c>
      <c r="J9312" t="s">
        <v>20</v>
      </c>
      <c r="K9312" t="s">
        <v>41</v>
      </c>
      <c r="L9312" t="s">
        <v>181</v>
      </c>
      <c r="M9312" t="s">
        <v>368</v>
      </c>
      <c r="N9312">
        <v>41.721083</v>
      </c>
      <c r="O9312">
        <v>-112.22801</v>
      </c>
      <c r="P9312">
        <v>4404.7422690000003</v>
      </c>
      <c r="Q9312">
        <v>6664</v>
      </c>
      <c r="R9312">
        <v>0</v>
      </c>
    </row>
    <row r="9313" spans="1:18" x14ac:dyDescent="0.25">
      <c r="A9313">
        <v>9162</v>
      </c>
      <c r="B9313">
        <v>94</v>
      </c>
      <c r="C9313">
        <v>31649474</v>
      </c>
      <c r="D9313" t="s">
        <v>418</v>
      </c>
      <c r="E9313">
        <v>1E-3</v>
      </c>
      <c r="F9313" t="s">
        <v>21</v>
      </c>
      <c r="G9313" t="s">
        <v>26</v>
      </c>
      <c r="H9313" t="s">
        <v>19</v>
      </c>
      <c r="I9313">
        <v>191</v>
      </c>
      <c r="J9313" t="s">
        <v>20</v>
      </c>
      <c r="K9313" t="s">
        <v>27</v>
      </c>
      <c r="L9313" t="s">
        <v>211</v>
      </c>
      <c r="M9313" t="s">
        <v>212</v>
      </c>
      <c r="N9313">
        <v>37.423267000000003</v>
      </c>
      <c r="O9313">
        <v>-109.474136</v>
      </c>
      <c r="P9313">
        <v>4901.0302890000003</v>
      </c>
      <c r="Q9313">
        <v>361</v>
      </c>
      <c r="R9313">
        <v>0</v>
      </c>
    </row>
    <row r="9314" spans="1:18" x14ac:dyDescent="0.25">
      <c r="A9314">
        <v>9163</v>
      </c>
      <c r="B9314">
        <v>94</v>
      </c>
      <c r="C9314" t="e">
        <f>-JPvwB3xFcyNBknbPGkXlF</f>
        <v>#NAME?</v>
      </c>
      <c r="D9314" t="s">
        <v>1085</v>
      </c>
      <c r="E9314">
        <v>0.32300000000000001</v>
      </c>
      <c r="F9314" t="s">
        <v>21</v>
      </c>
      <c r="G9314" t="s">
        <v>504</v>
      </c>
      <c r="H9314" t="s">
        <v>21</v>
      </c>
      <c r="I9314" t="s">
        <v>20</v>
      </c>
      <c r="J9314" t="s">
        <v>20</v>
      </c>
      <c r="K9314" t="s">
        <v>27</v>
      </c>
      <c r="L9314" t="s">
        <v>51</v>
      </c>
      <c r="M9314" t="s">
        <v>55</v>
      </c>
      <c r="N9314">
        <v>37.800992000000001</v>
      </c>
      <c r="O9314">
        <v>-112.944958</v>
      </c>
      <c r="P9314">
        <v>5866.4561620000004</v>
      </c>
      <c r="Q9314">
        <v>1333</v>
      </c>
      <c r="R9314">
        <v>0</v>
      </c>
    </row>
    <row r="9315" spans="1:18" x14ac:dyDescent="0.25">
      <c r="A9315">
        <v>9164</v>
      </c>
      <c r="B9315">
        <v>94</v>
      </c>
      <c r="C9315">
        <v>31193712</v>
      </c>
      <c r="D9315" t="s">
        <v>310</v>
      </c>
      <c r="E9315">
        <v>12.452</v>
      </c>
      <c r="F9315" t="s">
        <v>21</v>
      </c>
      <c r="G9315" t="s">
        <v>26</v>
      </c>
      <c r="H9315" t="s">
        <v>21</v>
      </c>
      <c r="I9315" t="s">
        <v>20</v>
      </c>
      <c r="J9315" t="s">
        <v>20</v>
      </c>
      <c r="K9315" t="s">
        <v>31</v>
      </c>
      <c r="L9315" t="s">
        <v>285</v>
      </c>
      <c r="M9315" t="s">
        <v>206</v>
      </c>
      <c r="N9315">
        <v>40.599584</v>
      </c>
      <c r="O9315">
        <v>-112.42136000000001</v>
      </c>
      <c r="P9315">
        <v>4235.1098590000001</v>
      </c>
      <c r="Q9315">
        <v>1414</v>
      </c>
      <c r="R9315">
        <v>0</v>
      </c>
    </row>
    <row r="9316" spans="1:18" x14ac:dyDescent="0.25">
      <c r="A9316">
        <v>9165</v>
      </c>
      <c r="B9316">
        <v>94</v>
      </c>
      <c r="C9316">
        <v>31279042</v>
      </c>
      <c r="D9316" t="s">
        <v>303</v>
      </c>
      <c r="E9316">
        <v>12.452999999999999</v>
      </c>
      <c r="F9316" t="s">
        <v>19</v>
      </c>
      <c r="G9316" t="s">
        <v>20</v>
      </c>
      <c r="H9316" t="s">
        <v>19</v>
      </c>
      <c r="I9316">
        <v>17</v>
      </c>
      <c r="J9316" t="s">
        <v>20</v>
      </c>
      <c r="K9316" t="s">
        <v>27</v>
      </c>
      <c r="L9316" t="s">
        <v>72</v>
      </c>
      <c r="M9316" t="s">
        <v>73</v>
      </c>
      <c r="N9316">
        <v>37.210844999999999</v>
      </c>
      <c r="O9316">
        <v>-113.272188</v>
      </c>
      <c r="P9316">
        <v>3157.072705</v>
      </c>
      <c r="Q9316">
        <v>1326</v>
      </c>
      <c r="R9316">
        <v>0</v>
      </c>
    </row>
    <row r="9317" spans="1:18" x14ac:dyDescent="0.25">
      <c r="A9317">
        <v>9166</v>
      </c>
      <c r="B9317">
        <v>94</v>
      </c>
      <c r="C9317">
        <v>31282537</v>
      </c>
      <c r="D9317" t="s">
        <v>347</v>
      </c>
      <c r="E9317">
        <v>12.456</v>
      </c>
      <c r="F9317" t="s">
        <v>21</v>
      </c>
      <c r="G9317" t="s">
        <v>26</v>
      </c>
      <c r="H9317" t="s">
        <v>21</v>
      </c>
      <c r="I9317" t="s">
        <v>20</v>
      </c>
      <c r="J9317" t="s">
        <v>20</v>
      </c>
      <c r="K9317" t="s">
        <v>41</v>
      </c>
      <c r="L9317" t="s">
        <v>325</v>
      </c>
      <c r="M9317" t="s">
        <v>204</v>
      </c>
      <c r="N9317">
        <v>41.550840999999998</v>
      </c>
      <c r="O9317">
        <v>-111.155</v>
      </c>
      <c r="P9317">
        <v>6255.2746479999996</v>
      </c>
      <c r="Q9317">
        <v>1334</v>
      </c>
      <c r="R9317">
        <v>0</v>
      </c>
    </row>
    <row r="9318" spans="1:18" x14ac:dyDescent="0.25">
      <c r="A9318">
        <v>9167</v>
      </c>
      <c r="B9318">
        <v>94</v>
      </c>
      <c r="C9318" t="s">
        <v>1086</v>
      </c>
      <c r="D9318" t="s">
        <v>322</v>
      </c>
      <c r="E9318">
        <v>12.458</v>
      </c>
      <c r="F9318" t="s">
        <v>19</v>
      </c>
      <c r="G9318" t="s">
        <v>20</v>
      </c>
      <c r="H9318" t="s">
        <v>21</v>
      </c>
      <c r="I9318" t="s">
        <v>20</v>
      </c>
      <c r="J9318" t="s">
        <v>20</v>
      </c>
      <c r="K9318" t="s">
        <v>31</v>
      </c>
      <c r="L9318" t="s">
        <v>84</v>
      </c>
      <c r="M9318" t="s">
        <v>24</v>
      </c>
      <c r="N9318">
        <v>40.567780999999997</v>
      </c>
      <c r="O9318">
        <v>-112.032417</v>
      </c>
      <c r="P9318">
        <v>4901.8308459999998</v>
      </c>
      <c r="Q9318">
        <v>6660</v>
      </c>
      <c r="R9318">
        <v>0</v>
      </c>
    </row>
    <row r="9319" spans="1:18" x14ac:dyDescent="0.25">
      <c r="A9319">
        <v>9168</v>
      </c>
      <c r="B9319">
        <v>94</v>
      </c>
      <c r="C9319" t="e">
        <f>-JL6E1nhFtqY1gRbzrGvCF</f>
        <v>#NAME?</v>
      </c>
      <c r="D9319" t="s">
        <v>100</v>
      </c>
      <c r="E9319">
        <v>12.467000000000001</v>
      </c>
      <c r="F9319" t="s">
        <v>21</v>
      </c>
      <c r="G9319" t="s">
        <v>26</v>
      </c>
      <c r="H9319" t="s">
        <v>21</v>
      </c>
      <c r="I9319" t="s">
        <v>20</v>
      </c>
      <c r="J9319" t="s">
        <v>20</v>
      </c>
      <c r="K9319" t="s">
        <v>41</v>
      </c>
      <c r="L9319" t="s">
        <v>57</v>
      </c>
      <c r="M9319" t="s">
        <v>46</v>
      </c>
      <c r="N9319">
        <v>41.202596</v>
      </c>
      <c r="O9319">
        <v>-112.033495</v>
      </c>
      <c r="P9319">
        <v>4257.582915</v>
      </c>
      <c r="Q9319">
        <v>1396</v>
      </c>
      <c r="R9319">
        <v>0</v>
      </c>
    </row>
    <row r="9320" spans="1:18" x14ac:dyDescent="0.25">
      <c r="A9320">
        <v>9169</v>
      </c>
      <c r="B9320">
        <v>94</v>
      </c>
      <c r="C9320">
        <v>27880105</v>
      </c>
      <c r="D9320" t="s">
        <v>136</v>
      </c>
      <c r="E9320">
        <v>12.468999999999999</v>
      </c>
      <c r="F9320" t="s">
        <v>21</v>
      </c>
      <c r="G9320" t="s">
        <v>26</v>
      </c>
      <c r="H9320" t="s">
        <v>21</v>
      </c>
      <c r="I9320" t="s">
        <v>20</v>
      </c>
      <c r="J9320" t="s">
        <v>20</v>
      </c>
      <c r="K9320" t="s">
        <v>41</v>
      </c>
      <c r="L9320" t="s">
        <v>137</v>
      </c>
      <c r="M9320" t="s">
        <v>138</v>
      </c>
      <c r="N9320">
        <v>41.032421999999997</v>
      </c>
      <c r="O9320">
        <v>-111.675585</v>
      </c>
      <c r="P9320">
        <v>5016.2522209999997</v>
      </c>
      <c r="Q9320">
        <v>317</v>
      </c>
      <c r="R9320">
        <v>0</v>
      </c>
    </row>
    <row r="9321" spans="1:18" x14ac:dyDescent="0.25">
      <c r="A9321">
        <v>9170</v>
      </c>
      <c r="B9321">
        <v>94</v>
      </c>
      <c r="C9321" t="s">
        <v>1087</v>
      </c>
      <c r="D9321" t="s">
        <v>417</v>
      </c>
      <c r="E9321">
        <v>12.486000000000001</v>
      </c>
      <c r="F9321" t="s">
        <v>19</v>
      </c>
      <c r="G9321" t="s">
        <v>20</v>
      </c>
      <c r="H9321" t="s">
        <v>21</v>
      </c>
      <c r="I9321" t="s">
        <v>20</v>
      </c>
      <c r="J9321" t="s">
        <v>20</v>
      </c>
      <c r="K9321" t="s">
        <v>31</v>
      </c>
      <c r="L9321" t="s">
        <v>84</v>
      </c>
      <c r="M9321" t="s">
        <v>24</v>
      </c>
      <c r="N9321">
        <v>40.567273</v>
      </c>
      <c r="O9321">
        <v>-112.033592</v>
      </c>
      <c r="P9321">
        <v>4909.5202950000003</v>
      </c>
      <c r="Q9321">
        <v>6765</v>
      </c>
      <c r="R9321">
        <v>0</v>
      </c>
    </row>
    <row r="9322" spans="1:18" x14ac:dyDescent="0.25">
      <c r="A9322">
        <v>9171</v>
      </c>
      <c r="B9322">
        <v>94</v>
      </c>
      <c r="C9322">
        <v>28133426</v>
      </c>
      <c r="D9322" t="s">
        <v>239</v>
      </c>
      <c r="E9322">
        <v>12.487</v>
      </c>
      <c r="F9322" t="s">
        <v>21</v>
      </c>
      <c r="G9322" t="s">
        <v>26</v>
      </c>
      <c r="H9322" t="s">
        <v>21</v>
      </c>
      <c r="I9322" t="s">
        <v>20</v>
      </c>
      <c r="J9322" t="s">
        <v>20</v>
      </c>
      <c r="K9322" t="s">
        <v>41</v>
      </c>
      <c r="L9322" t="s">
        <v>181</v>
      </c>
      <c r="M9322" t="s">
        <v>178</v>
      </c>
      <c r="N9322">
        <v>41.710023999999997</v>
      </c>
      <c r="O9322">
        <v>-112.23918</v>
      </c>
      <c r="P9322">
        <v>4266.1563880000003</v>
      </c>
      <c r="Q9322">
        <v>1392</v>
      </c>
      <c r="R9322">
        <v>0</v>
      </c>
    </row>
    <row r="9323" spans="1:18" x14ac:dyDescent="0.25">
      <c r="A9323">
        <v>9172</v>
      </c>
      <c r="B9323">
        <v>94</v>
      </c>
      <c r="C9323">
        <v>31195189</v>
      </c>
      <c r="D9323" t="s">
        <v>309</v>
      </c>
      <c r="E9323">
        <v>12.492000000000001</v>
      </c>
      <c r="F9323" t="s">
        <v>21</v>
      </c>
      <c r="G9323" t="s">
        <v>26</v>
      </c>
      <c r="H9323" t="s">
        <v>21</v>
      </c>
      <c r="I9323" t="s">
        <v>20</v>
      </c>
      <c r="J9323" t="s">
        <v>20</v>
      </c>
      <c r="K9323" t="s">
        <v>22</v>
      </c>
      <c r="L9323" t="s">
        <v>140</v>
      </c>
      <c r="M9323" t="s">
        <v>125</v>
      </c>
      <c r="N9323">
        <v>40.114983000000002</v>
      </c>
      <c r="O9323">
        <v>-111.64776000000001</v>
      </c>
      <c r="P9323">
        <v>4536.0847830000002</v>
      </c>
      <c r="Q9323">
        <v>339</v>
      </c>
      <c r="R9323">
        <v>0</v>
      </c>
    </row>
    <row r="9324" spans="1:18" x14ac:dyDescent="0.25">
      <c r="A9324">
        <v>9173</v>
      </c>
      <c r="B9324">
        <v>94</v>
      </c>
      <c r="C9324" t="e">
        <f>-IpTwtEVI9uxrqZp7WndHF</f>
        <v>#NAME?</v>
      </c>
      <c r="D9324" t="s">
        <v>336</v>
      </c>
      <c r="E9324">
        <v>12.502000000000001</v>
      </c>
      <c r="F9324" t="s">
        <v>21</v>
      </c>
      <c r="G9324" t="s">
        <v>20</v>
      </c>
      <c r="H9324" t="s">
        <v>21</v>
      </c>
      <c r="I9324" t="s">
        <v>20</v>
      </c>
      <c r="J9324" t="s">
        <v>20</v>
      </c>
      <c r="K9324" t="s">
        <v>31</v>
      </c>
      <c r="L9324" t="s">
        <v>32</v>
      </c>
      <c r="M9324" t="s">
        <v>33</v>
      </c>
      <c r="N9324">
        <v>40.638055000000001</v>
      </c>
      <c r="O9324">
        <v>-111.62144499999999</v>
      </c>
      <c r="P9324">
        <v>7517.8343969999996</v>
      </c>
      <c r="Q9324">
        <v>404</v>
      </c>
      <c r="R9324">
        <v>0</v>
      </c>
    </row>
    <row r="9325" spans="1:18" x14ac:dyDescent="0.25">
      <c r="A9325">
        <v>9174</v>
      </c>
      <c r="B9325">
        <v>94</v>
      </c>
      <c r="C9325">
        <v>31415345</v>
      </c>
      <c r="D9325" t="s">
        <v>345</v>
      </c>
      <c r="E9325">
        <v>12.503</v>
      </c>
      <c r="F9325" t="s">
        <v>21</v>
      </c>
      <c r="G9325" t="s">
        <v>26</v>
      </c>
      <c r="H9325" t="s">
        <v>21</v>
      </c>
      <c r="I9325" t="s">
        <v>20</v>
      </c>
      <c r="J9325" t="s">
        <v>20</v>
      </c>
      <c r="K9325" t="s">
        <v>27</v>
      </c>
      <c r="L9325" t="s">
        <v>75</v>
      </c>
      <c r="M9325" t="s">
        <v>76</v>
      </c>
      <c r="N9325">
        <v>38.720078999999998</v>
      </c>
      <c r="O9325">
        <v>-112.10209</v>
      </c>
      <c r="P9325">
        <v>5245.8087480000004</v>
      </c>
      <c r="Q9325">
        <v>1403</v>
      </c>
      <c r="R9325">
        <v>0</v>
      </c>
    </row>
    <row r="9326" spans="1:18" x14ac:dyDescent="0.25">
      <c r="A9326">
        <v>9175</v>
      </c>
      <c r="B9326">
        <v>94</v>
      </c>
      <c r="C9326">
        <v>31286804</v>
      </c>
      <c r="D9326" t="s">
        <v>126</v>
      </c>
      <c r="E9326">
        <v>12.52</v>
      </c>
      <c r="F9326" t="s">
        <v>21</v>
      </c>
      <c r="G9326" t="s">
        <v>26</v>
      </c>
      <c r="H9326" t="s">
        <v>21</v>
      </c>
      <c r="I9326" t="s">
        <v>20</v>
      </c>
      <c r="J9326" t="s">
        <v>20</v>
      </c>
      <c r="K9326" t="s">
        <v>41</v>
      </c>
      <c r="L9326" t="s">
        <v>81</v>
      </c>
      <c r="M9326" t="s">
        <v>93</v>
      </c>
      <c r="N9326">
        <v>41.306846999999998</v>
      </c>
      <c r="O9326">
        <v>-112.003129</v>
      </c>
      <c r="P9326">
        <v>4248.7109570000002</v>
      </c>
      <c r="Q9326">
        <v>1412</v>
      </c>
      <c r="R9326">
        <v>0</v>
      </c>
    </row>
    <row r="9327" spans="1:18" x14ac:dyDescent="0.25">
      <c r="A9327">
        <v>9176</v>
      </c>
      <c r="B9327">
        <v>94</v>
      </c>
      <c r="C9327">
        <v>31467999</v>
      </c>
      <c r="D9327" t="s">
        <v>213</v>
      </c>
      <c r="E9327">
        <v>16.02</v>
      </c>
      <c r="F9327" t="s">
        <v>21</v>
      </c>
      <c r="G9327" t="s">
        <v>26</v>
      </c>
      <c r="H9327" t="s">
        <v>21</v>
      </c>
      <c r="I9327" t="s">
        <v>20</v>
      </c>
      <c r="J9327" t="s">
        <v>20</v>
      </c>
      <c r="K9327" t="s">
        <v>27</v>
      </c>
      <c r="L9327" t="s">
        <v>173</v>
      </c>
      <c r="M9327" t="s">
        <v>214</v>
      </c>
      <c r="N9327">
        <v>39.059913000000002</v>
      </c>
      <c r="O9327">
        <v>-113.757558</v>
      </c>
      <c r="P9327">
        <v>5300.3604869999999</v>
      </c>
      <c r="Q9327">
        <v>1332</v>
      </c>
      <c r="R9327">
        <v>0</v>
      </c>
    </row>
    <row r="9328" spans="1:18" x14ac:dyDescent="0.25">
      <c r="A9328">
        <v>9177</v>
      </c>
      <c r="B9328">
        <v>94</v>
      </c>
      <c r="C9328">
        <v>31295080</v>
      </c>
      <c r="D9328" t="s">
        <v>338</v>
      </c>
      <c r="E9328">
        <v>0.65200000000000002</v>
      </c>
      <c r="F9328" t="s">
        <v>21</v>
      </c>
      <c r="G9328" t="s">
        <v>26</v>
      </c>
      <c r="H9328" t="s">
        <v>21</v>
      </c>
      <c r="I9328" t="s">
        <v>20</v>
      </c>
      <c r="J9328" t="s">
        <v>20</v>
      </c>
      <c r="K9328" t="s">
        <v>27</v>
      </c>
      <c r="L9328" t="s">
        <v>72</v>
      </c>
      <c r="M9328" t="s">
        <v>73</v>
      </c>
      <c r="N9328">
        <v>37.006525000000003</v>
      </c>
      <c r="O9328">
        <v>-113.00735299999999</v>
      </c>
      <c r="P9328">
        <v>4983.7537359999997</v>
      </c>
      <c r="Q9328">
        <v>315</v>
      </c>
      <c r="R9328">
        <v>0</v>
      </c>
    </row>
    <row r="9329" spans="1:18" x14ac:dyDescent="0.25">
      <c r="A9329">
        <v>9178</v>
      </c>
      <c r="B9329">
        <v>94</v>
      </c>
      <c r="C9329">
        <v>1001818</v>
      </c>
      <c r="D9329" t="s">
        <v>604</v>
      </c>
      <c r="E9329">
        <v>0.65400000000000003</v>
      </c>
      <c r="F9329" t="s">
        <v>19</v>
      </c>
      <c r="G9329" t="s">
        <v>20</v>
      </c>
      <c r="H9329" t="s">
        <v>21</v>
      </c>
      <c r="I9329" t="s">
        <v>20</v>
      </c>
      <c r="J9329" t="s">
        <v>20</v>
      </c>
      <c r="K9329" t="s">
        <v>41</v>
      </c>
      <c r="L9329" t="s">
        <v>45</v>
      </c>
      <c r="M9329" t="s">
        <v>46</v>
      </c>
      <c r="N9329">
        <v>40.921505000000003</v>
      </c>
      <c r="O9329">
        <v>-111.88782999999999</v>
      </c>
      <c r="P9329">
        <v>4188.0912660000004</v>
      </c>
      <c r="Q9329">
        <v>1394</v>
      </c>
      <c r="R9329">
        <v>0</v>
      </c>
    </row>
    <row r="9330" spans="1:18" x14ac:dyDescent="0.25">
      <c r="A9330">
        <v>9179</v>
      </c>
      <c r="B9330">
        <v>94</v>
      </c>
      <c r="C9330">
        <v>31534662</v>
      </c>
      <c r="D9330" t="s">
        <v>53</v>
      </c>
      <c r="E9330">
        <v>0.65700000000000003</v>
      </c>
      <c r="F9330" t="s">
        <v>19</v>
      </c>
      <c r="G9330" t="s">
        <v>20</v>
      </c>
      <c r="H9330" t="s">
        <v>21</v>
      </c>
      <c r="I9330" t="s">
        <v>20</v>
      </c>
      <c r="J9330" t="s">
        <v>20</v>
      </c>
      <c r="K9330" t="s">
        <v>27</v>
      </c>
      <c r="L9330" t="s">
        <v>54</v>
      </c>
      <c r="M9330" t="s">
        <v>55</v>
      </c>
      <c r="N9330">
        <v>37.677033999999999</v>
      </c>
      <c r="O9330">
        <v>-113.073825</v>
      </c>
      <c r="P9330">
        <v>5721.8272550000002</v>
      </c>
      <c r="Q9330">
        <v>1285</v>
      </c>
      <c r="R9330">
        <v>0</v>
      </c>
    </row>
    <row r="9331" spans="1:18" x14ac:dyDescent="0.25">
      <c r="A9331">
        <v>9180</v>
      </c>
      <c r="B9331">
        <v>94</v>
      </c>
      <c r="C9331">
        <v>27338855</v>
      </c>
      <c r="D9331" t="s">
        <v>185</v>
      </c>
      <c r="E9331">
        <v>0.65700000000000003</v>
      </c>
      <c r="F9331" t="s">
        <v>21</v>
      </c>
      <c r="G9331" t="s">
        <v>26</v>
      </c>
      <c r="H9331" t="s">
        <v>21</v>
      </c>
      <c r="I9331" t="s">
        <v>20</v>
      </c>
      <c r="J9331" t="s">
        <v>20</v>
      </c>
      <c r="K9331" t="s">
        <v>41</v>
      </c>
      <c r="L9331" t="s">
        <v>57</v>
      </c>
      <c r="M9331" t="s">
        <v>58</v>
      </c>
      <c r="N9331">
        <v>41.139890999999999</v>
      </c>
      <c r="O9331">
        <v>-112.03869899999999</v>
      </c>
      <c r="P9331">
        <v>4399.1291229999997</v>
      </c>
      <c r="Q9331">
        <v>309</v>
      </c>
      <c r="R9331">
        <v>0</v>
      </c>
    </row>
    <row r="9332" spans="1:18" x14ac:dyDescent="0.25">
      <c r="A9332">
        <v>9181</v>
      </c>
      <c r="B9332">
        <v>94</v>
      </c>
      <c r="C9332">
        <v>3394962</v>
      </c>
      <c r="D9332" t="s">
        <v>1020</v>
      </c>
      <c r="E9332">
        <v>0.66</v>
      </c>
      <c r="F9332" t="s">
        <v>21</v>
      </c>
      <c r="G9332" t="s">
        <v>26</v>
      </c>
      <c r="H9332" t="s">
        <v>21</v>
      </c>
      <c r="I9332" t="s">
        <v>20</v>
      </c>
      <c r="J9332" t="s">
        <v>20</v>
      </c>
      <c r="K9332" t="s">
        <v>31</v>
      </c>
      <c r="L9332" t="s">
        <v>66</v>
      </c>
      <c r="M9332" t="s">
        <v>67</v>
      </c>
      <c r="N9332">
        <v>40.782375000000002</v>
      </c>
      <c r="O9332">
        <v>-111.901126</v>
      </c>
      <c r="P9332">
        <v>4175.9727599999997</v>
      </c>
      <c r="Q9332">
        <v>257</v>
      </c>
      <c r="R9332">
        <v>0</v>
      </c>
    </row>
    <row r="9333" spans="1:18" x14ac:dyDescent="0.25">
      <c r="A9333">
        <v>9182</v>
      </c>
      <c r="B9333">
        <v>94</v>
      </c>
      <c r="C9333">
        <v>31500719</v>
      </c>
      <c r="D9333" t="s">
        <v>292</v>
      </c>
      <c r="E9333">
        <v>0.66</v>
      </c>
      <c r="F9333" t="s">
        <v>21</v>
      </c>
      <c r="G9333" t="s">
        <v>26</v>
      </c>
      <c r="H9333" t="s">
        <v>21</v>
      </c>
      <c r="I9333" t="s">
        <v>20</v>
      </c>
      <c r="J9333" t="s">
        <v>20</v>
      </c>
      <c r="K9333" t="s">
        <v>22</v>
      </c>
      <c r="L9333" t="s">
        <v>253</v>
      </c>
      <c r="M9333" t="s">
        <v>134</v>
      </c>
      <c r="N9333">
        <v>40.173074</v>
      </c>
      <c r="O9333">
        <v>-110.400942</v>
      </c>
      <c r="P9333">
        <v>5494.2333129999997</v>
      </c>
      <c r="Q9333">
        <v>323</v>
      </c>
      <c r="R9333">
        <v>0</v>
      </c>
    </row>
    <row r="9334" spans="1:18" x14ac:dyDescent="0.25">
      <c r="A9334">
        <v>9183</v>
      </c>
      <c r="B9334">
        <v>94</v>
      </c>
      <c r="C9334">
        <v>31368790</v>
      </c>
      <c r="D9334" t="s">
        <v>199</v>
      </c>
      <c r="E9334">
        <v>0.66100000000000003</v>
      </c>
      <c r="F9334" t="s">
        <v>21</v>
      </c>
      <c r="G9334" t="s">
        <v>26</v>
      </c>
      <c r="H9334" t="s">
        <v>21</v>
      </c>
      <c r="I9334" t="s">
        <v>20</v>
      </c>
      <c r="J9334" t="s">
        <v>20</v>
      </c>
      <c r="K9334" t="s">
        <v>27</v>
      </c>
      <c r="L9334" t="s">
        <v>103</v>
      </c>
      <c r="M9334" t="s">
        <v>200</v>
      </c>
      <c r="N9334">
        <v>38.277000000000001</v>
      </c>
      <c r="O9334">
        <v>-112.629186</v>
      </c>
      <c r="P9334">
        <v>5882.0944310000004</v>
      </c>
      <c r="Q9334">
        <v>341</v>
      </c>
      <c r="R9334">
        <v>0</v>
      </c>
    </row>
    <row r="9335" spans="1:18" x14ac:dyDescent="0.25">
      <c r="A9335">
        <v>9184</v>
      </c>
      <c r="B9335">
        <v>94</v>
      </c>
      <c r="C9335">
        <v>31456022</v>
      </c>
      <c r="D9335" t="s">
        <v>213</v>
      </c>
      <c r="E9335">
        <v>0.66300000000000003</v>
      </c>
      <c r="F9335" t="s">
        <v>21</v>
      </c>
      <c r="G9335" t="s">
        <v>26</v>
      </c>
      <c r="H9335" t="s">
        <v>19</v>
      </c>
      <c r="I9335">
        <v>159</v>
      </c>
      <c r="J9335" t="s">
        <v>20</v>
      </c>
      <c r="K9335" t="s">
        <v>27</v>
      </c>
      <c r="L9335" t="s">
        <v>173</v>
      </c>
      <c r="M9335" t="s">
        <v>214</v>
      </c>
      <c r="N9335">
        <v>39.056182999999997</v>
      </c>
      <c r="O9335">
        <v>-114.03660600000001</v>
      </c>
      <c r="P9335">
        <v>5026.4571470000001</v>
      </c>
      <c r="Q9335">
        <v>1332</v>
      </c>
      <c r="R9335">
        <v>0</v>
      </c>
    </row>
    <row r="9336" spans="1:18" x14ac:dyDescent="0.25">
      <c r="A9336">
        <v>9185</v>
      </c>
      <c r="B9336">
        <v>94</v>
      </c>
      <c r="C9336">
        <v>510074</v>
      </c>
      <c r="D9336" t="s">
        <v>44</v>
      </c>
      <c r="E9336">
        <v>0.66400000000000003</v>
      </c>
      <c r="F9336" t="s">
        <v>21</v>
      </c>
      <c r="G9336" t="s">
        <v>26</v>
      </c>
      <c r="H9336" t="s">
        <v>21</v>
      </c>
      <c r="I9336" t="s">
        <v>20</v>
      </c>
      <c r="J9336" t="s">
        <v>20</v>
      </c>
      <c r="K9336" t="s">
        <v>41</v>
      </c>
      <c r="L9336" t="s">
        <v>45</v>
      </c>
      <c r="M9336" t="s">
        <v>46</v>
      </c>
      <c r="N9336">
        <v>40.894011999999996</v>
      </c>
      <c r="O9336">
        <v>-111.88807</v>
      </c>
      <c r="P9336">
        <v>4263.7274539999999</v>
      </c>
      <c r="Q9336">
        <v>1395</v>
      </c>
      <c r="R9336">
        <v>0</v>
      </c>
    </row>
    <row r="9337" spans="1:18" x14ac:dyDescent="0.25">
      <c r="A9337">
        <v>9186</v>
      </c>
      <c r="B9337">
        <v>94</v>
      </c>
      <c r="C9337">
        <v>31193014</v>
      </c>
      <c r="D9337" t="s">
        <v>395</v>
      </c>
      <c r="E9337">
        <v>0.66500000000000004</v>
      </c>
      <c r="F9337" t="s">
        <v>21</v>
      </c>
      <c r="G9337" t="s">
        <v>26</v>
      </c>
      <c r="H9337" t="s">
        <v>21</v>
      </c>
      <c r="I9337" t="s">
        <v>20</v>
      </c>
      <c r="J9337" t="s">
        <v>20</v>
      </c>
      <c r="K9337" t="s">
        <v>27</v>
      </c>
      <c r="L9337" t="s">
        <v>165</v>
      </c>
      <c r="M9337" t="s">
        <v>166</v>
      </c>
      <c r="N9337">
        <v>38.803576</v>
      </c>
      <c r="O9337">
        <v>-112.43772800000001</v>
      </c>
      <c r="P9337">
        <v>4941.0131259999998</v>
      </c>
      <c r="Q9337">
        <v>335</v>
      </c>
      <c r="R9337">
        <v>0</v>
      </c>
    </row>
    <row r="9338" spans="1:18" x14ac:dyDescent="0.25">
      <c r="A9338">
        <v>9187</v>
      </c>
      <c r="B9338">
        <v>94</v>
      </c>
      <c r="C9338">
        <v>31753921</v>
      </c>
      <c r="D9338" t="s">
        <v>231</v>
      </c>
      <c r="E9338">
        <v>16.795000000000002</v>
      </c>
      <c r="F9338" t="s">
        <v>21</v>
      </c>
      <c r="G9338" t="s">
        <v>26</v>
      </c>
      <c r="H9338" t="s">
        <v>21</v>
      </c>
      <c r="I9338" t="s">
        <v>20</v>
      </c>
      <c r="J9338" t="s">
        <v>20</v>
      </c>
      <c r="K9338" t="s">
        <v>41</v>
      </c>
      <c r="L9338" t="s">
        <v>57</v>
      </c>
      <c r="M9338" t="s">
        <v>93</v>
      </c>
      <c r="N9338">
        <v>41.278643000000002</v>
      </c>
      <c r="O9338">
        <v>-112.02807900000001</v>
      </c>
      <c r="P9338">
        <v>4189.0941730000004</v>
      </c>
      <c r="Q9338">
        <v>1409</v>
      </c>
      <c r="R9338">
        <v>0</v>
      </c>
    </row>
    <row r="9339" spans="1:18" x14ac:dyDescent="0.25">
      <c r="A9339">
        <v>9188</v>
      </c>
      <c r="B9339">
        <v>94</v>
      </c>
      <c r="C9339">
        <v>28563591</v>
      </c>
      <c r="D9339" t="s">
        <v>323</v>
      </c>
      <c r="E9339">
        <v>16.797000000000001</v>
      </c>
      <c r="F9339" t="s">
        <v>21</v>
      </c>
      <c r="G9339" t="s">
        <v>26</v>
      </c>
      <c r="H9339" t="s">
        <v>21</v>
      </c>
      <c r="I9339" t="s">
        <v>20</v>
      </c>
      <c r="J9339" t="s">
        <v>20</v>
      </c>
      <c r="K9339" t="s">
        <v>31</v>
      </c>
      <c r="L9339" t="s">
        <v>130</v>
      </c>
      <c r="M9339" t="s">
        <v>131</v>
      </c>
      <c r="N9339">
        <v>40.703142</v>
      </c>
      <c r="O9339">
        <v>-111.28137099999999</v>
      </c>
      <c r="P9339">
        <v>6406.6726250000002</v>
      </c>
      <c r="Q9339">
        <v>1345</v>
      </c>
      <c r="R9339">
        <v>0</v>
      </c>
    </row>
    <row r="9340" spans="1:18" x14ac:dyDescent="0.25">
      <c r="A9340">
        <v>9189</v>
      </c>
      <c r="B9340">
        <v>94</v>
      </c>
      <c r="C9340">
        <v>31305293</v>
      </c>
      <c r="D9340" t="s">
        <v>203</v>
      </c>
      <c r="E9340">
        <v>16.803999999999998</v>
      </c>
      <c r="F9340" t="s">
        <v>21</v>
      </c>
      <c r="G9340" t="s">
        <v>26</v>
      </c>
      <c r="H9340" t="s">
        <v>21</v>
      </c>
      <c r="I9340" t="s">
        <v>20</v>
      </c>
      <c r="J9340" t="s">
        <v>20</v>
      </c>
      <c r="K9340" t="s">
        <v>41</v>
      </c>
      <c r="L9340" t="s">
        <v>255</v>
      </c>
      <c r="M9340" t="s">
        <v>204</v>
      </c>
      <c r="N9340">
        <v>41.249581999999997</v>
      </c>
      <c r="O9340">
        <v>-111.78928000000001</v>
      </c>
      <c r="P9340">
        <v>4890.2318800000003</v>
      </c>
      <c r="Q9340">
        <v>1349</v>
      </c>
      <c r="R9340">
        <v>0</v>
      </c>
    </row>
    <row r="9341" spans="1:18" x14ac:dyDescent="0.25">
      <c r="A9341">
        <v>9190</v>
      </c>
      <c r="B9341">
        <v>94</v>
      </c>
      <c r="C9341">
        <v>31305376</v>
      </c>
      <c r="D9341" t="s">
        <v>203</v>
      </c>
      <c r="E9341">
        <v>17.303999999999998</v>
      </c>
      <c r="F9341" t="s">
        <v>21</v>
      </c>
      <c r="G9341" t="s">
        <v>26</v>
      </c>
      <c r="H9341" t="s">
        <v>21</v>
      </c>
      <c r="I9341" t="s">
        <v>20</v>
      </c>
      <c r="J9341" t="s">
        <v>20</v>
      </c>
      <c r="K9341" t="s">
        <v>41</v>
      </c>
      <c r="L9341" t="s">
        <v>255</v>
      </c>
      <c r="M9341" t="s">
        <v>204</v>
      </c>
      <c r="N9341">
        <v>41.249034000000002</v>
      </c>
      <c r="O9341">
        <v>-111.779732</v>
      </c>
      <c r="P9341">
        <v>4883.1814640000002</v>
      </c>
      <c r="Q9341">
        <v>1349</v>
      </c>
      <c r="R9341">
        <v>0</v>
      </c>
    </row>
    <row r="9342" spans="1:18" x14ac:dyDescent="0.25">
      <c r="A9342">
        <v>9191</v>
      </c>
      <c r="B9342">
        <v>94</v>
      </c>
      <c r="C9342">
        <v>31672256</v>
      </c>
      <c r="D9342" t="s">
        <v>217</v>
      </c>
      <c r="E9342">
        <v>17.32</v>
      </c>
      <c r="F9342" t="s">
        <v>21</v>
      </c>
      <c r="G9342" t="s">
        <v>26</v>
      </c>
      <c r="H9342" t="s">
        <v>21</v>
      </c>
      <c r="I9342" t="s">
        <v>20</v>
      </c>
      <c r="J9342" t="s">
        <v>20</v>
      </c>
      <c r="K9342" t="s">
        <v>27</v>
      </c>
      <c r="L9342" t="s">
        <v>162</v>
      </c>
      <c r="M9342" t="s">
        <v>163</v>
      </c>
      <c r="N9342">
        <v>37.305249000000003</v>
      </c>
      <c r="O9342">
        <v>-113.670449</v>
      </c>
      <c r="P9342">
        <v>4517.8782160000001</v>
      </c>
      <c r="Q9342">
        <v>304</v>
      </c>
      <c r="R9342">
        <v>0</v>
      </c>
    </row>
    <row r="9343" spans="1:18" x14ac:dyDescent="0.25">
      <c r="A9343">
        <v>9192</v>
      </c>
      <c r="B9343">
        <v>94</v>
      </c>
      <c r="C9343">
        <v>27871811</v>
      </c>
      <c r="D9343" t="s">
        <v>91</v>
      </c>
      <c r="E9343">
        <v>17.332999999999998</v>
      </c>
      <c r="F9343" t="s">
        <v>21</v>
      </c>
      <c r="G9343" t="s">
        <v>26</v>
      </c>
      <c r="H9343" t="s">
        <v>21</v>
      </c>
      <c r="I9343" t="s">
        <v>20</v>
      </c>
      <c r="J9343" t="s">
        <v>20</v>
      </c>
      <c r="K9343" t="s">
        <v>41</v>
      </c>
      <c r="L9343" t="s">
        <v>42</v>
      </c>
      <c r="M9343" t="s">
        <v>73</v>
      </c>
      <c r="N9343">
        <v>41.851832999999999</v>
      </c>
      <c r="O9343">
        <v>-112.00131</v>
      </c>
      <c r="P9343">
        <v>4411.7280030000002</v>
      </c>
      <c r="Q9343">
        <v>1339</v>
      </c>
      <c r="R9343">
        <v>0</v>
      </c>
    </row>
    <row r="9344" spans="1:18" x14ac:dyDescent="0.25">
      <c r="A9344">
        <v>9193</v>
      </c>
      <c r="B9344">
        <v>94</v>
      </c>
      <c r="C9344">
        <v>31398409</v>
      </c>
      <c r="D9344" t="s">
        <v>124</v>
      </c>
      <c r="E9344">
        <v>40.826000000000001</v>
      </c>
      <c r="F9344" t="s">
        <v>19</v>
      </c>
      <c r="G9344" t="s">
        <v>20</v>
      </c>
      <c r="H9344" t="s">
        <v>19</v>
      </c>
      <c r="I9344">
        <v>154</v>
      </c>
      <c r="J9344" t="s">
        <v>20</v>
      </c>
      <c r="K9344" t="s">
        <v>31</v>
      </c>
      <c r="L9344" t="s">
        <v>89</v>
      </c>
      <c r="M9344" t="s">
        <v>125</v>
      </c>
      <c r="N9344">
        <v>40.500691000000003</v>
      </c>
      <c r="O9344">
        <v>-111.93872</v>
      </c>
      <c r="P9344">
        <v>4399.7388030000002</v>
      </c>
      <c r="Q9344">
        <v>1368</v>
      </c>
      <c r="R9344">
        <v>0</v>
      </c>
    </row>
    <row r="9345" spans="1:18" x14ac:dyDescent="0.25">
      <c r="A9345">
        <v>9194</v>
      </c>
      <c r="B9345">
        <v>94</v>
      </c>
      <c r="C9345">
        <v>31436887</v>
      </c>
      <c r="D9345" t="s">
        <v>221</v>
      </c>
      <c r="E9345">
        <v>40.862000000000002</v>
      </c>
      <c r="F9345" t="s">
        <v>21</v>
      </c>
      <c r="G9345" t="s">
        <v>26</v>
      </c>
      <c r="H9345" t="s">
        <v>21</v>
      </c>
      <c r="I9345" t="s">
        <v>20</v>
      </c>
      <c r="J9345" t="s">
        <v>20</v>
      </c>
      <c r="K9345" t="s">
        <v>22</v>
      </c>
      <c r="L9345" t="s">
        <v>155</v>
      </c>
      <c r="M9345" t="s">
        <v>174</v>
      </c>
      <c r="N9345">
        <v>39.711444</v>
      </c>
      <c r="O9345">
        <v>-111.83613800000001</v>
      </c>
      <c r="P9345">
        <v>5074.7889740000001</v>
      </c>
      <c r="Q9345">
        <v>1342</v>
      </c>
      <c r="R9345">
        <v>0</v>
      </c>
    </row>
    <row r="9346" spans="1:18" x14ac:dyDescent="0.25">
      <c r="A9346">
        <v>9195</v>
      </c>
      <c r="B9346">
        <v>94</v>
      </c>
      <c r="C9346">
        <v>31326749</v>
      </c>
      <c r="D9346" t="s">
        <v>288</v>
      </c>
      <c r="E9346">
        <v>40.908000000000001</v>
      </c>
      <c r="F9346" t="s">
        <v>21</v>
      </c>
      <c r="G9346" t="s">
        <v>20</v>
      </c>
      <c r="H9346" t="s">
        <v>21</v>
      </c>
      <c r="I9346" t="s">
        <v>20</v>
      </c>
      <c r="J9346" t="s">
        <v>20</v>
      </c>
      <c r="K9346" t="s">
        <v>27</v>
      </c>
      <c r="L9346" t="s">
        <v>327</v>
      </c>
      <c r="M9346" t="s">
        <v>212</v>
      </c>
      <c r="N9346">
        <v>37.485605999999997</v>
      </c>
      <c r="O9346">
        <v>-109.474333</v>
      </c>
      <c r="P9346">
        <v>5278.6314949999996</v>
      </c>
      <c r="Q9346">
        <v>350</v>
      </c>
      <c r="R9346">
        <v>0</v>
      </c>
    </row>
    <row r="9347" spans="1:18" x14ac:dyDescent="0.25">
      <c r="A9347">
        <v>9196</v>
      </c>
      <c r="B9347">
        <v>94</v>
      </c>
      <c r="C9347">
        <v>31399456</v>
      </c>
      <c r="D9347" t="s">
        <v>124</v>
      </c>
      <c r="E9347">
        <v>40.936</v>
      </c>
      <c r="F9347" t="s">
        <v>21</v>
      </c>
      <c r="G9347" t="s">
        <v>26</v>
      </c>
      <c r="H9347" t="s">
        <v>21</v>
      </c>
      <c r="I9347" t="s">
        <v>20</v>
      </c>
      <c r="J9347" t="s">
        <v>20</v>
      </c>
      <c r="K9347" t="s">
        <v>31</v>
      </c>
      <c r="L9347" t="s">
        <v>89</v>
      </c>
      <c r="M9347" t="s">
        <v>125</v>
      </c>
      <c r="N9347">
        <v>40.502288</v>
      </c>
      <c r="O9347">
        <v>-111.93874700000001</v>
      </c>
      <c r="P9347">
        <v>4395.311506</v>
      </c>
      <c r="Q9347">
        <v>1368</v>
      </c>
      <c r="R9347">
        <v>0</v>
      </c>
    </row>
    <row r="9348" spans="1:18" x14ac:dyDescent="0.25">
      <c r="A9348">
        <v>9197</v>
      </c>
      <c r="B9348">
        <v>94</v>
      </c>
      <c r="C9348">
        <v>31460556</v>
      </c>
      <c r="D9348" t="s">
        <v>319</v>
      </c>
      <c r="E9348">
        <v>40.951999999999998</v>
      </c>
      <c r="F9348" t="s">
        <v>21</v>
      </c>
      <c r="G9348" t="s">
        <v>26</v>
      </c>
      <c r="H9348" t="s">
        <v>21</v>
      </c>
      <c r="I9348" t="s">
        <v>20</v>
      </c>
      <c r="J9348" t="s">
        <v>20</v>
      </c>
      <c r="K9348" t="s">
        <v>27</v>
      </c>
      <c r="L9348" t="s">
        <v>162</v>
      </c>
      <c r="M9348" t="s">
        <v>55</v>
      </c>
      <c r="N9348">
        <v>37.615071999999998</v>
      </c>
      <c r="O9348">
        <v>-113.40751400000001</v>
      </c>
      <c r="P9348">
        <v>6123.3475360000002</v>
      </c>
      <c r="Q9348">
        <v>314</v>
      </c>
      <c r="R9348">
        <v>0</v>
      </c>
    </row>
    <row r="9349" spans="1:18" x14ac:dyDescent="0.25">
      <c r="A9349">
        <v>9198</v>
      </c>
      <c r="B9349">
        <v>94</v>
      </c>
      <c r="C9349">
        <v>31478492</v>
      </c>
      <c r="D9349" t="s">
        <v>213</v>
      </c>
      <c r="E9349">
        <v>40.956000000000003</v>
      </c>
      <c r="F9349" t="s">
        <v>21</v>
      </c>
      <c r="G9349" t="s">
        <v>20</v>
      </c>
      <c r="H9349" t="s">
        <v>21</v>
      </c>
      <c r="I9349" t="s">
        <v>20</v>
      </c>
      <c r="J9349" t="s">
        <v>20</v>
      </c>
      <c r="K9349" t="s">
        <v>27</v>
      </c>
      <c r="L9349" t="s">
        <v>173</v>
      </c>
      <c r="M9349" t="s">
        <v>214</v>
      </c>
      <c r="N9349">
        <v>39.036000999999999</v>
      </c>
      <c r="O9349">
        <v>-113.33758</v>
      </c>
      <c r="P9349">
        <v>5152.9107370000002</v>
      </c>
      <c r="Q9349">
        <v>1332</v>
      </c>
      <c r="R9349">
        <v>0</v>
      </c>
    </row>
    <row r="9350" spans="1:18" x14ac:dyDescent="0.25">
      <c r="A9350">
        <v>9199</v>
      </c>
      <c r="B9350">
        <v>94</v>
      </c>
      <c r="C9350">
        <v>31436898</v>
      </c>
      <c r="D9350" t="s">
        <v>221</v>
      </c>
      <c r="E9350">
        <v>40.96</v>
      </c>
      <c r="F9350" t="s">
        <v>21</v>
      </c>
      <c r="G9350" t="s">
        <v>26</v>
      </c>
      <c r="H9350" t="s">
        <v>21</v>
      </c>
      <c r="I9350" t="s">
        <v>20</v>
      </c>
      <c r="J9350" t="s">
        <v>20</v>
      </c>
      <c r="K9350" t="s">
        <v>22</v>
      </c>
      <c r="L9350" t="s">
        <v>155</v>
      </c>
      <c r="M9350" t="s">
        <v>174</v>
      </c>
      <c r="N9350">
        <v>39.712893000000001</v>
      </c>
      <c r="O9350">
        <v>-111.83614</v>
      </c>
      <c r="P9350">
        <v>5074.7932499999997</v>
      </c>
      <c r="Q9350">
        <v>1342</v>
      </c>
      <c r="R9350">
        <v>0</v>
      </c>
    </row>
    <row r="9351" spans="1:18" x14ac:dyDescent="0.25">
      <c r="A9351">
        <v>9200</v>
      </c>
      <c r="B9351">
        <v>94</v>
      </c>
      <c r="C9351">
        <v>31331921</v>
      </c>
      <c r="D9351" t="s">
        <v>278</v>
      </c>
      <c r="E9351">
        <v>40.984999999999999</v>
      </c>
      <c r="F9351" t="s">
        <v>21</v>
      </c>
      <c r="G9351" t="s">
        <v>26</v>
      </c>
      <c r="H9351" t="s">
        <v>19</v>
      </c>
      <c r="I9351">
        <v>89</v>
      </c>
      <c r="J9351" t="s">
        <v>20</v>
      </c>
      <c r="K9351" t="s">
        <v>27</v>
      </c>
      <c r="L9351" t="s">
        <v>279</v>
      </c>
      <c r="M9351" t="s">
        <v>280</v>
      </c>
      <c r="N9351">
        <v>37.488615000000003</v>
      </c>
      <c r="O9351">
        <v>-112.512652</v>
      </c>
      <c r="P9351">
        <v>7384.3185729999996</v>
      </c>
      <c r="Q9351">
        <v>1330</v>
      </c>
      <c r="R9351">
        <v>0</v>
      </c>
    </row>
    <row r="9352" spans="1:18" x14ac:dyDescent="0.25">
      <c r="A9352">
        <v>9201</v>
      </c>
      <c r="B9352">
        <v>94</v>
      </c>
      <c r="C9352" t="e">
        <f>-IpP0WN8FBTOI-wxWnpkkF</f>
        <v>#NAME?</v>
      </c>
      <c r="D9352" t="s">
        <v>272</v>
      </c>
      <c r="E9352">
        <v>400.00200000000001</v>
      </c>
      <c r="F9352" t="s">
        <v>21</v>
      </c>
      <c r="G9352" t="s">
        <v>26</v>
      </c>
      <c r="H9352" t="s">
        <v>21</v>
      </c>
      <c r="I9352" t="s">
        <v>20</v>
      </c>
      <c r="J9352" t="s">
        <v>20</v>
      </c>
      <c r="K9352" t="s">
        <v>41</v>
      </c>
      <c r="L9352" t="s">
        <v>87</v>
      </c>
      <c r="M9352" t="s">
        <v>46</v>
      </c>
      <c r="N9352">
        <v>41.045994999999998</v>
      </c>
      <c r="O9352">
        <v>-111.910043</v>
      </c>
      <c r="P9352">
        <v>4650.3154969999996</v>
      </c>
      <c r="Q9352">
        <v>1384</v>
      </c>
      <c r="R9352">
        <v>0</v>
      </c>
    </row>
    <row r="9353" spans="1:18" x14ac:dyDescent="0.25">
      <c r="A9353">
        <v>9202</v>
      </c>
      <c r="B9353">
        <v>94</v>
      </c>
      <c r="C9353" t="e">
        <f>-IpP3zpoIH9ZonJPJBA_Qk</f>
        <v>#NAME?</v>
      </c>
      <c r="D9353" t="s">
        <v>272</v>
      </c>
      <c r="E9353">
        <v>400.36200000000002</v>
      </c>
      <c r="F9353" t="s">
        <v>21</v>
      </c>
      <c r="G9353" t="s">
        <v>26</v>
      </c>
      <c r="H9353" t="s">
        <v>21</v>
      </c>
      <c r="I9353" t="s">
        <v>20</v>
      </c>
      <c r="J9353" t="s">
        <v>20</v>
      </c>
      <c r="K9353" t="s">
        <v>41</v>
      </c>
      <c r="L9353" t="s">
        <v>87</v>
      </c>
      <c r="M9353" t="s">
        <v>46</v>
      </c>
      <c r="N9353">
        <v>41.051130999999998</v>
      </c>
      <c r="O9353">
        <v>-111.91042400000001</v>
      </c>
      <c r="P9353">
        <v>4712.5958959999998</v>
      </c>
      <c r="Q9353">
        <v>1384</v>
      </c>
      <c r="R9353">
        <v>0</v>
      </c>
    </row>
    <row r="9354" spans="1:18" x14ac:dyDescent="0.25">
      <c r="A9354">
        <v>9203</v>
      </c>
      <c r="B9354">
        <v>94</v>
      </c>
      <c r="C9354" t="s">
        <v>1088</v>
      </c>
      <c r="D9354" t="s">
        <v>272</v>
      </c>
      <c r="E9354">
        <v>400.36799999999999</v>
      </c>
      <c r="F9354" t="s">
        <v>21</v>
      </c>
      <c r="G9354" t="s">
        <v>26</v>
      </c>
      <c r="H9354" t="s">
        <v>21</v>
      </c>
      <c r="I9354" t="s">
        <v>20</v>
      </c>
      <c r="J9354" t="s">
        <v>20</v>
      </c>
      <c r="K9354" t="s">
        <v>41</v>
      </c>
      <c r="L9354" t="s">
        <v>87</v>
      </c>
      <c r="M9354" t="s">
        <v>46</v>
      </c>
      <c r="N9354">
        <v>41.051225000000002</v>
      </c>
      <c r="O9354">
        <v>-111.91042400000001</v>
      </c>
      <c r="P9354">
        <v>4713.7191800000001</v>
      </c>
      <c r="Q9354">
        <v>1384</v>
      </c>
      <c r="R9354">
        <v>0</v>
      </c>
    </row>
    <row r="9355" spans="1:18" x14ac:dyDescent="0.25">
      <c r="A9355">
        <v>9204</v>
      </c>
      <c r="B9355">
        <v>94</v>
      </c>
      <c r="C9355">
        <v>31293912</v>
      </c>
      <c r="D9355" t="s">
        <v>308</v>
      </c>
      <c r="E9355">
        <v>43.851999999999997</v>
      </c>
      <c r="F9355" t="s">
        <v>21</v>
      </c>
      <c r="G9355" t="s">
        <v>26</v>
      </c>
      <c r="H9355" t="s">
        <v>21</v>
      </c>
      <c r="I9355" t="s">
        <v>20</v>
      </c>
      <c r="J9355" t="s">
        <v>20</v>
      </c>
      <c r="K9355" t="s">
        <v>27</v>
      </c>
      <c r="L9355" t="s">
        <v>111</v>
      </c>
      <c r="M9355" t="s">
        <v>82</v>
      </c>
      <c r="N9355">
        <v>39.358027</v>
      </c>
      <c r="O9355">
        <v>-111.029888</v>
      </c>
      <c r="P9355">
        <v>5941.047595</v>
      </c>
      <c r="Q9355">
        <v>1344</v>
      </c>
      <c r="R9355">
        <v>0</v>
      </c>
    </row>
    <row r="9356" spans="1:18" x14ac:dyDescent="0.25">
      <c r="A9356">
        <v>9205</v>
      </c>
      <c r="B9356">
        <v>94</v>
      </c>
      <c r="C9356">
        <v>31286800</v>
      </c>
      <c r="D9356" t="s">
        <v>241</v>
      </c>
      <c r="E9356">
        <v>43.863999999999997</v>
      </c>
      <c r="F9356" t="s">
        <v>21</v>
      </c>
      <c r="G9356" t="s">
        <v>26</v>
      </c>
      <c r="H9356" t="s">
        <v>21</v>
      </c>
      <c r="I9356" t="s">
        <v>20</v>
      </c>
      <c r="J9356" t="s">
        <v>20</v>
      </c>
      <c r="K9356" t="s">
        <v>27</v>
      </c>
      <c r="L9356" t="s">
        <v>111</v>
      </c>
      <c r="M9356" t="s">
        <v>243</v>
      </c>
      <c r="N9356">
        <v>39.282173999999998</v>
      </c>
      <c r="O9356">
        <v>-110.974581</v>
      </c>
      <c r="P9356">
        <v>5700.8449909999999</v>
      </c>
      <c r="Q9356">
        <v>1327</v>
      </c>
      <c r="R9356">
        <v>0</v>
      </c>
    </row>
    <row r="9357" spans="1:18" x14ac:dyDescent="0.25">
      <c r="A9357">
        <v>9206</v>
      </c>
      <c r="B9357">
        <v>94</v>
      </c>
      <c r="C9357" t="e">
        <f>-JNV8hNdGFyXOJahvx_2sk</f>
        <v>#NAME?</v>
      </c>
      <c r="D9357" t="s">
        <v>290</v>
      </c>
      <c r="E9357">
        <v>43.878</v>
      </c>
      <c r="F9357" t="s">
        <v>21</v>
      </c>
      <c r="G9357" t="s">
        <v>20</v>
      </c>
      <c r="H9357" t="s">
        <v>21</v>
      </c>
      <c r="I9357" t="s">
        <v>20</v>
      </c>
      <c r="J9357" t="s">
        <v>20</v>
      </c>
      <c r="K9357" t="s">
        <v>41</v>
      </c>
      <c r="L9357" t="s">
        <v>291</v>
      </c>
      <c r="M9357" t="s">
        <v>238</v>
      </c>
      <c r="N9357">
        <v>41.762326000000002</v>
      </c>
      <c r="O9357">
        <v>-113.511713</v>
      </c>
      <c r="P9357">
        <v>5287.5751440000004</v>
      </c>
      <c r="Q9357">
        <v>1343</v>
      </c>
      <c r="R9357">
        <v>0</v>
      </c>
    </row>
    <row r="9358" spans="1:18" x14ac:dyDescent="0.25">
      <c r="A9358">
        <v>9207</v>
      </c>
      <c r="B9358">
        <v>94</v>
      </c>
      <c r="C9358">
        <v>31643006</v>
      </c>
      <c r="D9358" t="s">
        <v>519</v>
      </c>
      <c r="E9358">
        <v>0.434</v>
      </c>
      <c r="F9358" t="s">
        <v>21</v>
      </c>
      <c r="G9358" t="s">
        <v>20</v>
      </c>
      <c r="H9358" t="s">
        <v>21</v>
      </c>
      <c r="I9358" t="s">
        <v>20</v>
      </c>
      <c r="J9358" t="s">
        <v>20</v>
      </c>
      <c r="K9358" t="s">
        <v>27</v>
      </c>
      <c r="L9358" t="s">
        <v>158</v>
      </c>
      <c r="M9358" t="s">
        <v>159</v>
      </c>
      <c r="N9358">
        <v>39.651924000000001</v>
      </c>
      <c r="O9358">
        <v>-110.855526</v>
      </c>
      <c r="P9358">
        <v>5654.5302760000004</v>
      </c>
      <c r="Q9358">
        <v>1415</v>
      </c>
      <c r="R9358">
        <v>0</v>
      </c>
    </row>
    <row r="9359" spans="1:18" x14ac:dyDescent="0.25">
      <c r="A9359">
        <v>9208</v>
      </c>
      <c r="B9359">
        <v>94</v>
      </c>
      <c r="C9359">
        <v>31507987</v>
      </c>
      <c r="D9359" t="s">
        <v>132</v>
      </c>
      <c r="E9359">
        <v>0.434</v>
      </c>
      <c r="F9359" t="s">
        <v>21</v>
      </c>
      <c r="G9359" t="s">
        <v>26</v>
      </c>
      <c r="H9359" t="s">
        <v>21</v>
      </c>
      <c r="I9359" t="s">
        <v>20</v>
      </c>
      <c r="J9359" t="s">
        <v>20</v>
      </c>
      <c r="K9359" t="s">
        <v>22</v>
      </c>
      <c r="L9359" t="s">
        <v>133</v>
      </c>
      <c r="M9359" t="s">
        <v>134</v>
      </c>
      <c r="N9359">
        <v>40.302109999999999</v>
      </c>
      <c r="O9359">
        <v>-109.99706</v>
      </c>
      <c r="P9359">
        <v>5059.8524049999996</v>
      </c>
      <c r="Q9359">
        <v>1405</v>
      </c>
      <c r="R9359">
        <v>0</v>
      </c>
    </row>
    <row r="9360" spans="1:18" x14ac:dyDescent="0.25">
      <c r="A9360">
        <v>9209</v>
      </c>
      <c r="B9360">
        <v>94</v>
      </c>
      <c r="C9360">
        <v>1409841</v>
      </c>
      <c r="D9360" t="s">
        <v>109</v>
      </c>
      <c r="E9360">
        <v>0.434</v>
      </c>
      <c r="F9360" t="s">
        <v>21</v>
      </c>
      <c r="G9360" t="s">
        <v>26</v>
      </c>
      <c r="H9360" t="s">
        <v>21</v>
      </c>
      <c r="I9360" t="s">
        <v>20</v>
      </c>
      <c r="J9360" t="s">
        <v>20</v>
      </c>
      <c r="K9360" t="s">
        <v>41</v>
      </c>
      <c r="L9360" t="s">
        <v>42</v>
      </c>
      <c r="M9360" t="s">
        <v>73</v>
      </c>
      <c r="N9360">
        <v>41.568710000000003</v>
      </c>
      <c r="O9360">
        <v>-111.838363</v>
      </c>
      <c r="P9360">
        <v>4865.307135</v>
      </c>
      <c r="Q9360">
        <v>345</v>
      </c>
      <c r="R9360">
        <v>0</v>
      </c>
    </row>
    <row r="9361" spans="1:18" x14ac:dyDescent="0.25">
      <c r="A9361">
        <v>9210</v>
      </c>
      <c r="B9361">
        <v>94</v>
      </c>
      <c r="C9361">
        <v>31411766</v>
      </c>
      <c r="D9361" t="s">
        <v>317</v>
      </c>
      <c r="E9361">
        <v>0.436</v>
      </c>
      <c r="F9361" t="s">
        <v>21</v>
      </c>
      <c r="G9361" t="s">
        <v>26</v>
      </c>
      <c r="H9361" t="s">
        <v>21</v>
      </c>
      <c r="I9361" t="s">
        <v>20</v>
      </c>
      <c r="J9361" t="s">
        <v>20</v>
      </c>
      <c r="K9361" t="s">
        <v>27</v>
      </c>
      <c r="L9361" t="s">
        <v>211</v>
      </c>
      <c r="M9361" t="s">
        <v>212</v>
      </c>
      <c r="N9361">
        <v>37.004246000000002</v>
      </c>
      <c r="O9361">
        <v>-110.173396</v>
      </c>
      <c r="P9361">
        <v>5119.4348120000004</v>
      </c>
      <c r="Q9361">
        <v>1432</v>
      </c>
      <c r="R9361">
        <v>0</v>
      </c>
    </row>
    <row r="9362" spans="1:18" x14ac:dyDescent="0.25">
      <c r="A9362">
        <v>9211</v>
      </c>
      <c r="B9362">
        <v>94</v>
      </c>
      <c r="C9362">
        <v>31485780</v>
      </c>
      <c r="D9362" t="s">
        <v>164</v>
      </c>
      <c r="E9362">
        <v>0.436</v>
      </c>
      <c r="F9362" t="s">
        <v>21</v>
      </c>
      <c r="G9362" t="s">
        <v>26</v>
      </c>
      <c r="H9362" t="s">
        <v>21</v>
      </c>
      <c r="I9362" t="s">
        <v>20</v>
      </c>
      <c r="J9362" t="s">
        <v>20</v>
      </c>
      <c r="K9362" t="s">
        <v>27</v>
      </c>
      <c r="L9362" t="s">
        <v>165</v>
      </c>
      <c r="M9362" t="s">
        <v>166</v>
      </c>
      <c r="N9362">
        <v>38.950037000000002</v>
      </c>
      <c r="O9362">
        <v>-112.34454100000001</v>
      </c>
      <c r="P9362">
        <v>4976.6035920000004</v>
      </c>
      <c r="Q9362">
        <v>1390</v>
      </c>
      <c r="R9362">
        <v>0</v>
      </c>
    </row>
    <row r="9363" spans="1:18" x14ac:dyDescent="0.25">
      <c r="A9363">
        <v>9212</v>
      </c>
      <c r="B9363">
        <v>94</v>
      </c>
      <c r="C9363">
        <v>963939</v>
      </c>
      <c r="D9363" t="s">
        <v>175</v>
      </c>
      <c r="E9363">
        <v>0.44</v>
      </c>
      <c r="F9363" t="s">
        <v>19</v>
      </c>
      <c r="G9363" t="s">
        <v>20</v>
      </c>
      <c r="H9363" t="s">
        <v>21</v>
      </c>
      <c r="I9363" t="s">
        <v>20</v>
      </c>
      <c r="J9363" t="s">
        <v>20</v>
      </c>
      <c r="K9363" t="s">
        <v>41</v>
      </c>
      <c r="L9363" t="s">
        <v>87</v>
      </c>
      <c r="M9363" t="s">
        <v>93</v>
      </c>
      <c r="N9363">
        <v>41.060104000000003</v>
      </c>
      <c r="O9363">
        <v>-111.95765400000001</v>
      </c>
      <c r="P9363">
        <v>4308.2281510000003</v>
      </c>
      <c r="Q9363">
        <v>1397</v>
      </c>
      <c r="R9363">
        <v>0</v>
      </c>
    </row>
    <row r="9364" spans="1:18" x14ac:dyDescent="0.25">
      <c r="A9364">
        <v>9213</v>
      </c>
      <c r="B9364">
        <v>94</v>
      </c>
      <c r="C9364" t="s">
        <v>1089</v>
      </c>
      <c r="D9364" t="s">
        <v>114</v>
      </c>
      <c r="E9364">
        <v>0.441</v>
      </c>
      <c r="F9364" t="s">
        <v>21</v>
      </c>
      <c r="G9364" t="s">
        <v>26</v>
      </c>
      <c r="H9364" t="s">
        <v>21</v>
      </c>
      <c r="I9364" t="s">
        <v>20</v>
      </c>
      <c r="J9364" t="s">
        <v>20</v>
      </c>
      <c r="K9364" t="s">
        <v>41</v>
      </c>
      <c r="L9364" t="s">
        <v>87</v>
      </c>
      <c r="M9364" t="s">
        <v>256</v>
      </c>
      <c r="N9364">
        <v>41.110567000000003</v>
      </c>
      <c r="O9364">
        <v>-112.055958</v>
      </c>
      <c r="P9364">
        <v>4300.8042990000004</v>
      </c>
      <c r="Q9364">
        <v>405</v>
      </c>
      <c r="R9364">
        <v>0</v>
      </c>
    </row>
    <row r="9365" spans="1:18" x14ac:dyDescent="0.25">
      <c r="A9365">
        <v>9214</v>
      </c>
      <c r="B9365">
        <v>94</v>
      </c>
      <c r="C9365">
        <v>508152</v>
      </c>
      <c r="D9365" t="s">
        <v>44</v>
      </c>
      <c r="E9365">
        <v>0.443</v>
      </c>
      <c r="F9365" t="s">
        <v>19</v>
      </c>
      <c r="G9365" t="s">
        <v>20</v>
      </c>
      <c r="H9365" t="s">
        <v>19</v>
      </c>
      <c r="I9365">
        <v>89</v>
      </c>
      <c r="J9365" t="s">
        <v>20</v>
      </c>
      <c r="K9365" t="s">
        <v>41</v>
      </c>
      <c r="L9365" t="s">
        <v>45</v>
      </c>
      <c r="M9365" t="s">
        <v>46</v>
      </c>
      <c r="N9365">
        <v>40.894029000000003</v>
      </c>
      <c r="O9365">
        <v>-111.89227</v>
      </c>
      <c r="P9365">
        <v>4247.4334900000003</v>
      </c>
      <c r="Q9365">
        <v>1395</v>
      </c>
      <c r="R9365">
        <v>0</v>
      </c>
    </row>
    <row r="9366" spans="1:18" x14ac:dyDescent="0.25">
      <c r="A9366">
        <v>9215</v>
      </c>
      <c r="B9366">
        <v>94</v>
      </c>
      <c r="C9366">
        <v>31655049</v>
      </c>
      <c r="D9366" t="s">
        <v>71</v>
      </c>
      <c r="E9366">
        <v>0.44600000000000001</v>
      </c>
      <c r="F9366" t="s">
        <v>21</v>
      </c>
      <c r="G9366" t="s">
        <v>26</v>
      </c>
      <c r="H9366" t="s">
        <v>21</v>
      </c>
      <c r="I9366" t="s">
        <v>20</v>
      </c>
      <c r="J9366" t="s">
        <v>20</v>
      </c>
      <c r="K9366" t="s">
        <v>27</v>
      </c>
      <c r="L9366" t="s">
        <v>72</v>
      </c>
      <c r="M9366" t="s">
        <v>73</v>
      </c>
      <c r="N9366">
        <v>37.232877000000002</v>
      </c>
      <c r="O9366">
        <v>-113.367237</v>
      </c>
      <c r="P9366">
        <v>3320.6243909999998</v>
      </c>
      <c r="Q9366">
        <v>423</v>
      </c>
      <c r="R9366">
        <v>0</v>
      </c>
    </row>
    <row r="9367" spans="1:18" x14ac:dyDescent="0.25">
      <c r="A9367">
        <v>9216</v>
      </c>
      <c r="B9367">
        <v>94</v>
      </c>
      <c r="C9367">
        <v>28777505</v>
      </c>
      <c r="D9367" t="s">
        <v>18</v>
      </c>
      <c r="E9367">
        <v>0.44600000000000001</v>
      </c>
      <c r="F9367" t="s">
        <v>19</v>
      </c>
      <c r="G9367" t="s">
        <v>20</v>
      </c>
      <c r="H9367" t="s">
        <v>21</v>
      </c>
      <c r="I9367" t="s">
        <v>20</v>
      </c>
      <c r="J9367" t="s">
        <v>20</v>
      </c>
      <c r="K9367" t="s">
        <v>22</v>
      </c>
      <c r="L9367" t="s">
        <v>23</v>
      </c>
      <c r="M9367" t="s">
        <v>24</v>
      </c>
      <c r="N9367">
        <v>40.275320999999998</v>
      </c>
      <c r="O9367">
        <v>-111.71885399999999</v>
      </c>
      <c r="P9367">
        <v>4530.9428930000004</v>
      </c>
      <c r="Q9367">
        <v>1281</v>
      </c>
      <c r="R9367">
        <v>0</v>
      </c>
    </row>
    <row r="9368" spans="1:18" x14ac:dyDescent="0.25">
      <c r="A9368">
        <v>9217</v>
      </c>
      <c r="B9368">
        <v>94</v>
      </c>
      <c r="C9368">
        <v>31465462</v>
      </c>
      <c r="D9368" t="s">
        <v>264</v>
      </c>
      <c r="E9368">
        <v>0.81499999999999995</v>
      </c>
      <c r="F9368" t="s">
        <v>21</v>
      </c>
      <c r="G9368" t="s">
        <v>26</v>
      </c>
      <c r="H9368" t="s">
        <v>21</v>
      </c>
      <c r="I9368" t="s">
        <v>20</v>
      </c>
      <c r="J9368" t="s">
        <v>20</v>
      </c>
      <c r="K9368" t="s">
        <v>22</v>
      </c>
      <c r="L9368" t="s">
        <v>35</v>
      </c>
      <c r="M9368" t="s">
        <v>36</v>
      </c>
      <c r="N9368">
        <v>40.515379000000003</v>
      </c>
      <c r="O9368">
        <v>-111.483374</v>
      </c>
      <c r="P9368">
        <v>5541.5209670000004</v>
      </c>
      <c r="Q9368">
        <v>420</v>
      </c>
      <c r="R9368">
        <v>0</v>
      </c>
    </row>
    <row r="9369" spans="1:18" x14ac:dyDescent="0.25">
      <c r="A9369">
        <v>9218</v>
      </c>
      <c r="B9369">
        <v>94</v>
      </c>
      <c r="C9369">
        <v>31193025</v>
      </c>
      <c r="D9369" t="s">
        <v>395</v>
      </c>
      <c r="E9369">
        <v>0.81799999999999995</v>
      </c>
      <c r="F9369" t="s">
        <v>21</v>
      </c>
      <c r="G9369" t="s">
        <v>26</v>
      </c>
      <c r="H9369" t="s">
        <v>21</v>
      </c>
      <c r="I9369" t="s">
        <v>20</v>
      </c>
      <c r="J9369" t="s">
        <v>20</v>
      </c>
      <c r="K9369" t="s">
        <v>27</v>
      </c>
      <c r="L9369" t="s">
        <v>165</v>
      </c>
      <c r="M9369" t="s">
        <v>166</v>
      </c>
      <c r="N9369">
        <v>38.805774999999997</v>
      </c>
      <c r="O9369">
        <v>-112.437744</v>
      </c>
      <c r="P9369">
        <v>4931.9669210000002</v>
      </c>
      <c r="Q9369">
        <v>335</v>
      </c>
      <c r="R9369">
        <v>0</v>
      </c>
    </row>
    <row r="9370" spans="1:18" x14ac:dyDescent="0.25">
      <c r="A9370">
        <v>9219</v>
      </c>
      <c r="B9370">
        <v>94</v>
      </c>
      <c r="C9370">
        <v>31387771</v>
      </c>
      <c r="D9370" t="s">
        <v>364</v>
      </c>
      <c r="E9370">
        <v>0.81799999999999995</v>
      </c>
      <c r="F9370" t="s">
        <v>19</v>
      </c>
      <c r="G9370" t="s">
        <v>20</v>
      </c>
      <c r="H9370" t="s">
        <v>21</v>
      </c>
      <c r="I9370" t="s">
        <v>20</v>
      </c>
      <c r="J9370" t="s">
        <v>20</v>
      </c>
      <c r="K9370" t="s">
        <v>22</v>
      </c>
      <c r="L9370" t="s">
        <v>198</v>
      </c>
      <c r="M9370" t="s">
        <v>85</v>
      </c>
      <c r="N9370">
        <v>40.056539000000001</v>
      </c>
      <c r="O9370">
        <v>-111.73223900000001</v>
      </c>
      <c r="P9370">
        <v>4521.6197169999996</v>
      </c>
      <c r="Q9370">
        <v>1401</v>
      </c>
      <c r="R9370">
        <v>0</v>
      </c>
    </row>
    <row r="9371" spans="1:18" x14ac:dyDescent="0.25">
      <c r="A9371">
        <v>9220</v>
      </c>
      <c r="B9371">
        <v>94</v>
      </c>
      <c r="C9371">
        <v>31192552</v>
      </c>
      <c r="D9371" t="s">
        <v>126</v>
      </c>
      <c r="E9371">
        <v>0.82</v>
      </c>
      <c r="F9371" t="s">
        <v>21</v>
      </c>
      <c r="G9371" t="s">
        <v>26</v>
      </c>
      <c r="H9371" t="s">
        <v>21</v>
      </c>
      <c r="I9371" t="s">
        <v>20</v>
      </c>
      <c r="J9371" t="s">
        <v>20</v>
      </c>
      <c r="K9371" t="s">
        <v>41</v>
      </c>
      <c r="L9371" t="s">
        <v>57</v>
      </c>
      <c r="M9371" t="s">
        <v>93</v>
      </c>
      <c r="N9371">
        <v>41.202717999999997</v>
      </c>
      <c r="O9371">
        <v>-112.093056</v>
      </c>
      <c r="P9371">
        <v>4196.7412979999999</v>
      </c>
      <c r="Q9371">
        <v>1412</v>
      </c>
      <c r="R9371">
        <v>0</v>
      </c>
    </row>
    <row r="9372" spans="1:18" x14ac:dyDescent="0.25">
      <c r="A9372">
        <v>9221</v>
      </c>
      <c r="B9372">
        <v>94</v>
      </c>
      <c r="C9372">
        <v>28864542</v>
      </c>
      <c r="D9372" t="s">
        <v>18</v>
      </c>
      <c r="E9372">
        <v>0.82299999999999995</v>
      </c>
      <c r="F9372" t="s">
        <v>19</v>
      </c>
      <c r="G9372" t="s">
        <v>20</v>
      </c>
      <c r="H9372" t="s">
        <v>21</v>
      </c>
      <c r="I9372" t="s">
        <v>20</v>
      </c>
      <c r="J9372" t="s">
        <v>20</v>
      </c>
      <c r="K9372" t="s">
        <v>22</v>
      </c>
      <c r="L9372" t="s">
        <v>23</v>
      </c>
      <c r="M9372" t="s">
        <v>24</v>
      </c>
      <c r="N9372">
        <v>40.274532000000001</v>
      </c>
      <c r="O9372">
        <v>-111.711893</v>
      </c>
      <c r="P9372">
        <v>4559.8401249999997</v>
      </c>
      <c r="Q9372">
        <v>1281</v>
      </c>
      <c r="R9372">
        <v>0</v>
      </c>
    </row>
    <row r="9373" spans="1:18" x14ac:dyDescent="0.25">
      <c r="A9373">
        <v>9222</v>
      </c>
      <c r="B9373">
        <v>94</v>
      </c>
      <c r="C9373">
        <v>31727176</v>
      </c>
      <c r="D9373" t="s">
        <v>336</v>
      </c>
      <c r="E9373">
        <v>0.82599999999999996</v>
      </c>
      <c r="F9373" t="s">
        <v>19</v>
      </c>
      <c r="G9373" t="s">
        <v>20</v>
      </c>
      <c r="H9373" t="s">
        <v>21</v>
      </c>
      <c r="I9373" t="s">
        <v>20</v>
      </c>
      <c r="J9373" t="s">
        <v>20</v>
      </c>
      <c r="K9373" t="s">
        <v>31</v>
      </c>
      <c r="L9373" t="s">
        <v>32</v>
      </c>
      <c r="M9373" t="s">
        <v>33</v>
      </c>
      <c r="N9373">
        <v>40.630769000000001</v>
      </c>
      <c r="O9373">
        <v>-111.800203</v>
      </c>
      <c r="P9373">
        <v>4777.2613339999998</v>
      </c>
      <c r="Q9373">
        <v>404</v>
      </c>
      <c r="R9373">
        <v>0</v>
      </c>
    </row>
    <row r="9374" spans="1:18" x14ac:dyDescent="0.25">
      <c r="A9374">
        <v>9223</v>
      </c>
      <c r="B9374">
        <v>94</v>
      </c>
      <c r="C9374">
        <v>31599195</v>
      </c>
      <c r="D9374" t="s">
        <v>232</v>
      </c>
      <c r="E9374">
        <v>0.82599999999999996</v>
      </c>
      <c r="F9374" t="s">
        <v>21</v>
      </c>
      <c r="G9374" t="s">
        <v>26</v>
      </c>
      <c r="H9374" t="s">
        <v>21</v>
      </c>
      <c r="I9374" t="s">
        <v>20</v>
      </c>
      <c r="J9374" t="s">
        <v>20</v>
      </c>
      <c r="K9374" t="s">
        <v>31</v>
      </c>
      <c r="L9374" t="s">
        <v>209</v>
      </c>
      <c r="M9374" t="s">
        <v>131</v>
      </c>
      <c r="N9374">
        <v>40.666255</v>
      </c>
      <c r="O9374">
        <v>-111.496284</v>
      </c>
      <c r="P9374">
        <v>6707.5366969999995</v>
      </c>
      <c r="Q9374">
        <v>1279</v>
      </c>
      <c r="R9374">
        <v>0</v>
      </c>
    </row>
    <row r="9375" spans="1:18" x14ac:dyDescent="0.25">
      <c r="A9375">
        <v>9224</v>
      </c>
      <c r="B9375">
        <v>94</v>
      </c>
      <c r="C9375">
        <v>1129258</v>
      </c>
      <c r="D9375" t="s">
        <v>56</v>
      </c>
      <c r="E9375">
        <v>0.82699999999999996</v>
      </c>
      <c r="F9375" t="s">
        <v>21</v>
      </c>
      <c r="G9375" t="s">
        <v>26</v>
      </c>
      <c r="H9375" t="s">
        <v>21</v>
      </c>
      <c r="I9375" t="s">
        <v>20</v>
      </c>
      <c r="J9375" t="s">
        <v>20</v>
      </c>
      <c r="K9375" t="s">
        <v>41</v>
      </c>
      <c r="L9375" t="s">
        <v>57</v>
      </c>
      <c r="M9375" t="s">
        <v>58</v>
      </c>
      <c r="N9375">
        <v>41.163910999999999</v>
      </c>
      <c r="O9375">
        <v>-112.106911</v>
      </c>
      <c r="P9375">
        <v>4187.2752419999997</v>
      </c>
      <c r="Q9375">
        <v>1459</v>
      </c>
      <c r="R9375">
        <v>0</v>
      </c>
    </row>
    <row r="9376" spans="1:18" x14ac:dyDescent="0.25">
      <c r="A9376">
        <v>9225</v>
      </c>
      <c r="B9376">
        <v>94</v>
      </c>
      <c r="C9376">
        <v>31588751</v>
      </c>
      <c r="D9376" t="s">
        <v>187</v>
      </c>
      <c r="E9376">
        <v>0.82899999999999996</v>
      </c>
      <c r="F9376" t="s">
        <v>19</v>
      </c>
      <c r="G9376" t="s">
        <v>20</v>
      </c>
      <c r="H9376" t="s">
        <v>21</v>
      </c>
      <c r="I9376" t="s">
        <v>20</v>
      </c>
      <c r="J9376" t="s">
        <v>20</v>
      </c>
      <c r="K9376" t="s">
        <v>31</v>
      </c>
      <c r="L9376" t="s">
        <v>188</v>
      </c>
      <c r="M9376" t="s">
        <v>90</v>
      </c>
      <c r="N9376">
        <v>40.760669</v>
      </c>
      <c r="O9376">
        <v>-111.838875</v>
      </c>
      <c r="P9376">
        <v>4729.0544989999999</v>
      </c>
      <c r="Q9376">
        <v>435</v>
      </c>
      <c r="R9376">
        <v>0</v>
      </c>
    </row>
    <row r="9377" spans="1:18" x14ac:dyDescent="0.25">
      <c r="A9377">
        <v>9226</v>
      </c>
      <c r="B9377">
        <v>94</v>
      </c>
      <c r="C9377" t="e">
        <f>-IrAzhJgGX9cwhZIDKxmDV</f>
        <v>#NAME?</v>
      </c>
      <c r="D9377" t="s">
        <v>92</v>
      </c>
      <c r="E9377">
        <v>0.83</v>
      </c>
      <c r="F9377" t="s">
        <v>21</v>
      </c>
      <c r="G9377" t="s">
        <v>26</v>
      </c>
      <c r="H9377" t="s">
        <v>21</v>
      </c>
      <c r="I9377" t="s">
        <v>20</v>
      </c>
      <c r="J9377" t="s">
        <v>20</v>
      </c>
      <c r="K9377" t="s">
        <v>41</v>
      </c>
      <c r="L9377" t="s">
        <v>87</v>
      </c>
      <c r="M9377" t="s">
        <v>93</v>
      </c>
      <c r="N9377">
        <v>41.082684</v>
      </c>
      <c r="O9377">
        <v>-111.97348</v>
      </c>
      <c r="P9377">
        <v>4414.4432569999999</v>
      </c>
      <c r="Q9377">
        <v>252</v>
      </c>
      <c r="R9377">
        <v>0</v>
      </c>
    </row>
    <row r="9378" spans="1:18" x14ac:dyDescent="0.25">
      <c r="A9378">
        <v>9227</v>
      </c>
      <c r="B9378">
        <v>94</v>
      </c>
      <c r="C9378">
        <v>1098137</v>
      </c>
      <c r="D9378" t="s">
        <v>101</v>
      </c>
      <c r="E9378">
        <v>0.83499999999999996</v>
      </c>
      <c r="F9378" t="s">
        <v>21</v>
      </c>
      <c r="G9378" t="s">
        <v>26</v>
      </c>
      <c r="H9378" t="s">
        <v>21</v>
      </c>
      <c r="I9378" t="s">
        <v>20</v>
      </c>
      <c r="J9378" t="s">
        <v>20</v>
      </c>
      <c r="K9378" t="s">
        <v>41</v>
      </c>
      <c r="L9378" t="s">
        <v>57</v>
      </c>
      <c r="M9378" t="s">
        <v>58</v>
      </c>
      <c r="N9378">
        <v>41.118122</v>
      </c>
      <c r="O9378">
        <v>-112.096577</v>
      </c>
      <c r="P9378">
        <v>4229.8904080000002</v>
      </c>
      <c r="Q9378">
        <v>328</v>
      </c>
      <c r="R9378">
        <v>0</v>
      </c>
    </row>
    <row r="9379" spans="1:18" x14ac:dyDescent="0.25">
      <c r="A9379">
        <v>9228</v>
      </c>
      <c r="B9379">
        <v>94</v>
      </c>
      <c r="C9379">
        <v>31347105</v>
      </c>
      <c r="D9379" t="s">
        <v>34</v>
      </c>
      <c r="E9379">
        <v>0.83699999999999997</v>
      </c>
      <c r="F9379" t="s">
        <v>21</v>
      </c>
      <c r="G9379" t="s">
        <v>26</v>
      </c>
      <c r="H9379" t="s">
        <v>21</v>
      </c>
      <c r="I9379" t="s">
        <v>20</v>
      </c>
      <c r="J9379" t="s">
        <v>20</v>
      </c>
      <c r="K9379" t="s">
        <v>22</v>
      </c>
      <c r="L9379" t="s">
        <v>35</v>
      </c>
      <c r="M9379" t="s">
        <v>36</v>
      </c>
      <c r="N9379">
        <v>40.467706</v>
      </c>
      <c r="O9379">
        <v>-111.47173100000001</v>
      </c>
      <c r="P9379">
        <v>5379.0192559999996</v>
      </c>
      <c r="Q9379">
        <v>1400</v>
      </c>
      <c r="R9379">
        <v>0</v>
      </c>
    </row>
    <row r="9380" spans="1:18" x14ac:dyDescent="0.25">
      <c r="A9380">
        <v>9229</v>
      </c>
      <c r="B9380">
        <v>94</v>
      </c>
      <c r="C9380">
        <v>980067</v>
      </c>
      <c r="D9380" t="s">
        <v>397</v>
      </c>
      <c r="E9380">
        <v>0.83699999999999997</v>
      </c>
      <c r="F9380" t="s">
        <v>21</v>
      </c>
      <c r="G9380" t="s">
        <v>26</v>
      </c>
      <c r="H9380" t="s">
        <v>21</v>
      </c>
      <c r="I9380" t="s">
        <v>20</v>
      </c>
      <c r="J9380" t="s">
        <v>20</v>
      </c>
      <c r="K9380" t="s">
        <v>41</v>
      </c>
      <c r="L9380" t="s">
        <v>177</v>
      </c>
      <c r="M9380" t="s">
        <v>163</v>
      </c>
      <c r="N9380">
        <v>41.503974999999997</v>
      </c>
      <c r="O9380">
        <v>-112.000389</v>
      </c>
      <c r="P9380">
        <v>4496.059542</v>
      </c>
      <c r="Q9380">
        <v>1385</v>
      </c>
      <c r="R9380">
        <v>0</v>
      </c>
    </row>
    <row r="9381" spans="1:18" x14ac:dyDescent="0.25">
      <c r="A9381">
        <v>9230</v>
      </c>
      <c r="B9381">
        <v>94</v>
      </c>
      <c r="C9381">
        <v>481586</v>
      </c>
      <c r="D9381" t="s">
        <v>83</v>
      </c>
      <c r="E9381">
        <v>0.83799999999999997</v>
      </c>
      <c r="F9381" t="s">
        <v>21</v>
      </c>
      <c r="G9381" t="s">
        <v>26</v>
      </c>
      <c r="H9381" t="s">
        <v>21</v>
      </c>
      <c r="I9381" t="s">
        <v>20</v>
      </c>
      <c r="J9381" t="s">
        <v>20</v>
      </c>
      <c r="K9381" t="s">
        <v>22</v>
      </c>
      <c r="L9381" t="s">
        <v>84</v>
      </c>
      <c r="M9381" t="s">
        <v>85</v>
      </c>
      <c r="N9381">
        <v>40.389020000000002</v>
      </c>
      <c r="O9381">
        <v>-111.795795</v>
      </c>
      <c r="P9381">
        <v>4630.6320720000003</v>
      </c>
      <c r="Q9381">
        <v>319</v>
      </c>
      <c r="R9381">
        <v>0</v>
      </c>
    </row>
    <row r="9382" spans="1:18" x14ac:dyDescent="0.25">
      <c r="A9382">
        <v>9231</v>
      </c>
      <c r="B9382">
        <v>94</v>
      </c>
      <c r="C9382">
        <v>31404880</v>
      </c>
      <c r="D9382" t="s">
        <v>74</v>
      </c>
      <c r="E9382">
        <v>0.84</v>
      </c>
      <c r="F9382" t="s">
        <v>21</v>
      </c>
      <c r="G9382" t="s">
        <v>26</v>
      </c>
      <c r="H9382" t="s">
        <v>21</v>
      </c>
      <c r="I9382" t="s">
        <v>20</v>
      </c>
      <c r="J9382" t="s">
        <v>20</v>
      </c>
      <c r="K9382" t="s">
        <v>27</v>
      </c>
      <c r="L9382" t="s">
        <v>75</v>
      </c>
      <c r="M9382" t="s">
        <v>76</v>
      </c>
      <c r="N9382">
        <v>38.749699999999997</v>
      </c>
      <c r="O9382">
        <v>-112.090874</v>
      </c>
      <c r="P9382">
        <v>5229.5941780000003</v>
      </c>
      <c r="Q9382">
        <v>332</v>
      </c>
      <c r="R9382">
        <v>0</v>
      </c>
    </row>
    <row r="9383" spans="1:18" x14ac:dyDescent="0.25">
      <c r="A9383">
        <v>9232</v>
      </c>
      <c r="B9383">
        <v>94</v>
      </c>
      <c r="C9383">
        <v>1083321</v>
      </c>
      <c r="D9383" t="s">
        <v>367</v>
      </c>
      <c r="E9383">
        <v>0.84199999999999997</v>
      </c>
      <c r="F9383" t="s">
        <v>21</v>
      </c>
      <c r="G9383" t="s">
        <v>26</v>
      </c>
      <c r="H9383" t="s">
        <v>21</v>
      </c>
      <c r="I9383" t="s">
        <v>20</v>
      </c>
      <c r="J9383" t="s">
        <v>20</v>
      </c>
      <c r="K9383" t="s">
        <v>41</v>
      </c>
      <c r="L9383" t="s">
        <v>177</v>
      </c>
      <c r="M9383" t="s">
        <v>368</v>
      </c>
      <c r="N9383">
        <v>41.421723</v>
      </c>
      <c r="O9383">
        <v>-112.05335599999999</v>
      </c>
      <c r="P9383">
        <v>4193.2398430000003</v>
      </c>
      <c r="Q9383">
        <v>266</v>
      </c>
      <c r="R9383">
        <v>0</v>
      </c>
    </row>
    <row r="9384" spans="1:18" x14ac:dyDescent="0.25">
      <c r="A9384">
        <v>9233</v>
      </c>
      <c r="B9384">
        <v>94</v>
      </c>
      <c r="C9384">
        <v>27522697</v>
      </c>
      <c r="D9384" t="s">
        <v>157</v>
      </c>
      <c r="E9384">
        <v>1.123</v>
      </c>
      <c r="F9384" t="s">
        <v>21</v>
      </c>
      <c r="G9384" t="s">
        <v>26</v>
      </c>
      <c r="H9384" t="s">
        <v>21</v>
      </c>
      <c r="I9384" t="s">
        <v>20</v>
      </c>
      <c r="J9384" t="s">
        <v>20</v>
      </c>
      <c r="K9384" t="s">
        <v>27</v>
      </c>
      <c r="L9384" t="s">
        <v>158</v>
      </c>
      <c r="M9384" t="s">
        <v>159</v>
      </c>
      <c r="N9384">
        <v>39.600994</v>
      </c>
      <c r="O9384">
        <v>-110.80734</v>
      </c>
      <c r="P9384">
        <v>5523.2988800000003</v>
      </c>
      <c r="Q9384">
        <v>1360</v>
      </c>
      <c r="R9384">
        <v>0</v>
      </c>
    </row>
    <row r="9385" spans="1:18" x14ac:dyDescent="0.25">
      <c r="A9385">
        <v>9234</v>
      </c>
      <c r="B9385">
        <v>94</v>
      </c>
      <c r="C9385">
        <v>514603</v>
      </c>
      <c r="D9385" t="s">
        <v>44</v>
      </c>
      <c r="E9385">
        <v>1.1240000000000001</v>
      </c>
      <c r="F9385" t="s">
        <v>19</v>
      </c>
      <c r="G9385" t="s">
        <v>20</v>
      </c>
      <c r="H9385" t="s">
        <v>21</v>
      </c>
      <c r="I9385" t="s">
        <v>20</v>
      </c>
      <c r="J9385" t="s">
        <v>20</v>
      </c>
      <c r="K9385" t="s">
        <v>41</v>
      </c>
      <c r="L9385" t="s">
        <v>45</v>
      </c>
      <c r="M9385" t="s">
        <v>46</v>
      </c>
      <c r="N9385">
        <v>40.893818000000003</v>
      </c>
      <c r="O9385">
        <v>-111.87935299999999</v>
      </c>
      <c r="P9385">
        <v>4309.765429</v>
      </c>
      <c r="Q9385">
        <v>1395</v>
      </c>
      <c r="R9385">
        <v>0</v>
      </c>
    </row>
    <row r="9386" spans="1:18" x14ac:dyDescent="0.25">
      <c r="A9386">
        <v>9235</v>
      </c>
      <c r="B9386">
        <v>94</v>
      </c>
      <c r="C9386">
        <v>31457588</v>
      </c>
      <c r="D9386" t="s">
        <v>331</v>
      </c>
      <c r="E9386">
        <v>1.125</v>
      </c>
      <c r="F9386" t="s">
        <v>21</v>
      </c>
      <c r="G9386" t="s">
        <v>26</v>
      </c>
      <c r="H9386" t="s">
        <v>21</v>
      </c>
      <c r="I9386" t="s">
        <v>20</v>
      </c>
      <c r="J9386" t="s">
        <v>20</v>
      </c>
      <c r="K9386" t="s">
        <v>27</v>
      </c>
      <c r="L9386" t="s">
        <v>111</v>
      </c>
      <c r="M9386" t="s">
        <v>112</v>
      </c>
      <c r="N9386">
        <v>39.344997999999997</v>
      </c>
      <c r="O9386">
        <v>-110.91775699999999</v>
      </c>
      <c r="P9386">
        <v>5776.2459849999996</v>
      </c>
      <c r="Q9386">
        <v>1427</v>
      </c>
      <c r="R9386">
        <v>0</v>
      </c>
    </row>
    <row r="9387" spans="1:18" x14ac:dyDescent="0.25">
      <c r="A9387">
        <v>9236</v>
      </c>
      <c r="B9387">
        <v>94</v>
      </c>
      <c r="C9387">
        <v>505846</v>
      </c>
      <c r="D9387" t="s">
        <v>135</v>
      </c>
      <c r="E9387">
        <v>1.125</v>
      </c>
      <c r="F9387" t="s">
        <v>21</v>
      </c>
      <c r="G9387" t="s">
        <v>26</v>
      </c>
      <c r="H9387" t="s">
        <v>21</v>
      </c>
      <c r="I9387" t="s">
        <v>20</v>
      </c>
      <c r="J9387" t="s">
        <v>20</v>
      </c>
      <c r="K9387" t="s">
        <v>31</v>
      </c>
      <c r="L9387" t="s">
        <v>48</v>
      </c>
      <c r="M9387" t="s">
        <v>144</v>
      </c>
      <c r="N9387">
        <v>40.562331</v>
      </c>
      <c r="O9387">
        <v>-111.95553700000001</v>
      </c>
      <c r="P9387">
        <v>4487.9622559999998</v>
      </c>
      <c r="Q9387">
        <v>1423</v>
      </c>
      <c r="R9387">
        <v>0</v>
      </c>
    </row>
    <row r="9388" spans="1:18" x14ac:dyDescent="0.25">
      <c r="A9388">
        <v>9237</v>
      </c>
      <c r="B9388">
        <v>94</v>
      </c>
      <c r="C9388">
        <v>31191977</v>
      </c>
      <c r="D9388" t="s">
        <v>414</v>
      </c>
      <c r="E9388">
        <v>8.1029999999999998</v>
      </c>
      <c r="F9388" t="s">
        <v>21</v>
      </c>
      <c r="G9388" t="s">
        <v>26</v>
      </c>
      <c r="H9388" t="s">
        <v>21</v>
      </c>
      <c r="I9388" t="s">
        <v>20</v>
      </c>
      <c r="J9388" t="s">
        <v>20</v>
      </c>
      <c r="K9388" t="s">
        <v>27</v>
      </c>
      <c r="L9388" t="s">
        <v>350</v>
      </c>
      <c r="M9388" t="s">
        <v>58</v>
      </c>
      <c r="N9388">
        <v>39.124944999999997</v>
      </c>
      <c r="O9388">
        <v>-111.711401</v>
      </c>
      <c r="P9388">
        <v>5456.6669229999998</v>
      </c>
      <c r="Q9388">
        <v>336</v>
      </c>
      <c r="R9388">
        <v>0</v>
      </c>
    </row>
    <row r="9389" spans="1:18" x14ac:dyDescent="0.25">
      <c r="A9389">
        <v>9238</v>
      </c>
      <c r="B9389">
        <v>94</v>
      </c>
      <c r="C9389">
        <v>31480981</v>
      </c>
      <c r="D9389" t="s">
        <v>244</v>
      </c>
      <c r="E9389">
        <v>8.1039999999999992</v>
      </c>
      <c r="F9389" t="s">
        <v>21</v>
      </c>
      <c r="G9389" t="s">
        <v>26</v>
      </c>
      <c r="H9389" t="s">
        <v>21</v>
      </c>
      <c r="I9389" t="s">
        <v>20</v>
      </c>
      <c r="J9389" t="s">
        <v>20</v>
      </c>
      <c r="K9389" t="s">
        <v>27</v>
      </c>
      <c r="L9389" t="s">
        <v>75</v>
      </c>
      <c r="M9389" t="s">
        <v>58</v>
      </c>
      <c r="N9389">
        <v>38.866056</v>
      </c>
      <c r="O9389">
        <v>-111.965296</v>
      </c>
      <c r="P9389">
        <v>5199.4252859999997</v>
      </c>
      <c r="Q9389">
        <v>1340</v>
      </c>
      <c r="R9389">
        <v>0</v>
      </c>
    </row>
    <row r="9390" spans="1:18" x14ac:dyDescent="0.25">
      <c r="A9390">
        <v>9239</v>
      </c>
      <c r="B9390">
        <v>94</v>
      </c>
      <c r="C9390">
        <v>31844396</v>
      </c>
      <c r="D9390" t="s">
        <v>290</v>
      </c>
      <c r="E9390">
        <v>87.391000000000005</v>
      </c>
      <c r="F9390" t="s">
        <v>21</v>
      </c>
      <c r="G9390" t="s">
        <v>20</v>
      </c>
      <c r="H9390" t="s">
        <v>21</v>
      </c>
      <c r="I9390" t="s">
        <v>20</v>
      </c>
      <c r="J9390" t="s">
        <v>20</v>
      </c>
      <c r="K9390" t="s">
        <v>41</v>
      </c>
      <c r="L9390" t="s">
        <v>291</v>
      </c>
      <c r="M9390" t="s">
        <v>238</v>
      </c>
      <c r="N9390">
        <v>41.967441000000001</v>
      </c>
      <c r="O9390">
        <v>-112.814227</v>
      </c>
      <c r="P9390">
        <v>4407.5539769999996</v>
      </c>
      <c r="Q9390">
        <v>1343</v>
      </c>
      <c r="R9390">
        <v>0</v>
      </c>
    </row>
    <row r="9391" spans="1:18" x14ac:dyDescent="0.25">
      <c r="A9391">
        <v>9240</v>
      </c>
      <c r="B9391">
        <v>94</v>
      </c>
      <c r="C9391">
        <v>31777489</v>
      </c>
      <c r="D9391" t="s">
        <v>118</v>
      </c>
      <c r="E9391">
        <v>87.531000000000006</v>
      </c>
      <c r="F9391" t="s">
        <v>21</v>
      </c>
      <c r="G9391" t="s">
        <v>26</v>
      </c>
      <c r="H9391" t="s">
        <v>21</v>
      </c>
      <c r="I9391" t="s">
        <v>20</v>
      </c>
      <c r="J9391" t="s">
        <v>20</v>
      </c>
      <c r="K9391" t="s">
        <v>22</v>
      </c>
      <c r="L9391" t="s">
        <v>253</v>
      </c>
      <c r="M9391" t="s">
        <v>169</v>
      </c>
      <c r="N9391">
        <v>40.159871000000003</v>
      </c>
      <c r="O9391">
        <v>-110.383177</v>
      </c>
      <c r="P9391">
        <v>5437.1276879999996</v>
      </c>
      <c r="Q9391">
        <v>310</v>
      </c>
      <c r="R9391">
        <v>0</v>
      </c>
    </row>
    <row r="9392" spans="1:18" x14ac:dyDescent="0.25">
      <c r="A9392">
        <v>9241</v>
      </c>
      <c r="B9392">
        <v>94</v>
      </c>
      <c r="C9392">
        <v>31549579</v>
      </c>
      <c r="D9392" t="s">
        <v>213</v>
      </c>
      <c r="E9392">
        <v>87.655000000000001</v>
      </c>
      <c r="F9392" t="s">
        <v>21</v>
      </c>
      <c r="G9392" t="s">
        <v>26</v>
      </c>
      <c r="H9392" t="s">
        <v>21</v>
      </c>
      <c r="I9392" t="s">
        <v>20</v>
      </c>
      <c r="J9392" t="s">
        <v>20</v>
      </c>
      <c r="K9392" t="s">
        <v>27</v>
      </c>
      <c r="L9392" t="s">
        <v>173</v>
      </c>
      <c r="M9392" t="s">
        <v>214</v>
      </c>
      <c r="N9392">
        <v>39.350735999999998</v>
      </c>
      <c r="O9392">
        <v>-112.595873</v>
      </c>
      <c r="P9392">
        <v>4564.9676479999998</v>
      </c>
      <c r="Q9392">
        <v>1332</v>
      </c>
      <c r="R9392">
        <v>0</v>
      </c>
    </row>
    <row r="9393" spans="1:18" x14ac:dyDescent="0.25">
      <c r="A9393">
        <v>9242</v>
      </c>
      <c r="B9393">
        <v>94</v>
      </c>
      <c r="C9393">
        <v>31549590</v>
      </c>
      <c r="D9393" t="s">
        <v>213</v>
      </c>
      <c r="E9393">
        <v>87.69</v>
      </c>
      <c r="F9393" t="s">
        <v>21</v>
      </c>
      <c r="G9393" t="s">
        <v>26</v>
      </c>
      <c r="H9393" t="s">
        <v>21</v>
      </c>
      <c r="I9393" t="s">
        <v>20</v>
      </c>
      <c r="J9393" t="s">
        <v>20</v>
      </c>
      <c r="K9393" t="s">
        <v>27</v>
      </c>
      <c r="L9393" t="s">
        <v>173</v>
      </c>
      <c r="M9393" t="s">
        <v>214</v>
      </c>
      <c r="N9393">
        <v>39.351069000000003</v>
      </c>
      <c r="O9393">
        <v>-112.595386</v>
      </c>
      <c r="P9393">
        <v>4565.1344019999997</v>
      </c>
      <c r="Q9393">
        <v>1332</v>
      </c>
      <c r="R9393">
        <v>0</v>
      </c>
    </row>
    <row r="9394" spans="1:18" x14ac:dyDescent="0.25">
      <c r="A9394">
        <v>9243</v>
      </c>
      <c r="B9394">
        <v>94</v>
      </c>
      <c r="C9394">
        <v>31423794</v>
      </c>
      <c r="D9394" t="s">
        <v>288</v>
      </c>
      <c r="E9394">
        <v>87.697000000000003</v>
      </c>
      <c r="F9394" t="s">
        <v>21</v>
      </c>
      <c r="G9394" t="s">
        <v>26</v>
      </c>
      <c r="H9394" t="s">
        <v>21</v>
      </c>
      <c r="I9394" t="s">
        <v>20</v>
      </c>
      <c r="J9394" t="s">
        <v>20</v>
      </c>
      <c r="K9394" t="s">
        <v>27</v>
      </c>
      <c r="L9394" t="s">
        <v>146</v>
      </c>
      <c r="M9394" t="s">
        <v>147</v>
      </c>
      <c r="N9394">
        <v>38.095846000000002</v>
      </c>
      <c r="O9394">
        <v>-109.358756</v>
      </c>
      <c r="P9394">
        <v>6017.5737289999997</v>
      </c>
      <c r="Q9394">
        <v>350</v>
      </c>
      <c r="R9394">
        <v>0</v>
      </c>
    </row>
    <row r="9395" spans="1:18" x14ac:dyDescent="0.25">
      <c r="A9395">
        <v>9244</v>
      </c>
      <c r="B9395">
        <v>94</v>
      </c>
      <c r="C9395">
        <v>31847757</v>
      </c>
      <c r="D9395" t="s">
        <v>290</v>
      </c>
      <c r="E9395">
        <v>87.841999999999999</v>
      </c>
      <c r="F9395" t="s">
        <v>21</v>
      </c>
      <c r="G9395" t="s">
        <v>20</v>
      </c>
      <c r="H9395" t="s">
        <v>21</v>
      </c>
      <c r="I9395" t="s">
        <v>20</v>
      </c>
      <c r="J9395" t="s">
        <v>20</v>
      </c>
      <c r="K9395" t="s">
        <v>41</v>
      </c>
      <c r="L9395" t="s">
        <v>291</v>
      </c>
      <c r="M9395" t="s">
        <v>238</v>
      </c>
      <c r="N9395">
        <v>41.967343</v>
      </c>
      <c r="O9395">
        <v>-112.80547799999999</v>
      </c>
      <c r="P9395">
        <v>4422.7927959999997</v>
      </c>
      <c r="Q9395">
        <v>1343</v>
      </c>
      <c r="R9395">
        <v>0</v>
      </c>
    </row>
    <row r="9396" spans="1:18" x14ac:dyDescent="0.25">
      <c r="A9396">
        <v>9245</v>
      </c>
      <c r="B9396">
        <v>94</v>
      </c>
      <c r="C9396">
        <v>31549601</v>
      </c>
      <c r="D9396" t="s">
        <v>213</v>
      </c>
      <c r="E9396">
        <v>87.852000000000004</v>
      </c>
      <c r="F9396" t="s">
        <v>21</v>
      </c>
      <c r="G9396" t="s">
        <v>26</v>
      </c>
      <c r="H9396" t="s">
        <v>21</v>
      </c>
      <c r="I9396" t="s">
        <v>20</v>
      </c>
      <c r="J9396" t="s">
        <v>20</v>
      </c>
      <c r="K9396" t="s">
        <v>27</v>
      </c>
      <c r="L9396" t="s">
        <v>173</v>
      </c>
      <c r="M9396" t="s">
        <v>214</v>
      </c>
      <c r="N9396">
        <v>39.352170999999998</v>
      </c>
      <c r="O9396">
        <v>-112.592735</v>
      </c>
      <c r="P9396">
        <v>4567.7791500000003</v>
      </c>
      <c r="Q9396">
        <v>1332</v>
      </c>
      <c r="R9396">
        <v>0</v>
      </c>
    </row>
    <row r="9397" spans="1:18" x14ac:dyDescent="0.25">
      <c r="A9397">
        <v>9246</v>
      </c>
      <c r="B9397">
        <v>94</v>
      </c>
      <c r="C9397" t="e">
        <f>-IpTo_xJIkXkuD6h5ZKN_V</f>
        <v>#NAME?</v>
      </c>
      <c r="D9397" t="s">
        <v>109</v>
      </c>
      <c r="E9397">
        <v>6.1310000000000002</v>
      </c>
      <c r="F9397" t="s">
        <v>21</v>
      </c>
      <c r="G9397" t="s">
        <v>26</v>
      </c>
      <c r="H9397" t="s">
        <v>21</v>
      </c>
      <c r="I9397" t="s">
        <v>20</v>
      </c>
      <c r="J9397" t="s">
        <v>20</v>
      </c>
      <c r="K9397" t="s">
        <v>41</v>
      </c>
      <c r="L9397" t="s">
        <v>42</v>
      </c>
      <c r="M9397" t="s">
        <v>73</v>
      </c>
      <c r="N9397">
        <v>41.651100999999997</v>
      </c>
      <c r="O9397">
        <v>-111.832784</v>
      </c>
      <c r="P9397">
        <v>4583.6675210000003</v>
      </c>
      <c r="Q9397">
        <v>345</v>
      </c>
      <c r="R9397">
        <v>0</v>
      </c>
    </row>
    <row r="9398" spans="1:18" x14ac:dyDescent="0.25">
      <c r="A9398">
        <v>9247</v>
      </c>
      <c r="B9398">
        <v>94</v>
      </c>
      <c r="C9398">
        <v>31448103</v>
      </c>
      <c r="D9398" t="s">
        <v>254</v>
      </c>
      <c r="E9398">
        <v>6.1349999999999998</v>
      </c>
      <c r="F9398" t="s">
        <v>21</v>
      </c>
      <c r="G9398" t="s">
        <v>20</v>
      </c>
      <c r="H9398" t="s">
        <v>21</v>
      </c>
      <c r="I9398" t="s">
        <v>20</v>
      </c>
      <c r="J9398" t="s">
        <v>20</v>
      </c>
      <c r="K9398" t="s">
        <v>41</v>
      </c>
      <c r="L9398" t="s">
        <v>255</v>
      </c>
      <c r="M9398" t="s">
        <v>204</v>
      </c>
      <c r="N9398">
        <v>41.327432000000002</v>
      </c>
      <c r="O9398">
        <v>-111.825052</v>
      </c>
      <c r="P9398">
        <v>5226.0237569999999</v>
      </c>
      <c r="Q9398">
        <v>1429</v>
      </c>
      <c r="R9398">
        <v>0</v>
      </c>
    </row>
    <row r="9399" spans="1:18" x14ac:dyDescent="0.25">
      <c r="A9399">
        <v>9248</v>
      </c>
      <c r="B9399">
        <v>94</v>
      </c>
      <c r="C9399">
        <v>31369941</v>
      </c>
      <c r="D9399" t="s">
        <v>345</v>
      </c>
      <c r="E9399">
        <v>6.141</v>
      </c>
      <c r="F9399" t="s">
        <v>21</v>
      </c>
      <c r="G9399" t="s">
        <v>26</v>
      </c>
      <c r="H9399" t="s">
        <v>21</v>
      </c>
      <c r="I9399" t="s">
        <v>20</v>
      </c>
      <c r="J9399" t="s">
        <v>20</v>
      </c>
      <c r="K9399" t="s">
        <v>27</v>
      </c>
      <c r="L9399" t="s">
        <v>75</v>
      </c>
      <c r="M9399" t="s">
        <v>76</v>
      </c>
      <c r="N9399">
        <v>38.631965000000001</v>
      </c>
      <c r="O9399">
        <v>-112.12141099999999</v>
      </c>
      <c r="P9399">
        <v>5315.1475229999996</v>
      </c>
      <c r="Q9399">
        <v>1403</v>
      </c>
      <c r="R9399">
        <v>0</v>
      </c>
    </row>
    <row r="9400" spans="1:18" x14ac:dyDescent="0.25">
      <c r="A9400">
        <v>9249</v>
      </c>
      <c r="B9400">
        <v>94</v>
      </c>
      <c r="C9400">
        <v>1487759</v>
      </c>
      <c r="D9400" t="s">
        <v>88</v>
      </c>
      <c r="E9400">
        <v>6.1420000000000003</v>
      </c>
      <c r="F9400" t="s">
        <v>21</v>
      </c>
      <c r="G9400" t="s">
        <v>26</v>
      </c>
      <c r="H9400" t="s">
        <v>21</v>
      </c>
      <c r="I9400" t="s">
        <v>20</v>
      </c>
      <c r="J9400" t="s">
        <v>20</v>
      </c>
      <c r="K9400" t="s">
        <v>31</v>
      </c>
      <c r="L9400" t="s">
        <v>89</v>
      </c>
      <c r="M9400" t="s">
        <v>90</v>
      </c>
      <c r="N9400">
        <v>40.528832000000001</v>
      </c>
      <c r="O9400">
        <v>-111.871251</v>
      </c>
      <c r="P9400">
        <v>4417.1868050000003</v>
      </c>
      <c r="Q9400">
        <v>318</v>
      </c>
      <c r="R9400">
        <v>0</v>
      </c>
    </row>
    <row r="9401" spans="1:18" x14ac:dyDescent="0.25">
      <c r="A9401">
        <v>9250</v>
      </c>
      <c r="B9401">
        <v>94</v>
      </c>
      <c r="C9401">
        <v>31767243</v>
      </c>
      <c r="D9401" t="s">
        <v>312</v>
      </c>
      <c r="E9401">
        <v>53.06</v>
      </c>
      <c r="F9401" t="s">
        <v>21</v>
      </c>
      <c r="G9401" t="s">
        <v>26</v>
      </c>
      <c r="H9401" t="s">
        <v>21</v>
      </c>
      <c r="I9401" t="s">
        <v>20</v>
      </c>
      <c r="J9401" t="s">
        <v>20</v>
      </c>
      <c r="K9401" t="s">
        <v>27</v>
      </c>
      <c r="L9401" t="s">
        <v>173</v>
      </c>
      <c r="M9401" t="s">
        <v>313</v>
      </c>
      <c r="N9401">
        <v>39.111732000000003</v>
      </c>
      <c r="O9401">
        <v>-112.743065</v>
      </c>
      <c r="P9401">
        <v>4520.0278580000004</v>
      </c>
      <c r="Q9401">
        <v>255</v>
      </c>
      <c r="R9401">
        <v>0</v>
      </c>
    </row>
    <row r="9402" spans="1:18" x14ac:dyDescent="0.25">
      <c r="A9402">
        <v>9251</v>
      </c>
      <c r="B9402">
        <v>94</v>
      </c>
      <c r="C9402" t="e">
        <f>-IpZEhQ8HQi5wzVkUQ6v0k</f>
        <v>#NAME?</v>
      </c>
      <c r="D9402" t="s">
        <v>272</v>
      </c>
      <c r="E9402">
        <v>480.89800000000002</v>
      </c>
      <c r="F9402" t="s">
        <v>21</v>
      </c>
      <c r="G9402" t="s">
        <v>26</v>
      </c>
      <c r="H9402" t="s">
        <v>21</v>
      </c>
      <c r="I9402" t="s">
        <v>20</v>
      </c>
      <c r="J9402" t="s">
        <v>20</v>
      </c>
      <c r="K9402" t="s">
        <v>41</v>
      </c>
      <c r="L9402" t="s">
        <v>95</v>
      </c>
      <c r="M9402" t="s">
        <v>152</v>
      </c>
      <c r="N9402">
        <v>41.884537999999999</v>
      </c>
      <c r="O9402">
        <v>-111.56349400000001</v>
      </c>
      <c r="P9402">
        <v>6205.24118</v>
      </c>
      <c r="Q9402">
        <v>1384</v>
      </c>
      <c r="R9402">
        <v>0</v>
      </c>
    </row>
    <row r="9403" spans="1:18" x14ac:dyDescent="0.25">
      <c r="A9403">
        <v>9252</v>
      </c>
      <c r="B9403">
        <v>94</v>
      </c>
      <c r="C9403" t="e">
        <f>-IpZFUmdHIqGT_TTjEudbk</f>
        <v>#NAME?</v>
      </c>
      <c r="D9403" t="s">
        <v>272</v>
      </c>
      <c r="E9403">
        <v>481.892</v>
      </c>
      <c r="F9403" t="s">
        <v>21</v>
      </c>
      <c r="G9403" t="s">
        <v>26</v>
      </c>
      <c r="H9403" t="s">
        <v>21</v>
      </c>
      <c r="I9403" t="s">
        <v>20</v>
      </c>
      <c r="J9403" t="s">
        <v>20</v>
      </c>
      <c r="K9403" t="s">
        <v>41</v>
      </c>
      <c r="L9403" t="s">
        <v>95</v>
      </c>
      <c r="M9403" t="s">
        <v>152</v>
      </c>
      <c r="N9403">
        <v>41.898451000000001</v>
      </c>
      <c r="O9403">
        <v>-111.564229</v>
      </c>
      <c r="P9403">
        <v>6305.510319</v>
      </c>
      <c r="Q9403">
        <v>1384</v>
      </c>
      <c r="R9403">
        <v>0</v>
      </c>
    </row>
    <row r="9404" spans="1:18" x14ac:dyDescent="0.25">
      <c r="A9404">
        <v>9253</v>
      </c>
      <c r="B9404">
        <v>94</v>
      </c>
      <c r="C9404">
        <v>31332618</v>
      </c>
      <c r="D9404" t="s">
        <v>303</v>
      </c>
      <c r="E9404">
        <v>30.623999999999999</v>
      </c>
      <c r="F9404" t="s">
        <v>21</v>
      </c>
      <c r="G9404" t="s">
        <v>20</v>
      </c>
      <c r="H9404" t="s">
        <v>21</v>
      </c>
      <c r="I9404" t="s">
        <v>20</v>
      </c>
      <c r="J9404" t="s">
        <v>20</v>
      </c>
      <c r="K9404" t="s">
        <v>27</v>
      </c>
      <c r="L9404" t="s">
        <v>72</v>
      </c>
      <c r="M9404" t="s">
        <v>73</v>
      </c>
      <c r="N9404">
        <v>37.177388000000001</v>
      </c>
      <c r="O9404">
        <v>-113.008782</v>
      </c>
      <c r="P9404">
        <v>3737.7055759999998</v>
      </c>
      <c r="Q9404">
        <v>1326</v>
      </c>
      <c r="R9404">
        <v>0</v>
      </c>
    </row>
    <row r="9405" spans="1:18" x14ac:dyDescent="0.25">
      <c r="A9405">
        <v>9254</v>
      </c>
      <c r="B9405">
        <v>94</v>
      </c>
      <c r="C9405">
        <v>31312683</v>
      </c>
      <c r="D9405" t="s">
        <v>268</v>
      </c>
      <c r="E9405">
        <v>30.625</v>
      </c>
      <c r="F9405" t="s">
        <v>21</v>
      </c>
      <c r="G9405" t="s">
        <v>26</v>
      </c>
      <c r="H9405" t="s">
        <v>21</v>
      </c>
      <c r="I9405" t="s">
        <v>20</v>
      </c>
      <c r="J9405" t="s">
        <v>20</v>
      </c>
      <c r="K9405" t="s">
        <v>41</v>
      </c>
      <c r="L9405" t="s">
        <v>181</v>
      </c>
      <c r="M9405" t="s">
        <v>43</v>
      </c>
      <c r="N9405">
        <v>41.816333</v>
      </c>
      <c r="O9405">
        <v>-112.412858</v>
      </c>
      <c r="P9405">
        <v>4764.4946049999999</v>
      </c>
      <c r="Q9405">
        <v>1380</v>
      </c>
      <c r="R9405">
        <v>0</v>
      </c>
    </row>
    <row r="9406" spans="1:18" x14ac:dyDescent="0.25">
      <c r="A9406">
        <v>9255</v>
      </c>
      <c r="B9406">
        <v>94</v>
      </c>
      <c r="C9406">
        <v>31804512</v>
      </c>
      <c r="D9406" t="s">
        <v>272</v>
      </c>
      <c r="E9406">
        <v>30.652999999999999</v>
      </c>
      <c r="F9406" t="s">
        <v>21</v>
      </c>
      <c r="G9406" t="s">
        <v>26</v>
      </c>
      <c r="H9406" t="s">
        <v>21</v>
      </c>
      <c r="I9406" t="s">
        <v>20</v>
      </c>
      <c r="J9406" t="s">
        <v>20</v>
      </c>
      <c r="K9406" t="s">
        <v>27</v>
      </c>
      <c r="L9406" t="s">
        <v>259</v>
      </c>
      <c r="M9406" t="s">
        <v>214</v>
      </c>
      <c r="N9406">
        <v>37.185344999999998</v>
      </c>
      <c r="O9406">
        <v>-111.995712</v>
      </c>
      <c r="P9406">
        <v>5271.6135359999998</v>
      </c>
      <c r="Q9406">
        <v>1384</v>
      </c>
      <c r="R9406">
        <v>0</v>
      </c>
    </row>
    <row r="9407" spans="1:18" x14ac:dyDescent="0.25">
      <c r="A9407">
        <v>9256</v>
      </c>
      <c r="B9407">
        <v>94</v>
      </c>
      <c r="C9407" t="e">
        <f>-IpAs5c7HSqfO_jXmy2RYF</f>
        <v>#NAME?</v>
      </c>
      <c r="D9407" t="s">
        <v>172</v>
      </c>
      <c r="E9407">
        <v>34.317</v>
      </c>
      <c r="F9407" t="s">
        <v>21</v>
      </c>
      <c r="G9407" t="s">
        <v>26</v>
      </c>
      <c r="H9407" t="s">
        <v>21</v>
      </c>
      <c r="I9407" t="s">
        <v>20</v>
      </c>
      <c r="J9407" t="s">
        <v>20</v>
      </c>
      <c r="K9407" t="s">
        <v>22</v>
      </c>
      <c r="L9407" t="s">
        <v>155</v>
      </c>
      <c r="M9407" t="s">
        <v>174</v>
      </c>
      <c r="N9407">
        <v>39.711038000000002</v>
      </c>
      <c r="O9407">
        <v>-111.81578500000001</v>
      </c>
      <c r="P9407">
        <v>5152.5649599999997</v>
      </c>
      <c r="Q9407">
        <v>1411</v>
      </c>
      <c r="R9407">
        <v>0</v>
      </c>
    </row>
    <row r="9408" spans="1:18" x14ac:dyDescent="0.25">
      <c r="A9408">
        <v>9257</v>
      </c>
      <c r="B9408">
        <v>94</v>
      </c>
      <c r="C9408">
        <v>31576554</v>
      </c>
      <c r="D9408" t="s">
        <v>172</v>
      </c>
      <c r="E9408">
        <v>34.401000000000003</v>
      </c>
      <c r="F9408" t="s">
        <v>21</v>
      </c>
      <c r="G9408" t="s">
        <v>26</v>
      </c>
      <c r="H9408" t="s">
        <v>21</v>
      </c>
      <c r="I9408" t="s">
        <v>20</v>
      </c>
      <c r="J9408" t="s">
        <v>20</v>
      </c>
      <c r="K9408" t="s">
        <v>22</v>
      </c>
      <c r="L9408" t="s">
        <v>155</v>
      </c>
      <c r="M9408" t="s">
        <v>174</v>
      </c>
      <c r="N9408">
        <v>39.711450999999997</v>
      </c>
      <c r="O9408">
        <v>-111.814307</v>
      </c>
      <c r="P9408">
        <v>5161.2262799999999</v>
      </c>
      <c r="Q9408">
        <v>1411</v>
      </c>
      <c r="R9408">
        <v>0</v>
      </c>
    </row>
    <row r="9409" spans="1:18" x14ac:dyDescent="0.25">
      <c r="A9409">
        <v>9258</v>
      </c>
      <c r="B9409">
        <v>94</v>
      </c>
      <c r="C9409">
        <v>31383302</v>
      </c>
      <c r="D9409" t="s">
        <v>116</v>
      </c>
      <c r="E9409">
        <v>34.457000000000001</v>
      </c>
      <c r="F9409" t="s">
        <v>21</v>
      </c>
      <c r="G9409" t="s">
        <v>26</v>
      </c>
      <c r="H9409" t="s">
        <v>21</v>
      </c>
      <c r="I9409" t="s">
        <v>20</v>
      </c>
      <c r="J9409" t="s">
        <v>20</v>
      </c>
      <c r="K9409" t="s">
        <v>41</v>
      </c>
      <c r="L9409" t="s">
        <v>95</v>
      </c>
      <c r="M9409" t="s">
        <v>117</v>
      </c>
      <c r="N9409">
        <v>41.844906000000002</v>
      </c>
      <c r="O9409">
        <v>-111.832475</v>
      </c>
      <c r="P9409">
        <v>4556.2754800000002</v>
      </c>
      <c r="Q9409">
        <v>324</v>
      </c>
      <c r="R9409">
        <v>0</v>
      </c>
    </row>
    <row r="9410" spans="1:18" x14ac:dyDescent="0.25">
      <c r="A9410">
        <v>9259</v>
      </c>
      <c r="B9410">
        <v>94</v>
      </c>
      <c r="C9410" t="s">
        <v>1090</v>
      </c>
      <c r="D9410" t="s">
        <v>272</v>
      </c>
      <c r="E9410">
        <v>348.05500000000001</v>
      </c>
      <c r="F9410" t="s">
        <v>21</v>
      </c>
      <c r="G9410" t="s">
        <v>26</v>
      </c>
      <c r="H9410" t="s">
        <v>21</v>
      </c>
      <c r="I9410" t="s">
        <v>20</v>
      </c>
      <c r="J9410" t="s">
        <v>20</v>
      </c>
      <c r="K9410" t="s">
        <v>22</v>
      </c>
      <c r="L9410" t="s">
        <v>84</v>
      </c>
      <c r="M9410" t="s">
        <v>125</v>
      </c>
      <c r="N9410">
        <v>40.376798999999998</v>
      </c>
      <c r="O9410">
        <v>-111.797487</v>
      </c>
      <c r="P9410">
        <v>4544.3751220000004</v>
      </c>
      <c r="Q9410">
        <v>1384</v>
      </c>
      <c r="R9410">
        <v>0</v>
      </c>
    </row>
    <row r="9411" spans="1:18" x14ac:dyDescent="0.25">
      <c r="A9411">
        <v>9260</v>
      </c>
      <c r="B9411">
        <v>94</v>
      </c>
      <c r="C9411" t="s">
        <v>1091</v>
      </c>
      <c r="D9411" t="s">
        <v>272</v>
      </c>
      <c r="E9411">
        <v>348.11599999999999</v>
      </c>
      <c r="F9411" t="s">
        <v>19</v>
      </c>
      <c r="G9411" t="s">
        <v>20</v>
      </c>
      <c r="H9411" t="s">
        <v>21</v>
      </c>
      <c r="I9411" t="s">
        <v>20</v>
      </c>
      <c r="J9411" t="s">
        <v>20</v>
      </c>
      <c r="K9411" t="s">
        <v>22</v>
      </c>
      <c r="L9411" t="s">
        <v>84</v>
      </c>
      <c r="M9411" t="s">
        <v>125</v>
      </c>
      <c r="N9411">
        <v>40.376810999999996</v>
      </c>
      <c r="O9411">
        <v>-111.798636</v>
      </c>
      <c r="P9411">
        <v>4543.5842190000003</v>
      </c>
      <c r="Q9411">
        <v>1384</v>
      </c>
      <c r="R9411">
        <v>0</v>
      </c>
    </row>
    <row r="9412" spans="1:18" x14ac:dyDescent="0.25">
      <c r="A9412">
        <v>9261</v>
      </c>
      <c r="B9412">
        <v>94</v>
      </c>
      <c r="C9412" t="e">
        <f>-IopgM8ZGFaLZcafCcReRV</f>
        <v>#NAME?</v>
      </c>
      <c r="D9412" t="s">
        <v>272</v>
      </c>
      <c r="E9412">
        <v>348.149</v>
      </c>
      <c r="F9412" t="s">
        <v>21</v>
      </c>
      <c r="G9412" t="s">
        <v>26</v>
      </c>
      <c r="H9412" t="s">
        <v>21</v>
      </c>
      <c r="I9412" t="s">
        <v>20</v>
      </c>
      <c r="J9412" t="s">
        <v>20</v>
      </c>
      <c r="K9412" t="s">
        <v>22</v>
      </c>
      <c r="L9412" t="s">
        <v>84</v>
      </c>
      <c r="M9412" t="s">
        <v>125</v>
      </c>
      <c r="N9412">
        <v>40.376812999999999</v>
      </c>
      <c r="O9412">
        <v>-111.799243</v>
      </c>
      <c r="P9412">
        <v>4543.6390780000002</v>
      </c>
      <c r="Q9412">
        <v>1384</v>
      </c>
      <c r="R9412">
        <v>0</v>
      </c>
    </row>
    <row r="9413" spans="1:18" x14ac:dyDescent="0.25">
      <c r="A9413">
        <v>9262</v>
      </c>
      <c r="B9413">
        <v>94</v>
      </c>
      <c r="C9413" t="e">
        <f>-Iopgg4eIym4VrCFdpDOEk</f>
        <v>#NAME?</v>
      </c>
      <c r="D9413" t="s">
        <v>272</v>
      </c>
      <c r="E9413">
        <v>348.25700000000001</v>
      </c>
      <c r="F9413" t="s">
        <v>21</v>
      </c>
      <c r="G9413" t="s">
        <v>26</v>
      </c>
      <c r="H9413" t="s">
        <v>21</v>
      </c>
      <c r="I9413" t="s">
        <v>20</v>
      </c>
      <c r="J9413" t="s">
        <v>20</v>
      </c>
      <c r="K9413" t="s">
        <v>22</v>
      </c>
      <c r="L9413" t="s">
        <v>84</v>
      </c>
      <c r="M9413" t="s">
        <v>125</v>
      </c>
      <c r="N9413">
        <v>40.376826999999999</v>
      </c>
      <c r="O9413">
        <v>-111.801281</v>
      </c>
      <c r="P9413">
        <v>4539.0431040000003</v>
      </c>
      <c r="Q9413">
        <v>1384</v>
      </c>
      <c r="R9413">
        <v>0</v>
      </c>
    </row>
    <row r="9414" spans="1:18" x14ac:dyDescent="0.25">
      <c r="A9414">
        <v>9263</v>
      </c>
      <c r="B9414">
        <v>94</v>
      </c>
      <c r="C9414" t="e">
        <f>-IoprQ4sHvieY_pmF8jeiF</f>
        <v>#NAME?</v>
      </c>
      <c r="D9414" t="s">
        <v>272</v>
      </c>
      <c r="E9414">
        <v>348.327</v>
      </c>
      <c r="F9414" t="s">
        <v>21</v>
      </c>
      <c r="G9414" t="s">
        <v>26</v>
      </c>
      <c r="H9414" t="s">
        <v>21</v>
      </c>
      <c r="I9414" t="s">
        <v>20</v>
      </c>
      <c r="J9414" t="s">
        <v>20</v>
      </c>
      <c r="K9414" t="s">
        <v>22</v>
      </c>
      <c r="L9414" t="s">
        <v>84</v>
      </c>
      <c r="M9414" t="s">
        <v>125</v>
      </c>
      <c r="N9414">
        <v>40.376832999999998</v>
      </c>
      <c r="O9414">
        <v>-111.802604</v>
      </c>
      <c r="P9414">
        <v>4534.4301070000001</v>
      </c>
      <c r="Q9414">
        <v>1384</v>
      </c>
      <c r="R9414">
        <v>0</v>
      </c>
    </row>
    <row r="9415" spans="1:18" x14ac:dyDescent="0.25">
      <c r="A9415">
        <v>9264</v>
      </c>
      <c r="B9415">
        <v>94</v>
      </c>
      <c r="C9415" t="s">
        <v>1092</v>
      </c>
      <c r="D9415" t="s">
        <v>272</v>
      </c>
      <c r="E9415">
        <v>348.39499999999998</v>
      </c>
      <c r="F9415" t="s">
        <v>21</v>
      </c>
      <c r="G9415" t="s">
        <v>26</v>
      </c>
      <c r="H9415" t="s">
        <v>21</v>
      </c>
      <c r="I9415" t="s">
        <v>20</v>
      </c>
      <c r="J9415" t="s">
        <v>20</v>
      </c>
      <c r="K9415" t="s">
        <v>22</v>
      </c>
      <c r="L9415" t="s">
        <v>84</v>
      </c>
      <c r="M9415" t="s">
        <v>125</v>
      </c>
      <c r="N9415">
        <v>40.376840999999999</v>
      </c>
      <c r="O9415">
        <v>-111.803905</v>
      </c>
      <c r="P9415">
        <v>4531.440004</v>
      </c>
      <c r="Q9415">
        <v>1384</v>
      </c>
      <c r="R9415">
        <v>0</v>
      </c>
    </row>
    <row r="9416" spans="1:18" x14ac:dyDescent="0.25">
      <c r="A9416">
        <v>9265</v>
      </c>
      <c r="B9416">
        <v>94</v>
      </c>
      <c r="C9416" t="e">
        <f>-IoptA5tG-Xn5VK4v7fXfV</f>
        <v>#NAME?</v>
      </c>
      <c r="D9416" t="s">
        <v>272</v>
      </c>
      <c r="E9416">
        <v>348.53300000000002</v>
      </c>
      <c r="F9416" t="s">
        <v>19</v>
      </c>
      <c r="G9416" t="s">
        <v>20</v>
      </c>
      <c r="H9416" t="s">
        <v>21</v>
      </c>
      <c r="I9416" t="s">
        <v>20</v>
      </c>
      <c r="J9416" t="s">
        <v>20</v>
      </c>
      <c r="K9416" t="s">
        <v>22</v>
      </c>
      <c r="L9416" t="s">
        <v>84</v>
      </c>
      <c r="M9416" t="s">
        <v>125</v>
      </c>
      <c r="N9416">
        <v>40.376860000000001</v>
      </c>
      <c r="O9416">
        <v>-111.806506</v>
      </c>
      <c r="P9416">
        <v>4524.8649089999999</v>
      </c>
      <c r="Q9416">
        <v>1384</v>
      </c>
      <c r="R9416">
        <v>0</v>
      </c>
    </row>
    <row r="9417" spans="1:18" x14ac:dyDescent="0.25">
      <c r="A9417">
        <v>9266</v>
      </c>
      <c r="B9417">
        <v>94</v>
      </c>
      <c r="C9417">
        <v>31653720</v>
      </c>
      <c r="D9417" t="s">
        <v>240</v>
      </c>
      <c r="E9417">
        <v>16.030999999999999</v>
      </c>
      <c r="F9417" t="s">
        <v>21</v>
      </c>
      <c r="G9417" t="s">
        <v>26</v>
      </c>
      <c r="H9417" t="s">
        <v>21</v>
      </c>
      <c r="I9417" t="s">
        <v>20</v>
      </c>
      <c r="J9417" t="s">
        <v>20</v>
      </c>
      <c r="K9417" t="s">
        <v>27</v>
      </c>
      <c r="L9417" t="s">
        <v>146</v>
      </c>
      <c r="M9417" t="s">
        <v>147</v>
      </c>
      <c r="N9417">
        <v>38.331426999999998</v>
      </c>
      <c r="O9417">
        <v>-109.148779</v>
      </c>
      <c r="P9417">
        <v>7104.4782189999996</v>
      </c>
      <c r="Q9417">
        <v>1355</v>
      </c>
      <c r="R9417">
        <v>0</v>
      </c>
    </row>
    <row r="9418" spans="1:18" x14ac:dyDescent="0.25">
      <c r="A9418">
        <v>9267</v>
      </c>
      <c r="B9418">
        <v>94</v>
      </c>
      <c r="C9418">
        <v>28155227</v>
      </c>
      <c r="D9418" t="s">
        <v>239</v>
      </c>
      <c r="E9418">
        <v>16.038</v>
      </c>
      <c r="F9418" t="s">
        <v>21</v>
      </c>
      <c r="G9418" t="s">
        <v>26</v>
      </c>
      <c r="H9418" t="s">
        <v>21</v>
      </c>
      <c r="I9418" t="s">
        <v>20</v>
      </c>
      <c r="J9418" t="s">
        <v>20</v>
      </c>
      <c r="K9418" t="s">
        <v>41</v>
      </c>
      <c r="L9418" t="s">
        <v>181</v>
      </c>
      <c r="M9418" t="s">
        <v>178</v>
      </c>
      <c r="N9418">
        <v>41.711644999999997</v>
      </c>
      <c r="O9418">
        <v>-112.170507</v>
      </c>
      <c r="P9418">
        <v>4268.9874639999998</v>
      </c>
      <c r="Q9418">
        <v>1392</v>
      </c>
      <c r="R9418">
        <v>0</v>
      </c>
    </row>
    <row r="9419" spans="1:18" x14ac:dyDescent="0.25">
      <c r="A9419">
        <v>9268</v>
      </c>
      <c r="B9419">
        <v>94</v>
      </c>
      <c r="C9419">
        <v>31430484</v>
      </c>
      <c r="D9419" t="s">
        <v>345</v>
      </c>
      <c r="E9419">
        <v>16.041</v>
      </c>
      <c r="F9419" t="s">
        <v>21</v>
      </c>
      <c r="G9419" t="s">
        <v>26</v>
      </c>
      <c r="H9419" t="s">
        <v>21</v>
      </c>
      <c r="I9419" t="s">
        <v>20</v>
      </c>
      <c r="J9419" t="s">
        <v>20</v>
      </c>
      <c r="K9419" t="s">
        <v>27</v>
      </c>
      <c r="L9419" t="s">
        <v>75</v>
      </c>
      <c r="M9419" t="s">
        <v>76</v>
      </c>
      <c r="N9419">
        <v>38.778396000000001</v>
      </c>
      <c r="O9419">
        <v>-112.063058</v>
      </c>
      <c r="P9419">
        <v>5231.9067109999996</v>
      </c>
      <c r="Q9419">
        <v>1403</v>
      </c>
      <c r="R9419">
        <v>0</v>
      </c>
    </row>
    <row r="9420" spans="1:18" x14ac:dyDescent="0.25">
      <c r="A9420">
        <v>9269</v>
      </c>
      <c r="B9420">
        <v>94</v>
      </c>
      <c r="C9420" t="s">
        <v>1093</v>
      </c>
      <c r="D9420" t="s">
        <v>268</v>
      </c>
      <c r="E9420">
        <v>18.274999999999999</v>
      </c>
      <c r="F9420" t="s">
        <v>21</v>
      </c>
      <c r="G9420" t="s">
        <v>26</v>
      </c>
      <c r="H9420" t="s">
        <v>21</v>
      </c>
      <c r="I9420" t="s">
        <v>20</v>
      </c>
      <c r="J9420" t="s">
        <v>20</v>
      </c>
      <c r="K9420" t="s">
        <v>41</v>
      </c>
      <c r="L9420" t="s">
        <v>181</v>
      </c>
      <c r="M9420" t="s">
        <v>43</v>
      </c>
      <c r="N9420">
        <v>41.657983999999999</v>
      </c>
      <c r="O9420">
        <v>-112.44135</v>
      </c>
      <c r="P9420">
        <v>4323.4561640000002</v>
      </c>
      <c r="Q9420">
        <v>1380</v>
      </c>
      <c r="R9420">
        <v>0</v>
      </c>
    </row>
    <row r="9421" spans="1:18" x14ac:dyDescent="0.25">
      <c r="A9421">
        <v>9270</v>
      </c>
      <c r="B9421">
        <v>94</v>
      </c>
      <c r="C9421">
        <v>1545537</v>
      </c>
      <c r="D9421" t="s">
        <v>88</v>
      </c>
      <c r="E9421">
        <v>18.277000000000001</v>
      </c>
      <c r="F9421" t="s">
        <v>19</v>
      </c>
      <c r="G9421" t="s">
        <v>20</v>
      </c>
      <c r="H9421" t="s">
        <v>19</v>
      </c>
      <c r="I9421">
        <v>171</v>
      </c>
      <c r="J9421" t="s">
        <v>20</v>
      </c>
      <c r="K9421" t="s">
        <v>31</v>
      </c>
      <c r="L9421" t="s">
        <v>66</v>
      </c>
      <c r="M9421" t="s">
        <v>90</v>
      </c>
      <c r="N9421">
        <v>40.699893000000003</v>
      </c>
      <c r="O9421">
        <v>-111.87133300000001</v>
      </c>
      <c r="P9421">
        <v>4218.2664480000003</v>
      </c>
      <c r="Q9421">
        <v>318</v>
      </c>
      <c r="R9421">
        <v>0</v>
      </c>
    </row>
    <row r="9422" spans="1:18" x14ac:dyDescent="0.25">
      <c r="A9422">
        <v>9271</v>
      </c>
      <c r="B9422">
        <v>94</v>
      </c>
      <c r="C9422">
        <v>31719412</v>
      </c>
      <c r="D9422" t="s">
        <v>118</v>
      </c>
      <c r="E9422">
        <v>18.303000000000001</v>
      </c>
      <c r="F9422" t="s">
        <v>21</v>
      </c>
      <c r="G9422" t="s">
        <v>26</v>
      </c>
      <c r="H9422" t="s">
        <v>21</v>
      </c>
      <c r="I9422" t="s">
        <v>20</v>
      </c>
      <c r="J9422" t="s">
        <v>20</v>
      </c>
      <c r="K9422" t="s">
        <v>22</v>
      </c>
      <c r="L9422" t="s">
        <v>119</v>
      </c>
      <c r="M9422" t="s">
        <v>120</v>
      </c>
      <c r="N9422">
        <v>40.488751999999998</v>
      </c>
      <c r="O9422">
        <v>-111.408951</v>
      </c>
      <c r="P9422">
        <v>5616.8487269999996</v>
      </c>
      <c r="Q9422">
        <v>310</v>
      </c>
      <c r="R9422">
        <v>0</v>
      </c>
    </row>
    <row r="9423" spans="1:18" x14ac:dyDescent="0.25">
      <c r="A9423">
        <v>9272</v>
      </c>
      <c r="B9423">
        <v>94</v>
      </c>
      <c r="C9423">
        <v>31650690</v>
      </c>
      <c r="D9423" t="s">
        <v>418</v>
      </c>
      <c r="E9423">
        <v>18.332000000000001</v>
      </c>
      <c r="F9423" t="s">
        <v>21</v>
      </c>
      <c r="G9423" t="s">
        <v>26</v>
      </c>
      <c r="H9423" t="s">
        <v>21</v>
      </c>
      <c r="I9423" t="s">
        <v>20</v>
      </c>
      <c r="J9423" t="s">
        <v>20</v>
      </c>
      <c r="K9423" t="s">
        <v>27</v>
      </c>
      <c r="L9423" t="s">
        <v>211</v>
      </c>
      <c r="M9423" t="s">
        <v>212</v>
      </c>
      <c r="N9423">
        <v>37.311038000000003</v>
      </c>
      <c r="O9423">
        <v>-109.30289500000001</v>
      </c>
      <c r="P9423">
        <v>4569.8381079999999</v>
      </c>
      <c r="Q9423">
        <v>361</v>
      </c>
      <c r="R9423">
        <v>0</v>
      </c>
    </row>
    <row r="9424" spans="1:18" x14ac:dyDescent="0.25">
      <c r="A9424">
        <v>9273</v>
      </c>
      <c r="B9424">
        <v>94</v>
      </c>
      <c r="C9424">
        <v>1546314</v>
      </c>
      <c r="D9424" t="s">
        <v>88</v>
      </c>
      <c r="E9424">
        <v>18.334</v>
      </c>
      <c r="F9424" t="s">
        <v>21</v>
      </c>
      <c r="G9424" t="s">
        <v>26</v>
      </c>
      <c r="H9424" t="s">
        <v>21</v>
      </c>
      <c r="I9424" t="s">
        <v>20</v>
      </c>
      <c r="J9424" t="s">
        <v>20</v>
      </c>
      <c r="K9424" t="s">
        <v>31</v>
      </c>
      <c r="L9424" t="s">
        <v>66</v>
      </c>
      <c r="M9424" t="s">
        <v>90</v>
      </c>
      <c r="N9424">
        <v>40.700713</v>
      </c>
      <c r="O9424">
        <v>-111.871242</v>
      </c>
      <c r="P9424">
        <v>4218.5273939999997</v>
      </c>
      <c r="Q9424">
        <v>318</v>
      </c>
      <c r="R9424">
        <v>0</v>
      </c>
    </row>
    <row r="9425" spans="1:18" x14ac:dyDescent="0.25">
      <c r="A9425">
        <v>9274</v>
      </c>
      <c r="B9425">
        <v>94</v>
      </c>
      <c r="C9425">
        <v>31295530</v>
      </c>
      <c r="D9425" t="s">
        <v>308</v>
      </c>
      <c r="E9425">
        <v>18.335000000000001</v>
      </c>
      <c r="F9425" t="s">
        <v>21</v>
      </c>
      <c r="G9425" t="s">
        <v>20</v>
      </c>
      <c r="H9425" t="s">
        <v>21</v>
      </c>
      <c r="I9425" t="s">
        <v>20</v>
      </c>
      <c r="J9425" t="s">
        <v>20</v>
      </c>
      <c r="K9425" t="s">
        <v>27</v>
      </c>
      <c r="L9425" t="s">
        <v>111</v>
      </c>
      <c r="M9425" t="s">
        <v>82</v>
      </c>
      <c r="N9425">
        <v>39.582980999999997</v>
      </c>
      <c r="O9425">
        <v>-111.25245099999999</v>
      </c>
      <c r="P9425">
        <v>8923.9009399999995</v>
      </c>
      <c r="Q9425">
        <v>1344</v>
      </c>
      <c r="R9425">
        <v>0</v>
      </c>
    </row>
    <row r="9426" spans="1:18" x14ac:dyDescent="0.25">
      <c r="A9426">
        <v>9275</v>
      </c>
      <c r="B9426">
        <v>94</v>
      </c>
      <c r="C9426">
        <v>28166454</v>
      </c>
      <c r="D9426" t="s">
        <v>239</v>
      </c>
      <c r="E9426">
        <v>18.341999999999999</v>
      </c>
      <c r="F9426" t="s">
   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<v>41</v>
      </c>
      <c r="L9426" t="s">
        <v>223</v>
      </c>
      <c r="M9426" t="s">
        <v>178</v>
      </c>
      <c r="N9426">
        <v>41.712592000000001</v>
      </c>
      <c r="O9426">
        <v>-112.12597700000001</v>
      </c>
      <c r="P9426">
        <v>4274.827209</v>
      </c>
      <c r="Q9426">
        <v>1392</v>
      </c>
      <c r="R9426">
        <v>0</v>
      </c>
    </row>
    <row r="9427" spans="1:18" x14ac:dyDescent="0.25">
      <c r="A9427">
        <v>9276</v>
      </c>
      <c r="B9427">
        <v>94</v>
      </c>
      <c r="C9427">
        <v>31372842</v>
      </c>
      <c r="D9427" t="s">
        <v>199</v>
      </c>
      <c r="E9427">
        <v>18.352</v>
      </c>
      <c r="F9427" t="s">
        <v>21</v>
      </c>
      <c r="G9427" t="s">
        <v>20</v>
      </c>
      <c r="H9427" t="s">
        <v>21</v>
      </c>
      <c r="I9427" t="s">
        <v>20</v>
      </c>
      <c r="J9427" t="s">
        <v>20</v>
      </c>
      <c r="K9427" t="s">
        <v>27</v>
      </c>
      <c r="L9427" t="s">
        <v>103</v>
      </c>
      <c r="M9427" t="s">
        <v>200</v>
      </c>
      <c r="N9427">
        <v>38.316670999999999</v>
      </c>
      <c r="O9427">
        <v>-112.390565</v>
      </c>
      <c r="P9427">
        <v>9398.1438620000008</v>
      </c>
      <c r="Q9427">
        <v>341</v>
      </c>
      <c r="R9427">
        <v>0</v>
      </c>
    </row>
    <row r="9428" spans="1:18" x14ac:dyDescent="0.25">
      <c r="A9428">
        <v>9277</v>
      </c>
      <c r="B9428">
        <v>94</v>
      </c>
      <c r="C9428">
        <v>31407383</v>
      </c>
      <c r="D9428" t="s">
        <v>63</v>
      </c>
      <c r="E9428">
        <v>18.355</v>
      </c>
      <c r="F9428" t="s">
        <v>21</v>
      </c>
      <c r="G9428" t="s">
        <v>26</v>
      </c>
      <c r="H9428" t="s">
        <v>21</v>
      </c>
      <c r="I9428" t="s">
        <v>20</v>
      </c>
      <c r="J9428" t="s">
        <v>20</v>
      </c>
      <c r="K9428" t="s">
        <v>27</v>
      </c>
      <c r="L9428" t="s">
        <v>64</v>
      </c>
      <c r="M9428" t="s">
        <v>29</v>
      </c>
      <c r="N9428">
        <v>38.245736999999998</v>
      </c>
      <c r="O9428">
        <v>-111.98759699999999</v>
      </c>
      <c r="P9428">
        <v>6377.7148470000002</v>
      </c>
      <c r="Q9428">
        <v>1365</v>
      </c>
      <c r="R9428">
        <v>0</v>
      </c>
    </row>
    <row r="9429" spans="1:18" x14ac:dyDescent="0.25">
      <c r="A9429">
        <v>9278</v>
      </c>
      <c r="B9429">
        <v>94</v>
      </c>
      <c r="C9429">
        <v>31303908</v>
      </c>
      <c r="D9429" t="s">
        <v>116</v>
      </c>
      <c r="E9429">
        <v>18.361000000000001</v>
      </c>
      <c r="F9429" t="s">
        <v>21</v>
      </c>
      <c r="G9429" t="s">
        <v>26</v>
      </c>
      <c r="H9429" t="s">
        <v>21</v>
      </c>
      <c r="I9429" t="s">
        <v>20</v>
      </c>
      <c r="J9429" t="s">
        <v>20</v>
      </c>
      <c r="K9429" t="s">
        <v>41</v>
      </c>
      <c r="L9429" t="s">
        <v>42</v>
      </c>
      <c r="M9429" t="s">
        <v>43</v>
      </c>
      <c r="N9429">
        <v>41.634273999999998</v>
      </c>
      <c r="O9429">
        <v>-111.920962</v>
      </c>
      <c r="P9429">
        <v>4480.4538650000004</v>
      </c>
      <c r="Q9429">
        <v>324</v>
      </c>
      <c r="R9429">
        <v>0</v>
      </c>
    </row>
    <row r="9430" spans="1:18" x14ac:dyDescent="0.25">
      <c r="A9430">
        <v>9279</v>
      </c>
      <c r="B9430">
        <v>94</v>
      </c>
      <c r="C9430">
        <v>31501673</v>
      </c>
      <c r="D9430" t="s">
        <v>37</v>
      </c>
      <c r="E9430">
        <v>18.364000000000001</v>
      </c>
      <c r="F9430" t="s">
        <v>21</v>
      </c>
      <c r="G9430" t="s">
        <v>20</v>
      </c>
      <c r="H9430" t="s">
        <v>21</v>
      </c>
      <c r="I9430" t="s">
        <v>20</v>
      </c>
      <c r="J9430" t="s">
        <v>20</v>
      </c>
      <c r="K9430" t="s">
        <v>27</v>
      </c>
      <c r="L9430" t="s">
        <v>38</v>
      </c>
      <c r="M9430" t="s">
        <v>39</v>
      </c>
      <c r="N9430">
        <v>38.707329000000001</v>
      </c>
      <c r="O9430">
        <v>-109.38093000000001</v>
      </c>
      <c r="P9430">
        <v>4150.4941989999998</v>
      </c>
      <c r="Q9430">
        <v>1319</v>
      </c>
      <c r="R9430">
        <v>0</v>
      </c>
    </row>
    <row r="9431" spans="1:18" x14ac:dyDescent="0.25">
      <c r="A9431">
        <v>9280</v>
      </c>
      <c r="B9431">
        <v>94</v>
      </c>
      <c r="C9431">
        <v>27873662</v>
      </c>
      <c r="D9431" t="s">
        <v>91</v>
      </c>
      <c r="E9431">
        <v>18.370999999999999</v>
      </c>
      <c r="F9431" t="s">
        <v>21</v>
      </c>
      <c r="G9431" t="s">
        <v>26</v>
      </c>
      <c r="H9431" t="s">
        <v>21</v>
      </c>
      <c r="I9431" t="s">
        <v>20</v>
      </c>
      <c r="J9431" t="s">
        <v>20</v>
      </c>
      <c r="K9431" t="s">
        <v>41</v>
      </c>
      <c r="L9431" t="s">
        <v>95</v>
      </c>
      <c r="M9431" t="s">
        <v>73</v>
      </c>
      <c r="N9431">
        <v>41.862513</v>
      </c>
      <c r="O9431">
        <v>-111.99420499999999</v>
      </c>
      <c r="P9431">
        <v>4476.7957100000003</v>
      </c>
      <c r="Q9431">
        <v>1339</v>
      </c>
      <c r="R9431">
        <v>0</v>
      </c>
    </row>
    <row r="9432" spans="1:18" x14ac:dyDescent="0.25">
      <c r="A9432">
        <v>9281</v>
      </c>
      <c r="B9432">
        <v>94</v>
      </c>
      <c r="C9432">
        <v>31757434</v>
      </c>
      <c r="D9432" t="s">
        <v>88</v>
      </c>
      <c r="E9432">
        <v>18.375</v>
      </c>
      <c r="F9432" t="s">
        <v>21</v>
      </c>
      <c r="G9432" t="s">
        <v>26</v>
      </c>
      <c r="H9432" t="s">
        <v>21</v>
      </c>
      <c r="I9432" t="s">
        <v>20</v>
      </c>
      <c r="J9432" t="s">
        <v>20</v>
      </c>
      <c r="K9432" t="s">
        <v>31</v>
      </c>
      <c r="L9432" t="s">
        <v>66</v>
      </c>
      <c r="M9432" t="s">
        <v>49</v>
      </c>
      <c r="N9432">
        <v>40.701307</v>
      </c>
      <c r="O9432">
        <v>-111.871436</v>
      </c>
      <c r="P9432">
        <v>4218.9943370000001</v>
      </c>
      <c r="Q9432">
        <v>318</v>
      </c>
      <c r="R9432">
        <v>0</v>
      </c>
    </row>
    <row r="9433" spans="1:18" x14ac:dyDescent="0.25">
      <c r="A9433">
        <v>9282</v>
      </c>
      <c r="B9433">
        <v>94</v>
      </c>
      <c r="C9433" t="e">
        <f>-IoIWU0WHe1QHbUs2mUYMF</f>
        <v>#NAME?</v>
      </c>
      <c r="D9433" t="s">
        <v>272</v>
      </c>
      <c r="E9433">
        <v>183.36500000000001</v>
      </c>
      <c r="F9433" t="s">
        <v>21</v>
      </c>
      <c r="G9433" t="s">
        <v>26</v>
      </c>
      <c r="H9433" t="s">
        <v>21</v>
      </c>
      <c r="I9433" t="s">
        <v>20</v>
      </c>
      <c r="J9433" t="s">
        <v>20</v>
      </c>
      <c r="K9433" t="s">
        <v>27</v>
      </c>
      <c r="L9433" t="s">
        <v>64</v>
      </c>
      <c r="M9433" t="s">
        <v>214</v>
      </c>
      <c r="N9433">
        <v>38.503158999999997</v>
      </c>
      <c r="O9433">
        <v>-112.258213</v>
      </c>
      <c r="P9433">
        <v>5757.5346929999996</v>
      </c>
      <c r="Q9433">
        <v>1384</v>
      </c>
      <c r="R9433">
        <v>0</v>
      </c>
    </row>
    <row r="9434" spans="1:18" x14ac:dyDescent="0.25">
      <c r="A9434">
        <v>9283</v>
      </c>
      <c r="B9434">
        <v>94</v>
      </c>
      <c r="C9434" t="e">
        <f>-IoIXDKiI5q-EjnP69IORF</f>
        <v>#NAME?</v>
      </c>
      <c r="D9434" t="s">
        <v>272</v>
      </c>
      <c r="E9434">
        <v>183.9</v>
      </c>
      <c r="F9434" t="s">
        <v>21</v>
      </c>
      <c r="G9434" t="s">
        <v>26</v>
      </c>
      <c r="H9434" t="s">
        <v>21</v>
      </c>
      <c r="I9434" t="s">
        <v>20</v>
      </c>
      <c r="J9434" t="s">
        <v>20</v>
      </c>
      <c r="K9434" t="s">
        <v>27</v>
      </c>
      <c r="L9434" t="s">
        <v>64</v>
      </c>
      <c r="M9434" t="s">
        <v>214</v>
      </c>
      <c r="N9434">
        <v>38.510641999999997</v>
      </c>
      <c r="O9434">
        <v>-112.260755</v>
      </c>
      <c r="P9434">
        <v>5755.3888049999996</v>
      </c>
      <c r="Q9434">
        <v>1384</v>
      </c>
      <c r="R9434">
        <v>0</v>
      </c>
    </row>
    <row r="9435" spans="1:18" x14ac:dyDescent="0.25">
      <c r="A9435">
        <v>9284</v>
      </c>
      <c r="B9435">
        <v>94</v>
      </c>
      <c r="C9435">
        <v>31622234</v>
      </c>
      <c r="D9435" t="s">
        <v>213</v>
      </c>
      <c r="E9435">
        <v>184.10300000000001</v>
      </c>
      <c r="F9435" t="s">
        <v>21</v>
      </c>
      <c r="G9435" t="s">
        <v>26</v>
      </c>
      <c r="H9435" t="s">
        <v>21</v>
      </c>
      <c r="I9435" t="s">
        <v>20</v>
      </c>
      <c r="J9435" t="s">
        <v>20</v>
      </c>
      <c r="K9435" t="s">
        <v>22</v>
      </c>
      <c r="L9435" t="s">
        <v>140</v>
      </c>
      <c r="M9435" t="s">
        <v>159</v>
      </c>
      <c r="N9435">
        <v>40.028869</v>
      </c>
      <c r="O9435">
        <v>-111.50539499999999</v>
      </c>
      <c r="P9435">
        <v>4996.725555</v>
      </c>
      <c r="Q9435">
        <v>1332</v>
      </c>
      <c r="R9435">
        <v>0</v>
      </c>
    </row>
    <row r="9436" spans="1:18" x14ac:dyDescent="0.25">
      <c r="A9436">
        <v>9285</v>
      </c>
      <c r="B9436">
        <v>94</v>
      </c>
      <c r="C9436">
        <v>31509802</v>
      </c>
      <c r="D9436" t="s">
        <v>132</v>
      </c>
      <c r="E9436">
        <v>4.1980000000000004</v>
      </c>
      <c r="F9436" t="s">
        <v>21</v>
      </c>
      <c r="G9436" t="s">
        <v>26</v>
      </c>
      <c r="H9436" t="s">
        <v>21</v>
      </c>
      <c r="I9436" t="s">
        <v>20</v>
      </c>
      <c r="J9436" t="s">
        <v>20</v>
      </c>
      <c r="K9436" t="s">
        <v>22</v>
      </c>
      <c r="L9436" t="s">
        <v>133</v>
      </c>
      <c r="M9436" t="s">
        <v>134</v>
      </c>
      <c r="N9436">
        <v>40.349093000000003</v>
      </c>
      <c r="O9436">
        <v>-110.02910199999999</v>
      </c>
      <c r="P9436">
        <v>5371.1258529999996</v>
      </c>
      <c r="Q9436">
        <v>1405</v>
      </c>
      <c r="R9436">
        <v>0</v>
      </c>
    </row>
    <row r="9437" spans="1:18" x14ac:dyDescent="0.25">
      <c r="A9437">
        <v>9286</v>
      </c>
      <c r="B9437">
        <v>94</v>
      </c>
      <c r="C9437">
        <v>542473</v>
      </c>
      <c r="D9437" t="s">
        <v>77</v>
      </c>
      <c r="E9437">
        <v>4.2039999999999997</v>
      </c>
      <c r="F9437" t="s">
        <v>21</v>
      </c>
      <c r="G9437" t="s">
        <v>26</v>
      </c>
      <c r="H9437" t="s">
        <v>21</v>
      </c>
      <c r="I9437" t="s">
        <v>20</v>
      </c>
      <c r="J9437" t="s">
        <v>20</v>
      </c>
      <c r="K9437" t="s">
        <v>31</v>
      </c>
      <c r="L9437" t="s">
        <v>78</v>
      </c>
      <c r="M9437" t="s">
        <v>79</v>
      </c>
      <c r="N9437">
        <v>40.699607999999998</v>
      </c>
      <c r="O9437">
        <v>-112.024874</v>
      </c>
      <c r="P9437">
        <v>4214.8859940000002</v>
      </c>
      <c r="Q9437">
        <v>1436</v>
      </c>
      <c r="R9437">
        <v>0</v>
      </c>
    </row>
    <row r="9438" spans="1:18" x14ac:dyDescent="0.25">
      <c r="A9438">
        <v>9287</v>
      </c>
      <c r="B9438">
        <v>94</v>
      </c>
      <c r="C9438">
        <v>1263368</v>
      </c>
      <c r="D9438" t="s">
        <v>189</v>
      </c>
      <c r="E9438">
        <v>4.2060000000000004</v>
      </c>
      <c r="F9438" t="s">
        <v>19</v>
      </c>
      <c r="G9438" t="s">
        <v>20</v>
      </c>
      <c r="H9438" t="s">
        <v>21</v>
      </c>
      <c r="I9438" t="s">
        <v>20</v>
      </c>
      <c r="J9438" t="s">
        <v>20</v>
      </c>
      <c r="K9438" t="s">
        <v>41</v>
      </c>
      <c r="L9438" t="s">
        <v>81</v>
      </c>
      <c r="M9438" t="s">
        <v>190</v>
      </c>
      <c r="N9438">
        <v>41.214073999999997</v>
      </c>
      <c r="O9438">
        <v>-111.94839899999999</v>
      </c>
      <c r="P9438">
        <v>4451.3037910000003</v>
      </c>
      <c r="Q9438">
        <v>412</v>
      </c>
      <c r="R9438">
        <v>0</v>
      </c>
    </row>
    <row r="9439" spans="1:18" x14ac:dyDescent="0.25">
      <c r="A9439">
        <v>9288</v>
      </c>
      <c r="B9439">
        <v>94</v>
      </c>
      <c r="C9439" t="e">
        <f>-JMOTOlhFIiGDoubysuYMk</f>
        <v>#NAME?</v>
      </c>
      <c r="D9439" t="s">
        <v>249</v>
      </c>
      <c r="E9439">
        <v>1.369</v>
      </c>
      <c r="F9439" t="s">
        <v>21</v>
      </c>
      <c r="G9439" t="s">
        <v>26</v>
      </c>
      <c r="H9439" t="s">
        <v>21</v>
      </c>
      <c r="I9439" t="s">
        <v>20</v>
      </c>
      <c r="J9439" t="s">
        <v>20</v>
      </c>
      <c r="K9439" t="s">
        <v>31</v>
      </c>
      <c r="L9439" t="s">
        <v>89</v>
      </c>
      <c r="M9439" t="s">
        <v>24</v>
      </c>
      <c r="N9439">
        <v>40.486156000000001</v>
      </c>
      <c r="O9439">
        <v>-111.919432</v>
      </c>
      <c r="P9439">
        <v>4404.5915999999997</v>
      </c>
      <c r="Q9439">
        <v>337</v>
      </c>
      <c r="R9439">
        <v>0</v>
      </c>
    </row>
    <row r="9440" spans="1:18" x14ac:dyDescent="0.25">
      <c r="A9440">
        <v>9289</v>
      </c>
      <c r="B9440">
        <v>94</v>
      </c>
      <c r="C9440">
        <v>31191667</v>
      </c>
      <c r="D9440" t="s">
        <v>150</v>
      </c>
      <c r="E9440">
        <v>1.373</v>
      </c>
      <c r="F9440" t="s">
        <v>21</v>
      </c>
      <c r="G9440" t="s">
        <v>26</v>
      </c>
      <c r="H9440" t="s">
        <v>21</v>
      </c>
      <c r="I9440" t="s">
        <v>20</v>
      </c>
      <c r="J9440" t="s">
        <v>20</v>
      </c>
      <c r="K9440" t="s">
        <v>27</v>
      </c>
      <c r="L9440" t="s">
        <v>151</v>
      </c>
      <c r="M9440" t="s">
        <v>152</v>
      </c>
      <c r="N9440">
        <v>38.995471000000002</v>
      </c>
      <c r="O9440">
        <v>-110.16641799999999</v>
      </c>
      <c r="P9440">
        <v>4014.1334189999998</v>
      </c>
      <c r="Q9440">
        <v>1336</v>
      </c>
      <c r="R9440">
        <v>0</v>
      </c>
    </row>
    <row r="9441" spans="1:18" x14ac:dyDescent="0.25">
      <c r="A9441">
        <v>9290</v>
      </c>
      <c r="B9441">
        <v>94</v>
      </c>
      <c r="C9441">
        <v>31363150</v>
      </c>
      <c r="D9441" t="s">
        <v>343</v>
      </c>
      <c r="E9441">
        <v>1.373</v>
      </c>
      <c r="F9441" t="s">
        <v>21</v>
      </c>
      <c r="G9441" t="s">
        <v>26</v>
      </c>
      <c r="H9441" t="s">
        <v>21</v>
      </c>
      <c r="I9441" t="s">
        <v>20</v>
      </c>
      <c r="J9441" t="s">
        <v>20</v>
      </c>
      <c r="K9441" t="s">
        <v>27</v>
      </c>
      <c r="L9441" t="s">
        <v>230</v>
      </c>
      <c r="M9441" t="s">
        <v>82</v>
      </c>
      <c r="N9441">
        <v>39.526738999999999</v>
      </c>
      <c r="O9441">
        <v>-111.55078399999999</v>
      </c>
      <c r="P9441">
        <v>5524.2830839999997</v>
      </c>
      <c r="Q9441">
        <v>1402</v>
      </c>
      <c r="R9441">
        <v>0</v>
      </c>
    </row>
    <row r="9442" spans="1:18" x14ac:dyDescent="0.25">
      <c r="A9442">
        <v>9291</v>
      </c>
      <c r="B9442">
        <v>94</v>
      </c>
      <c r="C9442">
        <v>1004904</v>
      </c>
      <c r="D9442" t="s">
        <v>171</v>
      </c>
      <c r="E9442">
        <v>1.3759999999999999</v>
      </c>
      <c r="F9442" t="s">
        <v>21</v>
      </c>
      <c r="G9442" t="s">
        <v>26</v>
      </c>
      <c r="H9442" t="s">
        <v>21</v>
      </c>
      <c r="I9442" t="s">
        <v>20</v>
      </c>
      <c r="J9442" t="s">
        <v>20</v>
      </c>
      <c r="K9442" t="s">
        <v>31</v>
      </c>
      <c r="L9442" t="s">
        <v>78</v>
      </c>
      <c r="M9442" t="s">
        <v>79</v>
      </c>
      <c r="N9442">
        <v>40.696494999999999</v>
      </c>
      <c r="O9442">
        <v>-112.065562</v>
      </c>
      <c r="P9442">
        <v>4283.426923</v>
      </c>
      <c r="Q9442">
        <v>346</v>
      </c>
      <c r="R9442">
        <v>0</v>
      </c>
    </row>
    <row r="9443" spans="1:18" x14ac:dyDescent="0.25">
      <c r="A9443">
        <v>9292</v>
      </c>
      <c r="B9443">
        <v>94</v>
      </c>
      <c r="C9443">
        <v>3395546</v>
      </c>
      <c r="D9443" t="s">
        <v>47</v>
      </c>
      <c r="E9443">
        <v>1.3779999999999999</v>
      </c>
      <c r="F9443" t="s">
        <v>19</v>
      </c>
      <c r="G9443" t="s">
        <v>20</v>
      </c>
      <c r="H9443" t="s">
        <v>21</v>
      </c>
      <c r="I9443" t="s">
        <v>20</v>
      </c>
      <c r="J9443" t="s">
        <v>20</v>
      </c>
      <c r="K9443" t="s">
        <v>31</v>
      </c>
      <c r="L9443" t="s">
        <v>48</v>
      </c>
      <c r="M9443" t="s">
        <v>49</v>
      </c>
      <c r="N9443">
        <v>40.544215999999999</v>
      </c>
      <c r="O9443">
        <v>-111.957734</v>
      </c>
      <c r="P9443">
        <v>4462.2997990000003</v>
      </c>
      <c r="Q9443">
        <v>6715</v>
      </c>
      <c r="R9443">
        <v>0</v>
      </c>
    </row>
    <row r="9444" spans="1:18" x14ac:dyDescent="0.25">
      <c r="A9444">
        <v>9293</v>
      </c>
      <c r="B9444">
        <v>94</v>
      </c>
      <c r="C9444">
        <v>31652442</v>
      </c>
      <c r="D9444" t="s">
        <v>65</v>
      </c>
      <c r="E9444">
        <v>1.3779999999999999</v>
      </c>
      <c r="F9444" t="s">
        <v>21</v>
      </c>
      <c r="G9444" t="s">
        <v>26</v>
      </c>
      <c r="H9444" t="s">
        <v>21</v>
      </c>
      <c r="I9444" t="s">
        <v>20</v>
      </c>
      <c r="J9444" t="s">
        <v>20</v>
      </c>
      <c r="K9444" t="s">
        <v>31</v>
      </c>
      <c r="L9444" t="s">
        <v>66</v>
      </c>
      <c r="M9444" t="s">
        <v>67</v>
      </c>
      <c r="N9444">
        <v>40.777307999999998</v>
      </c>
      <c r="O9444">
        <v>-111.890546</v>
      </c>
      <c r="P9444">
        <v>4433.8882160000003</v>
      </c>
      <c r="Q9444">
        <v>402</v>
      </c>
      <c r="R9444">
        <v>0</v>
      </c>
    </row>
    <row r="9445" spans="1:18" x14ac:dyDescent="0.25">
      <c r="A9445">
        <v>9294</v>
      </c>
      <c r="B9445">
        <v>94</v>
      </c>
      <c r="C9445">
        <v>1401205</v>
      </c>
      <c r="D9445" t="s">
        <v>88</v>
      </c>
      <c r="E9445">
        <v>1.379</v>
      </c>
      <c r="F9445" t="s">
        <v>19</v>
      </c>
      <c r="G9445" t="s">
        <v>20</v>
      </c>
      <c r="H9445" t="s">
        <v>21</v>
      </c>
      <c r="I9445" t="s">
        <v>20</v>
      </c>
      <c r="J9445" t="s">
        <v>20</v>
      </c>
      <c r="K9445" t="s">
        <v>31</v>
      </c>
      <c r="L9445" t="s">
        <v>89</v>
      </c>
      <c r="M9445" t="s">
        <v>90</v>
      </c>
      <c r="N9445">
        <v>40.522317999999999</v>
      </c>
      <c r="O9445">
        <v>-111.957722</v>
      </c>
      <c r="P9445">
        <v>4457.2958019999996</v>
      </c>
      <c r="Q9445">
        <v>318</v>
      </c>
      <c r="R9445">
        <v>0</v>
      </c>
    </row>
    <row r="9446" spans="1:18" x14ac:dyDescent="0.25">
      <c r="A9446">
        <v>9295</v>
      </c>
      <c r="B9446">
        <v>94</v>
      </c>
      <c r="C9446" t="s">
        <v>1094</v>
      </c>
      <c r="D9446" t="s">
        <v>272</v>
      </c>
      <c r="E9446">
        <v>175.75299999999999</v>
      </c>
      <c r="F9446" t="s">
        <v>21</v>
      </c>
      <c r="G9446" t="s">
        <v>26</v>
      </c>
      <c r="H9446" t="s">
        <v>21</v>
      </c>
      <c r="I9446" t="s">
        <v>20</v>
      </c>
      <c r="J9446" t="s">
        <v>20</v>
      </c>
      <c r="K9446" t="s">
        <v>27</v>
      </c>
      <c r="L9446" t="s">
        <v>64</v>
      </c>
      <c r="M9446" t="s">
        <v>214</v>
      </c>
      <c r="N9446">
        <v>38.40155</v>
      </c>
      <c r="O9446">
        <v>-112.231157</v>
      </c>
      <c r="P9446">
        <v>6011.5816279999999</v>
      </c>
      <c r="Q9446">
        <v>1384</v>
      </c>
      <c r="R9446">
        <v>0</v>
      </c>
    </row>
    <row r="9447" spans="1:18" x14ac:dyDescent="0.25">
      <c r="A9447">
        <v>9296</v>
      </c>
      <c r="B9447">
        <v>94</v>
      </c>
      <c r="C9447">
        <v>31611735</v>
      </c>
      <c r="D9447" t="s">
        <v>213</v>
      </c>
      <c r="E9447">
        <v>176.14099999999999</v>
      </c>
      <c r="F9447" t="s">
        <v>19</v>
      </c>
      <c r="G9447" t="s">
        <v>20</v>
      </c>
      <c r="H9447" t="s">
        <v>21</v>
      </c>
      <c r="I9447" t="s">
        <v>20</v>
      </c>
      <c r="J9447" t="s">
        <v>20</v>
      </c>
      <c r="K9447" t="s">
        <v>22</v>
      </c>
      <c r="L9447" t="s">
        <v>140</v>
      </c>
      <c r="M9447" t="s">
        <v>159</v>
      </c>
      <c r="N9447">
        <v>40.099294999999998</v>
      </c>
      <c r="O9447">
        <v>-111.612391</v>
      </c>
      <c r="P9447">
        <v>4688.1250799999998</v>
      </c>
      <c r="Q9447">
        <v>1332</v>
      </c>
      <c r="R9447">
        <v>0</v>
      </c>
    </row>
    <row r="9448" spans="1:18" x14ac:dyDescent="0.25">
      <c r="A9448">
        <v>9297</v>
      </c>
      <c r="B9448">
        <v>94</v>
      </c>
      <c r="C9448" t="e">
        <f>-IoIMt9lGo9ANZrYDWhMXF</f>
        <v>#NAME?</v>
      </c>
      <c r="D9448" t="s">
        <v>272</v>
      </c>
      <c r="E9448">
        <v>176.774</v>
      </c>
      <c r="F9448" t="s">
        <v>21</v>
      </c>
      <c r="G9448" t="s">
        <v>26</v>
      </c>
      <c r="H9448" t="s">
        <v>21</v>
      </c>
      <c r="I9448" t="s">
        <v>20</v>
      </c>
      <c r="J9448" t="s">
        <v>20</v>
      </c>
      <c r="K9448" t="s">
        <v>27</v>
      </c>
      <c r="L9448" t="s">
        <v>64</v>
      </c>
      <c r="M9448" t="s">
        <v>214</v>
      </c>
      <c r="N9448">
        <v>38.416359999999997</v>
      </c>
      <c r="O9448">
        <v>-112.231447</v>
      </c>
      <c r="P9448">
        <v>6004.6743560000004</v>
      </c>
      <c r="Q9448">
        <v>1384</v>
      </c>
      <c r="R9448">
        <v>0</v>
      </c>
    </row>
    <row r="9449" spans="1:18" x14ac:dyDescent="0.25">
      <c r="A9449">
        <v>9298</v>
      </c>
      <c r="B9449">
        <v>94</v>
      </c>
      <c r="C9449">
        <v>31612832</v>
      </c>
      <c r="D9449" t="s">
        <v>213</v>
      </c>
      <c r="E9449">
        <v>177.05799999999999</v>
      </c>
      <c r="F9449" t="s">
        <v>21</v>
      </c>
      <c r="G9449" t="s">
        <v>26</v>
      </c>
      <c r="H9449" t="s">
        <v>21</v>
      </c>
      <c r="I9449" t="s">
        <v>20</v>
      </c>
      <c r="J9449" t="s">
        <v>20</v>
      </c>
      <c r="K9449" t="s">
        <v>22</v>
      </c>
      <c r="L9449" t="s">
        <v>140</v>
      </c>
      <c r="M9449" t="s">
        <v>159</v>
      </c>
      <c r="N9449">
        <v>40.091451999999997</v>
      </c>
      <c r="O9449">
        <v>-111.597657</v>
      </c>
      <c r="P9449">
        <v>4713.8805119999997</v>
      </c>
      <c r="Q9449">
        <v>1332</v>
      </c>
      <c r="R9449">
        <v>0</v>
      </c>
    </row>
    <row r="9450" spans="1:18" x14ac:dyDescent="0.25">
      <c r="A9450">
        <v>9299</v>
      </c>
      <c r="B9450">
        <v>94</v>
      </c>
      <c r="C9450">
        <v>31612843</v>
      </c>
      <c r="D9450" t="s">
        <v>213</v>
      </c>
      <c r="E9450">
        <v>177.196</v>
      </c>
      <c r="F9450" t="s">
        <v>19</v>
      </c>
      <c r="G9450" t="s">
        <v>20</v>
      </c>
      <c r="H9450" t="s">
        <v>19</v>
      </c>
      <c r="I9450">
        <v>198</v>
      </c>
      <c r="J9450" t="s">
        <v>20</v>
      </c>
      <c r="K9450" t="s">
        <v>22</v>
      </c>
      <c r="L9450" t="s">
        <v>140</v>
      </c>
      <c r="M9450" t="s">
        <v>159</v>
      </c>
      <c r="N9450">
        <v>40.090215999999998</v>
      </c>
      <c r="O9450">
        <v>-111.595502</v>
      </c>
      <c r="P9450">
        <v>4717.1135210000002</v>
      </c>
      <c r="Q9450">
        <v>1332</v>
      </c>
      <c r="R9450">
        <v>0</v>
      </c>
    </row>
    <row r="9451" spans="1:18" x14ac:dyDescent="0.25">
      <c r="A9451">
        <v>9300</v>
      </c>
      <c r="B9451">
        <v>94</v>
      </c>
      <c r="C9451">
        <v>31614290</v>
      </c>
      <c r="D9451" t="s">
        <v>213</v>
      </c>
      <c r="E9451">
        <v>177.517</v>
      </c>
      <c r="F9451" t="s">
        <v>21</v>
      </c>
      <c r="G9451" t="s">
        <v>26</v>
      </c>
      <c r="H9451" t="s">
        <v>21</v>
      </c>
      <c r="I9451" t="s">
        <v>20</v>
      </c>
      <c r="J9451" t="s">
        <v>20</v>
      </c>
      <c r="K9451" t="s">
        <v>22</v>
      </c>
      <c r="L9451" t="s">
        <v>140</v>
      </c>
      <c r="M9451" t="s">
        <v>159</v>
      </c>
      <c r="N9451">
        <v>40.086154999999998</v>
      </c>
      <c r="O9451">
        <v>-111.592806</v>
      </c>
      <c r="P9451">
        <v>4723.4283869999999</v>
      </c>
      <c r="Q9451">
        <v>1332</v>
      </c>
      <c r="R9451">
        <v>0</v>
      </c>
    </row>
    <row r="9452" spans="1:18" x14ac:dyDescent="0.25">
      <c r="A9452">
        <v>9301</v>
      </c>
      <c r="B9452">
        <v>94</v>
      </c>
      <c r="C9452" t="e">
        <f>-IoINo5OHQuMhrTylphZhF</f>
        <v>#NAME?</v>
      </c>
      <c r="D9452" t="s">
        <v>272</v>
      </c>
      <c r="E9452">
        <v>177.65100000000001</v>
      </c>
      <c r="F9452" t="s">
        <v>21</v>
      </c>
      <c r="G9452" t="s">
        <v>26</v>
      </c>
      <c r="H9452" t="s">
        <v>21</v>
      </c>
      <c r="I9452" t="s">
        <v>20</v>
      </c>
      <c r="J9452" t="s">
        <v>20</v>
      </c>
      <c r="K9452" t="s">
        <v>27</v>
      </c>
      <c r="L9452" t="s">
        <v>64</v>
      </c>
      <c r="M9452" t="s">
        <v>214</v>
      </c>
      <c r="N9452">
        <v>38.429068999999998</v>
      </c>
      <c r="O9452">
        <v>-112.23168800000001</v>
      </c>
      <c r="P9452">
        <v>5970.9624530000001</v>
      </c>
      <c r="Q9452">
        <v>1384</v>
      </c>
      <c r="R9452">
        <v>0</v>
      </c>
    </row>
    <row r="9453" spans="1:18" x14ac:dyDescent="0.25">
      <c r="A9453">
        <v>9302</v>
      </c>
      <c r="B9453">
        <v>94</v>
      </c>
      <c r="C9453">
        <v>31745757</v>
      </c>
      <c r="D9453" t="s">
        <v>336</v>
      </c>
      <c r="E9453">
        <v>17.2</v>
      </c>
      <c r="F9453" t="s">
        <v>21</v>
      </c>
      <c r="G9453" t="s">
        <v>20</v>
      </c>
      <c r="H9453" t="s">
        <v>21</v>
      </c>
      <c r="I9453" t="s">
        <v>20</v>
      </c>
      <c r="J9453" t="s">
        <v>20</v>
      </c>
      <c r="K9453" t="s">
        <v>31</v>
      </c>
      <c r="L9453" t="s">
        <v>32</v>
      </c>
      <c r="M9453" t="s">
        <v>950</v>
      </c>
      <c r="N9453">
        <v>40.612445999999998</v>
      </c>
      <c r="O9453">
        <v>-111.57954599999999</v>
      </c>
      <c r="P9453">
        <v>8687.8266199999998</v>
      </c>
      <c r="Q9453">
        <v>404</v>
      </c>
      <c r="R9453">
        <v>0</v>
      </c>
    </row>
    <row r="9454" spans="1:18" x14ac:dyDescent="0.25">
      <c r="A9454">
        <v>9303</v>
      </c>
      <c r="B9454">
        <v>94</v>
      </c>
      <c r="C9454">
        <v>31195298</v>
      </c>
      <c r="D9454" t="s">
        <v>339</v>
      </c>
      <c r="E9454">
        <v>17.207999999999998</v>
      </c>
      <c r="F9454" t="s">
        <v>21</v>
      </c>
      <c r="G9454" t="s">
        <v>26</v>
      </c>
      <c r="H9454" t="s">
        <v>21</v>
      </c>
      <c r="I9454" t="s">
        <v>20</v>
      </c>
      <c r="J9454" t="s">
        <v>20</v>
      </c>
      <c r="K9454" t="s">
        <v>41</v>
      </c>
      <c r="L9454" t="s">
        <v>95</v>
      </c>
      <c r="M9454" t="s">
        <v>73</v>
      </c>
      <c r="N9454">
        <v>41.922749000000003</v>
      </c>
      <c r="O9454">
        <v>-111.81710200000001</v>
      </c>
      <c r="P9454">
        <v>4547.1506820000004</v>
      </c>
      <c r="Q9454">
        <v>1417</v>
      </c>
      <c r="R9454">
        <v>0</v>
      </c>
    </row>
    <row r="9455" spans="1:18" x14ac:dyDescent="0.25">
      <c r="A9455">
        <v>9304</v>
      </c>
      <c r="B9455">
        <v>94</v>
      </c>
      <c r="C9455">
        <v>31465188</v>
      </c>
      <c r="D9455" t="s">
        <v>404</v>
      </c>
      <c r="E9455">
        <v>0.14399999999999999</v>
      </c>
      <c r="F9455" t="s">
        <v>21</v>
      </c>
      <c r="G9455" t="s">
        <v>26</v>
      </c>
      <c r="H9455" t="s">
        <v>21</v>
      </c>
      <c r="I9455" t="s">
        <v>20</v>
      </c>
      <c r="J9455" t="s">
        <v>20</v>
      </c>
      <c r="K9455" t="s">
        <v>27</v>
      </c>
      <c r="L9455" t="s">
        <v>405</v>
      </c>
      <c r="M9455" t="s">
        <v>238</v>
      </c>
      <c r="N9455">
        <v>38.962871</v>
      </c>
      <c r="O9455">
        <v>-109.722407</v>
      </c>
      <c r="P9455">
        <v>5026.8915960000004</v>
      </c>
      <c r="Q9455">
        <v>325</v>
      </c>
      <c r="R9455">
        <v>0</v>
      </c>
    </row>
    <row r="9456" spans="1:18" x14ac:dyDescent="0.25">
      <c r="A9456">
        <v>9305</v>
      </c>
      <c r="B9456">
        <v>94</v>
      </c>
      <c r="C9456">
        <v>31196202</v>
      </c>
      <c r="D9456" t="s">
        <v>354</v>
      </c>
      <c r="E9456">
        <v>0.14399999999999999</v>
      </c>
      <c r="F9456" t="s">
        <v>21</v>
      </c>
      <c r="G9456" t="s">
        <v>20</v>
      </c>
      <c r="H9456" t="s">
        <v>21</v>
      </c>
      <c r="I9456" t="s">
        <v>20</v>
      </c>
      <c r="J9456" t="s">
        <v>20</v>
      </c>
      <c r="K9456" t="s">
        <v>27</v>
      </c>
      <c r="L9456" t="s">
        <v>64</v>
      </c>
      <c r="M9456" t="s">
        <v>58</v>
      </c>
      <c r="N9456">
        <v>38.090632999999997</v>
      </c>
      <c r="O9456">
        <v>-111.98151900000001</v>
      </c>
      <c r="P9456">
        <v>6426.6301970000004</v>
      </c>
      <c r="Q9456">
        <v>1338</v>
      </c>
      <c r="R9456">
        <v>0</v>
      </c>
    </row>
    <row r="9457" spans="1:18" x14ac:dyDescent="0.25">
      <c r="A9457">
        <v>9306</v>
      </c>
      <c r="B9457">
        <v>94</v>
      </c>
      <c r="C9457">
        <v>1407244</v>
      </c>
      <c r="D9457" t="s">
        <v>109</v>
      </c>
      <c r="E9457">
        <v>0.14499999999999999</v>
      </c>
      <c r="F9457" t="s">
        <v>21</v>
      </c>
      <c r="G9457" t="s">
        <v>26</v>
      </c>
      <c r="H9457" t="s">
        <v>21</v>
      </c>
      <c r="I9457" t="s">
        <v>20</v>
      </c>
      <c r="J9457" t="s">
        <v>20</v>
      </c>
      <c r="K9457" t="s">
        <v>41</v>
      </c>
      <c r="L9457" t="s">
        <v>42</v>
      </c>
      <c r="M9457" t="s">
        <v>73</v>
      </c>
      <c r="N9457">
        <v>41.566560000000003</v>
      </c>
      <c r="O9457">
        <v>-111.835621</v>
      </c>
      <c r="P9457">
        <v>4881.9594489999999</v>
      </c>
      <c r="Q9457">
        <v>345</v>
      </c>
      <c r="R9457">
        <v>0</v>
      </c>
    </row>
    <row r="9458" spans="1:18" x14ac:dyDescent="0.25">
      <c r="A9458">
        <v>9307</v>
      </c>
      <c r="B9458">
        <v>94</v>
      </c>
      <c r="C9458">
        <v>31499914</v>
      </c>
      <c r="D9458" t="s">
        <v>292</v>
      </c>
      <c r="E9458">
        <v>0.14899999999999999</v>
      </c>
      <c r="F9458" t="s">
        <v>21</v>
      </c>
      <c r="G9458" t="s">
        <v>26</v>
      </c>
      <c r="H9458" t="s">
        <v>21</v>
      </c>
      <c r="I9458" t="s">
        <v>20</v>
      </c>
      <c r="J9458" t="s">
        <v>20</v>
      </c>
      <c r="K9458" t="s">
        <v>22</v>
      </c>
      <c r="L9458" t="s">
        <v>253</v>
      </c>
      <c r="M9458" t="s">
        <v>134</v>
      </c>
      <c r="N9458">
        <v>40.165694000000002</v>
      </c>
      <c r="O9458">
        <v>-110.401358</v>
      </c>
      <c r="P9458">
        <v>5462.434448</v>
      </c>
      <c r="Q9458">
        <v>323</v>
      </c>
      <c r="R9458">
        <v>0</v>
      </c>
    </row>
    <row r="9459" spans="1:18" x14ac:dyDescent="0.25">
      <c r="A9459">
        <v>9308</v>
      </c>
      <c r="B9459">
        <v>94</v>
      </c>
      <c r="C9459">
        <v>31191537</v>
      </c>
      <c r="D9459" t="s">
        <v>153</v>
      </c>
      <c r="E9459">
        <v>0.14899999999999999</v>
      </c>
      <c r="F9459" t="s">
        <v>21</v>
      </c>
      <c r="G9459" t="s">
        <v>26</v>
      </c>
      <c r="H9459" t="s">
        <v>21</v>
      </c>
      <c r="I9459" t="s">
        <v>20</v>
      </c>
      <c r="J9459" t="s">
        <v>20</v>
      </c>
      <c r="K9459" t="s">
        <v>22</v>
      </c>
      <c r="L9459" t="s">
        <v>84</v>
      </c>
      <c r="M9459" t="s">
        <v>85</v>
      </c>
      <c r="N9459">
        <v>40.360093999999997</v>
      </c>
      <c r="O9459">
        <v>-111.73888100000001</v>
      </c>
      <c r="P9459">
        <v>4537.1134830000001</v>
      </c>
      <c r="R9459">
        <v>0</v>
      </c>
    </row>
    <row r="9460" spans="1:18" x14ac:dyDescent="0.25">
      <c r="A9460">
        <v>9309</v>
      </c>
      <c r="B9460">
        <v>94</v>
      </c>
      <c r="C9460">
        <v>27863395</v>
      </c>
      <c r="D9460" t="s">
        <v>59</v>
      </c>
      <c r="E9460">
        <v>0.15</v>
      </c>
      <c r="F9460" t="s">
        <v>21</v>
      </c>
      <c r="G9460" t="s">
        <v>26</v>
      </c>
      <c r="H9460" t="s">
        <v>21</v>
      </c>
      <c r="I9460" t="s">
        <v>20</v>
      </c>
      <c r="J9460" t="s">
        <v>20</v>
      </c>
      <c r="K9460" t="s">
        <v>22</v>
      </c>
      <c r="L9460" t="s">
        <v>60</v>
      </c>
      <c r="M9460" t="s">
        <v>24</v>
      </c>
      <c r="N9460">
        <v>40.311850999999997</v>
      </c>
      <c r="O9460">
        <v>-111.73169799999999</v>
      </c>
      <c r="P9460">
        <v>4529.7623659999999</v>
      </c>
      <c r="Q9460">
        <v>313</v>
      </c>
      <c r="R9460">
        <v>0</v>
      </c>
    </row>
    <row r="9461" spans="1:18" x14ac:dyDescent="0.25">
      <c r="A9461">
        <v>9310</v>
      </c>
      <c r="B9461">
        <v>94</v>
      </c>
      <c r="C9461">
        <v>506991</v>
      </c>
      <c r="D9461" t="s">
        <v>135</v>
      </c>
      <c r="E9461">
        <v>0.15</v>
      </c>
      <c r="F9461" t="s">
        <v>21</v>
      </c>
      <c r="G9461" t="s">
        <v>20</v>
      </c>
      <c r="H9461" t="s">
        <v>21</v>
      </c>
      <c r="I9461" t="s">
        <v>20</v>
      </c>
      <c r="J9461" t="s">
        <v>20</v>
      </c>
      <c r="K9461" t="s">
        <v>31</v>
      </c>
      <c r="L9461" t="s">
        <v>48</v>
      </c>
      <c r="M9461" t="s">
        <v>144</v>
      </c>
      <c r="N9461">
        <v>40.561858999999998</v>
      </c>
      <c r="O9461">
        <v>-111.97420099999999</v>
      </c>
      <c r="P9461">
        <v>4583.727347</v>
      </c>
      <c r="Q9461">
        <v>1423</v>
      </c>
      <c r="R9461">
        <v>0</v>
      </c>
    </row>
    <row r="9462" spans="1:18" x14ac:dyDescent="0.25">
      <c r="A9462">
        <v>9311</v>
      </c>
      <c r="B9462">
        <v>94</v>
      </c>
      <c r="C9462">
        <v>472947</v>
      </c>
      <c r="D9462" t="s">
        <v>83</v>
      </c>
      <c r="E9462">
        <v>0.15</v>
      </c>
      <c r="F9462" t="s">
        <v>19</v>
      </c>
      <c r="G9462" t="s">
        <v>20</v>
      </c>
      <c r="H9462" t="s">
        <v>21</v>
      </c>
      <c r="I9462" t="s">
        <v>20</v>
      </c>
      <c r="J9462" t="s">
        <v>20</v>
      </c>
      <c r="K9462" t="s">
        <v>22</v>
      </c>
      <c r="L9462" t="s">
        <v>84</v>
      </c>
      <c r="M9462" t="s">
        <v>85</v>
      </c>
      <c r="N9462">
        <v>40.379066999999999</v>
      </c>
      <c r="O9462">
        <v>-111.795907</v>
      </c>
      <c r="P9462">
        <v>4556.7965560000002</v>
      </c>
      <c r="Q9462">
        <v>319</v>
      </c>
      <c r="R9462">
        <v>0</v>
      </c>
    </row>
    <row r="9463" spans="1:18" x14ac:dyDescent="0.25">
      <c r="A9463">
        <v>9312</v>
      </c>
      <c r="B9463">
        <v>94</v>
      </c>
      <c r="C9463">
        <v>31631213</v>
      </c>
      <c r="D9463" t="s">
        <v>402</v>
      </c>
      <c r="E9463">
        <v>0.151</v>
      </c>
      <c r="F9463" t="s">
        <v>21</v>
      </c>
      <c r="G9463" t="s">
        <v>26</v>
      </c>
      <c r="H9463" t="s">
        <v>21</v>
      </c>
      <c r="I9463" t="s">
        <v>20</v>
      </c>
      <c r="J9463" t="s">
        <v>20</v>
      </c>
      <c r="K9463" t="s">
        <v>27</v>
      </c>
      <c r="L9463" t="s">
        <v>350</v>
      </c>
      <c r="M9463" t="s">
        <v>58</v>
      </c>
      <c r="N9463">
        <v>39.361604</v>
      </c>
      <c r="O9463">
        <v>-111.584176</v>
      </c>
      <c r="P9463">
        <v>5484.5984449999996</v>
      </c>
      <c r="Q9463">
        <v>438</v>
      </c>
      <c r="R9463">
        <v>0</v>
      </c>
    </row>
    <row r="9464" spans="1:18" x14ac:dyDescent="0.25">
      <c r="A9464">
        <v>9313</v>
      </c>
      <c r="B9464">
        <v>94</v>
      </c>
      <c r="C9464">
        <v>31414565</v>
      </c>
      <c r="D9464" t="s">
        <v>107</v>
      </c>
      <c r="E9464">
        <v>0.152</v>
      </c>
      <c r="F9464" t="s">
        <v>21</v>
      </c>
      <c r="G9464" t="s">
        <v>26</v>
      </c>
      <c r="H9464" t="s">
        <v>21</v>
      </c>
      <c r="I9464" t="s">
        <v>20</v>
      </c>
      <c r="J9464" t="s">
        <v>20</v>
      </c>
      <c r="K9464" t="s">
        <v>41</v>
      </c>
      <c r="L9464" t="s">
        <v>81</v>
      </c>
      <c r="M9464" t="s">
        <v>93</v>
      </c>
      <c r="N9464">
        <v>41.194707000000001</v>
      </c>
      <c r="O9464">
        <v>-111.97948100000001</v>
      </c>
      <c r="P9464">
        <v>4304.141721</v>
      </c>
      <c r="Q9464">
        <v>413</v>
      </c>
      <c r="R9464">
        <v>0</v>
      </c>
    </row>
    <row r="9465" spans="1:18" x14ac:dyDescent="0.25">
      <c r="A9465">
        <v>9314</v>
      </c>
      <c r="B9465">
        <v>94</v>
      </c>
      <c r="C9465">
        <v>31724232</v>
      </c>
      <c r="D9465" t="s">
        <v>336</v>
      </c>
      <c r="E9465">
        <v>0.152</v>
      </c>
      <c r="F9465" t="s">
        <v>19</v>
      </c>
      <c r="G9465" t="s">
        <v>20</v>
      </c>
      <c r="H9465" t="s">
        <v>21</v>
      </c>
      <c r="I9465" t="s">
        <v>20</v>
      </c>
      <c r="J9465" t="s">
        <v>20</v>
      </c>
      <c r="K9465" t="s">
        <v>31</v>
      </c>
      <c r="L9465" t="s">
        <v>32</v>
      </c>
      <c r="M9465" t="s">
        <v>33</v>
      </c>
      <c r="N9465">
        <v>40.636899</v>
      </c>
      <c r="O9465">
        <v>-111.80776400000001</v>
      </c>
      <c r="P9465">
        <v>4561.8380209999996</v>
      </c>
      <c r="Q9465">
        <v>404</v>
      </c>
      <c r="R9465">
        <v>0</v>
      </c>
    </row>
    <row r="9466" spans="1:18" x14ac:dyDescent="0.25">
      <c r="A9466">
        <v>9315</v>
      </c>
      <c r="B9466">
        <v>94</v>
      </c>
      <c r="C9466">
        <v>31837329</v>
      </c>
      <c r="D9466" t="s">
        <v>179</v>
      </c>
      <c r="E9466">
        <v>0.153</v>
      </c>
      <c r="F9466" t="s">
        <v>19</v>
      </c>
      <c r="G9466" t="s">
        <v>20</v>
      </c>
      <c r="H9466" t="s">
        <v>21</v>
      </c>
      <c r="I9466" t="s">
        <v>20</v>
      </c>
      <c r="J9466" t="s">
        <v>20</v>
      </c>
      <c r="K9466" t="s">
        <v>31</v>
      </c>
      <c r="L9466" t="s">
        <v>66</v>
      </c>
      <c r="M9466" t="s">
        <v>67</v>
      </c>
      <c r="N9466">
        <v>40.756286000000003</v>
      </c>
      <c r="O9466">
        <v>-111.902536</v>
      </c>
      <c r="P9466">
        <v>4173.9629409999998</v>
      </c>
      <c r="Q9466">
        <v>362</v>
      </c>
      <c r="R9466">
        <v>0</v>
      </c>
    </row>
    <row r="9467" spans="1:18" x14ac:dyDescent="0.25">
      <c r="A9467">
        <v>9316</v>
      </c>
      <c r="B9467">
        <v>94</v>
      </c>
      <c r="C9467" t="e">
        <f>-JMHNgVfFCmwsWFeo-UhLF</f>
        <v>#NAME?</v>
      </c>
      <c r="D9467" t="s">
        <v>718</v>
      </c>
      <c r="E9467">
        <v>0.153</v>
      </c>
      <c r="F9467" t="s">
        <v>19</v>
      </c>
      <c r="G9467" t="s">
        <v>20</v>
      </c>
      <c r="H9467" t="s">
        <v>21</v>
      </c>
      <c r="I9467" t="s">
        <v>20</v>
      </c>
      <c r="J9467" t="s">
        <v>20</v>
      </c>
      <c r="K9467" t="s">
        <v>31</v>
      </c>
      <c r="L9467" t="s">
        <v>66</v>
      </c>
      <c r="M9467" t="s">
        <v>67</v>
      </c>
      <c r="N9467">
        <v>40.751945999999997</v>
      </c>
      <c r="O9467">
        <v>-111.893944</v>
      </c>
      <c r="P9467">
        <v>4176.7775780000002</v>
      </c>
      <c r="Q9467">
        <v>1282</v>
      </c>
      <c r="R9467">
        <v>0</v>
      </c>
    </row>
    <row r="9468" spans="1:18" x14ac:dyDescent="0.25">
      <c r="A9468">
        <v>9317</v>
      </c>
      <c r="B9468">
        <v>94</v>
      </c>
      <c r="C9468">
        <v>31303415</v>
      </c>
      <c r="D9468" t="s">
        <v>251</v>
      </c>
      <c r="E9468">
        <v>0.153</v>
      </c>
      <c r="F9468" t="s">
        <v>21</v>
      </c>
      <c r="G9468" t="s">
        <v>26</v>
      </c>
      <c r="H9468" t="s">
        <v>21</v>
      </c>
      <c r="I9468" t="s">
        <v>20</v>
      </c>
      <c r="J9468" t="s">
        <v>20</v>
      </c>
      <c r="K9468" t="s">
        <v>27</v>
      </c>
      <c r="L9468" t="s">
        <v>165</v>
      </c>
      <c r="M9468" t="s">
        <v>166</v>
      </c>
      <c r="N9468">
        <v>38.977620999999999</v>
      </c>
      <c r="O9468">
        <v>-112.326516</v>
      </c>
      <c r="P9468">
        <v>5009.8921520000004</v>
      </c>
      <c r="Q9468">
        <v>326</v>
      </c>
      <c r="R9468">
        <v>0</v>
      </c>
    </row>
    <row r="9469" spans="1:18" x14ac:dyDescent="0.25">
      <c r="A9469">
        <v>9318</v>
      </c>
      <c r="B9469">
        <v>94</v>
      </c>
      <c r="C9469" t="s">
        <v>1095</v>
      </c>
      <c r="D9469" t="s">
        <v>170</v>
      </c>
      <c r="E9469">
        <v>0.155</v>
      </c>
      <c r="F9469" t="s">
        <v>21</v>
      </c>
      <c r="G9469" t="s">
        <v>361</v>
      </c>
      <c r="H9469" t="s">
        <v>21</v>
      </c>
      <c r="I9469" t="s">
        <v>20</v>
      </c>
      <c r="J9469" t="s">
        <v>20</v>
      </c>
      <c r="K9469" t="s">
        <v>41</v>
      </c>
      <c r="L9469" t="s">
        <v>81</v>
      </c>
      <c r="M9469" t="s">
        <v>82</v>
      </c>
      <c r="N9469">
        <v>41.190379999999998</v>
      </c>
      <c r="O9469">
        <v>-111.94792700000001</v>
      </c>
      <c r="P9469">
        <v>4611.5126309999996</v>
      </c>
      <c r="Q9469">
        <v>1284</v>
      </c>
      <c r="R9469">
        <v>0</v>
      </c>
    </row>
    <row r="9470" spans="1:18" x14ac:dyDescent="0.25">
      <c r="A9470">
        <v>9319</v>
      </c>
      <c r="B9470">
        <v>94</v>
      </c>
      <c r="C9470">
        <v>31544023</v>
      </c>
      <c r="D9470" t="s">
        <v>102</v>
      </c>
      <c r="E9470">
        <v>0.155</v>
      </c>
      <c r="F9470" t="s">
        <v>21</v>
      </c>
      <c r="G9470" t="s">
        <v>26</v>
      </c>
      <c r="H9470" t="s">
        <v>21</v>
      </c>
      <c r="I9470" t="s">
        <v>20</v>
      </c>
      <c r="J9470" t="s">
        <v>20</v>
      </c>
      <c r="K9470" t="s">
        <v>27</v>
      </c>
      <c r="L9470" t="s">
        <v>103</v>
      </c>
      <c r="M9470" t="s">
        <v>104</v>
      </c>
      <c r="N9470">
        <v>38.249312000000003</v>
      </c>
      <c r="O9470">
        <v>-112.649187</v>
      </c>
      <c r="P9470">
        <v>5809.3475710000002</v>
      </c>
      <c r="Q9470">
        <v>1430</v>
      </c>
      <c r="R9470">
        <v>0</v>
      </c>
    </row>
    <row r="9471" spans="1:18" x14ac:dyDescent="0.25">
      <c r="A9471">
        <v>9320</v>
      </c>
      <c r="B9471">
        <v>94</v>
      </c>
      <c r="C9471">
        <v>27076823</v>
      </c>
      <c r="D9471" t="s">
        <v>351</v>
      </c>
      <c r="E9471">
        <v>0.155</v>
      </c>
      <c r="F9471" t="s">
        <v>21</v>
      </c>
      <c r="G9471" t="s">
        <v>26</v>
      </c>
      <c r="H9471" t="s">
        <v>21</v>
      </c>
      <c r="I9471" t="s">
        <v>20</v>
      </c>
      <c r="J9471" t="s">
        <v>20</v>
      </c>
      <c r="K9471" t="s">
        <v>22</v>
      </c>
      <c r="L9471" t="s">
        <v>140</v>
      </c>
      <c r="M9471" t="s">
        <v>125</v>
      </c>
      <c r="N9471">
        <v>40.117229000000002</v>
      </c>
      <c r="O9471">
        <v>-111.634243</v>
      </c>
      <c r="P9471">
        <v>4578.4136360000002</v>
      </c>
      <c r="Q9471">
        <v>1357</v>
      </c>
      <c r="R9471">
        <v>0</v>
      </c>
    </row>
    <row r="9472" spans="1:18" x14ac:dyDescent="0.25">
      <c r="A9472">
        <v>9321</v>
      </c>
      <c r="B9472">
        <v>94</v>
      </c>
      <c r="C9472">
        <v>31662551</v>
      </c>
      <c r="D9472" t="s">
        <v>170</v>
      </c>
      <c r="E9472">
        <v>0.157</v>
      </c>
      <c r="F9472" t="s">
        <v>21</v>
      </c>
      <c r="G9472" t="s">
        <v>361</v>
      </c>
      <c r="H9472" t="s">
        <v>21</v>
      </c>
      <c r="I9472" t="s">
        <v>20</v>
      </c>
      <c r="J9472" t="s">
        <v>20</v>
      </c>
      <c r="K9472" t="s">
        <v>41</v>
      </c>
      <c r="L9472" t="s">
        <v>81</v>
      </c>
      <c r="M9472" t="s">
        <v>82</v>
      </c>
      <c r="N9472">
        <v>41.190550000000002</v>
      </c>
      <c r="O9472">
        <v>-111.94773000000001</v>
      </c>
      <c r="P9472">
        <v>4608.2937140000004</v>
      </c>
      <c r="Q9472">
        <v>1284</v>
      </c>
      <c r="R9472">
        <v>0</v>
      </c>
    </row>
    <row r="9473" spans="1:18" x14ac:dyDescent="0.25">
      <c r="A9473">
        <v>9322</v>
      </c>
      <c r="B9473">
        <v>94</v>
      </c>
      <c r="C9473">
        <v>31395595</v>
      </c>
      <c r="D9473" t="s">
        <v>364</v>
      </c>
      <c r="E9473">
        <v>0.157</v>
      </c>
      <c r="F9473" t="s">
        <v>21</v>
      </c>
      <c r="G9473" t="s">
        <v>26</v>
      </c>
      <c r="H9473" t="s">
        <v>21</v>
      </c>
      <c r="I9473" t="s">
        <v>20</v>
      </c>
      <c r="J9473" t="s">
        <v>20</v>
      </c>
      <c r="K9473" t="s">
        <v>22</v>
      </c>
      <c r="L9473" t="s">
        <v>198</v>
      </c>
      <c r="M9473" t="s">
        <v>85</v>
      </c>
      <c r="N9473">
        <v>40.046945999999998</v>
      </c>
      <c r="O9473">
        <v>-111.732288</v>
      </c>
      <c r="P9473">
        <v>4579.6213879999996</v>
      </c>
      <c r="Q9473">
        <v>1401</v>
      </c>
      <c r="R9473">
        <v>0</v>
      </c>
    </row>
    <row r="9474" spans="1:18" x14ac:dyDescent="0.25">
      <c r="A9474">
        <v>9323</v>
      </c>
      <c r="B9474">
        <v>94</v>
      </c>
      <c r="C9474">
        <v>979580</v>
      </c>
      <c r="D9474" t="s">
        <v>397</v>
      </c>
      <c r="E9474">
        <v>0.158</v>
      </c>
      <c r="F9474" t="s">
        <v>21</v>
      </c>
      <c r="G9474" t="s">
        <v>26</v>
      </c>
      <c r="H9474" t="s">
        <v>21</v>
      </c>
      <c r="I9474" t="s">
        <v>20</v>
      </c>
      <c r="J9474" t="s">
        <v>20</v>
      </c>
      <c r="K9474" t="s">
        <v>41</v>
      </c>
      <c r="L9474" t="s">
        <v>177</v>
      </c>
      <c r="M9474" t="s">
        <v>163</v>
      </c>
      <c r="N9474">
        <v>41.506042999999998</v>
      </c>
      <c r="O9474">
        <v>-112.01267900000001</v>
      </c>
      <c r="P9474">
        <v>4425.6460120000002</v>
      </c>
      <c r="Q9474">
        <v>1385</v>
      </c>
      <c r="R9474">
        <v>0</v>
      </c>
    </row>
    <row r="9475" spans="1:18" x14ac:dyDescent="0.25">
      <c r="A9475">
        <v>9324</v>
      </c>
      <c r="B9475">
        <v>94</v>
      </c>
      <c r="C9475">
        <v>31507586</v>
      </c>
      <c r="D9475" t="s">
        <v>132</v>
      </c>
      <c r="E9475">
        <v>0.159</v>
      </c>
      <c r="F9475" t="s">
        <v>21</v>
      </c>
      <c r="G9475" t="s">
        <v>26</v>
      </c>
      <c r="H9475" t="s">
        <v>21</v>
      </c>
      <c r="I9475" t="s">
        <v>20</v>
      </c>
      <c r="J9475" t="s">
        <v>20</v>
      </c>
      <c r="K9475" t="s">
        <v>22</v>
      </c>
      <c r="L9475" t="s">
        <v>133</v>
      </c>
      <c r="M9475" t="s">
        <v>134</v>
      </c>
      <c r="N9475">
        <v>40.302135</v>
      </c>
      <c r="O9475">
        <v>-109.991867</v>
      </c>
      <c r="P9475">
        <v>5056.0859229999996</v>
      </c>
      <c r="Q9475">
        <v>1405</v>
      </c>
      <c r="R9475">
        <v>0</v>
      </c>
    </row>
    <row r="9476" spans="1:18" x14ac:dyDescent="0.25">
      <c r="A9476">
        <v>9325</v>
      </c>
      <c r="B9476">
        <v>94</v>
      </c>
      <c r="C9476">
        <v>530463</v>
      </c>
      <c r="D9476" t="s">
        <v>47</v>
      </c>
      <c r="E9476">
        <v>1.1259999999999999</v>
      </c>
      <c r="F9476" t="s">
        <v>21</v>
      </c>
      <c r="G9476" t="s">
        <v>26</v>
      </c>
      <c r="H9476" t="s">
        <v>21</v>
      </c>
      <c r="I9476" t="s">
        <v>20</v>
      </c>
      <c r="J9476" t="s">
        <v>20</v>
      </c>
      <c r="K9476" t="s">
        <v>31</v>
      </c>
      <c r="L9476" t="s">
        <v>48</v>
      </c>
      <c r="M9476" t="s">
        <v>49</v>
      </c>
      <c r="N9476">
        <v>40.544165</v>
      </c>
      <c r="O9476">
        <v>-111.96252</v>
      </c>
      <c r="P9476">
        <v>4483.7052729999996</v>
      </c>
      <c r="Q9476">
        <v>6715</v>
      </c>
      <c r="R9476">
        <v>0</v>
      </c>
    </row>
    <row r="9477" spans="1:18" x14ac:dyDescent="0.25">
      <c r="A9477">
        <v>9326</v>
      </c>
      <c r="B9477">
        <v>94</v>
      </c>
      <c r="C9477" t="e">
        <f>-IpZN14iIHXYUUFbhHhh1k</f>
        <v>#NAME?</v>
      </c>
      <c r="D9477" t="s">
        <v>208</v>
      </c>
      <c r="E9477">
        <v>1.127</v>
      </c>
      <c r="F9477" t="s">
        <v>21</v>
      </c>
      <c r="G9477" t="s">
        <v>361</v>
      </c>
      <c r="H9477" t="s">
        <v>21</v>
      </c>
      <c r="I9477" t="s">
        <v>20</v>
      </c>
      <c r="J9477" t="s">
        <v>20</v>
      </c>
      <c r="K9477" t="s">
        <v>31</v>
      </c>
      <c r="L9477" t="s">
        <v>209</v>
      </c>
      <c r="M9477" t="s">
        <v>131</v>
      </c>
      <c r="N9477">
        <v>40.615324999999999</v>
      </c>
      <c r="O9477">
        <v>-111.50906500000001</v>
      </c>
      <c r="P9477">
        <v>8284.8138369999997</v>
      </c>
      <c r="Q9477">
        <v>357</v>
      </c>
      <c r="R9477">
        <v>0</v>
      </c>
    </row>
    <row r="9478" spans="1:18" x14ac:dyDescent="0.25">
      <c r="A9478">
        <v>9327</v>
      </c>
      <c r="B9478">
        <v>94</v>
      </c>
      <c r="C9478">
        <v>31417546</v>
      </c>
      <c r="D9478" t="s">
        <v>107</v>
      </c>
      <c r="E9478">
        <v>1.1299999999999999</v>
      </c>
      <c r="F9478" t="s">
        <v>21</v>
      </c>
      <c r="G9478" t="s">
        <v>26</v>
      </c>
      <c r="H9478" t="s">
        <v>21</v>
      </c>
      <c r="I9478" t="s">
        <v>20</v>
      </c>
      <c r="J9478" t="s">
        <v>20</v>
      </c>
      <c r="K9478" t="s">
        <v>41</v>
      </c>
      <c r="L9478" t="s">
        <v>81</v>
      </c>
      <c r="M9478" t="s">
        <v>93</v>
      </c>
      <c r="N9478">
        <v>41.209035</v>
      </c>
      <c r="O9478">
        <v>-111.979266</v>
      </c>
      <c r="P9478">
        <v>4258.7253950000004</v>
      </c>
      <c r="Q9478">
        <v>413</v>
      </c>
      <c r="R9478">
        <v>0</v>
      </c>
    </row>
    <row r="9479" spans="1:18" x14ac:dyDescent="0.25">
      <c r="A9479">
        <v>9328</v>
      </c>
      <c r="B9479">
        <v>94</v>
      </c>
      <c r="C9479" t="e">
        <f>-Iq79hBcIQyuwZ_2o0d0QF</f>
        <v>#NAME?</v>
      </c>
      <c r="D9479" t="s">
        <v>1096</v>
      </c>
      <c r="E9479">
        <v>0</v>
      </c>
      <c r="F9479" t="s">
        <v>21</v>
      </c>
      <c r="G9479" t="s">
        <v>26</v>
      </c>
      <c r="H9479" t="s">
        <v>21</v>
      </c>
      <c r="I9479" t="s">
        <v>20</v>
      </c>
      <c r="J9479" t="s">
        <v>20</v>
      </c>
      <c r="K9479" t="s">
        <v>27</v>
      </c>
      <c r="L9479" t="s">
        <v>183</v>
      </c>
      <c r="M9479" t="s">
        <v>978</v>
      </c>
      <c r="N9479">
        <v>38.756425</v>
      </c>
      <c r="O9479">
        <v>-111.425253</v>
      </c>
      <c r="P9479">
        <v>7121.4422260000001</v>
      </c>
      <c r="Q9479">
        <v>1370</v>
      </c>
      <c r="R9479">
        <v>0</v>
      </c>
    </row>
    <row r="9480" spans="1:18" x14ac:dyDescent="0.25">
      <c r="A9480">
        <v>9329</v>
      </c>
      <c r="B9480">
        <v>94</v>
      </c>
      <c r="C9480" t="e">
        <f>-Iq-XxBlHPmghOWe0GrIVF</f>
        <v>#NAME?</v>
      </c>
      <c r="D9480" t="s">
        <v>1097</v>
      </c>
      <c r="E9480">
        <v>0</v>
      </c>
      <c r="F9480" t="s">
        <v>21</v>
      </c>
      <c r="G9480" t="s">
        <v>26</v>
      </c>
      <c r="H9480" t="s">
        <v>21</v>
      </c>
      <c r="I9480" t="s">
        <v>20</v>
      </c>
      <c r="J9480" t="s">
        <v>20</v>
      </c>
      <c r="K9480" t="s">
        <v>41</v>
      </c>
      <c r="L9480" t="s">
        <v>291</v>
      </c>
      <c r="M9480" t="s">
        <v>368</v>
      </c>
      <c r="N9480">
        <v>41.896093999999998</v>
      </c>
      <c r="O9480">
        <v>-112.57386</v>
      </c>
      <c r="P9480">
        <v>5098.0509689999999</v>
      </c>
      <c r="Q9480">
        <v>6664</v>
      </c>
      <c r="R9480">
        <v>0</v>
      </c>
    </row>
    <row r="9481" spans="1:18" x14ac:dyDescent="0.25">
      <c r="A9481">
        <v>9330</v>
      </c>
      <c r="B9481">
        <v>94</v>
      </c>
      <c r="C9481">
        <v>31649939</v>
      </c>
      <c r="D9481" t="s">
        <v>249</v>
      </c>
      <c r="E9481">
        <v>0</v>
      </c>
      <c r="F9481" t="s">
        <v>19</v>
      </c>
      <c r="G9481" t="s">
        <v>20</v>
      </c>
      <c r="H9481" t="s">
        <v>19</v>
      </c>
      <c r="I9481">
        <v>68</v>
      </c>
      <c r="J9481" t="s">
        <v>20</v>
      </c>
      <c r="K9481" t="s">
        <v>31</v>
      </c>
      <c r="L9481" t="s">
        <v>89</v>
      </c>
      <c r="M9481" t="s">
        <v>24</v>
      </c>
      <c r="N9481">
        <v>40.489606000000002</v>
      </c>
      <c r="O9481">
        <v>-111.939978</v>
      </c>
      <c r="P9481">
        <v>4383.8566259999998</v>
      </c>
      <c r="Q9481">
        <v>337</v>
      </c>
      <c r="R9481">
        <v>0</v>
      </c>
    </row>
    <row r="9482" spans="1:18" x14ac:dyDescent="0.25">
      <c r="A9482">
        <v>9331</v>
      </c>
      <c r="B9482">
        <v>94</v>
      </c>
      <c r="C9482" t="s">
        <v>1098</v>
      </c>
      <c r="D9482" t="s">
        <v>1099</v>
      </c>
      <c r="E9482">
        <v>0</v>
      </c>
      <c r="F9482" t="s">
        <v>21</v>
      </c>
      <c r="G9482" t="s">
        <v>26</v>
      </c>
      <c r="H9482" t="s">
        <v>21</v>
      </c>
      <c r="I9482" t="s">
        <v>20</v>
      </c>
      <c r="J9482" t="s">
        <v>20</v>
      </c>
      <c r="K9482" t="s">
        <v>27</v>
      </c>
      <c r="L9482" t="s">
        <v>54</v>
      </c>
      <c r="M9482" t="s">
        <v>125</v>
      </c>
      <c r="N9482">
        <v>37.602964999999998</v>
      </c>
      <c r="O9482">
        <v>-113.161912</v>
      </c>
      <c r="P9482">
        <v>5424.200135</v>
      </c>
      <c r="Q9482">
        <v>6661</v>
      </c>
      <c r="R9482">
        <v>0</v>
      </c>
    </row>
    <row r="9483" spans="1:18" x14ac:dyDescent="0.25">
      <c r="A9483">
        <v>9332</v>
      </c>
      <c r="B9483">
        <v>94</v>
      </c>
      <c r="C9483" t="e">
        <f>-Iq3gX8QFnmGdCT_rXqcGF</f>
        <v>#NAME?</v>
      </c>
      <c r="D9483" t="s">
        <v>1100</v>
      </c>
      <c r="E9483">
        <v>0</v>
      </c>
      <c r="F9483" t="s">
        <v>21</v>
      </c>
      <c r="G9483" t="s">
        <v>26</v>
      </c>
      <c r="H9483" t="s">
        <v>21</v>
      </c>
      <c r="I9483" t="s">
        <v>20</v>
      </c>
      <c r="J9483" t="s">
        <v>20</v>
      </c>
      <c r="K9483" t="s">
        <v>41</v>
      </c>
      <c r="L9483" t="s">
        <v>137</v>
      </c>
      <c r="M9483" t="s">
        <v>328</v>
      </c>
      <c r="N9483">
        <v>41.051515000000002</v>
      </c>
      <c r="O9483">
        <v>-111.624979</v>
      </c>
      <c r="P9483">
        <v>5077.459844</v>
      </c>
      <c r="Q9483">
        <v>6664</v>
      </c>
      <c r="R9483">
        <v>0</v>
      </c>
    </row>
    <row r="9484" spans="1:18" x14ac:dyDescent="0.25">
      <c r="A9484">
        <v>9333</v>
      </c>
      <c r="B9484">
        <v>94</v>
      </c>
      <c r="C9484" t="e">
        <f>-Iq-gH4BI7av_SOGG2ZSMk</f>
        <v>#NAME?</v>
      </c>
      <c r="D9484" t="s">
        <v>1101</v>
      </c>
      <c r="E9484">
        <v>0</v>
      </c>
      <c r="F9484" t="s">
        <v>21</v>
      </c>
      <c r="G9484" t="s">
        <v>26</v>
      </c>
      <c r="H9484" t="s">
        <v>21</v>
      </c>
      <c r="I9484" t="s">
        <v>20</v>
      </c>
      <c r="J9484" t="s">
        <v>20</v>
      </c>
      <c r="K9484" t="s">
        <v>41</v>
      </c>
      <c r="L9484" t="s">
        <v>291</v>
      </c>
      <c r="M9484" t="s">
        <v>368</v>
      </c>
      <c r="N9484">
        <v>41.895273000000003</v>
      </c>
      <c r="O9484">
        <v>-112.57457700000001</v>
      </c>
      <c r="P9484">
        <v>5101.3896999999997</v>
      </c>
      <c r="Q9484">
        <v>1381</v>
      </c>
      <c r="R9484">
        <v>0</v>
      </c>
    </row>
    <row r="9485" spans="1:18" x14ac:dyDescent="0.25">
      <c r="A9485">
        <v>9334</v>
      </c>
      <c r="B9485">
        <v>94</v>
      </c>
      <c r="C9485">
        <v>28173333</v>
      </c>
      <c r="D9485" t="s">
        <v>239</v>
      </c>
      <c r="E9485">
        <v>0</v>
      </c>
      <c r="F9485" t="s">
        <v>21</v>
      </c>
      <c r="G9485" t="s">
        <v>26</v>
      </c>
      <c r="H9485" t="s">
        <v>19</v>
      </c>
      <c r="I9485">
        <v>83</v>
      </c>
      <c r="J9485" t="s">
        <v>20</v>
      </c>
      <c r="K9485" t="s">
        <v>41</v>
      </c>
      <c r="L9485" t="s">
        <v>181</v>
      </c>
      <c r="M9485" t="s">
        <v>178</v>
      </c>
      <c r="N9485">
        <v>41.612788000000002</v>
      </c>
      <c r="O9485">
        <v>-112.367182</v>
      </c>
      <c r="P9485">
        <v>4198.6346809999995</v>
      </c>
      <c r="Q9485">
        <v>1392</v>
      </c>
      <c r="R9485">
        <v>0</v>
      </c>
    </row>
    <row r="9486" spans="1:18" x14ac:dyDescent="0.25">
      <c r="A9486">
        <v>9335</v>
      </c>
      <c r="B9486">
        <v>94</v>
      </c>
      <c r="C9486" t="e">
        <f>-IqYcfPvIbLf3ZY0G6iV6F</f>
        <v>#NAME?</v>
      </c>
      <c r="D9486" t="s">
        <v>1102</v>
      </c>
      <c r="E9486">
        <v>0</v>
      </c>
      <c r="F9486" t="s">
        <v>21</v>
      </c>
      <c r="G9486" t="s">
        <v>26</v>
      </c>
      <c r="H9486" t="s">
        <v>21</v>
      </c>
      <c r="I9486" t="s">
        <v>20</v>
      </c>
      <c r="J9486" t="s">
        <v>20</v>
      </c>
      <c r="K9486" t="s">
        <v>27</v>
      </c>
      <c r="L9486" t="s">
        <v>72</v>
      </c>
      <c r="M9486" t="s">
        <v>948</v>
      </c>
      <c r="N9486">
        <v>37.405160000000002</v>
      </c>
      <c r="O9486">
        <v>-113.23750200000001</v>
      </c>
      <c r="P9486">
        <v>4716.8638819999996</v>
      </c>
      <c r="Q9486">
        <v>1333</v>
      </c>
      <c r="R9486">
        <v>0</v>
      </c>
    </row>
    <row r="9487" spans="1:18" x14ac:dyDescent="0.25">
      <c r="A9487">
        <v>9336</v>
      </c>
      <c r="B9487">
        <v>94</v>
      </c>
      <c r="C9487" t="s">
        <v>1103</v>
      </c>
      <c r="D9487" t="s">
        <v>1104</v>
      </c>
      <c r="E9487">
        <v>0</v>
      </c>
      <c r="F9487" t="s">
        <v>21</v>
      </c>
      <c r="G9487" t="s">
        <v>26</v>
      </c>
      <c r="H9487" t="s">
        <v>21</v>
      </c>
      <c r="I9487" t="s">
        <v>20</v>
      </c>
      <c r="J9487" t="s">
        <v>20</v>
      </c>
      <c r="K9487" t="s">
        <v>41</v>
      </c>
      <c r="L9487" t="s">
        <v>181</v>
      </c>
      <c r="M9487" t="s">
        <v>368</v>
      </c>
      <c r="N9487">
        <v>41.799308000000003</v>
      </c>
      <c r="O9487">
        <v>-112.304686</v>
      </c>
      <c r="P9487">
        <v>4846.0363200000002</v>
      </c>
      <c r="Q9487">
        <v>1381</v>
      </c>
      <c r="R9487">
        <v>0</v>
      </c>
    </row>
    <row r="9488" spans="1:18" x14ac:dyDescent="0.25">
      <c r="A9488">
        <v>9337</v>
      </c>
      <c r="B9488">
        <v>94</v>
      </c>
      <c r="C9488" t="e">
        <f>-JQrHXEVGdP2N9q38utYFk</f>
        <v>#NAME?</v>
      </c>
      <c r="D9488" t="s">
        <v>1105</v>
      </c>
      <c r="E9488">
        <v>0</v>
      </c>
      <c r="F9488" t="s">
        <v>21</v>
      </c>
      <c r="G9488" t="s">
        <v>361</v>
      </c>
      <c r="H9488" t="s">
        <v>21</v>
      </c>
      <c r="I9488" t="s">
        <v>20</v>
      </c>
      <c r="J9488" t="s">
        <v>20</v>
      </c>
      <c r="K9488" t="s">
        <v>27</v>
      </c>
      <c r="L9488" t="s">
        <v>75</v>
      </c>
      <c r="M9488" t="s">
        <v>978</v>
      </c>
      <c r="N9488">
        <v>38.571219999999997</v>
      </c>
      <c r="O9488">
        <v>-112.35148100000001</v>
      </c>
      <c r="P9488">
        <v>5903.5375599999998</v>
      </c>
      <c r="Q9488">
        <v>1370</v>
      </c>
      <c r="R9488">
        <v>0</v>
      </c>
    </row>
    <row r="9489" spans="1:18" x14ac:dyDescent="0.25">
      <c r="A9489">
        <v>9338</v>
      </c>
      <c r="B9489">
        <v>94</v>
      </c>
      <c r="C9489" t="s">
        <v>1106</v>
      </c>
      <c r="D9489" t="s">
        <v>1107</v>
      </c>
      <c r="E9489">
        <v>0</v>
      </c>
      <c r="F9489" t="s">
        <v>21</v>
      </c>
      <c r="G9489" t="s">
        <v>26</v>
      </c>
      <c r="H9489" t="s">
        <v>21</v>
      </c>
      <c r="I9489" t="s">
        <v>20</v>
      </c>
      <c r="J9489" t="s">
        <v>20</v>
      </c>
      <c r="K9489" t="s">
        <v>31</v>
      </c>
      <c r="L9489" t="s">
        <v>373</v>
      </c>
      <c r="M9489" t="s">
        <v>123</v>
      </c>
      <c r="N9489">
        <v>40.733426999999999</v>
      </c>
      <c r="O9489">
        <v>-113.11509599999999</v>
      </c>
      <c r="P9489">
        <v>4246.042144</v>
      </c>
      <c r="Q9489">
        <v>6663</v>
      </c>
      <c r="R9489">
        <v>0</v>
      </c>
    </row>
    <row r="9490" spans="1:18" x14ac:dyDescent="0.25">
      <c r="A9490">
        <v>9339</v>
      </c>
      <c r="B9490">
        <v>94</v>
      </c>
      <c r="C9490" t="e">
        <f>-Is_1AacFNTmklHmd0CRqV</f>
        <v>#NAME?</v>
      </c>
      <c r="D9490" t="s">
        <v>1108</v>
      </c>
      <c r="E9490">
        <v>0</v>
      </c>
      <c r="F9490" t="s">
        <v>21</v>
      </c>
      <c r="G9490" t="s">
        <v>361</v>
      </c>
      <c r="H9490" t="s">
        <v>21</v>
      </c>
      <c r="I9490" t="s">
        <v>20</v>
      </c>
      <c r="J9490" t="s">
        <v>20</v>
      </c>
      <c r="K9490" t="s">
        <v>27</v>
      </c>
      <c r="L9490" t="s">
        <v>72</v>
      </c>
      <c r="M9490" t="s">
        <v>948</v>
      </c>
      <c r="N9490">
        <v>37.194181999999998</v>
      </c>
      <c r="O9490">
        <v>-113.62317</v>
      </c>
      <c r="P9490">
        <v>3727.0414999999998</v>
      </c>
      <c r="Q9490">
        <v>7197</v>
      </c>
      <c r="R9490">
        <v>0</v>
      </c>
    </row>
    <row r="9491" spans="1:18" x14ac:dyDescent="0.25">
      <c r="A9491">
        <v>9340</v>
      </c>
      <c r="B9491">
        <v>94</v>
      </c>
      <c r="C9491">
        <v>31511481</v>
      </c>
      <c r="D9491" t="s">
        <v>231</v>
      </c>
      <c r="E9491">
        <v>0</v>
      </c>
      <c r="F9491" t="s">
        <v>19</v>
      </c>
      <c r="G9491" t="s">
        <v>20</v>
      </c>
      <c r="H9491" t="s">
        <v>21</v>
      </c>
      <c r="I9491" t="s">
        <v>20</v>
      </c>
      <c r="J9491" t="s">
        <v>20</v>
      </c>
      <c r="K9491" t="s">
        <v>41</v>
      </c>
      <c r="L9491" t="s">
        <v>57</v>
      </c>
      <c r="M9491" t="s">
        <v>93</v>
      </c>
      <c r="N9491">
        <v>41.056209000000003</v>
      </c>
      <c r="O9491">
        <v>-111.957731</v>
      </c>
      <c r="P9491">
        <v>4291.8049840000003</v>
      </c>
      <c r="Q9491">
        <v>1409</v>
      </c>
      <c r="R9491">
        <v>0</v>
      </c>
    </row>
    <row r="9492" spans="1:18" x14ac:dyDescent="0.25">
      <c r="A9492">
        <v>9341</v>
      </c>
      <c r="B9492">
        <v>94</v>
      </c>
      <c r="C9492">
        <v>31764030</v>
      </c>
      <c r="D9492" t="s">
        <v>115</v>
      </c>
      <c r="E9492">
        <v>0</v>
      </c>
      <c r="F9492" t="s">
        <v>19</v>
      </c>
      <c r="G9492" t="s">
        <v>20</v>
      </c>
      <c r="H9492" t="s">
        <v>19</v>
      </c>
      <c r="I9492">
        <v>111</v>
      </c>
      <c r="J9492" t="s">
        <v>20</v>
      </c>
      <c r="K9492" t="s">
        <v>31</v>
      </c>
      <c r="L9492" t="s">
        <v>48</v>
      </c>
      <c r="M9492" t="s">
        <v>70</v>
      </c>
      <c r="N9492">
        <v>40.654089999999997</v>
      </c>
      <c r="O9492">
        <v>-112.07602900000001</v>
      </c>
      <c r="P9492">
        <v>4970.9185470000002</v>
      </c>
      <c r="Q9492">
        <v>1437</v>
      </c>
      <c r="R9492">
        <v>0</v>
      </c>
    </row>
    <row r="9493" spans="1:18" x14ac:dyDescent="0.25">
      <c r="A9493">
        <v>9342</v>
      </c>
      <c r="B9493">
        <v>94</v>
      </c>
      <c r="C9493">
        <v>31395957</v>
      </c>
      <c r="D9493" t="s">
        <v>210</v>
      </c>
      <c r="E9493">
        <v>0</v>
      </c>
      <c r="F9493" t="s">
        <v>21</v>
      </c>
      <c r="G9493" t="s">
        <v>26</v>
      </c>
      <c r="H9493" t="s">
        <v>19</v>
      </c>
      <c r="I9493">
        <v>162</v>
      </c>
      <c r="J9493" t="s">
        <v>20</v>
      </c>
      <c r="K9493" t="s">
        <v>27</v>
      </c>
      <c r="L9493" t="s">
        <v>211</v>
      </c>
      <c r="M9493" t="s">
        <v>212</v>
      </c>
      <c r="N9493">
        <v>37.286707</v>
      </c>
      <c r="O9493">
        <v>-109.545429</v>
      </c>
      <c r="P9493">
        <v>4272.2232739999999</v>
      </c>
      <c r="Q9493">
        <v>344</v>
      </c>
      <c r="R9493">
        <v>0</v>
      </c>
    </row>
    <row r="9494" spans="1:18" x14ac:dyDescent="0.25">
      <c r="A9494">
        <v>9343</v>
      </c>
      <c r="B9494">
        <v>94</v>
      </c>
      <c r="C9494">
        <v>31764074</v>
      </c>
      <c r="D9494" t="s">
        <v>312</v>
      </c>
      <c r="E9494">
        <v>0</v>
      </c>
      <c r="F9494" t="s">
        <v>21</v>
      </c>
      <c r="G9494" t="s">
        <v>26</v>
      </c>
      <c r="H9494" t="s">
        <v>19</v>
      </c>
      <c r="I9494">
        <v>21</v>
      </c>
      <c r="J9494" t="s">
        <v>20</v>
      </c>
      <c r="K9494" t="s">
        <v>27</v>
      </c>
      <c r="L9494" t="s">
        <v>143</v>
      </c>
      <c r="M9494" t="s">
        <v>313</v>
      </c>
      <c r="N9494">
        <v>38.397064999999998</v>
      </c>
      <c r="O9494">
        <v>-113.010794</v>
      </c>
      <c r="P9494">
        <v>4894.7838259999999</v>
      </c>
      <c r="Q9494">
        <v>255</v>
      </c>
      <c r="R9494">
        <v>0</v>
      </c>
    </row>
    <row r="9495" spans="1:18" x14ac:dyDescent="0.25">
      <c r="A9495">
        <v>9344</v>
      </c>
      <c r="B9495">
        <v>94</v>
      </c>
      <c r="C9495">
        <v>31660787</v>
      </c>
      <c r="D9495" t="s">
        <v>306</v>
      </c>
      <c r="E9495">
        <v>0</v>
      </c>
      <c r="F9495" t="s">
        <v>21</v>
      </c>
      <c r="G9495" t="s">
        <v>26</v>
      </c>
      <c r="H9495" t="s">
        <v>19</v>
      </c>
      <c r="I9495">
        <v>31</v>
      </c>
      <c r="J9495" t="s">
        <v>20</v>
      </c>
      <c r="K9495" t="s">
        <v>27</v>
      </c>
      <c r="L9495" t="s">
        <v>230</v>
      </c>
      <c r="M9495" t="s">
        <v>82</v>
      </c>
      <c r="N9495">
        <v>39.676358999999998</v>
      </c>
      <c r="O9495">
        <v>-111.314634</v>
      </c>
      <c r="P9495">
        <v>8794.5171129999999</v>
      </c>
      <c r="Q9495">
        <v>430</v>
      </c>
      <c r="R9495">
        <v>0</v>
      </c>
    </row>
    <row r="9496" spans="1:18" x14ac:dyDescent="0.25">
      <c r="A9496">
        <v>9345</v>
      </c>
      <c r="B9496">
        <v>94</v>
      </c>
      <c r="C9496" t="e">
        <f>-JQVAk2JIZX0CmtqoNLjAk</f>
        <v>#NAME?</v>
      </c>
      <c r="D9496" t="s">
        <v>1109</v>
      </c>
      <c r="E9496">
        <v>0</v>
      </c>
      <c r="F9496" t="s">
        <v>21</v>
      </c>
      <c r="G9496" t="s">
        <v>26</v>
      </c>
      <c r="H9496" t="s">
        <v>21</v>
      </c>
      <c r="I9496" t="s">
        <v>20</v>
      </c>
      <c r="J9496" t="s">
        <v>20</v>
      </c>
      <c r="K9496" t="s">
        <v>27</v>
      </c>
      <c r="L9496" t="s">
        <v>202</v>
      </c>
      <c r="M9496" t="s">
        <v>76</v>
      </c>
      <c r="N9496">
        <v>39.143929</v>
      </c>
      <c r="O9496">
        <v>-112.235032</v>
      </c>
      <c r="P9496">
        <v>5300.758761</v>
      </c>
      <c r="Q9496">
        <v>1333</v>
      </c>
      <c r="R9496">
        <v>0</v>
      </c>
    </row>
    <row r="9497" spans="1:18" x14ac:dyDescent="0.25">
      <c r="A9497">
        <v>9346</v>
      </c>
      <c r="B9497">
        <v>94</v>
      </c>
      <c r="C9497">
        <v>733235</v>
      </c>
      <c r="D9497" t="s">
        <v>236</v>
      </c>
      <c r="E9497">
        <v>0</v>
      </c>
      <c r="F9497" t="s">
        <v>19</v>
      </c>
      <c r="G9497" t="s">
        <v>20</v>
      </c>
      <c r="H9497" t="s">
        <v>19</v>
      </c>
      <c r="I9497">
        <v>48</v>
      </c>
      <c r="J9497" t="s">
        <v>20</v>
      </c>
      <c r="K9497" t="s">
        <v>31</v>
      </c>
      <c r="L9497" t="s">
        <v>48</v>
      </c>
      <c r="M9497" t="s">
        <v>79</v>
      </c>
      <c r="N9497">
        <v>40.575957000000002</v>
      </c>
      <c r="O9497">
        <v>-112.061623</v>
      </c>
      <c r="P9497">
        <v>5092.0863239999999</v>
      </c>
      <c r="Q9497">
        <v>1398</v>
      </c>
      <c r="R9497">
        <v>0</v>
      </c>
    </row>
    <row r="9498" spans="1:18" x14ac:dyDescent="0.25">
      <c r="A9498">
        <v>9347</v>
      </c>
      <c r="B9498">
        <v>94</v>
      </c>
      <c r="C9498" t="s">
        <v>1110</v>
      </c>
      <c r="D9498" t="s">
        <v>1111</v>
      </c>
      <c r="E9498">
        <v>0</v>
      </c>
      <c r="F9498" t="s">
        <v>21</v>
      </c>
      <c r="G9498" t="s">
        <v>26</v>
      </c>
      <c r="H9498" t="s">
        <v>21</v>
      </c>
      <c r="I9498" t="s">
        <v>20</v>
      </c>
      <c r="J9498" t="s">
        <v>20</v>
      </c>
      <c r="K9498" t="s">
        <v>41</v>
      </c>
      <c r="L9498" t="s">
        <v>181</v>
      </c>
      <c r="M9498" t="s">
        <v>368</v>
      </c>
      <c r="N9498">
        <v>41.885387000000001</v>
      </c>
      <c r="O9498">
        <v>-112.48978</v>
      </c>
      <c r="P9498">
        <v>4807.4899569999998</v>
      </c>
      <c r="Q9498">
        <v>6664</v>
      </c>
      <c r="R9498">
        <v>0</v>
      </c>
    </row>
    <row r="9499" spans="1:18" x14ac:dyDescent="0.25">
      <c r="A9499">
        <v>9348</v>
      </c>
      <c r="B9499">
        <v>94</v>
      </c>
      <c r="C9499">
        <v>1666975</v>
      </c>
      <c r="D9499" t="s">
        <v>175</v>
      </c>
      <c r="E9499">
        <v>0</v>
      </c>
      <c r="F9499" t="s">
        <v>19</v>
      </c>
      <c r="G9499" t="s">
        <v>20</v>
      </c>
      <c r="H9499" t="s">
        <v>19</v>
      </c>
      <c r="I9499">
        <v>126</v>
      </c>
      <c r="J9499" t="s">
        <v>20</v>
      </c>
      <c r="K9499" t="s">
        <v>41</v>
      </c>
      <c r="L9499" t="s">
        <v>87</v>
      </c>
      <c r="M9499" t="s">
        <v>93</v>
      </c>
      <c r="N9499">
        <v>41.060183000000002</v>
      </c>
      <c r="O9499">
        <v>-111.966318</v>
      </c>
      <c r="P9499">
        <v>4302.0654089999998</v>
      </c>
      <c r="Q9499">
        <v>1397</v>
      </c>
      <c r="R9499">
        <v>0</v>
      </c>
    </row>
    <row r="9500" spans="1:18" x14ac:dyDescent="0.25">
      <c r="A9500">
        <v>9349</v>
      </c>
      <c r="B9500">
        <v>94</v>
      </c>
      <c r="C9500" t="e">
        <f>-JWSXjBaHO5PYJahysQ4YF</f>
        <v>#NAME?</v>
      </c>
      <c r="D9500" t="s">
        <v>114</v>
      </c>
      <c r="E9500">
        <v>1.2290000000000001</v>
      </c>
      <c r="F9500" t="s">
        <v>21</v>
      </c>
      <c r="G9500" t="s">
        <v>26</v>
      </c>
      <c r="H9500" t="s">
        <v>21</v>
      </c>
      <c r="I9500" t="s">
        <v>20</v>
      </c>
      <c r="J9500" t="s">
        <v>20</v>
      </c>
      <c r="K9500" t="s">
        <v>41</v>
      </c>
      <c r="L9500" t="s">
        <v>87</v>
      </c>
      <c r="M9500" t="s">
        <v>256</v>
      </c>
      <c r="N9500">
        <v>41.110643000000003</v>
      </c>
      <c r="O9500">
        <v>-112.040863</v>
      </c>
      <c r="P9500">
        <v>4355.1768830000001</v>
      </c>
      <c r="Q9500">
        <v>405</v>
      </c>
      <c r="R9500">
        <v>0</v>
      </c>
    </row>
    <row r="9501" spans="1:18" x14ac:dyDescent="0.25">
      <c r="A9501">
        <v>9350</v>
      </c>
      <c r="B9501">
        <v>94</v>
      </c>
      <c r="C9501">
        <v>31658655</v>
      </c>
      <c r="D9501" t="s">
        <v>156</v>
      </c>
      <c r="E9501">
        <v>1.232</v>
      </c>
      <c r="F9501" t="s">
        <v>21</v>
      </c>
      <c r="G9501" t="s">
        <v>26</v>
      </c>
      <c r="H9501" t="s">
        <v>21</v>
      </c>
      <c r="I9501" t="s">
        <v>20</v>
      </c>
      <c r="J9501" t="s">
        <v>20</v>
      </c>
      <c r="K9501" t="s">
        <v>41</v>
      </c>
      <c r="L9501" t="s">
        <v>81</v>
      </c>
      <c r="M9501" t="s">
        <v>93</v>
      </c>
      <c r="N9501">
        <v>41.277208999999999</v>
      </c>
      <c r="O9501">
        <v>-111.969291</v>
      </c>
      <c r="P9501">
        <v>4265.0924830000004</v>
      </c>
      <c r="Q9501">
        <v>424</v>
      </c>
      <c r="R9501">
        <v>0</v>
      </c>
    </row>
    <row r="9502" spans="1:18" x14ac:dyDescent="0.25">
      <c r="A9502">
        <v>9351</v>
      </c>
      <c r="B9502">
        <v>94</v>
      </c>
      <c r="C9502">
        <v>31753677</v>
      </c>
      <c r="D9502" t="s">
        <v>44</v>
      </c>
      <c r="E9502">
        <v>1.238</v>
      </c>
      <c r="F9502" t="s">
        <v>21</v>
      </c>
      <c r="G9502" t="s">
        <v>26</v>
      </c>
      <c r="H9502" t="s">
        <v>21</v>
      </c>
      <c r="I9502" t="s">
        <v>20</v>
      </c>
      <c r="J9502" t="s">
        <v>20</v>
      </c>
      <c r="K9502" t="s">
        <v>41</v>
      </c>
      <c r="L9502" t="s">
        <v>45</v>
      </c>
      <c r="M9502" t="s">
        <v>46</v>
      </c>
      <c r="N9502">
        <v>40.895378000000001</v>
      </c>
      <c r="O9502">
        <v>-111.879023</v>
      </c>
      <c r="P9502">
        <v>4303.776468</v>
      </c>
      <c r="Q9502">
        <v>1395</v>
      </c>
      <c r="R9502">
        <v>0</v>
      </c>
    </row>
    <row r="9503" spans="1:18" x14ac:dyDescent="0.25">
      <c r="A9503">
        <v>9352</v>
      </c>
      <c r="B9503">
        <v>94</v>
      </c>
      <c r="C9503">
        <v>27302049</v>
      </c>
      <c r="D9503" t="s">
        <v>154</v>
      </c>
      <c r="E9503">
        <v>1.238</v>
      </c>
      <c r="F9503" t="s">
        <v>21</v>
      </c>
      <c r="G9503" t="s">
        <v>26</v>
      </c>
      <c r="H9503" t="s">
        <v>21</v>
      </c>
      <c r="I9503" t="s">
        <v>20</v>
      </c>
      <c r="J9503" t="s">
        <v>20</v>
      </c>
      <c r="K9503" t="s">
        <v>22</v>
      </c>
      <c r="L9503" t="s">
        <v>155</v>
      </c>
      <c r="M9503" t="s">
        <v>76</v>
      </c>
      <c r="N9503">
        <v>39.821399999999997</v>
      </c>
      <c r="O9503">
        <v>-111.832714</v>
      </c>
      <c r="P9503">
        <v>5070.0099659999996</v>
      </c>
      <c r="Q9503">
        <v>1359</v>
      </c>
      <c r="R9503">
        <v>0</v>
      </c>
    </row>
    <row r="9504" spans="1:18" x14ac:dyDescent="0.25">
      <c r="A9504">
        <v>9353</v>
      </c>
      <c r="B9504">
        <v>94</v>
      </c>
      <c r="C9504">
        <v>28314586</v>
      </c>
      <c r="D9504" t="s">
        <v>220</v>
      </c>
      <c r="E9504">
        <v>121.812</v>
      </c>
      <c r="F9504" t="s">
        <v>21</v>
      </c>
      <c r="G9504" t="s">
        <v>20</v>
      </c>
      <c r="H9504" t="s">
        <v>21</v>
      </c>
      <c r="I9504" t="s">
        <v>20</v>
      </c>
      <c r="J9504" t="s">
        <v>20</v>
      </c>
      <c r="K9504" t="s">
        <v>27</v>
      </c>
      <c r="L9504" t="s">
        <v>266</v>
      </c>
      <c r="M9504" t="s">
        <v>267</v>
      </c>
      <c r="N9504">
        <v>38.285525999999997</v>
      </c>
      <c r="O9504">
        <v>-111.39571599999999</v>
      </c>
      <c r="P9504">
        <v>6703.0887489999996</v>
      </c>
      <c r="Q9504">
        <v>1328</v>
      </c>
      <c r="R9504">
        <v>0</v>
      </c>
    </row>
    <row r="9505" spans="1:18" x14ac:dyDescent="0.25">
      <c r="A9505">
        <v>9354</v>
      </c>
      <c r="B9505">
        <v>94</v>
      </c>
      <c r="C9505">
        <v>31445599</v>
      </c>
      <c r="D9505" t="s">
        <v>288</v>
      </c>
      <c r="E9505">
        <v>121.85</v>
      </c>
      <c r="F9505" t="s">
        <v>21</v>
      </c>
      <c r="G9505" t="s">
        <v>26</v>
      </c>
      <c r="H9505" t="s">
        <v>21</v>
      </c>
      <c r="I9505" t="s">
        <v>20</v>
      </c>
      <c r="J9505" t="s">
        <v>20</v>
      </c>
      <c r="K9505" t="s">
        <v>27</v>
      </c>
      <c r="L9505" t="s">
        <v>38</v>
      </c>
      <c r="M9505" t="s">
        <v>152</v>
      </c>
      <c r="N9505">
        <v>38.532563000000003</v>
      </c>
      <c r="O9505">
        <v>-109.50762</v>
      </c>
      <c r="P9505">
        <v>4448.0736450000004</v>
      </c>
      <c r="Q9505">
        <v>350</v>
      </c>
      <c r="R9505">
        <v>0</v>
      </c>
    </row>
    <row r="9506" spans="1:18" x14ac:dyDescent="0.25">
      <c r="A9506">
        <v>9355</v>
      </c>
      <c r="B9506">
        <v>94</v>
      </c>
      <c r="C9506">
        <v>31322478</v>
      </c>
      <c r="D9506" t="s">
        <v>303</v>
      </c>
      <c r="E9506">
        <v>18.431000000000001</v>
      </c>
      <c r="F9506" t="s">
        <v>21</v>
      </c>
      <c r="G9506" t="s">
        <v>26</v>
      </c>
      <c r="H9506" t="s">
        <v>21</v>
      </c>
      <c r="I9506" t="s">
        <v>20</v>
      </c>
      <c r="J9506" t="s">
        <v>20</v>
      </c>
      <c r="K9506" t="s">
        <v>27</v>
      </c>
      <c r="L9506" t="s">
        <v>72</v>
      </c>
      <c r="M9506" t="s">
        <v>73</v>
      </c>
      <c r="N9506">
        <v>37.203552999999999</v>
      </c>
      <c r="O9506">
        <v>-113.191406</v>
      </c>
      <c r="P9506">
        <v>3473.2980809999999</v>
      </c>
      <c r="Q9506">
        <v>1326</v>
      </c>
      <c r="R9506">
        <v>0</v>
      </c>
    </row>
    <row r="9507" spans="1:18" x14ac:dyDescent="0.25">
      <c r="A9507">
        <v>9356</v>
      </c>
      <c r="B9507">
        <v>94</v>
      </c>
      <c r="C9507">
        <v>1547070</v>
      </c>
      <c r="D9507" t="s">
        <v>88</v>
      </c>
      <c r="E9507">
        <v>18.440999999999999</v>
      </c>
      <c r="F9507" t="s">
        <v>21</v>
      </c>
      <c r="G9507" t="s">
        <v>26</v>
      </c>
      <c r="H9507" t="s">
        <v>21</v>
      </c>
      <c r="I9507" t="s">
        <v>20</v>
      </c>
      <c r="J9507" t="s">
        <v>20</v>
      </c>
      <c r="K9507" t="s">
        <v>31</v>
      </c>
      <c r="L9507" t="s">
        <v>66</v>
      </c>
      <c r="M9507" t="s">
        <v>90</v>
      </c>
      <c r="N9507">
        <v>40.702272000000001</v>
      </c>
      <c r="O9507">
        <v>-111.871217</v>
      </c>
      <c r="P9507">
        <v>4223.8117929999999</v>
      </c>
      <c r="Q9507">
        <v>318</v>
      </c>
      <c r="R9507">
        <v>0</v>
      </c>
    </row>
    <row r="9508" spans="1:18" x14ac:dyDescent="0.25">
      <c r="A9508">
        <v>9357</v>
      </c>
      <c r="B9508">
        <v>94</v>
      </c>
      <c r="C9508">
        <v>31515739</v>
      </c>
      <c r="D9508" t="s">
        <v>132</v>
      </c>
      <c r="E9508">
        <v>18.443999999999999</v>
      </c>
      <c r="F9508" t="s">
        <v>21</v>
      </c>
      <c r="G9508" t="s">
        <v>20</v>
      </c>
      <c r="H9508" t="s">
        <v>21</v>
      </c>
      <c r="I9508" t="s">
        <v>20</v>
      </c>
      <c r="J9508" t="s">
        <v>20</v>
      </c>
      <c r="K9508" t="s">
        <v>22</v>
      </c>
      <c r="L9508" t="s">
        <v>133</v>
      </c>
      <c r="M9508" t="s">
        <v>134</v>
      </c>
      <c r="N9508">
        <v>40.403775000000003</v>
      </c>
      <c r="O9508">
        <v>-109.89815299999999</v>
      </c>
      <c r="P9508">
        <v>5485.0983919999999</v>
      </c>
      <c r="Q9508">
        <v>1405</v>
      </c>
      <c r="R9508">
        <v>0</v>
      </c>
    </row>
    <row r="9509" spans="1:18" x14ac:dyDescent="0.25">
      <c r="A9509">
        <v>9358</v>
      </c>
      <c r="B9509">
        <v>94</v>
      </c>
      <c r="C9509">
        <v>31706252</v>
      </c>
      <c r="D9509" t="s">
        <v>323</v>
      </c>
      <c r="E9509">
        <v>18.45</v>
      </c>
      <c r="F9509" t="s">
        <v>21</v>
      </c>
      <c r="G9509" t="s">
        <v>20</v>
      </c>
      <c r="H9509" t="s">
        <v>21</v>
      </c>
      <c r="I9509" t="s">
        <v>20</v>
      </c>
      <c r="J9509" t="s">
        <v>20</v>
      </c>
      <c r="K9509" t="s">
        <v>31</v>
      </c>
      <c r="L9509" t="s">
        <v>130</v>
      </c>
      <c r="M9509" t="s">
        <v>131</v>
      </c>
      <c r="N9509">
        <v>40.719464000000002</v>
      </c>
      <c r="O9509">
        <v>-111.30029399999999</v>
      </c>
      <c r="P9509">
        <v>6440.7547969999996</v>
      </c>
      <c r="Q9509">
        <v>1345</v>
      </c>
      <c r="R9509">
        <v>0</v>
      </c>
    </row>
    <row r="9510" spans="1:18" x14ac:dyDescent="0.25">
      <c r="A9510">
        <v>9359</v>
      </c>
      <c r="B9510">
        <v>94</v>
      </c>
      <c r="C9510">
        <v>31447504</v>
      </c>
      <c r="D9510" t="s">
        <v>288</v>
      </c>
      <c r="E9510">
        <v>122.664</v>
      </c>
      <c r="F9510" t="s">
        <v>21</v>
      </c>
      <c r="G9510" t="s">
        <v>20</v>
      </c>
      <c r="H9510" t="s">
        <v>21</v>
      </c>
      <c r="I9510" t="s">
        <v>20</v>
      </c>
      <c r="J9510" t="s">
        <v>20</v>
      </c>
      <c r="K9510" t="s">
        <v>27</v>
      </c>
      <c r="L9510" t="s">
        <v>38</v>
      </c>
      <c r="M9510" t="s">
        <v>152</v>
      </c>
      <c r="N9510">
        <v>38.541902</v>
      </c>
      <c r="O9510">
        <v>-109.516846</v>
      </c>
      <c r="P9510">
        <v>4355.8295129999997</v>
      </c>
      <c r="Q9510">
        <v>350</v>
      </c>
      <c r="R9510">
        <v>0</v>
      </c>
    </row>
    <row r="9511" spans="1:18" x14ac:dyDescent="0.25">
      <c r="A9511">
        <v>9360</v>
      </c>
      <c r="B9511">
        <v>94</v>
      </c>
      <c r="C9511">
        <v>31446293</v>
      </c>
      <c r="D9511" t="s">
        <v>288</v>
      </c>
      <c r="E9511">
        <v>122.723</v>
      </c>
      <c r="F9511" t="s">
        <v>21</v>
      </c>
      <c r="G9511" t="s">
        <v>26</v>
      </c>
      <c r="H9511" t="s">
        <v>21</v>
      </c>
      <c r="I9511" t="s">
        <v>20</v>
      </c>
      <c r="J9511" t="s">
        <v>20</v>
      </c>
      <c r="K9511" t="s">
        <v>27</v>
      </c>
      <c r="L9511" t="s">
        <v>38</v>
      </c>
      <c r="M9511" t="s">
        <v>152</v>
      </c>
      <c r="N9511">
        <v>38.542571000000002</v>
      </c>
      <c r="O9511">
        <v>-109.517515</v>
      </c>
      <c r="P9511">
        <v>4353.6806509999997</v>
      </c>
      <c r="Q9511">
        <v>350</v>
      </c>
      <c r="R9511">
        <v>0</v>
      </c>
    </row>
    <row r="9512" spans="1:18" x14ac:dyDescent="0.25">
      <c r="A9512">
        <v>9361</v>
      </c>
      <c r="B9512">
        <v>94</v>
      </c>
      <c r="C9512" t="e">
        <f>-IpUy7GrIqy6mIJ8fBK_fV</f>
        <v>#NAME?</v>
      </c>
      <c r="D9512" t="s">
        <v>288</v>
      </c>
      <c r="E9512">
        <v>122.803</v>
      </c>
      <c r="F9512" t="s">
        <v>21</v>
      </c>
      <c r="G9512" t="s">
        <v>20</v>
      </c>
      <c r="H9512" t="s">
        <v>21</v>
      </c>
      <c r="I9512" t="s">
        <v>20</v>
      </c>
      <c r="J9512" t="s">
        <v>20</v>
      </c>
      <c r="K9512" t="s">
        <v>27</v>
      </c>
      <c r="L9512" t="s">
        <v>38</v>
      </c>
      <c r="M9512" t="s">
        <v>152</v>
      </c>
      <c r="N9512">
        <v>38.543491000000003</v>
      </c>
      <c r="O9512">
        <v>-109.518432</v>
      </c>
      <c r="P9512">
        <v>4346.6335490000001</v>
      </c>
      <c r="Q9512">
        <v>350</v>
      </c>
      <c r="R9512">
        <v>0</v>
      </c>
    </row>
    <row r="9513" spans="1:18" x14ac:dyDescent="0.25">
      <c r="A9513">
        <v>9362</v>
      </c>
      <c r="B9513">
        <v>94</v>
      </c>
      <c r="C9513">
        <v>31447526</v>
      </c>
      <c r="D9513" t="s">
        <v>288</v>
      </c>
      <c r="E9513">
        <v>122.839</v>
      </c>
      <c r="F9513" t="s">
        <v>21</v>
      </c>
      <c r="G9513" t="s">
        <v>20</v>
      </c>
      <c r="H9513" t="s">
        <v>21</v>
      </c>
      <c r="I9513" t="s">
        <v>20</v>
      </c>
      <c r="J9513" t="s">
        <v>20</v>
      </c>
      <c r="K9513" t="s">
        <v>27</v>
      </c>
      <c r="L9513" t="s">
        <v>38</v>
      </c>
      <c r="M9513" t="s">
        <v>152</v>
      </c>
      <c r="N9513">
        <v>38.543905000000002</v>
      </c>
      <c r="O9513">
        <v>-109.51883599999999</v>
      </c>
      <c r="P9513">
        <v>4342.0415849999999</v>
      </c>
      <c r="Q9513">
        <v>350</v>
      </c>
      <c r="R9513">
        <v>0</v>
      </c>
    </row>
    <row r="9514" spans="1:18" x14ac:dyDescent="0.25">
      <c r="A9514">
        <v>9363</v>
      </c>
      <c r="B9514">
        <v>94</v>
      </c>
      <c r="C9514">
        <v>28318829</v>
      </c>
      <c r="D9514" t="s">
        <v>220</v>
      </c>
      <c r="E9514">
        <v>122.85899999999999</v>
      </c>
      <c r="F9514" t="s">
        <v>21</v>
      </c>
      <c r="G9514" t="s">
        <v>26</v>
      </c>
      <c r="H9514" t="s">
        <v>19</v>
      </c>
      <c r="I9514">
        <v>24</v>
      </c>
      <c r="J9514" t="s">
        <v>20</v>
      </c>
      <c r="K9514" t="s">
        <v>27</v>
      </c>
      <c r="L9514" t="s">
        <v>266</v>
      </c>
      <c r="M9514" t="s">
        <v>267</v>
      </c>
      <c r="N9514">
        <v>38.298903000000003</v>
      </c>
      <c r="O9514">
        <v>-111.402036</v>
      </c>
      <c r="P9514">
        <v>6752.8637989999997</v>
      </c>
      <c r="Q9514">
        <v>1328</v>
      </c>
      <c r="R9514">
        <v>0</v>
      </c>
    </row>
    <row r="9515" spans="1:18" x14ac:dyDescent="0.25">
      <c r="A9515">
        <v>9364</v>
      </c>
      <c r="B9515">
        <v>94</v>
      </c>
      <c r="C9515">
        <v>31824361</v>
      </c>
      <c r="D9515" t="s">
        <v>118</v>
      </c>
      <c r="E9515">
        <v>122.88500000000001</v>
      </c>
      <c r="F9515" t="s">
        <v>21</v>
      </c>
      <c r="G9515" t="s">
        <v>20</v>
      </c>
      <c r="H9515" t="s">
        <v>21</v>
      </c>
      <c r="I9515" t="s">
        <v>20</v>
      </c>
      <c r="J9515" t="s">
        <v>20</v>
      </c>
      <c r="K9515" t="s">
        <v>22</v>
      </c>
      <c r="L9515" t="s">
        <v>133</v>
      </c>
      <c r="M9515" t="s">
        <v>169</v>
      </c>
      <c r="N9515">
        <v>40.301979000000003</v>
      </c>
      <c r="O9515">
        <v>-109.83111700000001</v>
      </c>
      <c r="P9515">
        <v>4999.6786149999998</v>
      </c>
      <c r="Q9515">
        <v>310</v>
      </c>
      <c r="R9515">
        <v>0</v>
      </c>
    </row>
    <row r="9516" spans="1:18" x14ac:dyDescent="0.25">
      <c r="A9516">
        <v>9365</v>
      </c>
      <c r="B9516">
        <v>94</v>
      </c>
      <c r="C9516">
        <v>31447537</v>
      </c>
      <c r="D9516" t="s">
        <v>288</v>
      </c>
      <c r="E9516">
        <v>123.027</v>
      </c>
      <c r="F9516" t="s">
        <v>21</v>
      </c>
      <c r="G9516" t="s">
        <v>20</v>
      </c>
      <c r="H9516" t="s">
        <v>21</v>
      </c>
      <c r="I9516" t="s">
        <v>20</v>
      </c>
      <c r="J9516" t="s">
        <v>20</v>
      </c>
      <c r="K9516" t="s">
        <v>27</v>
      </c>
      <c r="L9516" t="s">
        <v>38</v>
      </c>
      <c r="M9516" t="s">
        <v>152</v>
      </c>
      <c r="N9516">
        <v>38.546033000000001</v>
      </c>
      <c r="O9516">
        <v>-109.520949</v>
      </c>
      <c r="P9516">
        <v>4295.1936820000001</v>
      </c>
      <c r="Q9516">
        <v>350</v>
      </c>
      <c r="R9516">
        <v>0</v>
      </c>
    </row>
    <row r="9517" spans="1:18" x14ac:dyDescent="0.25">
      <c r="A9517">
        <v>9366</v>
      </c>
      <c r="B9517">
        <v>94</v>
      </c>
      <c r="C9517">
        <v>31448159</v>
      </c>
      <c r="D9517" t="s">
        <v>288</v>
      </c>
      <c r="E9517">
        <v>123.19499999999999</v>
      </c>
      <c r="F9517" t="s">
        <v>21</v>
      </c>
      <c r="G9517" t="s">
        <v>26</v>
      </c>
      <c r="H9517" t="s">
        <v>21</v>
      </c>
      <c r="I9517" t="s">
        <v>20</v>
      </c>
      <c r="J9517" t="s">
        <v>20</v>
      </c>
      <c r="K9517" t="s">
        <v>27</v>
      </c>
      <c r="L9517" t="s">
        <v>38</v>
      </c>
      <c r="M9517" t="s">
        <v>152</v>
      </c>
      <c r="N9517">
        <v>38.547972000000001</v>
      </c>
      <c r="O9517">
        <v>-109.52287</v>
      </c>
      <c r="P9517">
        <v>4249.4957219999997</v>
      </c>
      <c r="Q9517">
        <v>350</v>
      </c>
      <c r="R9517">
        <v>0</v>
      </c>
    </row>
    <row r="9518" spans="1:18" x14ac:dyDescent="0.25">
      <c r="A9518">
        <v>9367</v>
      </c>
      <c r="B9518">
        <v>94</v>
      </c>
      <c r="C9518">
        <v>31824372</v>
      </c>
      <c r="D9518" t="s">
        <v>118</v>
      </c>
      <c r="E9518">
        <v>123.387</v>
      </c>
      <c r="F9518" t="s">
        <v>21</v>
      </c>
      <c r="G9518" t="s">
        <v>26</v>
      </c>
      <c r="H9518" t="s">
        <v>21</v>
      </c>
      <c r="I9518" t="s">
        <v>20</v>
      </c>
      <c r="J9518" t="s">
        <v>20</v>
      </c>
      <c r="K9518" t="s">
        <v>22</v>
      </c>
      <c r="L9518" t="s">
        <v>133</v>
      </c>
      <c r="M9518" t="s">
        <v>169</v>
      </c>
      <c r="N9518">
        <v>40.301901000000001</v>
      </c>
      <c r="O9518">
        <v>-109.821585</v>
      </c>
      <c r="P9518">
        <v>4999.0093550000001</v>
      </c>
      <c r="Q9518">
        <v>310</v>
      </c>
      <c r="R9518">
        <v>0</v>
      </c>
    </row>
    <row r="9519" spans="1:18" x14ac:dyDescent="0.25">
      <c r="A9519">
        <v>9368</v>
      </c>
      <c r="B9519">
        <v>94</v>
      </c>
      <c r="C9519">
        <v>31824383</v>
      </c>
      <c r="D9519" t="s">
        <v>118</v>
      </c>
      <c r="E9519">
        <v>123.494</v>
      </c>
      <c r="F9519" t="s">
        <v>21</v>
      </c>
      <c r="G9519" t="s">
        <v>26</v>
      </c>
      <c r="H9519" t="s">
        <v>21</v>
      </c>
      <c r="I9519" t="s">
        <v>20</v>
      </c>
      <c r="J9519" t="s">
        <v>20</v>
      </c>
      <c r="K9519" t="s">
        <v>22</v>
      </c>
      <c r="L9519" t="s">
        <v>133</v>
      </c>
      <c r="M9519" t="s">
        <v>169</v>
      </c>
      <c r="N9519">
        <v>40.301887999999998</v>
      </c>
      <c r="O9519">
        <v>-109.819553</v>
      </c>
      <c r="P9519">
        <v>5007.0097530000003</v>
      </c>
      <c r="Q9519">
        <v>310</v>
      </c>
      <c r="R9519">
        <v>0</v>
      </c>
    </row>
    <row r="9520" spans="1:18" x14ac:dyDescent="0.25">
      <c r="A9520">
        <v>9369</v>
      </c>
      <c r="B9520">
        <v>94</v>
      </c>
      <c r="C9520" t="e">
        <f>-IpdUHpkI3DVWAPSMbtveF</f>
        <v>#NAME?</v>
      </c>
      <c r="D9520" t="s">
        <v>272</v>
      </c>
      <c r="E9520">
        <v>123.60299999999999</v>
      </c>
      <c r="F9520" t="s">
        <v>21</v>
      </c>
      <c r="G9520" t="s">
        <v>20</v>
      </c>
      <c r="H9520" t="s">
        <v>21</v>
      </c>
      <c r="I9520" t="s">
        <v>20</v>
      </c>
      <c r="J9520" t="s">
        <v>20</v>
      </c>
      <c r="K9520" t="s">
        <v>27</v>
      </c>
      <c r="L9520" t="s">
        <v>247</v>
      </c>
      <c r="M9520" t="s">
        <v>214</v>
      </c>
      <c r="N9520">
        <v>37.740989999999996</v>
      </c>
      <c r="O9520">
        <v>-112.379698</v>
      </c>
      <c r="P9520">
        <v>6690.3385250000001</v>
      </c>
      <c r="Q9520">
        <v>1384</v>
      </c>
      <c r="R9520">
        <v>0</v>
      </c>
    </row>
    <row r="9521" spans="1:18" x14ac:dyDescent="0.25">
      <c r="A9521">
        <v>9370</v>
      </c>
      <c r="B9521">
        <v>94</v>
      </c>
      <c r="C9521" t="s">
        <v>1112</v>
      </c>
      <c r="D9521" t="s">
        <v>288</v>
      </c>
      <c r="E9521">
        <v>123.642</v>
      </c>
      <c r="F9521" t="s">
        <v>21</v>
      </c>
      <c r="G9521" t="s">
        <v>20</v>
      </c>
      <c r="H9521" t="s">
        <v>21</v>
      </c>
      <c r="I9521" t="s">
        <v>20</v>
      </c>
      <c r="J9521" t="s">
        <v>20</v>
      </c>
      <c r="K9521" t="s">
        <v>27</v>
      </c>
      <c r="L9521" t="s">
        <v>38</v>
      </c>
      <c r="M9521" t="s">
        <v>152</v>
      </c>
      <c r="N9521">
        <v>38.552315999999998</v>
      </c>
      <c r="O9521">
        <v>-109.52896</v>
      </c>
      <c r="P9521">
        <v>4179.7968819999996</v>
      </c>
      <c r="Q9521">
        <v>350</v>
      </c>
      <c r="R9521">
        <v>0</v>
      </c>
    </row>
    <row r="9522" spans="1:18" x14ac:dyDescent="0.25">
      <c r="A9522">
        <v>9371</v>
      </c>
      <c r="B9522">
        <v>94</v>
      </c>
      <c r="C9522">
        <v>31452712</v>
      </c>
      <c r="D9522" t="s">
        <v>288</v>
      </c>
      <c r="E9522">
        <v>123.68300000000001</v>
      </c>
      <c r="F9522" t="s">
        <v>21</v>
      </c>
      <c r="G9522" t="s">
        <v>26</v>
      </c>
      <c r="H9522" t="s">
        <v>21</v>
      </c>
      <c r="I9522" t="s">
        <v>20</v>
      </c>
      <c r="J9522" t="s">
        <v>20</v>
      </c>
      <c r="K9522" t="s">
        <v>27</v>
      </c>
      <c r="L9522" t="s">
        <v>38</v>
      </c>
      <c r="M9522" t="s">
        <v>152</v>
      </c>
      <c r="N9522">
        <v>38.552621000000002</v>
      </c>
      <c r="O9522">
        <v>-109.529597</v>
      </c>
      <c r="P9522">
        <v>4174.8752459999996</v>
      </c>
      <c r="Q9522">
        <v>350</v>
      </c>
      <c r="R9522">
        <v>0</v>
      </c>
    </row>
    <row r="9523" spans="1:18" x14ac:dyDescent="0.25">
      <c r="A9523">
        <v>9372</v>
      </c>
      <c r="B9523">
        <v>94</v>
      </c>
      <c r="C9523">
        <v>1758935</v>
      </c>
      <c r="D9523" t="s">
        <v>370</v>
      </c>
      <c r="E9523">
        <v>0.872</v>
      </c>
      <c r="F9523" t="s">
        <v>21</v>
      </c>
      <c r="G9523" t="s">
        <v>26</v>
      </c>
      <c r="H9523" t="s">
        <v>21</v>
      </c>
      <c r="I9523" t="s">
        <v>20</v>
      </c>
      <c r="J9523" t="s">
        <v>20</v>
      </c>
      <c r="K9523" t="s">
        <v>41</v>
      </c>
      <c r="L9523" t="s">
        <v>87</v>
      </c>
      <c r="M9523" t="s">
        <v>58</v>
      </c>
      <c r="N9523">
        <v>41.162008999999998</v>
      </c>
      <c r="O9523">
        <v>-112.00783300000001</v>
      </c>
      <c r="P9523">
        <v>4397.7392650000002</v>
      </c>
      <c r="Q9523">
        <v>1435</v>
      </c>
      <c r="R9523">
        <v>0</v>
      </c>
    </row>
    <row r="9524" spans="1:18" x14ac:dyDescent="0.25">
      <c r="A9524">
        <v>9373</v>
      </c>
      <c r="B9524">
        <v>94</v>
      </c>
      <c r="C9524">
        <v>31315901</v>
      </c>
      <c r="D9524" t="s">
        <v>413</v>
      </c>
      <c r="E9524">
        <v>0.875</v>
      </c>
      <c r="F9524" t="s">
        <v>21</v>
      </c>
      <c r="G9524" t="s">
        <v>26</v>
      </c>
      <c r="H9524" t="s">
        <v>21</v>
      </c>
      <c r="I9524" t="s">
        <v>20</v>
      </c>
      <c r="J9524" t="s">
        <v>20</v>
      </c>
      <c r="K9524" t="s">
        <v>31</v>
      </c>
      <c r="L9524" t="s">
        <v>78</v>
      </c>
      <c r="M9524" t="s">
        <v>206</v>
      </c>
      <c r="N9524">
        <v>40.725029999999997</v>
      </c>
      <c r="O9524">
        <v>-112.207246</v>
      </c>
      <c r="P9524">
        <v>4174.4329859999998</v>
      </c>
      <c r="Q9524">
        <v>411</v>
      </c>
      <c r="R9524">
        <v>0</v>
      </c>
    </row>
    <row r="9525" spans="1:18" x14ac:dyDescent="0.25">
      <c r="A9525">
        <v>9374</v>
      </c>
      <c r="B9525">
        <v>94</v>
      </c>
      <c r="C9525">
        <v>31860269</v>
      </c>
      <c r="D9525" t="s">
        <v>135</v>
      </c>
      <c r="E9525">
        <v>0.876</v>
      </c>
      <c r="F9525" t="s">
        <v>21</v>
      </c>
      <c r="G9525" t="s">
        <v>26</v>
      </c>
      <c r="H9525" t="s">
        <v>21</v>
      </c>
      <c r="I9525" t="s">
        <v>20</v>
      </c>
      <c r="J9525" t="s">
        <v>20</v>
      </c>
      <c r="K9525" t="s">
        <v>31</v>
      </c>
      <c r="L9525" t="s">
        <v>48</v>
      </c>
      <c r="M9525" t="s">
        <v>144</v>
      </c>
      <c r="N9525">
        <v>40.562210999999998</v>
      </c>
      <c r="O9525">
        <v>-111.96032</v>
      </c>
      <c r="P9525">
        <v>4513.2211550000002</v>
      </c>
      <c r="Q9525">
        <v>1423</v>
      </c>
      <c r="R9525">
        <v>0</v>
      </c>
    </row>
    <row r="9526" spans="1:18" x14ac:dyDescent="0.25">
      <c r="A9526">
        <v>9375</v>
      </c>
      <c r="B9526">
        <v>94</v>
      </c>
      <c r="C9526">
        <v>31387932</v>
      </c>
      <c r="D9526" t="s">
        <v>364</v>
      </c>
      <c r="E9526">
        <v>0.877</v>
      </c>
      <c r="F9526" t="s">
        <v>21</v>
      </c>
      <c r="G9526" t="s">
        <v>26</v>
      </c>
      <c r="H9526" t="s">
        <v>21</v>
      </c>
      <c r="I9526" t="s">
        <v>20</v>
      </c>
      <c r="J9526" t="s">
        <v>20</v>
      </c>
      <c r="K9526" t="s">
        <v>22</v>
      </c>
      <c r="L9526" t="s">
        <v>198</v>
      </c>
      <c r="M9526" t="s">
        <v>85</v>
      </c>
      <c r="N9526">
        <v>40.057384999999996</v>
      </c>
      <c r="O9526">
        <v>-111.732254</v>
      </c>
      <c r="P9526">
        <v>4519.9365429999998</v>
      </c>
      <c r="Q9526">
        <v>1401</v>
      </c>
      <c r="R9526">
        <v>0</v>
      </c>
    </row>
    <row r="9527" spans="1:18" x14ac:dyDescent="0.25">
      <c r="A9527">
        <v>9376</v>
      </c>
      <c r="B9527">
        <v>94</v>
      </c>
      <c r="C9527">
        <v>1411624</v>
      </c>
      <c r="D9527" t="s">
        <v>109</v>
      </c>
      <c r="E9527">
        <v>0.72499999999999998</v>
      </c>
      <c r="F9527" t="s">
        <v>21</v>
      </c>
      <c r="G9527" t="s">
        <v>26</v>
      </c>
      <c r="H9527" t="s">
        <v>21</v>
      </c>
      <c r="I9527" t="s">
        <v>20</v>
      </c>
      <c r="J9527" t="s">
        <v>20</v>
      </c>
      <c r="K9527" t="s">
        <v>41</v>
      </c>
      <c r="L9527" t="s">
        <v>42</v>
      </c>
      <c r="M9527" t="s">
        <v>73</v>
      </c>
      <c r="N9527">
        <v>41.572935999999999</v>
      </c>
      <c r="O9527">
        <v>-111.83825400000001</v>
      </c>
      <c r="P9527">
        <v>4840.1580270000004</v>
      </c>
      <c r="Q9527">
        <v>345</v>
      </c>
      <c r="R9527">
        <v>0</v>
      </c>
    </row>
    <row r="9528" spans="1:18" x14ac:dyDescent="0.25">
      <c r="A9528">
        <v>9377</v>
      </c>
      <c r="B9528">
        <v>94</v>
      </c>
      <c r="C9528">
        <v>27947070</v>
      </c>
      <c r="D9528" t="s">
        <v>281</v>
      </c>
      <c r="E9528">
        <v>0.72599999999999998</v>
      </c>
      <c r="F9528" t="s">
        <v>21</v>
      </c>
      <c r="G9528" t="s">
        <v>26</v>
      </c>
      <c r="H9528" t="s">
        <v>21</v>
      </c>
      <c r="I9528" t="s">
        <v>20</v>
      </c>
      <c r="J9528" t="s">
        <v>20</v>
      </c>
      <c r="K9528" t="s">
        <v>22</v>
      </c>
      <c r="L9528" t="s">
        <v>193</v>
      </c>
      <c r="M9528" t="s">
        <v>174</v>
      </c>
      <c r="N9528">
        <v>39.924664999999997</v>
      </c>
      <c r="O9528">
        <v>-112.155494</v>
      </c>
      <c r="P9528">
        <v>5849.9333390000002</v>
      </c>
      <c r="Q9528">
        <v>1347</v>
      </c>
      <c r="R9528">
        <v>0</v>
      </c>
    </row>
    <row r="9529" spans="1:18" x14ac:dyDescent="0.25">
      <c r="A9529">
        <v>9378</v>
      </c>
      <c r="B9529">
        <v>94</v>
      </c>
      <c r="C9529">
        <v>1625569</v>
      </c>
      <c r="D9529" t="s">
        <v>180</v>
      </c>
      <c r="E9529">
        <v>0.99</v>
      </c>
      <c r="F9529" t="s">
        <v>19</v>
      </c>
      <c r="G9529" t="s">
        <v>20</v>
      </c>
      <c r="H9529" t="s">
        <v>21</v>
      </c>
      <c r="I9529" t="s">
        <v>20</v>
      </c>
      <c r="J9529" t="s">
        <v>20</v>
      </c>
      <c r="K9529" t="s">
        <v>41</v>
      </c>
      <c r="L9529" t="s">
        <v>181</v>
      </c>
      <c r="M9529" t="s">
        <v>117</v>
      </c>
      <c r="N9529">
        <v>41.726367000000003</v>
      </c>
      <c r="O9529">
        <v>-112.16221299999999</v>
      </c>
      <c r="P9529">
        <v>4279.8652199999997</v>
      </c>
      <c r="Q9529">
        <v>1379</v>
      </c>
      <c r="R9529">
        <v>0</v>
      </c>
    </row>
    <row r="9530" spans="1:18" x14ac:dyDescent="0.25">
      <c r="A9530">
        <v>9379</v>
      </c>
      <c r="B9530">
        <v>94</v>
      </c>
      <c r="C9530">
        <v>31582882</v>
      </c>
      <c r="D9530" t="s">
        <v>271</v>
      </c>
      <c r="E9530">
        <v>0</v>
      </c>
      <c r="F9530" t="s">
        <v>21</v>
      </c>
      <c r="G9530" t="s">
        <v>26</v>
      </c>
      <c r="H9530" t="s">
        <v>19</v>
      </c>
      <c r="I9530">
        <v>36</v>
      </c>
      <c r="J9530" t="s">
        <v>20</v>
      </c>
      <c r="K9530" t="s">
        <v>31</v>
      </c>
      <c r="L9530" t="s">
        <v>282</v>
      </c>
      <c r="M9530" t="s">
        <v>24</v>
      </c>
      <c r="N9530">
        <v>40.380867000000002</v>
      </c>
      <c r="O9530">
        <v>-112.386653</v>
      </c>
      <c r="P9530">
        <v>4994.2822759999999</v>
      </c>
      <c r="Q9530">
        <v>1372</v>
      </c>
      <c r="R9530">
        <v>0</v>
      </c>
    </row>
    <row r="9531" spans="1:18" x14ac:dyDescent="0.25">
      <c r="A9531">
        <v>9380</v>
      </c>
      <c r="B9531">
        <v>94</v>
      </c>
      <c r="C9531">
        <v>31463074</v>
      </c>
      <c r="D9531" t="s">
        <v>264</v>
      </c>
      <c r="E9531">
        <v>0</v>
      </c>
      <c r="F9531" t="s">
        <v>21</v>
      </c>
      <c r="G9531" t="s">
        <v>26</v>
      </c>
      <c r="H9531" t="s">
        <v>19</v>
      </c>
      <c r="I9531">
        <v>113</v>
      </c>
      <c r="J9531" t="s">
        <v>20</v>
      </c>
      <c r="K9531" t="s">
        <v>22</v>
      </c>
      <c r="L9531" t="s">
        <v>35</v>
      </c>
      <c r="M9531" t="s">
        <v>36</v>
      </c>
      <c r="N9531">
        <v>40.512193000000003</v>
      </c>
      <c r="O9531">
        <v>-111.472285</v>
      </c>
      <c r="P9531">
        <v>5530.934268</v>
      </c>
      <c r="Q9531">
        <v>420</v>
      </c>
      <c r="R9531">
        <v>0</v>
      </c>
    </row>
    <row r="9532" spans="1:18" x14ac:dyDescent="0.25">
      <c r="A9532">
        <v>9381</v>
      </c>
      <c r="B9532">
        <v>94</v>
      </c>
      <c r="C9532" t="e">
        <f>-IqDun26IP99B9AKflYnjk</f>
        <v>#NAME?</v>
      </c>
      <c r="D9532" t="s">
        <v>1113</v>
      </c>
      <c r="E9532">
        <v>0</v>
      </c>
      <c r="F9532" t="s">
        <v>21</v>
      </c>
      <c r="G9532" t="s">
        <v>361</v>
      </c>
      <c r="H9532" t="s">
        <v>21</v>
      </c>
      <c r="I9532" t="s">
        <v>20</v>
      </c>
      <c r="J9532" t="s">
        <v>20</v>
      </c>
      <c r="K9532" t="s">
        <v>41</v>
      </c>
      <c r="L9532" t="s">
        <v>291</v>
      </c>
      <c r="M9532" t="s">
        <v>368</v>
      </c>
      <c r="N9532">
        <v>41.924877000000002</v>
      </c>
      <c r="O9532">
        <v>-112.63496499999999</v>
      </c>
      <c r="P9532">
        <v>4961.6454270000004</v>
      </c>
      <c r="Q9532">
        <v>6664</v>
      </c>
      <c r="R9532">
        <v>0</v>
      </c>
    </row>
    <row r="9533" spans="1:18" x14ac:dyDescent="0.25">
      <c r="A9533">
        <v>9382</v>
      </c>
      <c r="B9533">
        <v>94</v>
      </c>
      <c r="C9533" t="e">
        <f>-JQPi9dkGHDxKmRkptGSlF</f>
        <v>#NAME?</v>
      </c>
      <c r="D9533" t="s">
        <v>1114</v>
      </c>
      <c r="E9533">
        <v>0</v>
      </c>
      <c r="F9533" t="s">
        <v>21</v>
      </c>
      <c r="G9533" t="s">
        <v>26</v>
      </c>
      <c r="H9533" t="s">
        <v>21</v>
      </c>
      <c r="I9533" t="s">
        <v>20</v>
      </c>
      <c r="J9533" t="s">
        <v>20</v>
      </c>
      <c r="K9533" t="s">
        <v>22</v>
      </c>
      <c r="L9533" t="s">
        <v>155</v>
      </c>
      <c r="M9533" t="s">
        <v>365</v>
      </c>
      <c r="N9533">
        <v>39.483882000000001</v>
      </c>
      <c r="O9533">
        <v>-111.97954</v>
      </c>
      <c r="P9533">
        <v>4989.7435359999999</v>
      </c>
      <c r="Q9533">
        <v>6661</v>
      </c>
      <c r="R9533">
        <v>0</v>
      </c>
    </row>
    <row r="9534" spans="1:18" x14ac:dyDescent="0.25">
      <c r="A9534">
        <v>9383</v>
      </c>
      <c r="B9534">
        <v>94</v>
      </c>
      <c r="C9534">
        <v>31403475</v>
      </c>
      <c r="D9534" t="s">
        <v>139</v>
      </c>
      <c r="E9534">
        <v>1.381</v>
      </c>
      <c r="F9534" t="s">
        <v>19</v>
      </c>
      <c r="G9534" t="s">
        <v>20</v>
      </c>
      <c r="H9534" t="s">
        <v>21</v>
      </c>
      <c r="I9534" t="s">
        <v>20</v>
      </c>
      <c r="J9534" t="s">
        <v>20</v>
      </c>
      <c r="K9534" t="s">
        <v>22</v>
      </c>
      <c r="L9534" t="s">
        <v>140</v>
      </c>
      <c r="M9534" t="s">
        <v>141</v>
      </c>
      <c r="N9534">
        <v>40.12574</v>
      </c>
      <c r="O9534">
        <v>-111.65470000000001</v>
      </c>
      <c r="P9534">
        <v>4495.1277</v>
      </c>
      <c r="Q9534">
        <v>342</v>
      </c>
      <c r="R9534">
        <v>0</v>
      </c>
    </row>
    <row r="9535" spans="1:18" x14ac:dyDescent="0.25">
      <c r="A9535">
        <v>9384</v>
      </c>
      <c r="B9535">
        <v>94</v>
      </c>
      <c r="C9535">
        <v>31289752</v>
      </c>
      <c r="D9535" t="s">
        <v>126</v>
      </c>
      <c r="E9535">
        <v>1.383</v>
      </c>
      <c r="F9535" t="s">
        <v>21</v>
      </c>
      <c r="G9535" t="s">
        <v>26</v>
      </c>
      <c r="H9535" t="s">
        <v>21</v>
      </c>
      <c r="I9535" t="s">
        <v>20</v>
      </c>
      <c r="J9535" t="s">
        <v>20</v>
      </c>
      <c r="K9535" t="s">
        <v>41</v>
      </c>
      <c r="L9535" t="s">
        <v>57</v>
      </c>
      <c r="M9535" t="s">
        <v>93</v>
      </c>
      <c r="N9535">
        <v>41.210903999999999</v>
      </c>
      <c r="O9535">
        <v>-112.09293</v>
      </c>
      <c r="P9535">
        <v>4198.8260890000001</v>
      </c>
      <c r="Q9535">
        <v>1412</v>
      </c>
      <c r="R9535">
        <v>0</v>
      </c>
    </row>
    <row r="9536" spans="1:18" x14ac:dyDescent="0.25">
      <c r="A9536">
        <v>9385</v>
      </c>
      <c r="B9536">
        <v>94</v>
      </c>
      <c r="C9536">
        <v>481592</v>
      </c>
      <c r="D9536" t="s">
        <v>83</v>
      </c>
      <c r="E9536">
        <v>1.387</v>
      </c>
      <c r="F9536" t="s">
        <v>21</v>
      </c>
      <c r="G9536" t="s">
        <v>26</v>
      </c>
      <c r="H9536" t="s">
        <v>21</v>
      </c>
      <c r="I9536" t="s">
        <v>20</v>
      </c>
      <c r="J9536" t="s">
        <v>20</v>
      </c>
      <c r="K9536" t="s">
        <v>22</v>
      </c>
      <c r="L9536" t="s">
        <v>84</v>
      </c>
      <c r="M9536" t="s">
        <v>85</v>
      </c>
      <c r="N9536">
        <v>40.396909999999998</v>
      </c>
      <c r="O9536">
        <v>-111.795828</v>
      </c>
      <c r="P9536">
        <v>4689.7767709999998</v>
      </c>
      <c r="Q9536">
        <v>319</v>
      </c>
      <c r="R9536">
        <v>0</v>
      </c>
    </row>
    <row r="9537" spans="1:18" x14ac:dyDescent="0.25">
      <c r="A9537">
        <v>9386</v>
      </c>
      <c r="B9537">
        <v>94</v>
      </c>
      <c r="C9537" t="e">
        <f>-Ip5H_I4IR5_jyLmSgcipV</f>
        <v>#NAME?</v>
      </c>
      <c r="D9537" t="s">
        <v>208</v>
      </c>
      <c r="E9537">
        <v>1.387</v>
      </c>
      <c r="F9537" t="s">
        <v>21</v>
      </c>
      <c r="G9537" t="s">
        <v>26</v>
      </c>
      <c r="H9537" t="s">
        <v>21</v>
      </c>
      <c r="I9537" t="s">
        <v>20</v>
      </c>
      <c r="J9537" t="s">
        <v>20</v>
      </c>
      <c r="K9537" t="s">
        <v>31</v>
      </c>
      <c r="L9537" t="s">
        <v>209</v>
      </c>
      <c r="M9537" t="s">
        <v>131</v>
      </c>
      <c r="N9537">
        <v>40.618876</v>
      </c>
      <c r="O9537">
        <v>-111.507682</v>
      </c>
      <c r="P9537">
        <v>8180.993058</v>
      </c>
      <c r="Q9537">
        <v>357</v>
      </c>
      <c r="R9537">
        <v>0</v>
      </c>
    </row>
    <row r="9538" spans="1:18" x14ac:dyDescent="0.25">
      <c r="A9538">
        <v>9387</v>
      </c>
      <c r="B9538">
        <v>94</v>
      </c>
      <c r="C9538">
        <v>31548306</v>
      </c>
      <c r="D9538" t="s">
        <v>102</v>
      </c>
      <c r="E9538">
        <v>1.3879999999999999</v>
      </c>
      <c r="F9538" t="s">
        <v>21</v>
      </c>
      <c r="G9538" t="s">
        <v>26</v>
      </c>
      <c r="H9538" t="s">
        <v>21</v>
      </c>
      <c r="I9538" t="s">
        <v>20</v>
      </c>
      <c r="J9538" t="s">
        <v>20</v>
      </c>
      <c r="K9538" t="s">
        <v>27</v>
      </c>
      <c r="L9538" t="s">
        <v>103</v>
      </c>
      <c r="M9538" t="s">
        <v>104</v>
      </c>
      <c r="N9538">
        <v>38.265934999999999</v>
      </c>
      <c r="O9538">
        <v>-112.644475</v>
      </c>
      <c r="P9538">
        <v>5789.8703560000004</v>
      </c>
      <c r="Q9538">
        <v>1430</v>
      </c>
      <c r="R9538">
        <v>0</v>
      </c>
    </row>
    <row r="9539" spans="1:18" x14ac:dyDescent="0.25">
      <c r="A9539">
        <v>9388</v>
      </c>
      <c r="B9539">
        <v>94</v>
      </c>
      <c r="C9539">
        <v>27645188</v>
      </c>
      <c r="D9539" t="s">
        <v>196</v>
      </c>
      <c r="E9539">
        <v>1.39</v>
      </c>
      <c r="F9539" t="s">
        <v>19</v>
      </c>
      <c r="G9539" t="s">
        <v>20</v>
      </c>
      <c r="H9539" t="s">
        <v>21</v>
      </c>
      <c r="I9539" t="s">
        <v>20</v>
      </c>
      <c r="J9539" t="s">
        <v>20</v>
      </c>
      <c r="K9539" t="s">
        <v>27</v>
      </c>
      <c r="L9539" t="s">
        <v>72</v>
      </c>
      <c r="M9539" t="s">
        <v>73</v>
      </c>
      <c r="N9539">
        <v>37.109828999999998</v>
      </c>
      <c r="O9539">
        <v>-113.56846299999999</v>
      </c>
      <c r="P9539">
        <v>2720.6628310000001</v>
      </c>
      <c r="Q9539">
        <v>308</v>
      </c>
      <c r="R9539">
        <v>0</v>
      </c>
    </row>
    <row r="9540" spans="1:18" x14ac:dyDescent="0.25">
      <c r="A9540">
        <v>9389</v>
      </c>
      <c r="B9540">
        <v>94</v>
      </c>
      <c r="C9540">
        <v>31528013</v>
      </c>
      <c r="D9540" t="s">
        <v>182</v>
      </c>
      <c r="E9540">
        <v>1.391</v>
      </c>
      <c r="F9540" t="s">
        <v>21</v>
      </c>
      <c r="G9540" t="s">
        <v>26</v>
      </c>
      <c r="H9540" t="s">
        <v>21</v>
      </c>
      <c r="I9540" t="s">
        <v>20</v>
      </c>
      <c r="J9540" t="s">
        <v>20</v>
      </c>
      <c r="K9540" t="s">
        <v>27</v>
      </c>
      <c r="L9540" t="s">
        <v>183</v>
      </c>
      <c r="M9540" t="s">
        <v>76</v>
      </c>
      <c r="N9540">
        <v>38.920833000000002</v>
      </c>
      <c r="O9540">
        <v>-111.93394000000001</v>
      </c>
      <c r="P9540">
        <v>5126.8057790000003</v>
      </c>
      <c r="Q9540">
        <v>429</v>
      </c>
      <c r="R9540">
        <v>0</v>
      </c>
    </row>
    <row r="9541" spans="1:18" x14ac:dyDescent="0.25">
      <c r="A9541">
        <v>9390</v>
      </c>
      <c r="B9541">
        <v>94</v>
      </c>
      <c r="C9541">
        <v>31387943</v>
      </c>
      <c r="D9541" t="s">
        <v>364</v>
      </c>
      <c r="E9541">
        <v>1.391</v>
      </c>
      <c r="F9541" t="s">
        <v>21</v>
      </c>
      <c r="G9541" t="s">
        <v>26</v>
      </c>
      <c r="H9541" t="s">
        <v>21</v>
      </c>
      <c r="I9541" t="s">
        <v>20</v>
      </c>
      <c r="J9541" t="s">
        <v>20</v>
      </c>
      <c r="K9541" t="s">
        <v>22</v>
      </c>
      <c r="L9541" t="s">
        <v>198</v>
      </c>
      <c r="M9541" t="s">
        <v>85</v>
      </c>
      <c r="N9541">
        <v>40.064839999999997</v>
      </c>
      <c r="O9541">
        <v>-111.73222699999999</v>
      </c>
      <c r="P9541">
        <v>4495.2557159999997</v>
      </c>
      <c r="Q9541">
        <v>1401</v>
      </c>
      <c r="R9541">
        <v>0</v>
      </c>
    </row>
    <row r="9542" spans="1:18" x14ac:dyDescent="0.25">
      <c r="A9542">
        <v>9391</v>
      </c>
      <c r="B9542">
        <v>94</v>
      </c>
      <c r="C9542">
        <v>31383572</v>
      </c>
      <c r="D9542" t="s">
        <v>184</v>
      </c>
      <c r="E9542">
        <v>1.3919999999999999</v>
      </c>
      <c r="F9542" t="s">
        <v>19</v>
      </c>
      <c r="G9542" t="s">
        <v>20</v>
      </c>
      <c r="H9542" t="s">
        <v>21</v>
      </c>
      <c r="I9542" t="s">
        <v>20</v>
      </c>
      <c r="J9542" t="s">
        <v>20</v>
      </c>
      <c r="K9542" t="s">
        <v>27</v>
      </c>
      <c r="L9542" t="s">
        <v>54</v>
      </c>
      <c r="M9542" t="s">
        <v>55</v>
      </c>
      <c r="N9542">
        <v>37.665765999999998</v>
      </c>
      <c r="O9542">
        <v>-113.06443299999999</v>
      </c>
      <c r="P9542">
        <v>5871.2737200000001</v>
      </c>
      <c r="Q9542">
        <v>1410</v>
      </c>
      <c r="R9542">
        <v>0</v>
      </c>
    </row>
    <row r="9543" spans="1:18" x14ac:dyDescent="0.25">
      <c r="A9543">
        <v>9392</v>
      </c>
      <c r="B9543">
        <v>94</v>
      </c>
      <c r="C9543">
        <v>31465495</v>
      </c>
      <c r="D9543" t="s">
        <v>264</v>
      </c>
      <c r="E9543">
        <v>1.3939999999999999</v>
      </c>
      <c r="F9543" t="s">
        <v>21</v>
      </c>
      <c r="G9543" t="s">
        <v>26</v>
      </c>
      <c r="H9543" t="s">
        <v>21</v>
      </c>
      <c r="I9543" t="s">
        <v>20</v>
      </c>
      <c r="J9543" t="s">
        <v>20</v>
      </c>
      <c r="K9543" t="s">
        <v>22</v>
      </c>
      <c r="L9543" t="s">
        <v>35</v>
      </c>
      <c r="M9543" t="s">
        <v>36</v>
      </c>
      <c r="N9543">
        <v>40.520448999999999</v>
      </c>
      <c r="O9543">
        <v>-111.487725</v>
      </c>
      <c r="P9543">
        <v>5649.1402619999999</v>
      </c>
      <c r="Q9543">
        <v>420</v>
      </c>
      <c r="R9543">
        <v>0</v>
      </c>
    </row>
    <row r="9544" spans="1:18" x14ac:dyDescent="0.25">
      <c r="A9544">
        <v>9393</v>
      </c>
      <c r="B9544">
        <v>94</v>
      </c>
      <c r="C9544">
        <v>31677268</v>
      </c>
      <c r="D9544" t="s">
        <v>258</v>
      </c>
      <c r="E9544">
        <v>1.395</v>
      </c>
      <c r="F9544" t="s">
        <v>21</v>
      </c>
      <c r="G9544" t="s">
        <v>20</v>
      </c>
      <c r="H9544" t="s">
        <v>21</v>
      </c>
      <c r="I9544" t="s">
        <v>20</v>
      </c>
      <c r="J9544" t="s">
        <v>20</v>
      </c>
      <c r="K9544" t="s">
        <v>27</v>
      </c>
      <c r="L9544" t="s">
        <v>259</v>
      </c>
      <c r="M9544" t="s">
        <v>29</v>
      </c>
      <c r="N9544">
        <v>37.020448999999999</v>
      </c>
      <c r="O9544">
        <v>-112.52491000000001</v>
      </c>
      <c r="P9544">
        <v>4795.8189510000002</v>
      </c>
      <c r="Q9544">
        <v>301</v>
      </c>
      <c r="R9544">
        <v>0</v>
      </c>
    </row>
    <row r="9545" spans="1:18" x14ac:dyDescent="0.25">
      <c r="A9545">
        <v>9394</v>
      </c>
      <c r="B9545">
        <v>94</v>
      </c>
      <c r="C9545">
        <v>31406261</v>
      </c>
      <c r="D9545" t="s">
        <v>74</v>
      </c>
      <c r="E9545">
        <v>1.3979999999999999</v>
      </c>
      <c r="F9545" t="s">
        <v>21</v>
      </c>
      <c r="G9545" t="s">
        <v>26</v>
      </c>
      <c r="H9545" t="s">
        <v>21</v>
      </c>
      <c r="I9545" t="s">
        <v>20</v>
      </c>
      <c r="J9545" t="s">
        <v>20</v>
      </c>
      <c r="K9545" t="s">
        <v>27</v>
      </c>
      <c r="L9545" t="s">
        <v>75</v>
      </c>
      <c r="M9545" t="s">
        <v>76</v>
      </c>
      <c r="N9545">
        <v>38.754918000000004</v>
      </c>
      <c r="O9545">
        <v>-112.085413</v>
      </c>
      <c r="P9545">
        <v>5226.905925</v>
      </c>
      <c r="Q9545">
        <v>332</v>
      </c>
      <c r="R9545">
        <v>0</v>
      </c>
    </row>
    <row r="9546" spans="1:18" x14ac:dyDescent="0.25">
      <c r="A9546">
        <v>9395</v>
      </c>
      <c r="B9546">
        <v>94</v>
      </c>
      <c r="C9546">
        <v>31835550</v>
      </c>
      <c r="D9546" t="s">
        <v>161</v>
      </c>
      <c r="E9546">
        <v>1.4</v>
      </c>
      <c r="F9546" t="s">
        <v>21</v>
      </c>
      <c r="G9546" t="s">
        <v>26</v>
      </c>
      <c r="H9546" t="s">
        <v>21</v>
      </c>
      <c r="I9546" t="s">
        <v>20</v>
      </c>
      <c r="J9546" t="s">
        <v>20</v>
      </c>
      <c r="K9546" t="s">
        <v>27</v>
      </c>
      <c r="L9546" t="s">
        <v>162</v>
      </c>
      <c r="M9546" t="s">
        <v>163</v>
      </c>
      <c r="N9546">
        <v>37.573593000000002</v>
      </c>
      <c r="O9546">
        <v>-113.70939799999999</v>
      </c>
      <c r="P9546">
        <v>5268.7479199999998</v>
      </c>
      <c r="Q9546">
        <v>419</v>
      </c>
      <c r="R9546">
        <v>0</v>
      </c>
    </row>
    <row r="9547" spans="1:18" x14ac:dyDescent="0.25">
      <c r="A9547">
        <v>9396</v>
      </c>
      <c r="B9547">
        <v>94</v>
      </c>
      <c r="C9547">
        <v>517933</v>
      </c>
      <c r="D9547" t="s">
        <v>44</v>
      </c>
      <c r="E9547">
        <v>1.4019999999999999</v>
      </c>
      <c r="F9547" t="s">
        <v>21</v>
      </c>
      <c r="G9547" t="s">
        <v>26</v>
      </c>
      <c r="H9547" t="s">
        <v>21</v>
      </c>
      <c r="I9547" t="s">
        <v>20</v>
      </c>
      <c r="J9547" t="s">
        <v>20</v>
      </c>
      <c r="K9547" t="s">
        <v>41</v>
      </c>
      <c r="L9547" t="s">
        <v>45</v>
      </c>
      <c r="M9547" t="s">
        <v>46</v>
      </c>
      <c r="N9547">
        <v>40.897753000000002</v>
      </c>
      <c r="O9547">
        <v>-111.879003</v>
      </c>
      <c r="P9547">
        <v>4291.1939609999999</v>
      </c>
      <c r="Q9547">
        <v>1395</v>
      </c>
      <c r="R9547">
        <v>0</v>
      </c>
    </row>
    <row r="9548" spans="1:18" x14ac:dyDescent="0.25">
      <c r="A9548">
        <v>9397</v>
      </c>
      <c r="B9548">
        <v>94</v>
      </c>
      <c r="C9548" t="e">
        <f>-IoIDm5IGPerZ8cBNPqgVF</f>
        <v>#NAME?</v>
      </c>
      <c r="D9548" t="s">
        <v>408</v>
      </c>
      <c r="E9548">
        <v>1.4019999999999999</v>
      </c>
      <c r="F9548" t="s">
        <v>21</v>
      </c>
      <c r="G9548" t="s">
        <v>26</v>
      </c>
      <c r="H9548" t="s">
        <v>21</v>
      </c>
      <c r="I9548" t="s">
        <v>20</v>
      </c>
      <c r="J9548" t="s">
        <v>20</v>
      </c>
      <c r="K9548" t="s">
        <v>27</v>
      </c>
      <c r="L9548" t="s">
        <v>75</v>
      </c>
      <c r="M9548" t="s">
        <v>366</v>
      </c>
      <c r="N9548">
        <v>38.683686000000002</v>
      </c>
      <c r="O9548">
        <v>-112.131433</v>
      </c>
      <c r="P9548">
        <v>5280.9872679999999</v>
      </c>
      <c r="Q9548">
        <v>428</v>
      </c>
      <c r="R9548">
        <v>0</v>
      </c>
    </row>
    <row r="9549" spans="1:18" x14ac:dyDescent="0.25">
      <c r="A9549">
        <v>9398</v>
      </c>
      <c r="B9549">
        <v>94</v>
      </c>
      <c r="C9549">
        <v>31660023</v>
      </c>
      <c r="D9549" t="s">
        <v>602</v>
      </c>
      <c r="E9549">
        <v>0.08</v>
      </c>
      <c r="F9549" t="s">
        <v>21</v>
      </c>
      <c r="G9549" t="s">
        <v>26</v>
      </c>
      <c r="H9549" t="s">
        <v>21</v>
      </c>
      <c r="I9549" t="s">
        <v>20</v>
      </c>
      <c r="J9549" t="s">
        <v>20</v>
      </c>
      <c r="K9549" t="s">
        <v>27</v>
      </c>
      <c r="L9549" t="s">
        <v>183</v>
      </c>
      <c r="M9549" t="s">
        <v>76</v>
      </c>
      <c r="N9549">
        <v>38.871651999999997</v>
      </c>
      <c r="O9549">
        <v>-111.96314599999999</v>
      </c>
      <c r="P9549">
        <v>5185.0481989999998</v>
      </c>
      <c r="Q9549">
        <v>1280</v>
      </c>
      <c r="R9549">
        <v>0</v>
      </c>
    </row>
    <row r="9550" spans="1:18" x14ac:dyDescent="0.25">
      <c r="A9550">
        <v>9399</v>
      </c>
      <c r="B9550">
        <v>94</v>
      </c>
      <c r="C9550">
        <v>27284834</v>
      </c>
      <c r="D9550" t="s">
        <v>154</v>
      </c>
      <c r="E9550">
        <v>0.19900000000000001</v>
      </c>
      <c r="F9550" t="s">
        <v>21</v>
      </c>
      <c r="G9550" t="s">
        <v>26</v>
      </c>
      <c r="H9550" t="s">
        <v>21</v>
      </c>
      <c r="I9550" t="s">
        <v>20</v>
      </c>
      <c r="J9550" t="s">
        <v>20</v>
      </c>
      <c r="K9550" t="s">
        <v>22</v>
      </c>
      <c r="L9550" t="s">
        <v>155</v>
      </c>
      <c r="M9550" t="s">
        <v>76</v>
      </c>
      <c r="N9550">
        <v>39.819110999999999</v>
      </c>
      <c r="O9550">
        <v>-111.851395</v>
      </c>
      <c r="P9550">
        <v>4935.631421</v>
      </c>
      <c r="Q9550">
        <v>1359</v>
      </c>
      <c r="R9550">
        <v>0</v>
      </c>
    </row>
    <row r="9551" spans="1:18" x14ac:dyDescent="0.25">
      <c r="A9551">
        <v>9400</v>
      </c>
      <c r="B9551">
        <v>94</v>
      </c>
      <c r="C9551">
        <v>31252255</v>
      </c>
      <c r="D9551" t="s">
        <v>303</v>
      </c>
      <c r="E9551">
        <v>0.2</v>
      </c>
      <c r="F9551" t="s">
        <v>21</v>
      </c>
      <c r="G9551" t="s">
        <v>26</v>
      </c>
      <c r="H9551" t="s">
        <v>21</v>
      </c>
      <c r="I9551" t="s">
        <v>20</v>
      </c>
      <c r="J9551" t="s">
        <v>20</v>
      </c>
      <c r="K9551" t="s">
        <v>27</v>
      </c>
      <c r="L9551" t="s">
        <v>72</v>
      </c>
      <c r="M9551" t="s">
        <v>73</v>
      </c>
      <c r="N9551">
        <v>37.166510000000002</v>
      </c>
      <c r="O9551">
        <v>-113.449341</v>
      </c>
      <c r="P9551">
        <v>3071.5218589999999</v>
      </c>
      <c r="Q9551">
        <v>1326</v>
      </c>
      <c r="R9551">
        <v>0</v>
      </c>
    </row>
    <row r="9552" spans="1:18" x14ac:dyDescent="0.25">
      <c r="A9552">
        <v>9401</v>
      </c>
      <c r="B9552">
        <v>94</v>
      </c>
      <c r="C9552">
        <v>27337683</v>
      </c>
      <c r="D9552" t="s">
        <v>372</v>
      </c>
      <c r="E9552">
        <v>0.2</v>
      </c>
      <c r="F9552" t="s">
        <v>21</v>
      </c>
      <c r="G9552" t="s">
        <v>26</v>
      </c>
      <c r="H9552" t="s">
        <v>21</v>
      </c>
      <c r="I9552" t="s">
        <v>20</v>
      </c>
      <c r="J9552" t="s">
        <v>20</v>
      </c>
      <c r="K9552" t="s">
        <v>31</v>
      </c>
      <c r="L9552" t="s">
        <v>373</v>
      </c>
      <c r="M9552" t="s">
        <v>283</v>
      </c>
      <c r="N9552">
        <v>40.736517999999997</v>
      </c>
      <c r="O9552">
        <v>-114.040116</v>
      </c>
      <c r="P9552">
        <v>4248.8342769999999</v>
      </c>
      <c r="Q9552">
        <v>1362</v>
      </c>
      <c r="R9552">
        <v>0</v>
      </c>
    </row>
    <row r="9553" spans="1:18" x14ac:dyDescent="0.25">
      <c r="A9553">
        <v>9402</v>
      </c>
      <c r="B9553">
        <v>94</v>
      </c>
      <c r="C9553">
        <v>31590318</v>
      </c>
      <c r="D9553" t="s">
        <v>145</v>
      </c>
      <c r="E9553">
        <v>0.2</v>
      </c>
      <c r="F9553" t="s">
        <v>21</v>
      </c>
      <c r="G9553" t="s">
        <v>26</v>
      </c>
      <c r="H9553" t="s">
        <v>21</v>
      </c>
      <c r="I9553" t="s">
        <v>20</v>
      </c>
      <c r="J9553" t="s">
        <v>20</v>
      </c>
      <c r="K9553" t="s">
        <v>27</v>
      </c>
      <c r="L9553" t="s">
        <v>146</v>
      </c>
      <c r="M9553" t="s">
        <v>147</v>
      </c>
      <c r="N9553">
        <v>37.872590000000002</v>
      </c>
      <c r="O9553">
        <v>-109.339236</v>
      </c>
      <c r="P9553">
        <v>6975.2776050000002</v>
      </c>
      <c r="Q9553">
        <v>1291</v>
      </c>
      <c r="R9553">
        <v>0</v>
      </c>
    </row>
    <row r="9554" spans="1:18" x14ac:dyDescent="0.25">
      <c r="A9554">
        <v>9403</v>
      </c>
      <c r="B9554">
        <v>94</v>
      </c>
      <c r="C9554">
        <v>1085837</v>
      </c>
      <c r="D9554" t="s">
        <v>108</v>
      </c>
      <c r="E9554">
        <v>0.20100000000000001</v>
      </c>
      <c r="F9554" t="s">
        <v>21</v>
      </c>
      <c r="G9554" t="s">
        <v>26</v>
      </c>
      <c r="H9554" t="s">
        <v>21</v>
      </c>
      <c r="I9554" t="s">
        <v>20</v>
      </c>
      <c r="J9554" t="s">
        <v>20</v>
      </c>
      <c r="K9554" t="s">
        <v>41</v>
      </c>
      <c r="L9554" t="s">
        <v>81</v>
      </c>
      <c r="M9554" t="s">
        <v>93</v>
      </c>
      <c r="N9554">
        <v>41.169181000000002</v>
      </c>
      <c r="O9554">
        <v>-112.022901</v>
      </c>
      <c r="P9554">
        <v>4495.269491</v>
      </c>
      <c r="Q9554">
        <v>1341</v>
      </c>
      <c r="R9554">
        <v>0</v>
      </c>
    </row>
    <row r="9555" spans="1:18" x14ac:dyDescent="0.25">
      <c r="A9555">
        <v>9404</v>
      </c>
      <c r="B9555">
        <v>94</v>
      </c>
      <c r="C9555">
        <v>27076845</v>
      </c>
      <c r="D9555" t="s">
        <v>351</v>
      </c>
      <c r="E9555">
        <v>0.20200000000000001</v>
      </c>
      <c r="F9555" t="s">
        <v>21</v>
      </c>
      <c r="G9555" t="s">
        <v>26</v>
      </c>
      <c r="H9555" t="s">
        <v>21</v>
      </c>
      <c r="I9555" t="s">
        <v>20</v>
      </c>
      <c r="J9555" t="s">
        <v>20</v>
      </c>
      <c r="K9555" t="s">
        <v>22</v>
      </c>
      <c r="L9555" t="s">
        <v>140</v>
      </c>
      <c r="M9555" t="s">
        <v>125</v>
      </c>
      <c r="N9555">
        <v>40.117787</v>
      </c>
      <c r="O9555">
        <v>-111.633752</v>
      </c>
      <c r="P9555">
        <v>4576.7739320000001</v>
      </c>
      <c r="Q9555">
        <v>1357</v>
      </c>
      <c r="R9555">
        <v>0</v>
      </c>
    </row>
    <row r="9556" spans="1:18" x14ac:dyDescent="0.25">
      <c r="A9556">
        <v>9405</v>
      </c>
      <c r="B9556">
        <v>94</v>
      </c>
      <c r="C9556">
        <v>31579989</v>
      </c>
      <c r="D9556" t="s">
        <v>601</v>
      </c>
      <c r="E9556">
        <v>0.20300000000000001</v>
      </c>
      <c r="F9556" t="s">
        <v>21</v>
      </c>
      <c r="G9556" t="s">
        <v>26</v>
      </c>
      <c r="H9556" t="s">
        <v>21</v>
      </c>
      <c r="I9556" t="s">
        <v>20</v>
      </c>
      <c r="J9556" t="s">
        <v>20</v>
      </c>
      <c r="K9556" t="s">
        <v>31</v>
      </c>
      <c r="L9556" t="s">
        <v>149</v>
      </c>
      <c r="M9556" t="s">
        <v>82</v>
      </c>
      <c r="N9556">
        <v>40.912962999999998</v>
      </c>
      <c r="O9556">
        <v>-111.400662</v>
      </c>
      <c r="P9556">
        <v>5526.5977240000002</v>
      </c>
      <c r="Q9556">
        <v>259</v>
      </c>
      <c r="R9556">
        <v>0</v>
      </c>
    </row>
    <row r="9557" spans="1:18" x14ac:dyDescent="0.25">
      <c r="A9557">
        <v>9406</v>
      </c>
      <c r="B9557">
        <v>94</v>
      </c>
      <c r="C9557" t="e">
        <f>-IpABBgkFMX-J_FN2p69VV</f>
        <v>#NAME?</v>
      </c>
      <c r="D9557" t="s">
        <v>126</v>
      </c>
      <c r="E9557">
        <v>0.20300000000000001</v>
      </c>
      <c r="F9557" t="s">
        <v>21</v>
      </c>
      <c r="G9557" t="s">
        <v>26</v>
      </c>
      <c r="H9557" t="s">
        <v>21</v>
      </c>
      <c r="I9557" t="s">
        <v>20</v>
      </c>
      <c r="J9557" t="s">
        <v>20</v>
      </c>
      <c r="K9557" t="s">
        <v>41</v>
      </c>
      <c r="L9557" t="s">
        <v>57</v>
      </c>
      <c r="M9557" t="s">
        <v>93</v>
      </c>
      <c r="N9557">
        <v>41.193728</v>
      </c>
      <c r="O9557">
        <v>-112.093104</v>
      </c>
      <c r="P9557">
        <v>4188.0525029999999</v>
      </c>
      <c r="Q9557">
        <v>1412</v>
      </c>
      <c r="R9557">
        <v>0</v>
      </c>
    </row>
    <row r="9558" spans="1:18" x14ac:dyDescent="0.25">
      <c r="A9558">
        <v>9407</v>
      </c>
      <c r="B9558">
        <v>94</v>
      </c>
      <c r="C9558">
        <v>27336534</v>
      </c>
      <c r="D9558" t="s">
        <v>185</v>
      </c>
      <c r="E9558">
        <v>0.20399999999999999</v>
      </c>
      <c r="F9558" t="s">
        <v>21</v>
      </c>
      <c r="G9558" t="s">
        <v>26</v>
      </c>
      <c r="H9558" t="s">
        <v>21</v>
      </c>
      <c r="I9558" t="s">
        <v>20</v>
      </c>
      <c r="J9558" t="s">
        <v>20</v>
      </c>
      <c r="K9558" t="s">
        <v>41</v>
      </c>
      <c r="L9558" t="s">
        <v>57</v>
      </c>
      <c r="M9558" t="s">
        <v>58</v>
      </c>
      <c r="N9558">
        <v>41.139856999999999</v>
      </c>
      <c r="O9558">
        <v>-112.029976</v>
      </c>
      <c r="P9558">
        <v>4458.8439410000001</v>
      </c>
      <c r="Q9558">
        <v>309</v>
      </c>
      <c r="R9558">
        <v>0</v>
      </c>
    </row>
    <row r="9559" spans="1:18" x14ac:dyDescent="0.25">
      <c r="A9559">
        <v>9408</v>
      </c>
      <c r="B9559">
        <v>94</v>
      </c>
      <c r="C9559">
        <v>31408647</v>
      </c>
      <c r="D9559" t="s">
        <v>970</v>
      </c>
      <c r="E9559">
        <v>0.20499999999999999</v>
      </c>
      <c r="F9559" t="s">
        <v>21</v>
      </c>
      <c r="G9559" t="s">
        <v>26</v>
      </c>
      <c r="H9559" t="s">
        <v>21</v>
      </c>
      <c r="I9559" t="s">
        <v>20</v>
      </c>
      <c r="J9559" t="s">
        <v>20</v>
      </c>
      <c r="K9559" t="s">
        <v>22</v>
      </c>
      <c r="L9559" t="s">
        <v>23</v>
      </c>
      <c r="M9559" t="s">
        <v>24</v>
      </c>
      <c r="N9559">
        <v>40.187913999999999</v>
      </c>
      <c r="O9559">
        <v>-111.644812</v>
      </c>
      <c r="P9559">
        <v>4450.7934180000002</v>
      </c>
      <c r="Q9559">
        <v>1373</v>
      </c>
      <c r="R9559">
        <v>0</v>
      </c>
    </row>
    <row r="9560" spans="1:18" x14ac:dyDescent="0.25">
      <c r="A9560">
        <v>9409</v>
      </c>
      <c r="B9560">
        <v>94</v>
      </c>
      <c r="C9560">
        <v>31411755</v>
      </c>
      <c r="D9560" t="s">
        <v>317</v>
      </c>
      <c r="E9560">
        <v>0.20499999999999999</v>
      </c>
      <c r="F9560" t="s">
        <v>21</v>
      </c>
      <c r="G9560" t="s">
        <v>26</v>
      </c>
      <c r="H9560" t="s">
        <v>21</v>
      </c>
      <c r="I9560" t="s">
        <v>20</v>
      </c>
      <c r="J9560" t="s">
        <v>20</v>
      </c>
      <c r="K9560" t="s">
        <v>27</v>
      </c>
      <c r="L9560" t="s">
        <v>211</v>
      </c>
      <c r="M9560" t="s">
        <v>212</v>
      </c>
      <c r="N9560">
        <v>37.001047999999997</v>
      </c>
      <c r="O9560">
        <v>-110.174637</v>
      </c>
      <c r="P9560">
        <v>5134.0964489999997</v>
      </c>
      <c r="Q9560">
        <v>1432</v>
      </c>
      <c r="R9560">
        <v>0</v>
      </c>
    </row>
    <row r="9561" spans="1:18" x14ac:dyDescent="0.25">
      <c r="A9561">
        <v>9410</v>
      </c>
      <c r="B9561">
        <v>94</v>
      </c>
      <c r="C9561">
        <v>31707280</v>
      </c>
      <c r="D9561" t="s">
        <v>118</v>
      </c>
      <c r="E9561">
        <v>0.20499999999999999</v>
      </c>
      <c r="F9561" t="s">
        <v>19</v>
      </c>
      <c r="G9561" t="s">
        <v>26</v>
      </c>
      <c r="H9561" t="s">
        <v>21</v>
      </c>
      <c r="I9561" t="s">
        <v>20</v>
      </c>
      <c r="J9561" t="s">
        <v>20</v>
      </c>
      <c r="K9561" t="s">
        <v>31</v>
      </c>
      <c r="L9561" t="s">
        <v>209</v>
      </c>
      <c r="M9561" t="s">
        <v>120</v>
      </c>
      <c r="N9561">
        <v>40.731625999999999</v>
      </c>
      <c r="O9561">
        <v>-111.497674</v>
      </c>
      <c r="P9561">
        <v>6406.9010269999999</v>
      </c>
      <c r="Q9561">
        <v>310</v>
      </c>
      <c r="R9561">
        <v>0</v>
      </c>
    </row>
    <row r="9562" spans="1:18" x14ac:dyDescent="0.25">
      <c r="A9562">
        <v>9411</v>
      </c>
      <c r="B9562">
        <v>94</v>
      </c>
      <c r="C9562">
        <v>31764257</v>
      </c>
      <c r="D9562" t="s">
        <v>312</v>
      </c>
      <c r="E9562">
        <v>0.20499999999999999</v>
      </c>
      <c r="F9562" t="s">
        <v>21</v>
      </c>
      <c r="G9562" t="s">
        <v>26</v>
      </c>
      <c r="H9562" t="s">
        <v>21</v>
      </c>
      <c r="I9562" t="s">
        <v>20</v>
      </c>
      <c r="J9562" t="s">
        <v>20</v>
      </c>
      <c r="K9562" t="s">
        <v>27</v>
      </c>
      <c r="L9562" t="s">
        <v>143</v>
      </c>
      <c r="M9562" t="s">
        <v>313</v>
      </c>
      <c r="N9562">
        <v>38.400019999999998</v>
      </c>
      <c r="O9562">
        <v>-113.010171</v>
      </c>
      <c r="P9562">
        <v>4906.5895339999997</v>
      </c>
      <c r="Q9562">
        <v>255</v>
      </c>
      <c r="R9562">
        <v>0</v>
      </c>
    </row>
    <row r="9563" spans="1:18" x14ac:dyDescent="0.25">
      <c r="A9563">
        <v>9412</v>
      </c>
      <c r="B9563">
        <v>94</v>
      </c>
      <c r="C9563">
        <v>979253</v>
      </c>
      <c r="D9563" t="s">
        <v>599</v>
      </c>
      <c r="E9563">
        <v>0.20799999999999999</v>
      </c>
      <c r="F9563" t="s">
        <v>19</v>
      </c>
      <c r="G9563" t="s">
        <v>20</v>
      </c>
      <c r="H9563" t="s">
        <v>21</v>
      </c>
      <c r="I9563" t="s">
        <v>20</v>
      </c>
      <c r="J9563" t="s">
        <v>20</v>
      </c>
      <c r="K9563" t="s">
        <v>41</v>
      </c>
      <c r="L9563" t="s">
        <v>45</v>
      </c>
      <c r="M9563" t="s">
        <v>67</v>
      </c>
      <c r="N9563">
        <v>40.861350999999999</v>
      </c>
      <c r="O9563">
        <v>-111.899371</v>
      </c>
      <c r="P9563">
        <v>4289.0064979999997</v>
      </c>
      <c r="Q9563">
        <v>1387</v>
      </c>
      <c r="R9563">
        <v>0</v>
      </c>
    </row>
    <row r="9564" spans="1:18" x14ac:dyDescent="0.25">
      <c r="A9564">
        <v>9413</v>
      </c>
      <c r="B9564">
        <v>94</v>
      </c>
      <c r="C9564">
        <v>27818396</v>
      </c>
      <c r="D9564" t="s">
        <v>409</v>
      </c>
      <c r="E9564">
        <v>0.159</v>
      </c>
      <c r="F9564" t="s">
        <v>21</v>
      </c>
      <c r="G9564" t="s">
        <v>26</v>
      </c>
      <c r="H9564" t="s">
        <v>21</v>
      </c>
      <c r="I9564" t="s">
        <v>20</v>
      </c>
      <c r="J9564" t="s">
        <v>20</v>
      </c>
      <c r="K9564" t="s">
        <v>27</v>
      </c>
      <c r="L9564" t="s">
        <v>51</v>
      </c>
      <c r="M9564" t="s">
        <v>117</v>
      </c>
      <c r="N9564">
        <v>38.071409000000003</v>
      </c>
      <c r="O9564">
        <v>-112.68747999999999</v>
      </c>
      <c r="P9564">
        <v>5871.1224750000001</v>
      </c>
      <c r="Q9564">
        <v>1337</v>
      </c>
      <c r="R9564">
        <v>0</v>
      </c>
    </row>
    <row r="9565" spans="1:18" x14ac:dyDescent="0.25">
      <c r="A9565">
        <v>9414</v>
      </c>
      <c r="B9565">
        <v>94</v>
      </c>
      <c r="C9565">
        <v>31191548</v>
      </c>
      <c r="D9565" t="s">
        <v>153</v>
      </c>
      <c r="E9565">
        <v>0.496</v>
      </c>
      <c r="F9565" t="s">
        <v>21</v>
      </c>
      <c r="G9565" t="s">
        <v>26</v>
      </c>
      <c r="H9565" t="s">
        <v>21</v>
      </c>
      <c r="I9565" t="s">
        <v>20</v>
      </c>
      <c r="J9565" t="s">
        <v>20</v>
      </c>
      <c r="K9565" t="s">
        <v>22</v>
      </c>
      <c r="L9565" t="s">
        <v>84</v>
      </c>
      <c r="M9565" t="s">
        <v>85</v>
      </c>
      <c r="N9565">
        <v>40.365119999999997</v>
      </c>
      <c r="O9565">
        <v>-111.738865</v>
      </c>
      <c r="P9565">
        <v>4577.5059090000004</v>
      </c>
      <c r="R9565">
        <v>0</v>
      </c>
    </row>
    <row r="9566" spans="1:18" x14ac:dyDescent="0.25">
      <c r="A9566">
        <v>9415</v>
      </c>
      <c r="B9566">
        <v>94</v>
      </c>
      <c r="C9566">
        <v>1604045</v>
      </c>
      <c r="D9566" t="s">
        <v>180</v>
      </c>
      <c r="E9566">
        <v>0.497</v>
      </c>
      <c r="F9566" t="s">
        <v>21</v>
      </c>
      <c r="G9566" t="s">
        <v>26</v>
      </c>
      <c r="H9566" t="s">
        <v>21</v>
      </c>
      <c r="I9566" t="s">
        <v>20</v>
      </c>
      <c r="J9566" t="s">
        <v>20</v>
      </c>
      <c r="K9566" t="s">
        <v>41</v>
      </c>
      <c r="L9566" t="s">
        <v>181</v>
      </c>
      <c r="M9566" t="s">
        <v>117</v>
      </c>
      <c r="N9566">
        <v>41.719130999999997</v>
      </c>
      <c r="O9566">
        <v>-112.16198199999999</v>
      </c>
      <c r="P9566">
        <v>4273.8752610000001</v>
      </c>
      <c r="Q9566">
        <v>1379</v>
      </c>
      <c r="R9566">
        <v>0</v>
      </c>
    </row>
    <row r="9567" spans="1:18" x14ac:dyDescent="0.25">
      <c r="A9567">
        <v>9416</v>
      </c>
      <c r="B9567">
        <v>94</v>
      </c>
      <c r="C9567" t="e">
        <f>-JLQeTcgH7i2pszisCtqtk</f>
        <v>#NAME?</v>
      </c>
      <c r="D9567" t="s">
        <v>101</v>
      </c>
      <c r="E9567">
        <v>0.497</v>
      </c>
      <c r="F9567" t="s">
        <v>21</v>
      </c>
      <c r="G9567" t="s">
        <v>26</v>
      </c>
      <c r="H9567" t="s">
        <v>21</v>
      </c>
      <c r="I9567" t="s">
        <v>20</v>
      </c>
      <c r="J9567" t="s">
        <v>20</v>
      </c>
      <c r="K9567" t="s">
        <v>41</v>
      </c>
      <c r="L9567" t="s">
        <v>57</v>
      </c>
      <c r="M9567" t="s">
        <v>58</v>
      </c>
      <c r="N9567">
        <v>41.118115000000003</v>
      </c>
      <c r="O9567">
        <v>-112.103042</v>
      </c>
      <c r="P9567">
        <v>4210.0520939999997</v>
      </c>
      <c r="Q9567">
        <v>328</v>
      </c>
      <c r="R9567">
        <v>0</v>
      </c>
    </row>
    <row r="9568" spans="1:18" x14ac:dyDescent="0.25">
      <c r="A9568">
        <v>9417</v>
      </c>
      <c r="B9568">
        <v>94</v>
      </c>
      <c r="C9568">
        <v>1294960</v>
      </c>
      <c r="D9568" t="s">
        <v>191</v>
      </c>
      <c r="E9568">
        <v>0.497</v>
      </c>
      <c r="F9568" t="s">
        <v>21</v>
      </c>
      <c r="G9568" t="s">
        <v>26</v>
      </c>
      <c r="H9568" t="s">
        <v>21</v>
      </c>
      <c r="I9568" t="s">
        <v>20</v>
      </c>
      <c r="J9568" t="s">
        <v>20</v>
      </c>
      <c r="K9568" t="s">
        <v>41</v>
      </c>
      <c r="L9568" t="s">
        <v>57</v>
      </c>
      <c r="M9568" t="s">
        <v>190</v>
      </c>
      <c r="N9568">
        <v>41.096487000000003</v>
      </c>
      <c r="O9568">
        <v>-112.11271000000001</v>
      </c>
      <c r="P9568">
        <v>4172.0381619999998</v>
      </c>
      <c r="Q9568">
        <v>329</v>
      </c>
      <c r="R9568">
        <v>0</v>
      </c>
    </row>
    <row r="9569" spans="1:18" x14ac:dyDescent="0.25">
      <c r="A9569">
        <v>9418</v>
      </c>
      <c r="B9569">
        <v>94</v>
      </c>
      <c r="C9569">
        <v>31655360</v>
      </c>
      <c r="D9569" t="s">
        <v>71</v>
      </c>
      <c r="E9569">
        <v>0.499</v>
      </c>
      <c r="F9569" t="s">
        <v>21</v>
      </c>
      <c r="G9569" t="s">
        <v>26</v>
      </c>
      <c r="H9569" t="s">
        <v>21</v>
      </c>
      <c r="I9569" t="s">
        <v>20</v>
      </c>
      <c r="J9569" t="s">
        <v>20</v>
      </c>
      <c r="K9569" t="s">
        <v>27</v>
      </c>
      <c r="L9569" t="s">
        <v>72</v>
      </c>
      <c r="M9569" t="s">
        <v>73</v>
      </c>
      <c r="N9569">
        <v>37.233375000000002</v>
      </c>
      <c r="O9569">
        <v>-113.366511</v>
      </c>
      <c r="P9569">
        <v>3328.9678269999999</v>
      </c>
      <c r="Q9569">
        <v>423</v>
      </c>
      <c r="R9569">
        <v>0</v>
      </c>
    </row>
    <row r="9570" spans="1:18" x14ac:dyDescent="0.25">
      <c r="A9570">
        <v>9419</v>
      </c>
      <c r="B9570">
        <v>94</v>
      </c>
      <c r="C9570">
        <v>1003038</v>
      </c>
      <c r="D9570" t="s">
        <v>171</v>
      </c>
      <c r="E9570">
        <v>0.499</v>
      </c>
      <c r="F9570" t="s">
        <v>19</v>
      </c>
      <c r="G9570" t="s">
        <v>20</v>
      </c>
      <c r="H9570" t="s">
        <v>21</v>
      </c>
      <c r="I9570" t="s">
        <v>20</v>
      </c>
      <c r="J9570" t="s">
        <v>20</v>
      </c>
      <c r="K9570" t="s">
        <v>31</v>
      </c>
      <c r="L9570" t="s">
        <v>78</v>
      </c>
      <c r="M9570" t="s">
        <v>79</v>
      </c>
      <c r="N9570">
        <v>40.696499000000003</v>
      </c>
      <c r="O9570">
        <v>-112.082311</v>
      </c>
      <c r="P9570">
        <v>4339.5657220000003</v>
      </c>
      <c r="Q9570">
        <v>346</v>
      </c>
      <c r="R9570">
        <v>0</v>
      </c>
    </row>
    <row r="9571" spans="1:18" x14ac:dyDescent="0.25">
      <c r="A9571">
        <v>9420</v>
      </c>
      <c r="B9571">
        <v>94</v>
      </c>
      <c r="C9571">
        <v>28614484</v>
      </c>
      <c r="D9571" t="s">
        <v>192</v>
      </c>
      <c r="E9571">
        <v>0.5</v>
      </c>
      <c r="F9571" t="s">
        <v>21</v>
      </c>
      <c r="G9571" t="s">
        <v>26</v>
      </c>
      <c r="H9571" t="s">
        <v>21</v>
      </c>
      <c r="I9571" t="s">
        <v>20</v>
      </c>
      <c r="J9571" t="s">
        <v>20</v>
      </c>
      <c r="K9571" t="s">
        <v>22</v>
      </c>
      <c r="L9571" t="s">
        <v>140</v>
      </c>
      <c r="M9571" t="s">
        <v>125</v>
      </c>
      <c r="N9571">
        <v>40.121920000000003</v>
      </c>
      <c r="O9571">
        <v>-111.73048300000001</v>
      </c>
      <c r="P9571">
        <v>4461.7022070000003</v>
      </c>
      <c r="Q9571">
        <v>1375</v>
      </c>
      <c r="R9571">
        <v>0</v>
      </c>
    </row>
    <row r="9572" spans="1:18" x14ac:dyDescent="0.25">
      <c r="A9572">
        <v>9421</v>
      </c>
      <c r="B9572">
        <v>94</v>
      </c>
      <c r="C9572" t="e">
        <f>-JLe9rGOIw1AZTMdXH9XDV</f>
        <v>#NAME?</v>
      </c>
      <c r="D9572" t="s">
        <v>80</v>
      </c>
      <c r="E9572">
        <v>0.5</v>
      </c>
      <c r="F9572" t="s">
        <v>21</v>
      </c>
      <c r="G9572" t="s">
        <v>26</v>
      </c>
      <c r="H9572" t="s">
        <v>21</v>
      </c>
      <c r="I9572" t="s">
        <v>20</v>
      </c>
      <c r="J9572" t="s">
        <v>20</v>
      </c>
      <c r="K9572" t="s">
        <v>41</v>
      </c>
      <c r="L9572" t="s">
        <v>81</v>
      </c>
      <c r="M9572" t="s">
        <v>82</v>
      </c>
      <c r="N9572">
        <v>41.228673000000001</v>
      </c>
      <c r="O9572">
        <v>-112.015807</v>
      </c>
      <c r="P9572">
        <v>4210.7212220000001</v>
      </c>
      <c r="Q9572">
        <v>1393</v>
      </c>
      <c r="R9572">
        <v>0</v>
      </c>
    </row>
    <row r="9573" spans="1:18" x14ac:dyDescent="0.25">
      <c r="A9573">
        <v>9422</v>
      </c>
      <c r="B9573">
        <v>94</v>
      </c>
      <c r="C9573" t="s">
        <v>1115</v>
      </c>
      <c r="D9573" t="s">
        <v>154</v>
      </c>
      <c r="E9573">
        <v>0.51600000000000001</v>
      </c>
      <c r="F9573" t="s">
        <v>21</v>
      </c>
      <c r="G9573" t="s">
        <v>26</v>
      </c>
      <c r="H9573" t="s">
        <v>21</v>
      </c>
      <c r="I9573" t="s">
        <v>20</v>
      </c>
      <c r="J9573" t="s">
        <v>20</v>
      </c>
      <c r="K9573" t="s">
        <v>22</v>
      </c>
      <c r="L9573" t="s">
        <v>155</v>
      </c>
      <c r="M9573" t="s">
        <v>76</v>
      </c>
      <c r="N9573">
        <v>39.821084999999997</v>
      </c>
      <c r="O9573">
        <v>-111.84624599999999</v>
      </c>
      <c r="P9573">
        <v>4960.6893149999996</v>
      </c>
      <c r="Q9573">
        <v>1359</v>
      </c>
      <c r="R9573">
        <v>0</v>
      </c>
    </row>
    <row r="9574" spans="1:18" x14ac:dyDescent="0.25">
      <c r="A9574">
        <v>9423</v>
      </c>
      <c r="B9574">
        <v>94</v>
      </c>
      <c r="C9574" t="e">
        <f>-IowQahsIS1ixRaCl-Gyzk</f>
        <v>#NAME?</v>
      </c>
      <c r="D9574" t="s">
        <v>127</v>
      </c>
      <c r="E9574">
        <v>0.51700000000000002</v>
      </c>
      <c r="F9574" t="s">
        <v>21</v>
      </c>
      <c r="G9574" t="s">
        <v>26</v>
      </c>
      <c r="H9574" t="s">
        <v>21</v>
      </c>
      <c r="I9574" t="s">
        <v>20</v>
      </c>
      <c r="J9574" t="s">
        <v>20</v>
      </c>
      <c r="K9574" t="s">
        <v>41</v>
      </c>
      <c r="L9574" t="s">
        <v>95</v>
      </c>
      <c r="M9574" t="s">
        <v>73</v>
      </c>
      <c r="N9574">
        <v>41.975403</v>
      </c>
      <c r="O9574">
        <v>-111.944016</v>
      </c>
      <c r="P9574">
        <v>4426.907099</v>
      </c>
      <c r="Q9574">
        <v>1364</v>
      </c>
      <c r="R9574">
        <v>0</v>
      </c>
    </row>
    <row r="9575" spans="1:18" x14ac:dyDescent="0.25">
      <c r="A9575">
        <v>9424</v>
      </c>
      <c r="B9575">
        <v>94</v>
      </c>
      <c r="C9575" t="e">
        <f>-JMIOOfyGNi2sstddKc6qk</f>
        <v>#NAME?</v>
      </c>
      <c r="D9575" t="s">
        <v>59</v>
      </c>
      <c r="E9575">
        <v>0.51900000000000002</v>
      </c>
      <c r="F9575" t="s">
        <v>21</v>
      </c>
      <c r="G9575" t="s">
        <v>26</v>
      </c>
      <c r="H9575" t="s">
        <v>21</v>
      </c>
      <c r="I9575" t="s">
        <v>20</v>
      </c>
      <c r="J9575" t="s">
        <v>20</v>
      </c>
      <c r="K9575" t="s">
        <v>22</v>
      </c>
      <c r="L9575" t="s">
        <v>60</v>
      </c>
      <c r="M9575" t="s">
        <v>24</v>
      </c>
      <c r="N9575">
        <v>40.311751000000001</v>
      </c>
      <c r="O9575">
        <v>-111.724757</v>
      </c>
      <c r="P9575">
        <v>4593.5102470000002</v>
      </c>
      <c r="Q9575">
        <v>313</v>
      </c>
      <c r="R9575">
        <v>0</v>
      </c>
    </row>
    <row r="9576" spans="1:18" x14ac:dyDescent="0.25">
      <c r="A9576">
        <v>9425</v>
      </c>
      <c r="B9576">
        <v>94</v>
      </c>
      <c r="C9576">
        <v>31289508</v>
      </c>
      <c r="D9576" t="s">
        <v>308</v>
      </c>
      <c r="E9576">
        <v>0.52</v>
      </c>
      <c r="F9576" t="s">
        <v>21</v>
      </c>
      <c r="G9576" t="s">
        <v>26</v>
      </c>
      <c r="H9576" t="s">
        <v>21</v>
      </c>
      <c r="I9576" t="s">
        <v>20</v>
      </c>
      <c r="J9576" t="s">
        <v>20</v>
      </c>
      <c r="K9576" t="s">
        <v>27</v>
      </c>
      <c r="L9576" t="s">
        <v>230</v>
      </c>
      <c r="M9576" t="s">
        <v>82</v>
      </c>
      <c r="N9576">
        <v>39.634385000000002</v>
      </c>
      <c r="O9576">
        <v>-111.431157</v>
      </c>
      <c r="P9576">
        <v>6026.2162340000004</v>
      </c>
      <c r="Q9576">
        <v>1344</v>
      </c>
      <c r="R9576">
        <v>0</v>
      </c>
    </row>
    <row r="9577" spans="1:18" x14ac:dyDescent="0.25">
      <c r="A9577">
        <v>9426</v>
      </c>
      <c r="B9577">
        <v>94</v>
      </c>
      <c r="C9577" t="e">
        <f>-IoHHSCfGHexaEh5WE8iwk</f>
        <v>#NAME?</v>
      </c>
      <c r="D9577" t="s">
        <v>176</v>
      </c>
      <c r="E9577">
        <v>0.52</v>
      </c>
      <c r="F9577" t="s">
        <v>21</v>
      </c>
      <c r="G9577" t="s">
        <v>26</v>
      </c>
      <c r="H9577" t="s">
        <v>21</v>
      </c>
      <c r="I9577" t="s">
        <v>20</v>
      </c>
      <c r="J9577" t="s">
        <v>20</v>
      </c>
      <c r="K9577" t="s">
        <v>41</v>
      </c>
      <c r="L9577" t="s">
        <v>177</v>
      </c>
      <c r="M9577" t="s">
        <v>178</v>
      </c>
      <c r="N9577">
        <v>41.494115999999998</v>
      </c>
      <c r="O9577">
        <v>-112.016093</v>
      </c>
      <c r="P9577">
        <v>4334.2854049999996</v>
      </c>
      <c r="Q9577">
        <v>1329</v>
      </c>
      <c r="R9577">
        <v>0</v>
      </c>
    </row>
    <row r="9578" spans="1:18" x14ac:dyDescent="0.25">
      <c r="A9578">
        <v>9427</v>
      </c>
      <c r="B9578">
        <v>94</v>
      </c>
      <c r="C9578" t="s">
        <v>1116</v>
      </c>
      <c r="D9578" t="s">
        <v>244</v>
      </c>
      <c r="E9578">
        <v>0.52100000000000002</v>
      </c>
      <c r="F9578" t="s">
        <v>21</v>
      </c>
      <c r="G9578" t="s">
        <v>26</v>
      </c>
      <c r="H9578" t="s">
        <v>21</v>
      </c>
      <c r="I9578" t="s">
        <v>20</v>
      </c>
      <c r="J9578" t="s">
        <v>20</v>
      </c>
      <c r="K9578" t="s">
        <v>27</v>
      </c>
      <c r="L9578" t="s">
        <v>183</v>
      </c>
      <c r="M9578" t="s">
        <v>58</v>
      </c>
      <c r="N9578">
        <v>38.949485000000003</v>
      </c>
      <c r="O9578">
        <v>-111.878539</v>
      </c>
      <c r="P9578">
        <v>5080.4707710000002</v>
      </c>
      <c r="Q9578">
        <v>1340</v>
      </c>
      <c r="R9578">
        <v>0</v>
      </c>
    </row>
    <row r="9579" spans="1:18" x14ac:dyDescent="0.25">
      <c r="A9579">
        <v>9428</v>
      </c>
      <c r="B9579">
        <v>94</v>
      </c>
      <c r="C9579" t="s">
        <v>1117</v>
      </c>
      <c r="D9579" t="s">
        <v>110</v>
      </c>
      <c r="E9579">
        <v>0.52300000000000002</v>
      </c>
      <c r="F9579" t="s">
        <v>21</v>
      </c>
      <c r="G9579" t="s">
        <v>20</v>
      </c>
      <c r="H9579" t="s">
        <v>21</v>
      </c>
      <c r="I9579" t="s">
        <v>20</v>
      </c>
      <c r="J9579" t="s">
        <v>20</v>
      </c>
      <c r="K9579" t="s">
        <v>27</v>
      </c>
      <c r="L9579" t="s">
        <v>111</v>
      </c>
      <c r="M9579" t="s">
        <v>112</v>
      </c>
      <c r="N9579">
        <v>39.183422999999998</v>
      </c>
      <c r="O9579">
        <v>-111.047628</v>
      </c>
      <c r="P9579">
        <v>5683.1672580000004</v>
      </c>
      <c r="Q9579">
        <v>1361</v>
      </c>
      <c r="R9579">
        <v>0</v>
      </c>
    </row>
    <row r="9580" spans="1:18" x14ac:dyDescent="0.25">
      <c r="A9580">
        <v>9429</v>
      </c>
      <c r="B9580">
        <v>94</v>
      </c>
      <c r="C9580">
        <v>493983</v>
      </c>
      <c r="D9580" t="s">
        <v>249</v>
      </c>
      <c r="E9580">
        <v>0.52400000000000002</v>
      </c>
      <c r="F9580" t="s">
        <v>21</v>
      </c>
      <c r="G9580" t="s">
        <v>26</v>
      </c>
      <c r="H9580" t="s">
        <v>21</v>
      </c>
      <c r="I9580" t="s">
        <v>20</v>
      </c>
      <c r="J9580" t="s">
        <v>20</v>
      </c>
      <c r="K9580" t="s">
        <v>31</v>
      </c>
      <c r="L9580" t="s">
        <v>89</v>
      </c>
      <c r="M9580" t="s">
        <v>24</v>
      </c>
      <c r="N9580">
        <v>40.486488999999999</v>
      </c>
      <c r="O9580">
        <v>-111.93423900000001</v>
      </c>
      <c r="P9580">
        <v>4342.7027289999996</v>
      </c>
      <c r="Q9580">
        <v>337</v>
      </c>
      <c r="R9580">
        <v>0</v>
      </c>
    </row>
    <row r="9581" spans="1:18" x14ac:dyDescent="0.25">
      <c r="A9581">
        <v>9430</v>
      </c>
      <c r="B9581">
        <v>94</v>
      </c>
      <c r="C9581">
        <v>31544045</v>
      </c>
      <c r="D9581" t="s">
        <v>102</v>
      </c>
      <c r="E9581">
        <v>0.52700000000000002</v>
      </c>
      <c r="F9581" t="s">
        <v>21</v>
      </c>
      <c r="G9581" t="s">
        <v>26</v>
      </c>
      <c r="H9581" t="s">
        <v>21</v>
      </c>
      <c r="I9581" t="s">
        <v>20</v>
      </c>
      <c r="J9581" t="s">
        <v>20</v>
      </c>
      <c r="K9581" t="s">
        <v>27</v>
      </c>
      <c r="L9581" t="s">
        <v>103</v>
      </c>
      <c r="M9581" t="s">
        <v>104</v>
      </c>
      <c r="N9581">
        <v>38.253599000000001</v>
      </c>
      <c r="O9581">
        <v>-112.64634700000001</v>
      </c>
      <c r="P9581">
        <v>5785.8159139999998</v>
      </c>
      <c r="Q9581">
        <v>1430</v>
      </c>
      <c r="R9581">
        <v>0</v>
      </c>
    </row>
    <row r="9582" spans="1:18" x14ac:dyDescent="0.25">
      <c r="A9582">
        <v>9431</v>
      </c>
      <c r="B9582">
        <v>94</v>
      </c>
      <c r="C9582">
        <v>31406659</v>
      </c>
      <c r="D9582" t="s">
        <v>257</v>
      </c>
      <c r="E9582">
        <v>0.52700000000000002</v>
      </c>
      <c r="F9582" t="s">
        <v>21</v>
      </c>
      <c r="G9582" t="s">
        <v>26</v>
      </c>
      <c r="H9582" t="s">
        <v>21</v>
      </c>
      <c r="I9582" t="s">
        <v>20</v>
      </c>
      <c r="J9582" t="s">
        <v>20</v>
      </c>
      <c r="K9582" t="s">
        <v>22</v>
      </c>
      <c r="L9582" t="s">
        <v>140</v>
      </c>
      <c r="M9582" t="s">
        <v>76</v>
      </c>
      <c r="N9582">
        <v>40.085312000000002</v>
      </c>
      <c r="O9582">
        <v>-111.693398</v>
      </c>
      <c r="P9582">
        <v>4485.6726259999996</v>
      </c>
      <c r="Q9582">
        <v>1433</v>
      </c>
      <c r="R9582">
        <v>0</v>
      </c>
    </row>
    <row r="9583" spans="1:18" x14ac:dyDescent="0.25">
      <c r="A9583">
        <v>9432</v>
      </c>
      <c r="B9583">
        <v>94</v>
      </c>
      <c r="C9583">
        <v>28864520</v>
      </c>
      <c r="D9583" t="s">
        <v>18</v>
      </c>
      <c r="E9583">
        <v>0.52700000000000002</v>
      </c>
      <c r="F9583" t="s">
        <v>19</v>
      </c>
      <c r="G9583" t="s">
        <v>20</v>
      </c>
      <c r="H9583" t="s">
        <v>21</v>
      </c>
      <c r="I9583" t="s">
        <v>20</v>
      </c>
      <c r="J9583" t="s">
        <v>20</v>
      </c>
      <c r="K9583" t="s">
        <v>22</v>
      </c>
      <c r="L9583" t="s">
        <v>23</v>
      </c>
      <c r="M9583" t="s">
        <v>24</v>
      </c>
      <c r="N9583">
        <v>40.275275000000001</v>
      </c>
      <c r="O9583">
        <v>-111.717331</v>
      </c>
      <c r="P9583">
        <v>4522.8092640000004</v>
      </c>
      <c r="Q9583">
        <v>1281</v>
      </c>
      <c r="R9583">
        <v>0</v>
      </c>
    </row>
    <row r="9584" spans="1:18" x14ac:dyDescent="0.25">
      <c r="A9584">
        <v>9433</v>
      </c>
      <c r="B9584">
        <v>94</v>
      </c>
      <c r="C9584">
        <v>1000422</v>
      </c>
      <c r="D9584" t="s">
        <v>604</v>
      </c>
      <c r="E9584">
        <v>0.52700000000000002</v>
      </c>
      <c r="F9584" t="s">
        <v>19</v>
      </c>
      <c r="G9584" t="s">
        <v>20</v>
      </c>
      <c r="H9584" t="s">
        <v>21</v>
      </c>
      <c r="I9584" t="s">
        <v>20</v>
      </c>
      <c r="J9584" t="s">
        <v>20</v>
      </c>
      <c r="K9584" t="s">
        <v>41</v>
      </c>
      <c r="L9584" t="s">
        <v>45</v>
      </c>
      <c r="M9584" t="s">
        <v>46</v>
      </c>
      <c r="N9584">
        <v>40.921512</v>
      </c>
      <c r="O9584">
        <v>-111.890272</v>
      </c>
      <c r="P9584">
        <v>4197.3900180000001</v>
      </c>
      <c r="Q9584">
        <v>1394</v>
      </c>
      <c r="R9584">
        <v>0</v>
      </c>
    </row>
    <row r="9585" spans="1:18" x14ac:dyDescent="0.25">
      <c r="A9585">
        <v>9434</v>
      </c>
      <c r="B9585">
        <v>94</v>
      </c>
      <c r="C9585" t="e">
        <f>-IorcRGFImqjm4SFzR8Qpk</f>
        <v>#NAME?</v>
      </c>
      <c r="D9585" t="s">
        <v>175</v>
      </c>
      <c r="E9585">
        <v>0.59299999999999997</v>
      </c>
      <c r="F9585" t="s">
        <v>21</v>
      </c>
      <c r="G9585" t="s">
        <v>26</v>
      </c>
      <c r="H9585" t="s">
        <v>21</v>
      </c>
      <c r="I9585" t="s">
        <v>20</v>
      </c>
      <c r="J9585" t="s">
        <v>20</v>
      </c>
      <c r="K9585" t="s">
        <v>41</v>
      </c>
      <c r="L9585" t="s">
        <v>87</v>
      </c>
      <c r="M9585" t="s">
        <v>93</v>
      </c>
      <c r="N9585">
        <v>41.060076000000002</v>
      </c>
      <c r="O9585">
        <v>-111.95473699999999</v>
      </c>
      <c r="P9585">
        <v>4314.3281710000001</v>
      </c>
      <c r="Q9585">
        <v>1397</v>
      </c>
      <c r="R9585">
        <v>0</v>
      </c>
    </row>
    <row r="9586" spans="1:18" x14ac:dyDescent="0.25">
      <c r="A9586">
        <v>9435</v>
      </c>
      <c r="B9586">
        <v>94</v>
      </c>
      <c r="C9586" t="e">
        <f>-JLL70ObIPLzoyZmFFYJFk</f>
        <v>#NAME?</v>
      </c>
      <c r="D9586" t="s">
        <v>377</v>
      </c>
      <c r="E9586">
        <v>0.94599999999999995</v>
      </c>
      <c r="F9586" t="s">
        <v>21</v>
      </c>
      <c r="G9586" t="s">
        <v>26</v>
      </c>
      <c r="H9586" t="s">
        <v>21</v>
      </c>
      <c r="I9586" t="s">
        <v>20</v>
      </c>
      <c r="J9586" t="s">
        <v>20</v>
      </c>
      <c r="K9586" t="s">
        <v>22</v>
      </c>
      <c r="L9586" t="s">
        <v>84</v>
      </c>
      <c r="M9586" t="s">
        <v>24</v>
      </c>
      <c r="N9586">
        <v>40.372641999999999</v>
      </c>
      <c r="O9586">
        <v>-111.785414</v>
      </c>
      <c r="P9586">
        <v>4539.5127940000002</v>
      </c>
      <c r="Q9586">
        <v>1439</v>
      </c>
      <c r="R9586">
        <v>0</v>
      </c>
    </row>
    <row r="9587" spans="1:18" x14ac:dyDescent="0.25">
      <c r="A9587">
        <v>9436</v>
      </c>
      <c r="B9587">
        <v>94</v>
      </c>
      <c r="C9587" t="e">
        <f>-JNU6VLnFsuvquO5nEw2FF</f>
        <v>#NAME?</v>
      </c>
      <c r="D9587" t="s">
        <v>187</v>
      </c>
      <c r="E9587">
        <v>0.94699999999999995</v>
      </c>
      <c r="F9587" t="s">
        <v>21</v>
      </c>
      <c r="G9587" t="s">
        <v>26</v>
      </c>
      <c r="H9587" t="s">
        <v>21</v>
      </c>
      <c r="I9587" t="s">
        <v>20</v>
      </c>
      <c r="J9587" t="s">
        <v>20</v>
      </c>
      <c r="K9587" t="s">
        <v>31</v>
      </c>
      <c r="L9587" t="s">
        <v>188</v>
      </c>
      <c r="M9587" t="s">
        <v>90</v>
      </c>
      <c r="N9587">
        <v>40.761659999999999</v>
      </c>
      <c r="O9587">
        <v>-111.837076</v>
      </c>
      <c r="P9587">
        <v>4756.4130809999997</v>
      </c>
      <c r="Q9587">
        <v>435</v>
      </c>
      <c r="R9587">
        <v>0</v>
      </c>
    </row>
    <row r="9588" spans="1:18" x14ac:dyDescent="0.25">
      <c r="A9588">
        <v>9437</v>
      </c>
      <c r="B9588">
        <v>94</v>
      </c>
      <c r="C9588" t="s">
        <v>1118</v>
      </c>
      <c r="D9588" t="s">
        <v>187</v>
      </c>
      <c r="E9588">
        <v>0.94699999999999995</v>
      </c>
      <c r="F9588" t="s">
        <v>21</v>
      </c>
      <c r="G9588" t="s">
        <v>26</v>
      </c>
      <c r="H9588" t="s">
        <v>21</v>
      </c>
      <c r="I9588" t="s">
        <v>20</v>
      </c>
      <c r="J9588" t="s">
        <v>20</v>
      </c>
      <c r="K9588" t="s">
        <v>31</v>
      </c>
      <c r="L9588" t="s">
        <v>188</v>
      </c>
      <c r="M9588" t="s">
        <v>90</v>
      </c>
      <c r="N9588">
        <v>40.761547</v>
      </c>
      <c r="O9588">
        <v>-111.836963</v>
      </c>
      <c r="P9588">
        <v>4756.4453659999999</v>
      </c>
      <c r="Q9588">
        <v>435</v>
      </c>
      <c r="R9588">
        <v>0</v>
      </c>
    </row>
    <row r="9589" spans="1:18" x14ac:dyDescent="0.25">
      <c r="A9589">
        <v>9438</v>
      </c>
      <c r="B9589">
        <v>94</v>
      </c>
      <c r="C9589" t="e">
        <f>-IpYrhFRG9isOwLS60GwXF</f>
        <v>#NAME?</v>
      </c>
      <c r="D9589" t="s">
        <v>107</v>
      </c>
      <c r="E9589">
        <v>0.95299999999999996</v>
      </c>
      <c r="F9589" t="s">
        <v>21</v>
      </c>
      <c r="G9589" t="s">
        <v>26</v>
      </c>
      <c r="H9589" t="s">
        <v>21</v>
      </c>
      <c r="I9589" t="s">
        <v>20</v>
      </c>
      <c r="J9589" t="s">
        <v>20</v>
      </c>
      <c r="K9589" t="s">
        <v>41</v>
      </c>
      <c r="L9589" t="s">
        <v>81</v>
      </c>
      <c r="M9589" t="s">
        <v>93</v>
      </c>
      <c r="N9589">
        <v>41.206465000000001</v>
      </c>
      <c r="O9589">
        <v>-111.979266</v>
      </c>
      <c r="P9589">
        <v>4261.0023879999999</v>
      </c>
      <c r="Q9589">
        <v>413</v>
      </c>
      <c r="R9589">
        <v>0</v>
      </c>
    </row>
    <row r="9590" spans="1:18" x14ac:dyDescent="0.25">
      <c r="A9590">
        <v>9439</v>
      </c>
      <c r="B9590">
        <v>94</v>
      </c>
      <c r="C9590">
        <v>31466332</v>
      </c>
      <c r="D9590" t="s">
        <v>404</v>
      </c>
      <c r="E9590">
        <v>0.95699999999999996</v>
      </c>
      <c r="F9590" t="s">
        <v>21</v>
      </c>
      <c r="G9590" t="s">
        <v>26</v>
      </c>
      <c r="H9590" t="s">
        <v>21</v>
      </c>
      <c r="I9590" t="s">
        <v>20</v>
      </c>
      <c r="J9590" t="s">
        <v>20</v>
      </c>
      <c r="K9590" t="s">
        <v>27</v>
      </c>
      <c r="L9590" t="s">
        <v>405</v>
      </c>
      <c r="M9590" t="s">
        <v>238</v>
      </c>
      <c r="N9590">
        <v>38.971116000000002</v>
      </c>
      <c r="O9590">
        <v>-109.714742</v>
      </c>
      <c r="P9590">
        <v>5072.3660659999996</v>
      </c>
      <c r="Q9590">
        <v>325</v>
      </c>
      <c r="R9590">
        <v>0</v>
      </c>
    </row>
    <row r="9591" spans="1:18" x14ac:dyDescent="0.25">
      <c r="A9591">
        <v>9440</v>
      </c>
      <c r="B9591">
        <v>94</v>
      </c>
      <c r="C9591" t="s">
        <v>1119</v>
      </c>
      <c r="D9591" t="s">
        <v>395</v>
      </c>
      <c r="E9591">
        <v>0.96099999999999997</v>
      </c>
      <c r="F9591" t="s">
        <v>21</v>
      </c>
      <c r="G9591" t="s">
        <v>20</v>
      </c>
      <c r="H9591" t="s">
        <v>21</v>
      </c>
      <c r="I9591" t="s">
        <v>20</v>
      </c>
      <c r="J9591" t="s">
        <v>20</v>
      </c>
      <c r="K9591" t="s">
        <v>27</v>
      </c>
      <c r="L9591" t="s">
        <v>165</v>
      </c>
      <c r="M9591" t="s">
        <v>166</v>
      </c>
      <c r="N9591">
        <v>38.807847000000002</v>
      </c>
      <c r="O9591">
        <v>-112.437752</v>
      </c>
      <c r="P9591">
        <v>4920.9808210000001</v>
      </c>
      <c r="Q9591">
        <v>335</v>
      </c>
      <c r="R9591">
        <v>0</v>
      </c>
    </row>
    <row r="9592" spans="1:18" x14ac:dyDescent="0.25">
      <c r="A9592">
        <v>9441</v>
      </c>
      <c r="B9592">
        <v>94</v>
      </c>
      <c r="C9592" t="e">
        <f>-JPu2XXaFPuCkbqrYNjBPF</f>
        <v>#NAME?</v>
      </c>
      <c r="D9592" t="s">
        <v>167</v>
      </c>
      <c r="E9592">
        <v>0.96499999999999997</v>
      </c>
      <c r="F9592" t="s">
        <v>21</v>
      </c>
      <c r="G9592" t="s">
        <v>20</v>
      </c>
      <c r="H9592" t="s">
        <v>21</v>
      </c>
      <c r="I9592" t="s">
        <v>20</v>
      </c>
      <c r="J9592" t="s">
        <v>20</v>
      </c>
      <c r="K9592" t="s">
        <v>22</v>
      </c>
      <c r="L9592" t="s">
        <v>168</v>
      </c>
      <c r="M9592" t="s">
        <v>169</v>
      </c>
      <c r="N9592">
        <v>40.219431</v>
      </c>
      <c r="O9592">
        <v>-110.72514</v>
      </c>
      <c r="P9592">
        <v>6522.5273420000003</v>
      </c>
      <c r="Q9592">
        <v>354</v>
      </c>
      <c r="R9592">
        <v>0</v>
      </c>
    </row>
    <row r="9593" spans="1:18" x14ac:dyDescent="0.25">
      <c r="A9593">
        <v>9442</v>
      </c>
      <c r="B9593">
        <v>94</v>
      </c>
      <c r="C9593" t="s">
        <v>1120</v>
      </c>
      <c r="D9593" t="s">
        <v>1121</v>
      </c>
      <c r="E9593">
        <v>0</v>
      </c>
      <c r="F9593" t="s">
        <v>21</v>
      </c>
      <c r="G9593" t="s">
        <v>26</v>
      </c>
      <c r="H9593" t="s">
        <v>21</v>
      </c>
      <c r="I9593" t="s">
        <v>20</v>
      </c>
      <c r="J9593" t="s">
        <v>20</v>
      </c>
      <c r="K9593" t="s">
        <v>27</v>
      </c>
      <c r="L9593" t="s">
        <v>103</v>
      </c>
      <c r="M9593" t="s">
        <v>106</v>
      </c>
      <c r="N9593">
        <v>38.130960000000002</v>
      </c>
      <c r="O9593">
        <v>-112.628642</v>
      </c>
      <c r="P9593">
        <v>6234.8217089999998</v>
      </c>
      <c r="Q9593">
        <v>6661</v>
      </c>
      <c r="R9593">
        <v>0</v>
      </c>
    </row>
    <row r="9594" spans="1:18" x14ac:dyDescent="0.25">
      <c r="A9594">
        <v>9443</v>
      </c>
      <c r="B9594">
        <v>94</v>
      </c>
      <c r="C9594" t="e">
        <f>-JRGFA65ICH20E4pPpfaEF</f>
        <v>#NAME?</v>
      </c>
      <c r="D9594" t="s">
        <v>1122</v>
      </c>
      <c r="E9594">
        <v>0</v>
      </c>
      <c r="F9594" t="s">
        <v>21</v>
      </c>
      <c r="G9594" t="s">
        <v>26</v>
      </c>
      <c r="H9594" t="s">
        <v>21</v>
      </c>
      <c r="I9594" t="s">
        <v>20</v>
      </c>
      <c r="J9594" t="s">
        <v>20</v>
      </c>
      <c r="K9594" t="s">
        <v>27</v>
      </c>
      <c r="L9594" t="s">
        <v>242</v>
      </c>
      <c r="M9594" t="s">
        <v>973</v>
      </c>
      <c r="N9594">
        <v>38.842916000000002</v>
      </c>
      <c r="O9594">
        <v>-111.06496199999999</v>
      </c>
      <c r="P9594">
        <v>5547.991712</v>
      </c>
      <c r="Q9594">
        <v>6662</v>
      </c>
      <c r="R9594">
        <v>0</v>
      </c>
    </row>
    <row r="9595" spans="1:18" x14ac:dyDescent="0.25">
      <c r="A9595">
        <v>9444</v>
      </c>
      <c r="B9595">
        <v>94</v>
      </c>
      <c r="C9595" t="s">
        <v>1123</v>
      </c>
      <c r="D9595" t="s">
        <v>1124</v>
      </c>
      <c r="E9595">
        <v>0</v>
      </c>
      <c r="F9595" t="s">
        <v>21</v>
      </c>
      <c r="G9595" t="s">
        <v>26</v>
      </c>
      <c r="H9595" t="s">
        <v>21</v>
      </c>
      <c r="I9595" t="s">
        <v>20</v>
      </c>
      <c r="J9595" t="s">
        <v>20</v>
      </c>
      <c r="K9595" t="s">
        <v>27</v>
      </c>
      <c r="L9595" t="s">
        <v>72</v>
      </c>
      <c r="M9595" t="s">
        <v>948</v>
      </c>
      <c r="N9595">
        <v>37.361417000000003</v>
      </c>
      <c r="O9595">
        <v>-113.261668</v>
      </c>
      <c r="P9595">
        <v>4160.2938180000001</v>
      </c>
      <c r="Q9595">
        <v>1333</v>
      </c>
      <c r="R9595">
        <v>0</v>
      </c>
    </row>
    <row r="9596" spans="1:18" x14ac:dyDescent="0.25">
      <c r="A9596">
        <v>9445</v>
      </c>
      <c r="B9596">
        <v>94</v>
      </c>
      <c r="C9596" t="e">
        <f>-Is_7fDpGLDFszAyw5GsqV</f>
        <v>#NAME?</v>
      </c>
      <c r="D9596" t="s">
        <v>1125</v>
      </c>
      <c r="E9596">
        <v>0</v>
      </c>
      <c r="F9596" t="s">
        <v>21</v>
      </c>
      <c r="G9596" t="s">
        <v>26</v>
      </c>
      <c r="H9596" t="s">
        <v>21</v>
      </c>
      <c r="I9596" t="s">
        <v>20</v>
      </c>
      <c r="J9596" t="s">
        <v>20</v>
      </c>
      <c r="K9596" t="s">
        <v>31</v>
      </c>
      <c r="L9596" t="s">
        <v>209</v>
      </c>
      <c r="M9596" t="s">
        <v>147</v>
      </c>
      <c r="N9596">
        <v>40.716831999999997</v>
      </c>
      <c r="O9596">
        <v>-111.488049</v>
      </c>
      <c r="P9596">
        <v>6484.9861360000004</v>
      </c>
      <c r="Q9596">
        <v>310</v>
      </c>
      <c r="R9596">
        <v>0</v>
      </c>
    </row>
    <row r="9597" spans="1:18" x14ac:dyDescent="0.25">
      <c r="A9597">
        <v>9446</v>
      </c>
      <c r="B9597">
        <v>94</v>
      </c>
      <c r="C9597" t="e">
        <f>-JQtoo5WFn5EfQ2kYPSBZk</f>
        <v>#NAME?</v>
      </c>
      <c r="D9597" t="s">
        <v>1126</v>
      </c>
      <c r="E9597">
        <v>0</v>
      </c>
      <c r="F9597" t="s">
        <v>21</v>
      </c>
      <c r="G9597" t="s">
        <v>26</v>
      </c>
      <c r="H9597" t="s">
        <v>21</v>
      </c>
      <c r="I9597" t="s">
        <v>20</v>
      </c>
      <c r="J9597" t="s">
        <v>20</v>
      </c>
      <c r="K9597" t="s">
        <v>31</v>
      </c>
      <c r="L9597" t="s">
        <v>285</v>
      </c>
      <c r="M9597" t="s">
        <v>123</v>
      </c>
      <c r="N9597">
        <v>40.746409999999997</v>
      </c>
      <c r="O9597">
        <v>-112.65271300000001</v>
      </c>
      <c r="P9597">
        <v>4163.4623869999996</v>
      </c>
      <c r="Q9597">
        <v>6663</v>
      </c>
      <c r="R9597">
        <v>0</v>
      </c>
    </row>
    <row r="9598" spans="1:18" x14ac:dyDescent="0.25">
      <c r="A9598">
        <v>9447</v>
      </c>
      <c r="B9598">
        <v>94</v>
      </c>
      <c r="C9598" t="e">
        <f>-JPvsX-wFPuQhwxbVT8kTV</f>
        <v>#NAME?</v>
      </c>
      <c r="D9598" t="s">
        <v>1127</v>
      </c>
      <c r="E9598">
        <v>0</v>
      </c>
      <c r="F9598" t="s">
        <v>21</v>
      </c>
      <c r="G9598" t="s">
        <v>26</v>
      </c>
      <c r="H9598" t="s">
        <v>21</v>
      </c>
      <c r="I9598" t="s">
        <v>20</v>
      </c>
      <c r="J9598" t="s">
        <v>20</v>
      </c>
      <c r="K9598" t="s">
        <v>27</v>
      </c>
      <c r="L9598" t="s">
        <v>51</v>
      </c>
      <c r="M9598" t="s">
        <v>106</v>
      </c>
      <c r="N9598">
        <v>37.804008000000003</v>
      </c>
      <c r="O9598">
        <v>-112.948154</v>
      </c>
      <c r="P9598">
        <v>5849.8370420000001</v>
      </c>
      <c r="Q9598">
        <v>6661</v>
      </c>
      <c r="R9598">
        <v>0</v>
      </c>
    </row>
    <row r="9599" spans="1:18" x14ac:dyDescent="0.25">
      <c r="A9599">
        <v>9448</v>
      </c>
      <c r="B9599">
        <v>94</v>
      </c>
      <c r="C9599" t="s">
        <v>1128</v>
      </c>
      <c r="D9599" t="s">
        <v>1129</v>
      </c>
      <c r="E9599">
        <v>0</v>
      </c>
      <c r="F9599" t="s">
        <v>21</v>
      </c>
      <c r="G9599" t="s">
        <v>26</v>
      </c>
      <c r="H9599" t="s">
        <v>21</v>
      </c>
      <c r="I9599" t="s">
        <v>20</v>
      </c>
      <c r="J9599" t="s">
        <v>20</v>
      </c>
      <c r="K9599" t="s">
        <v>27</v>
      </c>
      <c r="L9599" t="s">
        <v>337</v>
      </c>
      <c r="M9599" t="s">
        <v>978</v>
      </c>
      <c r="N9599">
        <v>38.586882000000003</v>
      </c>
      <c r="O9599">
        <v>-112.49021999999999</v>
      </c>
      <c r="P9599">
        <v>7020.4503070000001</v>
      </c>
      <c r="Q9599">
        <v>1370</v>
      </c>
      <c r="R9599">
        <v>0</v>
      </c>
    </row>
    <row r="9600" spans="1:18" x14ac:dyDescent="0.25">
      <c r="A9600">
        <v>9449</v>
      </c>
      <c r="B9600">
        <v>94</v>
      </c>
      <c r="C9600">
        <v>1085691</v>
      </c>
      <c r="D9600" t="s">
        <v>1053</v>
      </c>
      <c r="E9600">
        <v>0</v>
      </c>
      <c r="F9600" t="s">
        <v>21</v>
      </c>
      <c r="G9600" t="s">
        <v>26</v>
      </c>
      <c r="H9600" t="s">
        <v>19</v>
      </c>
      <c r="I9600">
        <v>89</v>
      </c>
      <c r="J9600" t="s">
        <v>20</v>
      </c>
      <c r="K9600" t="s">
        <v>41</v>
      </c>
      <c r="L9600" t="s">
        <v>95</v>
      </c>
      <c r="M9600" t="s">
        <v>152</v>
      </c>
      <c r="N9600">
        <v>41.963160999999999</v>
      </c>
      <c r="O9600">
        <v>-111.531099</v>
      </c>
      <c r="P9600">
        <v>6913.3972800000001</v>
      </c>
      <c r="Q9600">
        <v>254</v>
      </c>
      <c r="R9600">
        <v>0</v>
      </c>
    </row>
    <row r="9601" spans="1:18" x14ac:dyDescent="0.25">
      <c r="A9601">
        <v>9450</v>
      </c>
      <c r="B9601">
        <v>94</v>
      </c>
      <c r="C9601" t="e">
        <f>-JQz-OOiIwHxuz8eFFlHZF</f>
        <v>#NAME?</v>
      </c>
      <c r="D9601" t="s">
        <v>1130</v>
      </c>
      <c r="E9601">
        <v>0</v>
      </c>
      <c r="F9601" t="s">
        <v>21</v>
      </c>
      <c r="G9601" t="s">
        <v>26</v>
      </c>
      <c r="H9601" t="s">
        <v>21</v>
      </c>
      <c r="I9601" t="s">
        <v>20</v>
      </c>
      <c r="J9601" t="s">
        <v>20</v>
      </c>
      <c r="K9601" t="s">
        <v>27</v>
      </c>
      <c r="L9601" t="s">
        <v>405</v>
      </c>
      <c r="M9601" t="s">
        <v>973</v>
      </c>
      <c r="N9601">
        <v>38.941324000000002</v>
      </c>
      <c r="O9601">
        <v>-109.614785</v>
      </c>
      <c r="P9601">
        <v>4770.9568069999996</v>
      </c>
      <c r="Q9601">
        <v>1370</v>
      </c>
      <c r="R9601">
        <v>0</v>
      </c>
    </row>
    <row r="9602" spans="1:18" x14ac:dyDescent="0.25">
      <c r="A9602">
        <v>9451</v>
      </c>
      <c r="B9602">
        <v>94</v>
      </c>
      <c r="C9602" t="s">
        <v>1131</v>
      </c>
      <c r="D9602" t="s">
        <v>1132</v>
      </c>
      <c r="E9602">
        <v>0</v>
      </c>
      <c r="F9602" t="s">
        <v>21</v>
      </c>
      <c r="G9602" t="s">
        <v>26</v>
      </c>
      <c r="H9602" t="s">
        <v>21</v>
      </c>
      <c r="I9602" t="s">
        <v>20</v>
      </c>
      <c r="J9602" t="s">
        <v>20</v>
      </c>
      <c r="K9602" t="s">
        <v>27</v>
      </c>
      <c r="L9602" t="s">
        <v>72</v>
      </c>
      <c r="M9602" t="s">
        <v>125</v>
      </c>
      <c r="N9602">
        <v>37.148113000000002</v>
      </c>
      <c r="O9602">
        <v>-113.48837399999999</v>
      </c>
      <c r="P9602">
        <v>2973.3769189999998</v>
      </c>
      <c r="Q9602">
        <v>6661</v>
      </c>
      <c r="R9602">
        <v>0</v>
      </c>
    </row>
    <row r="9603" spans="1:18" x14ac:dyDescent="0.25">
      <c r="A9603">
        <v>9452</v>
      </c>
      <c r="B9603">
        <v>94</v>
      </c>
      <c r="C9603">
        <v>31309013</v>
      </c>
      <c r="D9603" t="s">
        <v>40</v>
      </c>
      <c r="E9603">
        <v>0</v>
      </c>
      <c r="F9603" t="s">
        <v>21</v>
      </c>
      <c r="G9603" t="s">
        <v>26</v>
      </c>
      <c r="H9603" t="s">
        <v>19</v>
      </c>
      <c r="I9603">
        <v>23</v>
      </c>
      <c r="J9603" t="s">
        <v>20</v>
      </c>
      <c r="K9603" t="s">
        <v>41</v>
      </c>
      <c r="L9603" t="s">
        <v>42</v>
      </c>
      <c r="M9603" t="s">
        <v>43</v>
      </c>
      <c r="N9603">
        <v>41.638755000000003</v>
      </c>
      <c r="O9603">
        <v>-111.934383</v>
      </c>
      <c r="P9603">
        <v>4493.1140429999996</v>
      </c>
      <c r="Q9603">
        <v>1391</v>
      </c>
      <c r="R9603">
        <v>0</v>
      </c>
    </row>
    <row r="9604" spans="1:18" x14ac:dyDescent="0.25">
      <c r="A9604">
        <v>9453</v>
      </c>
      <c r="B9604">
        <v>94</v>
      </c>
      <c r="C9604" t="e">
        <f>-Iq3QEmJGVa3vrlRZ1Kkpk</f>
        <v>#NAME?</v>
      </c>
      <c r="D9604" t="s">
        <v>1133</v>
      </c>
      <c r="E9604">
        <v>0</v>
      </c>
      <c r="F9604" t="s">
        <v>21</v>
      </c>
      <c r="G9604" t="s">
        <v>26</v>
      </c>
      <c r="H9604" t="s">
        <v>21</v>
      </c>
      <c r="I9604" t="s">
        <v>20</v>
      </c>
      <c r="J9604" t="s">
        <v>20</v>
      </c>
      <c r="K9604" t="s">
        <v>27</v>
      </c>
      <c r="L9604" t="s">
        <v>183</v>
      </c>
      <c r="M9604" t="s">
        <v>978</v>
      </c>
      <c r="N9604">
        <v>38.878180999999998</v>
      </c>
      <c r="O9604">
        <v>-111.56490599999999</v>
      </c>
      <c r="P9604">
        <v>6695.400388</v>
      </c>
      <c r="Q9604">
        <v>1370</v>
      </c>
      <c r="R9604">
        <v>0</v>
      </c>
    </row>
    <row r="9605" spans="1:18" x14ac:dyDescent="0.25">
      <c r="A9605">
        <v>9454</v>
      </c>
      <c r="B9605">
        <v>94</v>
      </c>
      <c r="C9605" t="e">
        <f>-Is_8_MhHADuNFyDbqtdHV</f>
        <v>#NAME?</v>
      </c>
      <c r="D9605" t="s">
        <v>1134</v>
      </c>
      <c r="E9605">
        <v>0</v>
      </c>
      <c r="F9605" t="s">
        <v>21</v>
      </c>
      <c r="G9605" t="s">
        <v>26</v>
      </c>
      <c r="H9605" t="s">
        <v>21</v>
      </c>
      <c r="I9605" t="s">
        <v>20</v>
      </c>
      <c r="J9605" t="s">
        <v>20</v>
      </c>
      <c r="K9605" t="s">
        <v>31</v>
      </c>
      <c r="L9605" t="s">
        <v>209</v>
      </c>
      <c r="M9605" t="s">
        <v>147</v>
      </c>
      <c r="N9605">
        <v>40.718958000000001</v>
      </c>
      <c r="O9605">
        <v>-111.485919</v>
      </c>
      <c r="P9605">
        <v>6473.1061460000001</v>
      </c>
      <c r="Q9605">
        <v>1350</v>
      </c>
      <c r="R9605">
        <v>0</v>
      </c>
    </row>
    <row r="9606" spans="1:18" x14ac:dyDescent="0.25">
      <c r="A9606">
        <v>9455</v>
      </c>
      <c r="B9606">
        <v>94</v>
      </c>
      <c r="C9606" t="e">
        <f>-JQV827tFCHUgJpm6rmgfV</f>
        <v>#NAME?</v>
      </c>
      <c r="D9606" t="s">
        <v>1135</v>
      </c>
      <c r="E9606">
        <v>0</v>
      </c>
      <c r="F9606" t="s">
        <v>21</v>
      </c>
      <c r="G9606" t="s">
        <v>26</v>
      </c>
      <c r="H9606" t="s">
        <v>21</v>
      </c>
      <c r="I9606" t="s">
        <v>20</v>
      </c>
      <c r="J9606" t="s">
        <v>20</v>
      </c>
      <c r="K9606" t="s">
        <v>27</v>
      </c>
      <c r="L9606" t="s">
        <v>165</v>
      </c>
      <c r="M9606" t="s">
        <v>76</v>
      </c>
      <c r="N9606">
        <v>39.082147999999997</v>
      </c>
      <c r="O9606">
        <v>-112.275437</v>
      </c>
      <c r="P9606">
        <v>5093.9030979999998</v>
      </c>
      <c r="Q9606">
        <v>1333</v>
      </c>
      <c r="R9606">
        <v>0</v>
      </c>
    </row>
    <row r="9607" spans="1:18" x14ac:dyDescent="0.25">
      <c r="A9607">
        <v>9456</v>
      </c>
      <c r="B9607">
        <v>94</v>
      </c>
      <c r="C9607" t="e">
        <f>-JY1udHfHfDkfTR3vNVHQF</f>
        <v>#NAME?</v>
      </c>
      <c r="D9607" t="s">
        <v>1136</v>
      </c>
      <c r="E9607">
        <v>0</v>
      </c>
      <c r="F9607" t="s">
        <v>21</v>
      </c>
      <c r="G9607" t="s">
        <v>26</v>
      </c>
      <c r="H9607" t="s">
        <v>21</v>
      </c>
      <c r="I9607" t="s">
        <v>20</v>
      </c>
      <c r="J9607" t="s">
        <v>20</v>
      </c>
      <c r="K9607" t="s">
        <v>41</v>
      </c>
      <c r="L9607" t="s">
        <v>137</v>
      </c>
      <c r="M9607" t="s">
        <v>328</v>
      </c>
      <c r="N9607">
        <v>41.057777999999999</v>
      </c>
      <c r="O9607">
        <v>-111.591998</v>
      </c>
      <c r="P9607">
        <v>5127.159576</v>
      </c>
      <c r="Q9607">
        <v>1381</v>
      </c>
      <c r="R9607">
        <v>0</v>
      </c>
    </row>
    <row r="9608" spans="1:18" x14ac:dyDescent="0.25">
      <c r="A9608">
        <v>9457</v>
      </c>
      <c r="B9608">
        <v>94</v>
      </c>
      <c r="C9608">
        <v>31506878</v>
      </c>
      <c r="D9608" t="s">
        <v>132</v>
      </c>
      <c r="E9608">
        <v>0</v>
      </c>
      <c r="F9608" t="s">
        <v>19</v>
      </c>
      <c r="G9608" t="s">
        <v>20</v>
      </c>
      <c r="H9608" t="s">
        <v>19</v>
      </c>
      <c r="I9608">
        <v>40</v>
      </c>
      <c r="J9608">
        <v>191</v>
      </c>
      <c r="K9608" t="s">
        <v>22</v>
      </c>
      <c r="L9608" t="s">
        <v>133</v>
      </c>
      <c r="M9608" t="s">
        <v>134</v>
      </c>
      <c r="N9608">
        <v>40.302132</v>
      </c>
      <c r="O9608">
        <v>-109.98889</v>
      </c>
      <c r="P9608">
        <v>5039.6922549999999</v>
      </c>
      <c r="Q9608">
        <v>1405</v>
      </c>
      <c r="R9608">
        <v>0</v>
      </c>
    </row>
    <row r="9609" spans="1:18" x14ac:dyDescent="0.25">
      <c r="A9609">
        <v>9458</v>
      </c>
      <c r="B9609">
        <v>94</v>
      </c>
      <c r="C9609">
        <v>31414136</v>
      </c>
      <c r="D9609" t="s">
        <v>107</v>
      </c>
      <c r="E9609">
        <v>0</v>
      </c>
      <c r="F9609" t="s">
        <v>19</v>
      </c>
      <c r="G9609" t="s">
        <v>20</v>
      </c>
      <c r="H9609" t="s">
        <v>19</v>
      </c>
      <c r="I9609">
        <v>26</v>
      </c>
      <c r="J9609" t="s">
        <v>20</v>
      </c>
      <c r="K9609" t="s">
        <v>41</v>
      </c>
      <c r="L9609" t="s">
        <v>81</v>
      </c>
      <c r="M9609" t="s">
        <v>93</v>
      </c>
      <c r="N9609">
        <v>41.192601000000003</v>
      </c>
      <c r="O9609">
        <v>-111.97933999999999</v>
      </c>
      <c r="P9609">
        <v>4321.136031</v>
      </c>
      <c r="Q9609">
        <v>413</v>
      </c>
      <c r="R9609">
        <v>0</v>
      </c>
    </row>
    <row r="9610" spans="1:18" x14ac:dyDescent="0.25">
      <c r="A9610">
        <v>9459</v>
      </c>
      <c r="B9610">
        <v>94</v>
      </c>
      <c r="C9610">
        <v>31469679</v>
      </c>
      <c r="D9610" t="s">
        <v>167</v>
      </c>
      <c r="E9610">
        <v>0</v>
      </c>
      <c r="F9610" t="s">
        <v>21</v>
      </c>
      <c r="G9610" t="s">
        <v>26</v>
      </c>
      <c r="H9610" t="s">
        <v>19</v>
      </c>
      <c r="I9610">
        <v>40</v>
      </c>
      <c r="J9610" t="s">
        <v>20</v>
      </c>
      <c r="K9610" t="s">
        <v>22</v>
      </c>
      <c r="L9610" t="s">
        <v>168</v>
      </c>
      <c r="M9610" t="s">
        <v>169</v>
      </c>
      <c r="N9610">
        <v>40.206238999999997</v>
      </c>
      <c r="O9610">
        <v>-110.731138</v>
      </c>
      <c r="P9610">
        <v>6618.8167620000004</v>
      </c>
      <c r="Q9610">
        <v>354</v>
      </c>
      <c r="R9610">
        <v>0</v>
      </c>
    </row>
    <row r="9611" spans="1:18" x14ac:dyDescent="0.25">
      <c r="A9611">
        <v>9460</v>
      </c>
      <c r="B9611">
        <v>94</v>
      </c>
      <c r="C9611">
        <v>1000179</v>
      </c>
      <c r="D9611" t="s">
        <v>171</v>
      </c>
      <c r="E9611">
        <v>0</v>
      </c>
      <c r="F9611" t="s">
        <v>19</v>
      </c>
      <c r="G9611" t="s">
        <v>20</v>
      </c>
      <c r="H9611" t="s">
        <v>21</v>
      </c>
      <c r="I9611" t="s">
        <v>20</v>
      </c>
      <c r="J9611" t="s">
        <v>20</v>
      </c>
      <c r="K9611" t="s">
        <v>31</v>
      </c>
      <c r="L9611" t="s">
        <v>78</v>
      </c>
      <c r="M9611" t="s">
        <v>79</v>
      </c>
      <c r="N9611">
        <v>40.696497999999998</v>
      </c>
      <c r="O9611">
        <v>-112.091774</v>
      </c>
      <c r="P9611">
        <v>4353.8232539999999</v>
      </c>
      <c r="Q9611">
        <v>346</v>
      </c>
      <c r="R9611">
        <v>0</v>
      </c>
    </row>
    <row r="9612" spans="1:18" x14ac:dyDescent="0.25">
      <c r="A9612">
        <v>9461</v>
      </c>
      <c r="B9612">
        <v>94</v>
      </c>
      <c r="C9612">
        <v>31820102</v>
      </c>
      <c r="D9612" t="s">
        <v>304</v>
      </c>
      <c r="E9612">
        <v>0</v>
      </c>
      <c r="F9612" t="s">
        <v>21</v>
      </c>
      <c r="G9612" t="s">
        <v>26</v>
      </c>
      <c r="H9612" t="s">
        <v>19</v>
      </c>
      <c r="I9612">
        <v>13</v>
      </c>
      <c r="J9612" t="s">
        <v>20</v>
      </c>
      <c r="K9612" t="s">
        <v>41</v>
      </c>
      <c r="L9612" t="s">
        <v>177</v>
      </c>
      <c r="M9612" t="s">
        <v>43</v>
      </c>
      <c r="N9612">
        <v>41.528281999999997</v>
      </c>
      <c r="O9612">
        <v>-112.015497</v>
      </c>
      <c r="P9612">
        <v>4256.3647540000002</v>
      </c>
      <c r="Q9612">
        <v>1348</v>
      </c>
      <c r="R9612">
        <v>0</v>
      </c>
    </row>
    <row r="9613" spans="1:18" x14ac:dyDescent="0.25">
      <c r="A9613">
        <v>9462</v>
      </c>
      <c r="B9613">
        <v>94</v>
      </c>
      <c r="C9613" t="e">
        <f>-JRRpYGKF_iAUC9FT_yFvV</f>
        <v>#NAME?</v>
      </c>
      <c r="D9613" t="s">
        <v>1137</v>
      </c>
      <c r="E9613">
        <v>0</v>
      </c>
      <c r="F9613" t="s">
        <v>21</v>
      </c>
      <c r="G9613" t="s">
        <v>26</v>
      </c>
      <c r="H9613" t="s">
        <v>21</v>
      </c>
      <c r="I9613" t="s">
        <v>20</v>
      </c>
      <c r="J9613" t="s">
        <v>20</v>
      </c>
      <c r="K9613" t="s">
        <v>27</v>
      </c>
      <c r="L9613" t="s">
        <v>183</v>
      </c>
      <c r="M9613" t="s">
        <v>379</v>
      </c>
      <c r="N9613">
        <v>38.758243999999998</v>
      </c>
      <c r="O9613">
        <v>-111.425235</v>
      </c>
      <c r="P9613">
        <v>7099.2027619999999</v>
      </c>
      <c r="Q9613">
        <v>6662</v>
      </c>
      <c r="R9613">
        <v>0</v>
      </c>
    </row>
    <row r="9614" spans="1:18" x14ac:dyDescent="0.25">
      <c r="A9614">
        <v>9463</v>
      </c>
      <c r="B9614">
        <v>94</v>
      </c>
      <c r="C9614">
        <v>1437313</v>
      </c>
      <c r="D9614" t="s">
        <v>304</v>
      </c>
      <c r="E9614">
        <v>0.35099999999999998</v>
      </c>
      <c r="F9614" t="s">
        <v>21</v>
      </c>
      <c r="G9614" t="s">
        <v>26</v>
      </c>
      <c r="H9614" t="s">
        <v>21</v>
      </c>
      <c r="I9614" t="s">
        <v>20</v>
      </c>
      <c r="J9614" t="s">
        <v>20</v>
      </c>
      <c r="K9614" t="s">
        <v>41</v>
      </c>
      <c r="L9614" t="s">
        <v>177</v>
      </c>
      <c r="M9614" t="s">
        <v>43</v>
      </c>
      <c r="N9614">
        <v>41.533425999999999</v>
      </c>
      <c r="O9614">
        <v>-112.01540799999999</v>
      </c>
      <c r="P9614">
        <v>4226.0579639999996</v>
      </c>
      <c r="Q9614">
        <v>1348</v>
      </c>
      <c r="R9614">
        <v>0</v>
      </c>
    </row>
    <row r="9615" spans="1:18" x14ac:dyDescent="0.25">
      <c r="A9615">
        <v>9464</v>
      </c>
      <c r="B9615">
        <v>94</v>
      </c>
      <c r="C9615">
        <v>982761</v>
      </c>
      <c r="D9615" t="s">
        <v>599</v>
      </c>
      <c r="E9615">
        <v>0.35399999999999998</v>
      </c>
      <c r="F9615" t="s">
        <v>19</v>
      </c>
      <c r="G9615" t="s">
        <v>20</v>
      </c>
      <c r="H9615" t="s">
        <v>19</v>
      </c>
      <c r="I9615">
        <v>89</v>
      </c>
      <c r="J9615" t="s">
        <v>20</v>
      </c>
      <c r="K9615" t="s">
        <v>41</v>
      </c>
      <c r="L9615" t="s">
        <v>45</v>
      </c>
      <c r="M9615" t="s">
        <v>67</v>
      </c>
      <c r="N9615">
        <v>40.861601</v>
      </c>
      <c r="O9615">
        <v>-111.896377</v>
      </c>
      <c r="P9615">
        <v>4327.8642019999998</v>
      </c>
      <c r="Q9615">
        <v>1387</v>
      </c>
      <c r="R9615">
        <v>0</v>
      </c>
    </row>
    <row r="9616" spans="1:18" x14ac:dyDescent="0.25">
      <c r="A9616">
        <v>9465</v>
      </c>
      <c r="B9616">
        <v>94</v>
      </c>
      <c r="C9616">
        <v>31528859</v>
      </c>
      <c r="D9616" t="s">
        <v>716</v>
      </c>
      <c r="E9616">
        <v>0.35399999999999998</v>
      </c>
      <c r="F9616" t="s">
        <v>21</v>
      </c>
      <c r="G9616" t="s">
        <v>26</v>
      </c>
      <c r="H9616" t="s">
        <v>21</v>
      </c>
      <c r="I9616" t="s">
        <v>20</v>
      </c>
      <c r="J9616" t="s">
        <v>20</v>
      </c>
      <c r="K9616" t="s">
        <v>27</v>
      </c>
      <c r="L9616" t="s">
        <v>51</v>
      </c>
      <c r="M9616" t="s">
        <v>106</v>
      </c>
      <c r="N9616">
        <v>37.847372</v>
      </c>
      <c r="O9616">
        <v>-112.82772199999999</v>
      </c>
      <c r="P9616">
        <v>5907.7570390000001</v>
      </c>
      <c r="Q9616">
        <v>433</v>
      </c>
      <c r="R9616">
        <v>0</v>
      </c>
    </row>
    <row r="9617" spans="1:18" x14ac:dyDescent="0.25">
      <c r="A9617">
        <v>9466</v>
      </c>
      <c r="B9617">
        <v>94</v>
      </c>
      <c r="C9617">
        <v>1543799</v>
      </c>
      <c r="D9617" t="s">
        <v>88</v>
      </c>
      <c r="E9617">
        <v>17.829999999999998</v>
      </c>
      <c r="F9617" t="s">
        <v>21</v>
      </c>
      <c r="G9617" t="s">
        <v>20</v>
      </c>
      <c r="H9617" t="s">
        <v>21</v>
      </c>
      <c r="I9617" t="s">
        <v>20</v>
      </c>
      <c r="J9617" t="s">
        <v>20</v>
      </c>
      <c r="K9617" t="s">
        <v>31</v>
      </c>
      <c r="L9617" t="s">
        <v>69</v>
      </c>
      <c r="M9617" t="s">
        <v>90</v>
      </c>
      <c r="N9617">
        <v>40.693418999999999</v>
      </c>
      <c r="O9617">
        <v>-111.871369</v>
      </c>
      <c r="P9617">
        <v>4222.7538359999999</v>
      </c>
      <c r="Q9617">
        <v>318</v>
      </c>
      <c r="R9617">
        <v>0</v>
      </c>
    </row>
    <row r="9618" spans="1:18" x14ac:dyDescent="0.25">
      <c r="A9618">
        <v>9467</v>
      </c>
      <c r="B9618">
        <v>94</v>
      </c>
      <c r="C9618">
        <v>31321734</v>
      </c>
      <c r="D9618" t="s">
        <v>303</v>
      </c>
      <c r="E9618">
        <v>17.832999999999998</v>
      </c>
      <c r="F9618" t="s">
        <v>21</v>
      </c>
      <c r="G9618" t="s">
        <v>26</v>
      </c>
      <c r="H9618" t="s">
        <v>21</v>
      </c>
      <c r="I9618" t="s">
        <v>20</v>
      </c>
      <c r="J9618" t="s">
        <v>20</v>
      </c>
      <c r="K9618" t="s">
        <v>27</v>
      </c>
      <c r="L9618" t="s">
        <v>72</v>
      </c>
      <c r="M9618" t="s">
        <v>73</v>
      </c>
      <c r="N9618">
        <v>37.204433000000002</v>
      </c>
      <c r="O9618">
        <v>-113.202179</v>
      </c>
      <c r="P9618">
        <v>3493.1729489999998</v>
      </c>
      <c r="Q9618">
        <v>1326</v>
      </c>
      <c r="R9618">
        <v>0</v>
      </c>
    </row>
    <row r="9619" spans="1:18" x14ac:dyDescent="0.25">
      <c r="A9619">
        <v>9468</v>
      </c>
      <c r="B9619">
        <v>94</v>
      </c>
      <c r="C9619">
        <v>31497511</v>
      </c>
      <c r="D9619" t="s">
        <v>129</v>
      </c>
      <c r="E9619">
        <v>17.841000000000001</v>
      </c>
      <c r="F9619" t="s">
        <v>21</v>
      </c>
      <c r="G9619" t="s">
        <v>26</v>
      </c>
      <c r="H9619" t="s">
        <v>21</v>
      </c>
      <c r="I9619" t="s">
        <v>20</v>
      </c>
      <c r="J9619" t="s">
        <v>20</v>
      </c>
      <c r="K9619" t="s">
        <v>31</v>
      </c>
      <c r="L9619" t="s">
        <v>130</v>
      </c>
      <c r="M9619" t="s">
        <v>131</v>
      </c>
      <c r="N9619">
        <v>40.594302999999996</v>
      </c>
      <c r="O9619">
        <v>-110.996966</v>
      </c>
      <c r="P9619">
        <v>8108.9024230000005</v>
      </c>
      <c r="Q9619">
        <v>340</v>
      </c>
      <c r="R9619">
        <v>0</v>
      </c>
    </row>
    <row r="9620" spans="1:18" x14ac:dyDescent="0.25">
      <c r="A9620">
        <v>9469</v>
      </c>
      <c r="B9620">
        <v>94</v>
      </c>
      <c r="C9620">
        <v>28382721</v>
      </c>
      <c r="D9620" t="s">
        <v>99</v>
      </c>
      <c r="E9620">
        <v>2.0819999999999999</v>
      </c>
      <c r="F9620" t="s">
        <v>19</v>
      </c>
      <c r="G9620" t="s">
        <v>20</v>
      </c>
      <c r="H9620" t="s">
        <v>21</v>
      </c>
      <c r="I9620" t="s">
        <v>20</v>
      </c>
      <c r="J9620" t="s">
        <v>20</v>
      </c>
      <c r="K9620" t="s">
        <v>41</v>
      </c>
      <c r="L9620" t="s">
        <v>81</v>
      </c>
      <c r="M9620" t="s">
        <v>82</v>
      </c>
      <c r="N9620">
        <v>41.205060000000003</v>
      </c>
      <c r="O9620">
        <v>-112.00200100000001</v>
      </c>
      <c r="P9620">
        <v>4351.5337890000001</v>
      </c>
      <c r="Q9620">
        <v>1376</v>
      </c>
      <c r="R9620">
        <v>0</v>
      </c>
    </row>
    <row r="9621" spans="1:18" x14ac:dyDescent="0.25">
      <c r="A9621">
        <v>9470</v>
      </c>
      <c r="B9621">
        <v>94</v>
      </c>
      <c r="C9621" t="e">
        <f>-JSxtxr1FyH3XPZaC6uBYF</f>
        <v>#NAME?</v>
      </c>
      <c r="D9621" t="s">
        <v>272</v>
      </c>
      <c r="E9621">
        <v>432.64299999999997</v>
      </c>
      <c r="F9621" t="s">
        <v>21</v>
      </c>
      <c r="G9621" t="s">
        <v>26</v>
      </c>
      <c r="H9621" t="s">
        <v>21</v>
      </c>
      <c r="I9621" t="s">
        <v>20</v>
      </c>
      <c r="J9621" t="s">
        <v>20</v>
      </c>
      <c r="K9621" t="s">
        <v>41</v>
      </c>
      <c r="L9621" t="s">
        <v>177</v>
      </c>
      <c r="M9621" t="s">
        <v>46</v>
      </c>
      <c r="N9621">
        <v>41.475256999999999</v>
      </c>
      <c r="O9621">
        <v>-112.02496499999999</v>
      </c>
      <c r="P9621">
        <v>4273.5290409999998</v>
      </c>
      <c r="Q9621">
        <v>1384</v>
      </c>
      <c r="R9621">
        <v>0</v>
      </c>
    </row>
    <row r="9622" spans="1:18" x14ac:dyDescent="0.25">
      <c r="A9622">
        <v>9471</v>
      </c>
      <c r="B9622">
        <v>94</v>
      </c>
      <c r="C9622" t="s">
        <v>1138</v>
      </c>
      <c r="D9622" t="s">
        <v>272</v>
      </c>
      <c r="E9622">
        <v>432.745</v>
      </c>
      <c r="F9622" t="s">
        <v>21</v>
      </c>
      <c r="G9622" t="s">
        <v>26</v>
      </c>
      <c r="H9622" t="s">
        <v>21</v>
      </c>
      <c r="I9622" t="s">
        <v>20</v>
      </c>
      <c r="J9622" t="s">
        <v>20</v>
      </c>
      <c r="K9622" t="s">
        <v>41</v>
      </c>
      <c r="L9622" t="s">
        <v>177</v>
      </c>
      <c r="M9622" t="s">
        <v>46</v>
      </c>
      <c r="N9622">
        <v>41.476503000000001</v>
      </c>
      <c r="O9622">
        <v>-112.023951</v>
      </c>
      <c r="P9622">
        <v>4279.3774720000001</v>
      </c>
      <c r="Q9622">
        <v>1384</v>
      </c>
      <c r="R9622">
        <v>0</v>
      </c>
    </row>
    <row r="9623" spans="1:18" x14ac:dyDescent="0.25">
      <c r="A9623">
        <v>9472</v>
      </c>
      <c r="B9623">
        <v>94</v>
      </c>
      <c r="C9623" t="s">
        <v>1139</v>
      </c>
      <c r="D9623" t="s">
        <v>272</v>
      </c>
      <c r="E9623">
        <v>432.89499999999998</v>
      </c>
      <c r="F9623" t="s">
        <v>21</v>
      </c>
      <c r="G9623" t="s">
        <v>26</v>
      </c>
      <c r="H9623" t="s">
        <v>21</v>
      </c>
      <c r="I9623" t="s">
        <v>20</v>
      </c>
      <c r="J9623" t="s">
        <v>20</v>
      </c>
      <c r="K9623" t="s">
        <v>41</v>
      </c>
      <c r="L9623" t="s">
        <v>177</v>
      </c>
      <c r="M9623" t="s">
        <v>46</v>
      </c>
      <c r="N9623">
        <v>41.478330999999997</v>
      </c>
      <c r="O9623">
        <v>-112.02242</v>
      </c>
      <c r="P9623">
        <v>4294.6937930000004</v>
      </c>
      <c r="Q9623">
        <v>1384</v>
      </c>
      <c r="R9623">
        <v>0</v>
      </c>
    </row>
    <row r="9624" spans="1:18" x14ac:dyDescent="0.25">
      <c r="A9624">
        <v>9473</v>
      </c>
      <c r="B9624">
        <v>94</v>
      </c>
      <c r="C9624" t="e">
        <f>-IpVT3HoHriYUGKh15EgXF</f>
        <v>#NAME?</v>
      </c>
      <c r="D9624" t="s">
        <v>272</v>
      </c>
      <c r="E9624">
        <v>432.90600000000001</v>
      </c>
      <c r="F9624" t="s">
        <v>21</v>
      </c>
      <c r="G9624" t="s">
        <v>26</v>
      </c>
      <c r="H9624" t="s">
        <v>21</v>
      </c>
      <c r="I9624" t="s">
        <v>20</v>
      </c>
      <c r="J9624" t="s">
        <v>20</v>
      </c>
      <c r="K9624" t="s">
        <v>41</v>
      </c>
      <c r="L9624" t="s">
        <v>177</v>
      </c>
      <c r="M9624" t="s">
        <v>46</v>
      </c>
      <c r="N9624">
        <v>41.478468999999997</v>
      </c>
      <c r="O9624">
        <v>-112.0223</v>
      </c>
      <c r="P9624">
        <v>4296.0594849999998</v>
      </c>
      <c r="Q9624">
        <v>1384</v>
      </c>
      <c r="R9624">
        <v>0</v>
      </c>
    </row>
    <row r="9625" spans="1:18" x14ac:dyDescent="0.25">
      <c r="A9625">
        <v>9474</v>
      </c>
      <c r="B9625">
        <v>94</v>
      </c>
      <c r="C9625" t="s">
        <v>1140</v>
      </c>
      <c r="D9625" t="s">
        <v>272</v>
      </c>
      <c r="E9625">
        <v>432.976</v>
      </c>
      <c r="F9625" t="s">
        <v>21</v>
      </c>
      <c r="G9625" t="s">
        <v>26</v>
      </c>
      <c r="H9625" t="s">
        <v>21</v>
      </c>
      <c r="I9625" t="s">
        <v>20</v>
      </c>
      <c r="J9625" t="s">
        <v>20</v>
      </c>
      <c r="K9625" t="s">
        <v>41</v>
      </c>
      <c r="L9625" t="s">
        <v>177</v>
      </c>
      <c r="M9625" t="s">
        <v>46</v>
      </c>
      <c r="N9625">
        <v>41.479308000000003</v>
      </c>
      <c r="O9625">
        <v>-112.021601</v>
      </c>
      <c r="P9625">
        <v>4302.9410150000003</v>
      </c>
      <c r="Q9625">
        <v>1384</v>
      </c>
      <c r="R9625">
        <v>0</v>
      </c>
    </row>
    <row r="9626" spans="1:18" x14ac:dyDescent="0.25">
      <c r="A9626">
        <v>9475</v>
      </c>
      <c r="B9626">
        <v>94</v>
      </c>
      <c r="C9626" t="s">
        <v>1141</v>
      </c>
      <c r="D9626" t="s">
        <v>272</v>
      </c>
      <c r="E9626">
        <v>433.04500000000002</v>
      </c>
      <c r="F9626" t="s">
        <v>21</v>
      </c>
      <c r="G9626" t="s">
        <v>26</v>
      </c>
      <c r="H9626" t="s">
        <v>21</v>
      </c>
      <c r="I9626" t="s">
        <v>20</v>
      </c>
      <c r="J9626" t="s">
        <v>20</v>
      </c>
      <c r="K9626" t="s">
        <v>41</v>
      </c>
      <c r="L9626" t="s">
        <v>177</v>
      </c>
      <c r="M9626" t="s">
        <v>46</v>
      </c>
      <c r="N9626">
        <v>41.480148999999997</v>
      </c>
      <c r="O9626">
        <v>-112.020865</v>
      </c>
      <c r="P9626">
        <v>4307.2454909999997</v>
      </c>
      <c r="Q9626">
        <v>1384</v>
      </c>
      <c r="R9626">
        <v>0</v>
      </c>
    </row>
    <row r="9627" spans="1:18" x14ac:dyDescent="0.25">
      <c r="A9627">
        <v>9476</v>
      </c>
      <c r="B9627">
        <v>94</v>
      </c>
      <c r="C9627" t="e">
        <f>-IpVTWloF_XuAStVuibm9k</f>
        <v>#NAME?</v>
      </c>
      <c r="D9627" t="s">
        <v>272</v>
      </c>
      <c r="E9627">
        <v>433.15199999999999</v>
      </c>
      <c r="F9627" t="s">
        <v>21</v>
      </c>
      <c r="G9627" t="s">
        <v>26</v>
      </c>
      <c r="H9627" t="s">
        <v>21</v>
      </c>
      <c r="I9627" t="s">
        <v>20</v>
      </c>
      <c r="J9627" t="s">
        <v>20</v>
      </c>
      <c r="K9627" t="s">
        <v>41</v>
      </c>
      <c r="L9627" t="s">
        <v>177</v>
      </c>
      <c r="M9627" t="s">
        <v>46</v>
      </c>
      <c r="N9627">
        <v>41.481442999999999</v>
      </c>
      <c r="O9627">
        <v>-112.019758</v>
      </c>
      <c r="P9627">
        <v>4310.8119390000002</v>
      </c>
      <c r="Q9627">
        <v>1384</v>
      </c>
      <c r="R9627">
        <v>0</v>
      </c>
    </row>
    <row r="9628" spans="1:18" x14ac:dyDescent="0.25">
      <c r="A9628">
        <v>9477</v>
      </c>
      <c r="B9628">
        <v>94</v>
      </c>
      <c r="C9628" t="e">
        <f>-IpVTnBzHSmn5ZRBMcJoiV</f>
        <v>#NAME?</v>
      </c>
      <c r="D9628" t="s">
        <v>272</v>
      </c>
      <c r="E9628">
        <v>433.27</v>
      </c>
      <c r="F9628" t="s">
        <v>21</v>
      </c>
      <c r="G9628" t="s">
        <v>26</v>
      </c>
      <c r="H9628" t="s">
        <v>21</v>
      </c>
      <c r="I9628" t="s">
        <v>20</v>
      </c>
      <c r="J9628" t="s">
        <v>20</v>
      </c>
      <c r="K9628" t="s">
        <v>41</v>
      </c>
      <c r="L9628" t="s">
        <v>177</v>
      </c>
      <c r="M9628" t="s">
        <v>46</v>
      </c>
      <c r="N9628">
        <v>41.482855999999998</v>
      </c>
      <c r="O9628">
        <v>-112.01853199999999</v>
      </c>
      <c r="P9628">
        <v>4316.3555370000004</v>
      </c>
      <c r="Q9628">
        <v>1384</v>
      </c>
      <c r="R9628">
        <v>0</v>
      </c>
    </row>
    <row r="9629" spans="1:18" x14ac:dyDescent="0.25">
      <c r="A9629">
        <v>9478</v>
      </c>
      <c r="B9629">
        <v>94</v>
      </c>
      <c r="C9629" t="e">
        <f>-IpVTurqGly0JbISfyp2UF</f>
        <v>#NAME?</v>
      </c>
      <c r="D9629" t="s">
        <v>272</v>
      </c>
      <c r="E9629">
        <v>433.34800000000001</v>
      </c>
      <c r="F9629" t="s">
        <v>21</v>
      </c>
      <c r="G9629" t="s">
        <v>26</v>
      </c>
      <c r="H9629" t="s">
        <v>21</v>
      </c>
      <c r="I9629" t="s">
        <v>20</v>
      </c>
      <c r="J9629" t="s">
        <v>20</v>
      </c>
      <c r="K9629" t="s">
        <v>41</v>
      </c>
      <c r="L9629" t="s">
        <v>177</v>
      </c>
      <c r="M9629" t="s">
        <v>46</v>
      </c>
      <c r="N9629">
        <v>41.483795999999998</v>
      </c>
      <c r="O9629">
        <v>-112.017726</v>
      </c>
      <c r="P9629">
        <v>4314.9288029999998</v>
      </c>
      <c r="Q9629">
        <v>1384</v>
      </c>
      <c r="R9629">
        <v>0</v>
      </c>
    </row>
    <row r="9630" spans="1:18" x14ac:dyDescent="0.25">
      <c r="A9630">
        <v>9479</v>
      </c>
      <c r="B9630">
        <v>94</v>
      </c>
      <c r="C9630" t="e">
        <f>-JSYeJOTF6H0L2OONOCxmF</f>
        <v>#NAME?</v>
      </c>
      <c r="D9630" t="s">
        <v>272</v>
      </c>
      <c r="E9630">
        <v>433.459</v>
      </c>
      <c r="F9630" t="s">
        <v>21</v>
      </c>
      <c r="G9630" t="s">
        <v>26</v>
      </c>
      <c r="H9630" t="s">
        <v>21</v>
      </c>
      <c r="I9630" t="s">
        <v>20</v>
      </c>
      <c r="J9630" t="s">
        <v>20</v>
      </c>
      <c r="K9630" t="s">
        <v>41</v>
      </c>
      <c r="L9630" t="s">
        <v>177</v>
      </c>
      <c r="M9630" t="s">
        <v>46</v>
      </c>
      <c r="N9630">
        <v>41.485228999999997</v>
      </c>
      <c r="O9630">
        <v>-112.016789</v>
      </c>
      <c r="P9630">
        <v>4305.62932</v>
      </c>
      <c r="Q9630">
        <v>1384</v>
      </c>
      <c r="R9630">
        <v>0</v>
      </c>
    </row>
    <row r="9631" spans="1:18" x14ac:dyDescent="0.25">
      <c r="A9631">
        <v>9480</v>
      </c>
      <c r="B9631">
        <v>94</v>
      </c>
      <c r="C9631" t="e">
        <f>-IpVUCAhFoTgEJRSPDPTEF</f>
        <v>#NAME?</v>
      </c>
      <c r="D9631" t="s">
        <v>272</v>
      </c>
      <c r="E9631">
        <v>433.50400000000002</v>
      </c>
      <c r="F9631" t="s">
        <v>21</v>
      </c>
      <c r="G9631" t="s">
        <v>26</v>
      </c>
      <c r="H9631" t="s">
        <v>21</v>
      </c>
      <c r="I9631" t="s">
        <v>20</v>
      </c>
      <c r="J9631" t="s">
        <v>20</v>
      </c>
      <c r="K9631" t="s">
        <v>41</v>
      </c>
      <c r="L9631" t="s">
        <v>177</v>
      </c>
      <c r="M9631" t="s">
        <v>46</v>
      </c>
      <c r="N9631">
        <v>41.485841999999998</v>
      </c>
      <c r="O9631">
        <v>-112.016492</v>
      </c>
      <c r="P9631">
        <v>4298.8212309999999</v>
      </c>
      <c r="Q9631">
        <v>1384</v>
      </c>
      <c r="R9631">
        <v>0</v>
      </c>
    </row>
    <row r="9632" spans="1:18" x14ac:dyDescent="0.25">
      <c r="A9632">
        <v>9481</v>
      </c>
      <c r="B9632">
        <v>94</v>
      </c>
      <c r="C9632" t="e">
        <f>-IpyPLVFI0aqAN9TaUyTgV</f>
        <v>#NAME?</v>
      </c>
      <c r="D9632" t="s">
        <v>272</v>
      </c>
      <c r="E9632">
        <v>433.54899999999998</v>
      </c>
      <c r="F9632" t="s">
        <v>19</v>
      </c>
      <c r="G9632" t="s">
        <v>20</v>
      </c>
      <c r="H9632" t="s">
        <v>19</v>
      </c>
      <c r="I9632">
        <v>13</v>
      </c>
      <c r="J9632">
        <v>91</v>
      </c>
      <c r="K9632" t="s">
        <v>41</v>
      </c>
      <c r="L9632" t="s">
        <v>177</v>
      </c>
      <c r="M9632" t="s">
        <v>46</v>
      </c>
      <c r="N9632">
        <v>41.486517999999997</v>
      </c>
      <c r="O9632">
        <v>-112.01635</v>
      </c>
      <c r="P9632">
        <v>4289.4274519999999</v>
      </c>
      <c r="Q9632">
        <v>1384</v>
      </c>
      <c r="R9632">
        <v>0</v>
      </c>
    </row>
    <row r="9633" spans="1:18" x14ac:dyDescent="0.25">
      <c r="A9633">
        <v>9482</v>
      </c>
      <c r="B9633">
        <v>94</v>
      </c>
      <c r="C9633">
        <v>31328715</v>
      </c>
      <c r="D9633" t="s">
        <v>288</v>
      </c>
      <c r="E9633">
        <v>44.003999999999998</v>
      </c>
      <c r="F9633" t="s">
        <v>21</v>
      </c>
      <c r="G9633" t="s">
        <v>20</v>
      </c>
      <c r="H9633" t="s">
        <v>21</v>
      </c>
      <c r="I9633" t="s">
        <v>20</v>
      </c>
      <c r="J9633" t="s">
        <v>20</v>
      </c>
      <c r="K9633" t="s">
        <v>27</v>
      </c>
      <c r="L9633" t="s">
        <v>327</v>
      </c>
      <c r="M9633" t="s">
        <v>212</v>
      </c>
      <c r="N9633">
        <v>37.526584</v>
      </c>
      <c r="O9633">
        <v>-109.49413300000001</v>
      </c>
      <c r="P9633">
        <v>5508.5498930000003</v>
      </c>
      <c r="Q9633">
        <v>350</v>
      </c>
      <c r="R9633">
        <v>0</v>
      </c>
    </row>
    <row r="9634" spans="1:18" x14ac:dyDescent="0.25">
      <c r="A9634">
        <v>9483</v>
      </c>
      <c r="B9634">
        <v>94</v>
      </c>
      <c r="C9634">
        <v>31272394</v>
      </c>
      <c r="D9634" t="s">
        <v>347</v>
      </c>
      <c r="E9634">
        <v>6.1269999999999998</v>
      </c>
      <c r="F9634" t="s">
        <v>21</v>
      </c>
      <c r="G9634" t="s">
        <v>20</v>
      </c>
      <c r="H9634" t="s">
        <v>21</v>
      </c>
      <c r="I9634" t="s">
        <v>20</v>
      </c>
      <c r="J9634" t="s">
        <v>20</v>
      </c>
      <c r="K9634" t="s">
        <v>41</v>
      </c>
      <c r="L9634" t="s">
        <v>325</v>
      </c>
      <c r="M9634" t="s">
        <v>204</v>
      </c>
      <c r="N9634">
        <v>41.482992000000003</v>
      </c>
      <c r="O9634">
        <v>-111.116309</v>
      </c>
      <c r="P9634">
        <v>6305.1563239999996</v>
      </c>
      <c r="Q9634">
        <v>1334</v>
      </c>
      <c r="R9634">
        <v>0</v>
      </c>
    </row>
    <row r="9635" spans="1:18" x14ac:dyDescent="0.25">
      <c r="A9635">
        <v>9484</v>
      </c>
      <c r="B9635">
        <v>94</v>
      </c>
      <c r="C9635">
        <v>821417</v>
      </c>
      <c r="D9635" t="s">
        <v>68</v>
      </c>
      <c r="E9635">
        <v>6.1310000000000002</v>
      </c>
      <c r="F9635" t="s">
        <v>21</v>
      </c>
      <c r="G9635" t="s">
        <v>26</v>
      </c>
      <c r="H9635" t="s">
        <v>21</v>
      </c>
      <c r="I9635" t="s">
        <v>20</v>
      </c>
      <c r="J9635" t="s">
        <v>20</v>
      </c>
      <c r="K9635" t="s">
        <v>31</v>
      </c>
      <c r="L9635" t="s">
        <v>32</v>
      </c>
      <c r="M9635" t="s">
        <v>70</v>
      </c>
      <c r="N9635">
        <v>40.674278999999999</v>
      </c>
      <c r="O9635">
        <v>-111.839006</v>
      </c>
      <c r="P9635">
        <v>4352.6100280000001</v>
      </c>
      <c r="Q9635">
        <v>431</v>
      </c>
      <c r="R9635">
        <v>0</v>
      </c>
    </row>
    <row r="9636" spans="1:18" x14ac:dyDescent="0.25">
      <c r="A9636">
        <v>9485</v>
      </c>
      <c r="B9636">
        <v>94</v>
      </c>
      <c r="C9636">
        <v>31724146</v>
      </c>
      <c r="D9636" t="s">
        <v>244</v>
      </c>
      <c r="E9636">
        <v>91.840999999999994</v>
      </c>
      <c r="F9636" t="s">
        <v>21</v>
      </c>
      <c r="G9636" t="s">
        <v>26</v>
      </c>
      <c r="H9636" t="s">
        <v>21</v>
      </c>
      <c r="I9636" t="s">
        <v>20</v>
      </c>
      <c r="J9636" t="s">
        <v>20</v>
      </c>
      <c r="K9636" t="s">
        <v>27</v>
      </c>
      <c r="L9636" t="s">
        <v>266</v>
      </c>
      <c r="M9636" t="s">
        <v>270</v>
      </c>
      <c r="N9636">
        <v>38.267901000000002</v>
      </c>
      <c r="O9636">
        <v>-111.077505</v>
      </c>
      <c r="P9636">
        <v>4770.3414670000002</v>
      </c>
      <c r="Q9636">
        <v>1340</v>
      </c>
      <c r="R9636">
        <v>0</v>
      </c>
    </row>
    <row r="9637" spans="1:18" x14ac:dyDescent="0.25">
      <c r="A9637">
        <v>9486</v>
      </c>
      <c r="B9637">
        <v>94</v>
      </c>
      <c r="C9637">
        <v>31779344</v>
      </c>
      <c r="D9637" t="s">
        <v>118</v>
      </c>
      <c r="E9637">
        <v>91.876000000000005</v>
      </c>
      <c r="F9637" t="s">
        <v>21</v>
      </c>
      <c r="G9637" t="s">
        <v>20</v>
      </c>
      <c r="H9637" t="s">
        <v>21</v>
      </c>
      <c r="I9637" t="s">
        <v>20</v>
      </c>
      <c r="J9637" t="s">
        <v>20</v>
      </c>
      <c r="K9637" t="s">
        <v>22</v>
      </c>
      <c r="L9637" t="s">
        <v>253</v>
      </c>
      <c r="M9637" t="s">
        <v>169</v>
      </c>
      <c r="N9637">
        <v>40.169491999999998</v>
      </c>
      <c r="O9637">
        <v>-110.304239</v>
      </c>
      <c r="P9637">
        <v>5372.4752550000003</v>
      </c>
      <c r="Q9637">
        <v>310</v>
      </c>
      <c r="R9637">
        <v>0</v>
      </c>
    </row>
    <row r="9638" spans="1:18" x14ac:dyDescent="0.25">
      <c r="A9638">
        <v>9487</v>
      </c>
      <c r="B9638">
        <v>94</v>
      </c>
      <c r="C9638">
        <v>31774088</v>
      </c>
      <c r="D9638" t="s">
        <v>290</v>
      </c>
      <c r="E9638">
        <v>91.900999999999996</v>
      </c>
      <c r="F9638" t="s">
        <v>21</v>
      </c>
      <c r="G9638" t="s">
        <v>26</v>
      </c>
      <c r="H9638" t="s">
        <v>19</v>
      </c>
      <c r="I9638">
        <v>13</v>
      </c>
      <c r="J9638" t="s">
        <v>20</v>
      </c>
      <c r="K9638" t="s">
        <v>41</v>
      </c>
      <c r="L9638" t="s">
        <v>223</v>
      </c>
      <c r="M9638" t="s">
        <v>152</v>
      </c>
      <c r="N9638">
        <v>41.784910000000004</v>
      </c>
      <c r="O9638">
        <v>-112.14935800000001</v>
      </c>
      <c r="P9638">
        <v>4311.0388359999997</v>
      </c>
      <c r="Q9638">
        <v>1343</v>
      </c>
      <c r="R9638">
        <v>0</v>
      </c>
    </row>
    <row r="9639" spans="1:18" x14ac:dyDescent="0.25">
      <c r="A9639">
        <v>9488</v>
      </c>
      <c r="B9639">
        <v>94</v>
      </c>
      <c r="C9639">
        <v>31774099</v>
      </c>
      <c r="D9639" t="s">
        <v>290</v>
      </c>
      <c r="E9639">
        <v>91.995999999999995</v>
      </c>
      <c r="F9639" t="s">
        <v>21</v>
      </c>
      <c r="G9639" t="s">
        <v>26</v>
      </c>
      <c r="H9639" t="s">
        <v>21</v>
      </c>
      <c r="I9639" t="s">
        <v>20</v>
      </c>
      <c r="J9639" t="s">
        <v>20</v>
      </c>
      <c r="K9639" t="s">
        <v>41</v>
      </c>
      <c r="L9639" t="s">
        <v>223</v>
      </c>
      <c r="M9639" t="s">
        <v>152</v>
      </c>
      <c r="N9639">
        <v>41.784975000000003</v>
      </c>
      <c r="O9639">
        <v>-112.14750600000001</v>
      </c>
      <c r="P9639">
        <v>4310.3123260000002</v>
      </c>
      <c r="Q9639">
        <v>1343</v>
      </c>
      <c r="R9639">
        <v>0</v>
      </c>
    </row>
    <row r="9640" spans="1:18" x14ac:dyDescent="0.25">
      <c r="A9640">
        <v>9489</v>
      </c>
      <c r="B9640">
        <v>94</v>
      </c>
      <c r="C9640">
        <v>31608665</v>
      </c>
      <c r="D9640" t="s">
        <v>232</v>
      </c>
      <c r="E9640">
        <v>8.0790000000000006</v>
      </c>
      <c r="F9640" t="s">
        <v>21</v>
      </c>
      <c r="G9640" t="s">
        <v>26</v>
      </c>
      <c r="H9640" t="s">
        <v>21</v>
      </c>
      <c r="I9640" t="s">
        <v>20</v>
      </c>
      <c r="J9640" t="s">
        <v>20</v>
      </c>
      <c r="K9640" t="s">
        <v>31</v>
      </c>
      <c r="L9640" t="s">
        <v>130</v>
      </c>
      <c r="M9640" t="s">
        <v>131</v>
      </c>
      <c r="N9640">
        <v>40.640143999999999</v>
      </c>
      <c r="O9640">
        <v>-111.39705499999999</v>
      </c>
      <c r="P9640">
        <v>6662.7715589999998</v>
      </c>
      <c r="Q9640">
        <v>1279</v>
      </c>
      <c r="R9640">
        <v>0</v>
      </c>
    </row>
    <row r="9641" spans="1:18" x14ac:dyDescent="0.25">
      <c r="A9641">
        <v>9490</v>
      </c>
      <c r="B9641">
        <v>94</v>
      </c>
      <c r="C9641">
        <v>31409275</v>
      </c>
      <c r="D9641" t="s">
        <v>224</v>
      </c>
      <c r="E9641">
        <v>8.0820000000000007</v>
      </c>
      <c r="F9641" t="s">
        <v>21</v>
      </c>
      <c r="G9641" t="s">
        <v>26</v>
      </c>
      <c r="H9641" t="s">
        <v>21</v>
      </c>
      <c r="I9641" t="s">
        <v>20</v>
      </c>
      <c r="J9641" t="s">
        <v>20</v>
      </c>
      <c r="K9641" t="s">
        <v>22</v>
      </c>
      <c r="L9641" t="s">
        <v>198</v>
      </c>
      <c r="M9641" t="s">
        <v>194</v>
      </c>
      <c r="N9641">
        <v>40.051290000000002</v>
      </c>
      <c r="O9641">
        <v>-111.682999</v>
      </c>
      <c r="P9641">
        <v>4529.6300700000002</v>
      </c>
      <c r="Q9641">
        <v>408</v>
      </c>
      <c r="R9641">
        <v>0</v>
      </c>
    </row>
    <row r="9642" spans="1:18" x14ac:dyDescent="0.25">
      <c r="A9642">
        <v>9491</v>
      </c>
      <c r="B9642">
        <v>94</v>
      </c>
      <c r="C9642">
        <v>31193206</v>
      </c>
      <c r="D9642" t="s">
        <v>309</v>
      </c>
      <c r="E9642">
        <v>8.0839999999999996</v>
      </c>
      <c r="F9642" t="s">
        <v>21</v>
      </c>
      <c r="G9642" t="s">
        <v>26</v>
      </c>
      <c r="H9642" t="s">
        <v>19</v>
      </c>
      <c r="I9642">
        <v>77</v>
      </c>
      <c r="J9642" t="s">
        <v>20</v>
      </c>
      <c r="K9642" t="s">
        <v>22</v>
      </c>
      <c r="L9642" t="s">
        <v>140</v>
      </c>
      <c r="M9642" t="s">
        <v>125</v>
      </c>
      <c r="N9642">
        <v>40.114626000000001</v>
      </c>
      <c r="O9642">
        <v>-111.730502</v>
      </c>
      <c r="P9642">
        <v>4465.3332049999999</v>
      </c>
      <c r="Q9642">
        <v>339</v>
      </c>
      <c r="R9642">
        <v>0</v>
      </c>
    </row>
    <row r="9643" spans="1:18" x14ac:dyDescent="0.25">
      <c r="A9643">
        <v>9492</v>
      </c>
      <c r="B9643">
        <v>94</v>
      </c>
      <c r="C9643">
        <v>31313629</v>
      </c>
      <c r="D9643" t="s">
        <v>215</v>
      </c>
      <c r="E9643">
        <v>8.0860000000000003</v>
      </c>
      <c r="F9643" t="s">
        <v>21</v>
      </c>
      <c r="G9643" t="s">
        <v>26</v>
      </c>
      <c r="H9643" t="s">
        <v>21</v>
      </c>
      <c r="I9643" t="s">
        <v>20</v>
      </c>
      <c r="J9643" t="s">
        <v>20</v>
      </c>
      <c r="K9643" t="s">
        <v>22</v>
      </c>
      <c r="L9643" t="s">
        <v>23</v>
      </c>
      <c r="M9643" t="s">
        <v>85</v>
      </c>
      <c r="N9643">
        <v>40.318989000000002</v>
      </c>
      <c r="O9643">
        <v>-111.73597100000001</v>
      </c>
      <c r="P9643">
        <v>4503.1125529999999</v>
      </c>
      <c r="Q9643">
        <v>330</v>
      </c>
      <c r="R9643">
        <v>0</v>
      </c>
    </row>
    <row r="9644" spans="1:18" x14ac:dyDescent="0.25">
      <c r="A9644">
        <v>9493</v>
      </c>
      <c r="B9644">
        <v>94</v>
      </c>
      <c r="C9644">
        <v>31762376</v>
      </c>
      <c r="D9644" t="s">
        <v>77</v>
      </c>
      <c r="E9644">
        <v>8.093</v>
      </c>
      <c r="F9644" t="s">
        <v>21</v>
      </c>
      <c r="G9644" t="s">
        <v>26</v>
      </c>
      <c r="H9644" t="s">
        <v>21</v>
      </c>
      <c r="I9644" t="s">
        <v>20</v>
      </c>
      <c r="J9644" t="s">
        <v>20</v>
      </c>
      <c r="K9644" t="s">
        <v>31</v>
      </c>
      <c r="L9644" t="s">
        <v>78</v>
      </c>
      <c r="M9644" t="s">
        <v>79</v>
      </c>
      <c r="N9644">
        <v>40.755890000000001</v>
      </c>
      <c r="O9644">
        <v>-112.024984</v>
      </c>
      <c r="P9644">
        <v>4176.6860770000003</v>
      </c>
      <c r="Q9644">
        <v>1436</v>
      </c>
      <c r="R9644">
        <v>0</v>
      </c>
    </row>
    <row r="9645" spans="1:18" x14ac:dyDescent="0.25">
      <c r="A9645">
        <v>9494</v>
      </c>
      <c r="B9645">
        <v>94</v>
      </c>
      <c r="C9645">
        <v>31396144</v>
      </c>
      <c r="D9645" t="s">
        <v>114</v>
      </c>
      <c r="E9645">
        <v>8.0980000000000008</v>
      </c>
      <c r="F9645" t="s">
        <v>21</v>
      </c>
      <c r="G9645" t="s">
        <v>26</v>
      </c>
      <c r="H9645" t="s">
        <v>21</v>
      </c>
      <c r="I9645" t="s">
        <v>20</v>
      </c>
      <c r="J9645" t="s">
        <v>20</v>
      </c>
      <c r="K9645" t="s">
        <v>41</v>
      </c>
      <c r="L9645" t="s">
        <v>87</v>
      </c>
      <c r="M9645" t="s">
        <v>82</v>
      </c>
      <c r="N9645">
        <v>41.107937</v>
      </c>
      <c r="O9645">
        <v>-111.91552900000001</v>
      </c>
      <c r="P9645">
        <v>4826.6509679999999</v>
      </c>
      <c r="Q9645">
        <v>405</v>
      </c>
      <c r="R9645">
        <v>0</v>
      </c>
    </row>
    <row r="9646" spans="1:18" x14ac:dyDescent="0.25">
      <c r="A9646">
        <v>9495</v>
      </c>
      <c r="B9646">
        <v>94</v>
      </c>
      <c r="C9646">
        <v>31390150</v>
      </c>
      <c r="D9646" t="s">
        <v>184</v>
      </c>
      <c r="E9646">
        <v>8.0990000000000002</v>
      </c>
      <c r="F9646" t="s">
        <v>21</v>
      </c>
      <c r="G9646" t="s">
        <v>26</v>
      </c>
      <c r="H9646" t="s">
        <v>21</v>
      </c>
      <c r="I9646" t="s">
        <v>20</v>
      </c>
      <c r="J9646" t="s">
        <v>20</v>
      </c>
      <c r="K9646" t="s">
        <v>27</v>
      </c>
      <c r="L9646" t="s">
        <v>54</v>
      </c>
      <c r="M9646" t="s">
        <v>55</v>
      </c>
      <c r="N9646">
        <v>37.755274</v>
      </c>
      <c r="O9646">
        <v>-113.05527499999999</v>
      </c>
      <c r="P9646">
        <v>5438.8895519999996</v>
      </c>
      <c r="Q9646">
        <v>1410</v>
      </c>
      <c r="R9646">
        <v>0</v>
      </c>
    </row>
    <row r="9647" spans="1:18" x14ac:dyDescent="0.25">
      <c r="A9647">
        <v>9496</v>
      </c>
      <c r="B9647">
        <v>94</v>
      </c>
      <c r="C9647" t="e">
        <f>-JYcwqTnFceS-G5Yd8rm5k</f>
        <v>#NAME?</v>
      </c>
      <c r="D9647" t="s">
        <v>30</v>
      </c>
      <c r="E9647">
        <v>8.1010000000000009</v>
      </c>
      <c r="F9647" t="s">
        <v>21</v>
      </c>
      <c r="G9647" t="s">
        <v>26</v>
      </c>
      <c r="H9647" t="s">
        <v>21</v>
      </c>
      <c r="I9647" t="s">
        <v>20</v>
      </c>
      <c r="J9647" t="s">
        <v>20</v>
      </c>
      <c r="K9647" t="s">
        <v>31</v>
      </c>
      <c r="L9647" t="s">
        <v>32</v>
      </c>
      <c r="M9647" t="s">
        <v>33</v>
      </c>
      <c r="N9647">
        <v>40.572042000000003</v>
      </c>
      <c r="O9647">
        <v>-111.700841</v>
      </c>
      <c r="P9647">
        <v>7162.9122950000001</v>
      </c>
      <c r="Q9647">
        <v>415</v>
      </c>
      <c r="R9647">
        <v>0</v>
      </c>
    </row>
    <row r="9648" spans="1:18" x14ac:dyDescent="0.25">
      <c r="A9648">
        <v>9497</v>
      </c>
      <c r="B9648">
        <v>94</v>
      </c>
      <c r="C9648">
        <v>771089</v>
      </c>
      <c r="D9648" t="s">
        <v>236</v>
      </c>
      <c r="E9648">
        <v>8.1029999999999998</v>
      </c>
      <c r="F9648" t="s">
        <v>19</v>
      </c>
      <c r="G9648" t="s">
        <v>20</v>
      </c>
      <c r="H9648" t="s">
        <v>21</v>
      </c>
      <c r="I9648" t="s">
        <v>20</v>
      </c>
      <c r="J9648" t="s">
        <v>20</v>
      </c>
      <c r="K9648" t="s">
        <v>31</v>
      </c>
      <c r="L9648" t="s">
        <v>78</v>
      </c>
      <c r="M9648" t="s">
        <v>79</v>
      </c>
      <c r="N9648">
        <v>40.681972999999999</v>
      </c>
      <c r="O9648">
        <v>-112.09187300000001</v>
      </c>
      <c r="P9648">
        <v>4541.6052749999999</v>
      </c>
      <c r="Q9648">
        <v>1398</v>
      </c>
      <c r="R9648">
        <v>0</v>
      </c>
    </row>
    <row r="9649" spans="1:18" x14ac:dyDescent="0.25">
      <c r="A9649">
        <v>9498</v>
      </c>
      <c r="B9649">
        <v>94</v>
      </c>
      <c r="C9649">
        <v>31382312</v>
      </c>
      <c r="D9649" t="s">
        <v>184</v>
      </c>
      <c r="E9649">
        <v>0.21</v>
      </c>
      <c r="F9649" t="s">
        <v>19</v>
      </c>
      <c r="G9649" t="s">
        <v>20</v>
      </c>
      <c r="H9649" t="s">
        <v>21</v>
      </c>
      <c r="I9649" t="s">
        <v>20</v>
      </c>
      <c r="J9649" t="s">
        <v>20</v>
      </c>
      <c r="K9649" t="s">
        <v>27</v>
      </c>
      <c r="L9649" t="s">
        <v>54</v>
      </c>
      <c r="M9649" t="s">
        <v>55</v>
      </c>
      <c r="N9649">
        <v>37.653955000000003</v>
      </c>
      <c r="O9649">
        <v>-113.079745</v>
      </c>
      <c r="P9649">
        <v>5928.1460360000001</v>
      </c>
      <c r="Q9649">
        <v>1410</v>
      </c>
      <c r="R9649">
        <v>0</v>
      </c>
    </row>
    <row r="9650" spans="1:18" x14ac:dyDescent="0.25">
      <c r="A9650">
        <v>9499</v>
      </c>
      <c r="B9650">
        <v>94</v>
      </c>
      <c r="C9650">
        <v>31511703</v>
      </c>
      <c r="D9650" t="s">
        <v>231</v>
      </c>
      <c r="E9650">
        <v>0.21</v>
      </c>
      <c r="F9650" t="s">
        <v>19</v>
      </c>
      <c r="G9650" t="s">
        <v>20</v>
      </c>
      <c r="H9650" t="s">
        <v>21</v>
      </c>
      <c r="I9650" t="s">
        <v>20</v>
      </c>
      <c r="J9650" t="s">
        <v>20</v>
      </c>
      <c r="K9650" t="s">
        <v>41</v>
      </c>
      <c r="L9650" t="s">
        <v>57</v>
      </c>
      <c r="M9650" t="s">
        <v>93</v>
      </c>
      <c r="N9650">
        <v>41.056041999999998</v>
      </c>
      <c r="O9650">
        <v>-111.961737</v>
      </c>
      <c r="P9650">
        <v>4314.0188600000001</v>
      </c>
      <c r="Q9650">
        <v>1409</v>
      </c>
      <c r="R9650">
        <v>0</v>
      </c>
    </row>
    <row r="9651" spans="1:18" x14ac:dyDescent="0.25">
      <c r="A9651">
        <v>9500</v>
      </c>
      <c r="B9651">
        <v>94</v>
      </c>
      <c r="C9651">
        <v>31318585</v>
      </c>
      <c r="D9651" t="s">
        <v>333</v>
      </c>
      <c r="E9651">
        <v>0.21099999999999999</v>
      </c>
      <c r="F9651" t="s">
        <v>19</v>
      </c>
      <c r="G9651" t="s">
        <v>20</v>
      </c>
      <c r="H9651" t="s">
        <v>21</v>
      </c>
      <c r="I9651" t="s">
        <v>20</v>
      </c>
      <c r="J9651" t="s">
        <v>20</v>
      </c>
      <c r="K9651" t="s">
        <v>31</v>
      </c>
      <c r="L9651" t="s">
        <v>89</v>
      </c>
      <c r="M9651" t="s">
        <v>49</v>
      </c>
      <c r="N9651">
        <v>40.503523999999999</v>
      </c>
      <c r="O9651">
        <v>-111.886185</v>
      </c>
      <c r="P9651">
        <v>4385.8390410000002</v>
      </c>
      <c r="Q9651">
        <v>1426</v>
      </c>
      <c r="R9651">
        <v>0</v>
      </c>
    </row>
    <row r="9652" spans="1:18" x14ac:dyDescent="0.25">
      <c r="A9652">
        <v>9501</v>
      </c>
      <c r="B9652">
        <v>94</v>
      </c>
      <c r="C9652">
        <v>31192331</v>
      </c>
      <c r="D9652" t="s">
        <v>395</v>
      </c>
      <c r="E9652">
        <v>0.21299999999999999</v>
      </c>
      <c r="F9652" t="s">
        <v>21</v>
      </c>
      <c r="G9652" t="s">
        <v>26</v>
      </c>
      <c r="H9652" t="s">
        <v>21</v>
      </c>
      <c r="I9652" t="s">
        <v>20</v>
      </c>
      <c r="J9652" t="s">
        <v>20</v>
      </c>
      <c r="K9652" t="s">
        <v>27</v>
      </c>
      <c r="L9652" t="s">
        <v>165</v>
      </c>
      <c r="M9652" t="s">
        <v>166</v>
      </c>
      <c r="N9652">
        <v>38.797015999999999</v>
      </c>
      <c r="O9652">
        <v>-112.43768799999999</v>
      </c>
      <c r="P9652">
        <v>4969.4531049999996</v>
      </c>
      <c r="Q9652">
        <v>335</v>
      </c>
      <c r="R9652">
        <v>0</v>
      </c>
    </row>
    <row r="9653" spans="1:18" x14ac:dyDescent="0.25">
      <c r="A9653">
        <v>9502</v>
      </c>
      <c r="B9653">
        <v>94</v>
      </c>
      <c r="C9653">
        <v>703619</v>
      </c>
      <c r="D9653" t="s">
        <v>68</v>
      </c>
      <c r="E9653">
        <v>0.21299999999999999</v>
      </c>
      <c r="F9653" t="s">
        <v>19</v>
      </c>
      <c r="G9653" t="s">
        <v>20</v>
      </c>
      <c r="H9653" t="s">
        <v>21</v>
      </c>
      <c r="I9653" t="s">
        <v>20</v>
      </c>
      <c r="J9653" t="s">
        <v>20</v>
      </c>
      <c r="K9653" t="s">
        <v>31</v>
      </c>
      <c r="L9653" t="s">
        <v>69</v>
      </c>
      <c r="M9653" t="s">
        <v>70</v>
      </c>
      <c r="N9653">
        <v>40.667614999999998</v>
      </c>
      <c r="O9653">
        <v>-111.94991</v>
      </c>
      <c r="P9653">
        <v>4253.6467309999998</v>
      </c>
      <c r="Q9653">
        <v>431</v>
      </c>
      <c r="R9653">
        <v>0</v>
      </c>
    </row>
    <row r="9654" spans="1:18" x14ac:dyDescent="0.25">
      <c r="A9654">
        <v>9503</v>
      </c>
      <c r="B9654">
        <v>94</v>
      </c>
      <c r="C9654">
        <v>31511171</v>
      </c>
      <c r="D9654" t="s">
        <v>390</v>
      </c>
      <c r="E9654">
        <v>0.214</v>
      </c>
      <c r="F9654" t="s">
        <v>19</v>
      </c>
      <c r="G9654" t="s">
        <v>20</v>
      </c>
      <c r="H9654" t="s">
        <v>21</v>
      </c>
      <c r="I9654" t="s">
        <v>20</v>
      </c>
      <c r="J9654" t="s">
        <v>20</v>
      </c>
      <c r="K9654" t="s">
        <v>22</v>
      </c>
      <c r="L9654" t="s">
        <v>84</v>
      </c>
      <c r="M9654" t="s">
        <v>335</v>
      </c>
      <c r="N9654">
        <v>40.431480000000001</v>
      </c>
      <c r="O9654">
        <v>-111.89160200000001</v>
      </c>
      <c r="P9654">
        <v>4549.0630799999999</v>
      </c>
      <c r="Q9654">
        <v>1386</v>
      </c>
      <c r="R9654">
        <v>0</v>
      </c>
    </row>
    <row r="9655" spans="1:18" x14ac:dyDescent="0.25">
      <c r="A9655">
        <v>9504</v>
      </c>
      <c r="B9655">
        <v>94</v>
      </c>
      <c r="C9655">
        <v>27818732</v>
      </c>
      <c r="D9655" t="s">
        <v>409</v>
      </c>
      <c r="E9655">
        <v>0.215</v>
      </c>
      <c r="F9655" t="s">
        <v>21</v>
      </c>
      <c r="G9655" t="s">
        <v>26</v>
      </c>
      <c r="H9655" t="s">
        <v>21</v>
      </c>
      <c r="I9655" t="s">
        <v>20</v>
      </c>
      <c r="J9655" t="s">
        <v>20</v>
      </c>
      <c r="K9655" t="s">
        <v>27</v>
      </c>
      <c r="L9655" t="s">
        <v>51</v>
      </c>
      <c r="M9655" t="s">
        <v>117</v>
      </c>
      <c r="N9655">
        <v>38.071086999999999</v>
      </c>
      <c r="O9655">
        <v>-112.686527</v>
      </c>
      <c r="P9655">
        <v>5859.9022059999998</v>
      </c>
      <c r="Q9655">
        <v>1337</v>
      </c>
      <c r="R9655">
        <v>0</v>
      </c>
    </row>
    <row r="9656" spans="1:18" x14ac:dyDescent="0.25">
      <c r="A9656">
        <v>9505</v>
      </c>
      <c r="B9656">
        <v>94</v>
      </c>
      <c r="C9656">
        <v>31507998</v>
      </c>
      <c r="D9656" t="s">
        <v>132</v>
      </c>
      <c r="E9656">
        <v>0.56200000000000006</v>
      </c>
      <c r="F9656" t="s">
        <v>21</v>
      </c>
      <c r="G9656" t="s">
        <v>26</v>
      </c>
      <c r="H9656" t="s">
        <v>21</v>
      </c>
      <c r="I9656" t="s">
        <v>20</v>
      </c>
      <c r="J9656" t="s">
        <v>20</v>
      </c>
      <c r="K9656" t="s">
        <v>22</v>
      </c>
      <c r="L9656" t="s">
        <v>133</v>
      </c>
      <c r="M9656" t="s">
        <v>134</v>
      </c>
      <c r="N9656">
        <v>40.302447999999998</v>
      </c>
      <c r="O9656">
        <v>-109.999427</v>
      </c>
      <c r="P9656">
        <v>5061.2604760000004</v>
      </c>
      <c r="Q9656">
        <v>1405</v>
      </c>
      <c r="R9656">
        <v>0</v>
      </c>
    </row>
    <row r="9657" spans="1:18" x14ac:dyDescent="0.25">
      <c r="A9657">
        <v>9506</v>
      </c>
      <c r="B9657">
        <v>94</v>
      </c>
      <c r="C9657">
        <v>31464668</v>
      </c>
      <c r="D9657" t="s">
        <v>264</v>
      </c>
      <c r="E9657">
        <v>0.56299999999999994</v>
      </c>
      <c r="F9657" t="s">
        <v>21</v>
      </c>
      <c r="G9657" t="s">
        <v>26</v>
      </c>
      <c r="H9657" t="s">
        <v>21</v>
      </c>
      <c r="I9657" t="s">
        <v>20</v>
      </c>
      <c r="J9657" t="s">
        <v>20</v>
      </c>
      <c r="K9657" t="s">
        <v>22</v>
      </c>
      <c r="L9657" t="s">
        <v>35</v>
      </c>
      <c r="M9657" t="s">
        <v>36</v>
      </c>
      <c r="N9657">
        <v>40.515414999999997</v>
      </c>
      <c r="O9657">
        <v>-111.478641</v>
      </c>
      <c r="P9657">
        <v>5561.6141100000004</v>
      </c>
      <c r="Q9657">
        <v>420</v>
      </c>
      <c r="R9657">
        <v>0</v>
      </c>
    </row>
    <row r="9658" spans="1:18" x14ac:dyDescent="0.25">
      <c r="A9658">
        <v>9507</v>
      </c>
      <c r="B9658">
        <v>94</v>
      </c>
      <c r="C9658">
        <v>1394725</v>
      </c>
      <c r="D9658" t="s">
        <v>88</v>
      </c>
      <c r="E9658">
        <v>0.56499999999999995</v>
      </c>
      <c r="F9658" t="s">
        <v>21</v>
      </c>
      <c r="G9658" t="s">
        <v>26</v>
      </c>
      <c r="H9658" t="s">
        <v>21</v>
      </c>
      <c r="I9658" t="s">
        <v>20</v>
      </c>
      <c r="J9658" t="s">
        <v>20</v>
      </c>
      <c r="K9658" t="s">
        <v>31</v>
      </c>
      <c r="L9658" t="s">
        <v>89</v>
      </c>
      <c r="M9658" t="s">
        <v>90</v>
      </c>
      <c r="N9658">
        <v>40.522216</v>
      </c>
      <c r="O9658">
        <v>-111.973181</v>
      </c>
      <c r="P9658">
        <v>4524.7821279999998</v>
      </c>
      <c r="Q9658">
        <v>318</v>
      </c>
      <c r="R9658">
        <v>0</v>
      </c>
    </row>
    <row r="9659" spans="1:18" x14ac:dyDescent="0.25">
      <c r="A9659">
        <v>9508</v>
      </c>
      <c r="B9659">
        <v>94</v>
      </c>
      <c r="C9659">
        <v>31368779</v>
      </c>
      <c r="D9659" t="s">
        <v>199</v>
      </c>
      <c r="E9659">
        <v>0.56499999999999995</v>
      </c>
      <c r="F9659" t="s">
        <v>21</v>
      </c>
      <c r="G9659" t="s">
        <v>26</v>
      </c>
      <c r="H9659" t="s">
        <v>21</v>
      </c>
      <c r="I9659" t="s">
        <v>20</v>
      </c>
      <c r="J9659" t="s">
        <v>20</v>
      </c>
      <c r="K9659" t="s">
        <v>27</v>
      </c>
      <c r="L9659" t="s">
        <v>103</v>
      </c>
      <c r="M9659" t="s">
        <v>200</v>
      </c>
      <c r="N9659">
        <v>38.276980999999999</v>
      </c>
      <c r="O9659">
        <v>-112.630916</v>
      </c>
      <c r="P9659">
        <v>5877.9457160000002</v>
      </c>
      <c r="Q9659">
        <v>341</v>
      </c>
      <c r="R9659">
        <v>0</v>
      </c>
    </row>
    <row r="9660" spans="1:18" x14ac:dyDescent="0.25">
      <c r="A9660">
        <v>9509</v>
      </c>
      <c r="B9660">
        <v>94</v>
      </c>
      <c r="C9660">
        <v>31528870</v>
      </c>
      <c r="D9660" t="s">
        <v>716</v>
      </c>
      <c r="E9660">
        <v>0.56799999999999995</v>
      </c>
      <c r="F9660" t="s">
        <v>21</v>
      </c>
      <c r="G9660" t="s">
        <v>26</v>
      </c>
      <c r="H9660" t="s">
        <v>21</v>
      </c>
      <c r="I9660" t="s">
        <v>20</v>
      </c>
      <c r="J9660" t="s">
        <v>20</v>
      </c>
      <c r="K9660" t="s">
        <v>27</v>
      </c>
      <c r="L9660" t="s">
        <v>51</v>
      </c>
      <c r="M9660" t="s">
        <v>106</v>
      </c>
      <c r="N9660">
        <v>37.850493</v>
      </c>
      <c r="O9660">
        <v>-112.82777900000001</v>
      </c>
      <c r="P9660">
        <v>5888.7559940000001</v>
      </c>
      <c r="Q9660">
        <v>433</v>
      </c>
      <c r="R9660">
        <v>0</v>
      </c>
    </row>
    <row r="9661" spans="1:18" x14ac:dyDescent="0.25">
      <c r="A9661">
        <v>9510</v>
      </c>
      <c r="B9661">
        <v>94</v>
      </c>
      <c r="C9661">
        <v>27643776</v>
      </c>
      <c r="D9661" t="s">
        <v>196</v>
      </c>
      <c r="E9661">
        <v>0.57499999999999996</v>
      </c>
      <c r="F9661" t="s">
        <v>19</v>
      </c>
      <c r="G9661" t="s">
        <v>20</v>
      </c>
      <c r="H9661" t="s">
        <v>21</v>
      </c>
      <c r="I9661" t="s">
        <v>20</v>
      </c>
      <c r="J9661" t="s">
        <v>20</v>
      </c>
      <c r="K9661" t="s">
        <v>27</v>
      </c>
      <c r="L9661" t="s">
        <v>72</v>
      </c>
      <c r="M9661" t="s">
        <v>73</v>
      </c>
      <c r="N9661">
        <v>37.109881000000001</v>
      </c>
      <c r="O9661">
        <v>-113.58327199999999</v>
      </c>
      <c r="P9661">
        <v>2670.4431049999998</v>
      </c>
      <c r="Q9661">
        <v>308</v>
      </c>
      <c r="R9661">
        <v>0</v>
      </c>
    </row>
    <row r="9662" spans="1:18" x14ac:dyDescent="0.25">
      <c r="A9662">
        <v>9511</v>
      </c>
      <c r="B9662">
        <v>94</v>
      </c>
      <c r="C9662">
        <v>31192009</v>
      </c>
      <c r="D9662" t="s">
        <v>153</v>
      </c>
      <c r="E9662">
        <v>0.57499999999999996</v>
      </c>
      <c r="F9662" t="s">
        <v>21</v>
      </c>
      <c r="G9662" t="s">
        <v>26</v>
      </c>
      <c r="H9662" t="s">
        <v>21</v>
      </c>
      <c r="I9662" t="s">
        <v>20</v>
      </c>
      <c r="J9662" t="s">
        <v>20</v>
      </c>
      <c r="K9662" t="s">
        <v>22</v>
      </c>
      <c r="L9662" t="s">
        <v>84</v>
      </c>
      <c r="M9662" t="s">
        <v>85</v>
      </c>
      <c r="N9662">
        <v>40.366264000000001</v>
      </c>
      <c r="O9662">
        <v>-111.738855</v>
      </c>
      <c r="P9662">
        <v>4585.0702439999995</v>
      </c>
      <c r="R9662">
        <v>0</v>
      </c>
    </row>
    <row r="9663" spans="1:18" x14ac:dyDescent="0.25">
      <c r="A9663">
        <v>9512</v>
      </c>
      <c r="B9663">
        <v>94</v>
      </c>
      <c r="C9663" t="e">
        <f>-IoI7oFNH3icIlidTDM_tV</f>
        <v>#NAME?</v>
      </c>
      <c r="D9663" t="s">
        <v>408</v>
      </c>
      <c r="E9663">
        <v>0.57799999999999996</v>
      </c>
      <c r="F9663" t="s">
        <v>21</v>
      </c>
      <c r="G9663" t="s">
        <v>26</v>
      </c>
      <c r="H9663" t="s">
        <v>21</v>
      </c>
      <c r="I9663" t="s">
        <v>20</v>
      </c>
      <c r="J9663" t="s">
        <v>20</v>
      </c>
      <c r="K9663" t="s">
        <v>27</v>
      </c>
      <c r="L9663" t="s">
        <v>75</v>
      </c>
      <c r="M9663" t="s">
        <v>366</v>
      </c>
      <c r="N9663">
        <v>38.683033000000002</v>
      </c>
      <c r="O9663">
        <v>-112.14661700000001</v>
      </c>
      <c r="P9663">
        <v>5282.8763120000003</v>
      </c>
      <c r="Q9663">
        <v>428</v>
      </c>
      <c r="R9663">
        <v>0</v>
      </c>
    </row>
    <row r="9664" spans="1:18" x14ac:dyDescent="0.25">
      <c r="A9664">
        <v>9513</v>
      </c>
      <c r="B9664">
        <v>94</v>
      </c>
      <c r="C9664">
        <v>1411617</v>
      </c>
      <c r="D9664" t="s">
        <v>109</v>
      </c>
      <c r="E9664">
        <v>0.57899999999999996</v>
      </c>
      <c r="F9664" t="s">
        <v>21</v>
      </c>
      <c r="G9664" t="s">
        <v>26</v>
      </c>
      <c r="H9664" t="s">
        <v>21</v>
      </c>
      <c r="I9664" t="s">
        <v>20</v>
      </c>
      <c r="J9664" t="s">
        <v>20</v>
      </c>
      <c r="K9664" t="s">
        <v>41</v>
      </c>
      <c r="L9664" t="s">
        <v>42</v>
      </c>
      <c r="M9664" t="s">
        <v>73</v>
      </c>
      <c r="N9664">
        <v>41.570816999999998</v>
      </c>
      <c r="O9664">
        <v>-111.838296</v>
      </c>
      <c r="P9664">
        <v>4854.933685</v>
      </c>
      <c r="Q9664">
        <v>345</v>
      </c>
      <c r="R9664">
        <v>0</v>
      </c>
    </row>
    <row r="9665" spans="1:18" x14ac:dyDescent="0.25">
      <c r="A9665">
        <v>9514</v>
      </c>
      <c r="B9665">
        <v>94</v>
      </c>
      <c r="C9665">
        <v>31426362</v>
      </c>
      <c r="D9665" t="s">
        <v>216</v>
      </c>
      <c r="E9665">
        <v>0.32400000000000001</v>
      </c>
      <c r="F9665" t="s">
        <v>21</v>
      </c>
      <c r="G9665" t="s">
        <v>26</v>
      </c>
      <c r="H9665" t="s">
        <v>21</v>
      </c>
      <c r="I9665" t="s">
        <v>20</v>
      </c>
      <c r="J9665" t="s">
        <v>20</v>
      </c>
      <c r="K9665" t="s">
        <v>27</v>
      </c>
      <c r="L9665" t="s">
        <v>158</v>
      </c>
      <c r="M9665" t="s">
        <v>159</v>
      </c>
      <c r="N9665">
        <v>39.680602</v>
      </c>
      <c r="O9665">
        <v>-110.855029</v>
      </c>
      <c r="P9665">
        <v>5760.525095</v>
      </c>
      <c r="Q9665">
        <v>1428</v>
      </c>
      <c r="R9665">
        <v>0</v>
      </c>
    </row>
    <row r="9666" spans="1:18" x14ac:dyDescent="0.25">
      <c r="A9666">
        <v>9515</v>
      </c>
      <c r="B9666">
        <v>94</v>
      </c>
      <c r="C9666">
        <v>31408908</v>
      </c>
      <c r="D9666" t="s">
        <v>970</v>
      </c>
      <c r="E9666">
        <v>0.32400000000000001</v>
      </c>
      <c r="F9666" t="s">
        <v>19</v>
      </c>
      <c r="G9666" t="s">
        <v>20</v>
      </c>
      <c r="H9666" t="s">
        <v>21</v>
      </c>
      <c r="I9666" t="s">
        <v>20</v>
      </c>
      <c r="J9666" t="s">
        <v>20</v>
      </c>
      <c r="K9666" t="s">
        <v>22</v>
      </c>
      <c r="L9666" t="s">
        <v>23</v>
      </c>
      <c r="M9666" t="s">
        <v>24</v>
      </c>
      <c r="N9666">
        <v>40.188149000000003</v>
      </c>
      <c r="O9666">
        <v>-111.64259</v>
      </c>
      <c r="P9666">
        <v>4440.9417949999997</v>
      </c>
      <c r="Q9666">
        <v>1373</v>
      </c>
      <c r="R9666">
        <v>0</v>
      </c>
    </row>
    <row r="9667" spans="1:18" x14ac:dyDescent="0.25">
      <c r="A9667">
        <v>9516</v>
      </c>
      <c r="B9667">
        <v>94</v>
      </c>
      <c r="C9667">
        <v>31751516</v>
      </c>
      <c r="D9667" t="s">
        <v>44</v>
      </c>
      <c r="E9667">
        <v>0.32500000000000001</v>
      </c>
      <c r="F9667" t="s">
        <v>21</v>
      </c>
      <c r="G9667" t="s">
        <v>26</v>
      </c>
      <c r="H9667" t="s">
        <v>21</v>
      </c>
      <c r="I9667" t="s">
        <v>20</v>
      </c>
      <c r="J9667" t="s">
        <v>20</v>
      </c>
      <c r="K9667" t="s">
        <v>41</v>
      </c>
      <c r="L9667" t="s">
        <v>45</v>
      </c>
      <c r="M9667" t="s">
        <v>46</v>
      </c>
      <c r="N9667">
        <v>40.893943999999998</v>
      </c>
      <c r="O9667">
        <v>-111.89451800000001</v>
      </c>
      <c r="P9667">
        <v>4242.3442109999996</v>
      </c>
      <c r="Q9667">
        <v>1395</v>
      </c>
      <c r="R9667">
        <v>0</v>
      </c>
    </row>
    <row r="9668" spans="1:18" x14ac:dyDescent="0.25">
      <c r="A9668">
        <v>9517</v>
      </c>
      <c r="B9668">
        <v>94</v>
      </c>
      <c r="C9668">
        <v>31585294</v>
      </c>
      <c r="D9668" t="s">
        <v>187</v>
      </c>
      <c r="E9668">
        <v>0.32500000000000001</v>
      </c>
      <c r="F9668" t="s">
        <v>19</v>
      </c>
      <c r="G9668" t="s">
        <v>20</v>
      </c>
      <c r="H9668" t="s">
        <v>21</v>
      </c>
      <c r="I9668" t="s">
        <v>20</v>
      </c>
      <c r="J9668" t="s">
        <v>20</v>
      </c>
      <c r="K9668" t="s">
        <v>31</v>
      </c>
      <c r="L9668" t="s">
        <v>188</v>
      </c>
      <c r="M9668" t="s">
        <v>90</v>
      </c>
      <c r="N9668">
        <v>40.760779999999997</v>
      </c>
      <c r="O9668">
        <v>-111.847453</v>
      </c>
      <c r="P9668">
        <v>4613.4376119999997</v>
      </c>
      <c r="Q9668">
        <v>435</v>
      </c>
      <c r="R9668">
        <v>0</v>
      </c>
    </row>
    <row r="9669" spans="1:18" x14ac:dyDescent="0.25">
      <c r="A9669">
        <v>9518</v>
      </c>
      <c r="B9669">
        <v>94</v>
      </c>
      <c r="C9669">
        <v>31459412</v>
      </c>
      <c r="D9669" t="s">
        <v>1142</v>
      </c>
      <c r="E9669">
        <v>0.32600000000000001</v>
      </c>
      <c r="F9669" t="s">
        <v>21</v>
      </c>
      <c r="G9669" t="s">
        <v>20</v>
      </c>
      <c r="H9669" t="s">
        <v>21</v>
      </c>
      <c r="I9669" t="s">
        <v>20</v>
      </c>
      <c r="J9669" t="s">
        <v>20</v>
      </c>
      <c r="K9669" t="s">
        <v>27</v>
      </c>
      <c r="L9669" t="s">
        <v>72</v>
      </c>
      <c r="M9669" t="s">
        <v>73</v>
      </c>
      <c r="N9669">
        <v>37.171776999999999</v>
      </c>
      <c r="O9669">
        <v>-113.40454699999999</v>
      </c>
      <c r="P9669">
        <v>2848.8899409999999</v>
      </c>
      <c r="Q9669">
        <v>447</v>
      </c>
      <c r="R9669">
        <v>0</v>
      </c>
    </row>
    <row r="9670" spans="1:18" x14ac:dyDescent="0.25">
      <c r="A9670">
        <v>9519</v>
      </c>
      <c r="B9670">
        <v>94</v>
      </c>
      <c r="C9670">
        <v>31462113</v>
      </c>
      <c r="D9670" t="s">
        <v>218</v>
      </c>
      <c r="E9670">
        <v>0.32700000000000001</v>
      </c>
      <c r="F9670" t="s">
        <v>21</v>
      </c>
      <c r="G9670" t="s">
        <v>20</v>
      </c>
      <c r="H9670" t="s">
        <v>21</v>
      </c>
      <c r="I9670" t="s">
        <v>20</v>
      </c>
      <c r="J9670" t="s">
        <v>20</v>
      </c>
      <c r="K9670" t="s">
        <v>27</v>
      </c>
      <c r="L9670" t="s">
        <v>183</v>
      </c>
      <c r="M9670" t="s">
        <v>76</v>
      </c>
      <c r="N9670">
        <v>38.977955000000001</v>
      </c>
      <c r="O9670">
        <v>-111.860471</v>
      </c>
      <c r="P9670">
        <v>5061.6736220000003</v>
      </c>
      <c r="Q9670">
        <v>360</v>
      </c>
      <c r="R9670">
        <v>0</v>
      </c>
    </row>
    <row r="9671" spans="1:18" x14ac:dyDescent="0.25">
      <c r="A9671">
        <v>9520</v>
      </c>
      <c r="B9671">
        <v>94</v>
      </c>
      <c r="C9671">
        <v>31511200</v>
      </c>
      <c r="D9671" t="s">
        <v>390</v>
      </c>
      <c r="E9671">
        <v>0.32900000000000001</v>
      </c>
      <c r="F9671" t="s">
        <v>19</v>
      </c>
      <c r="G9671" t="s">
        <v>20</v>
      </c>
      <c r="H9671" t="s">
        <v>21</v>
      </c>
      <c r="I9671" t="s">
        <v>20</v>
      </c>
      <c r="J9671" t="s">
        <v>20</v>
      </c>
      <c r="K9671" t="s">
        <v>22</v>
      </c>
      <c r="L9671" t="s">
        <v>84</v>
      </c>
      <c r="M9671" t="s">
        <v>335</v>
      </c>
      <c r="N9671">
        <v>40.431469999999997</v>
      </c>
      <c r="O9671">
        <v>-111.889426</v>
      </c>
      <c r="P9671">
        <v>4575.9741009999998</v>
      </c>
      <c r="Q9671">
        <v>1386</v>
      </c>
      <c r="R9671">
        <v>0</v>
      </c>
    </row>
    <row r="9672" spans="1:18" x14ac:dyDescent="0.25">
      <c r="A9672">
        <v>9521</v>
      </c>
      <c r="B9672">
        <v>94</v>
      </c>
      <c r="C9672" t="e">
        <f>-Ipdw9v1IJm1iemQ8uyJik</f>
        <v>#NAME?</v>
      </c>
      <c r="D9672" t="s">
        <v>170</v>
      </c>
      <c r="E9672">
        <v>0.33</v>
      </c>
      <c r="F9672" t="s">
        <v>19</v>
      </c>
      <c r="G9672" t="s">
        <v>20</v>
      </c>
      <c r="H9672" t="s">
        <v>19</v>
      </c>
      <c r="I9672">
        <v>203</v>
      </c>
      <c r="J9672" t="s">
        <v>20</v>
      </c>
      <c r="K9672" t="s">
        <v>41</v>
      </c>
      <c r="L9672" t="s">
        <v>81</v>
      </c>
      <c r="M9672" t="s">
        <v>82</v>
      </c>
      <c r="N9672">
        <v>41.193370999999999</v>
      </c>
      <c r="O9672">
        <v>-111.94878799999999</v>
      </c>
      <c r="P9672">
        <v>4550.2501329999996</v>
      </c>
      <c r="Q9672">
        <v>1284</v>
      </c>
      <c r="R9672">
        <v>0</v>
      </c>
    </row>
    <row r="9673" spans="1:18" x14ac:dyDescent="0.25">
      <c r="A9673">
        <v>9522</v>
      </c>
      <c r="B9673">
        <v>94</v>
      </c>
      <c r="C9673">
        <v>31596372</v>
      </c>
      <c r="D9673" t="s">
        <v>232</v>
      </c>
      <c r="E9673">
        <v>0.33200000000000002</v>
      </c>
      <c r="F9673" t="s">
        <v>21</v>
      </c>
      <c r="G9673" t="s">
        <v>26</v>
      </c>
      <c r="H9673" t="s">
        <v>21</v>
      </c>
      <c r="I9673" t="s">
        <v>20</v>
      </c>
      <c r="J9673" t="s">
        <v>20</v>
      </c>
      <c r="K9673" t="s">
        <v>31</v>
      </c>
      <c r="L9673" t="s">
        <v>209</v>
      </c>
      <c r="M9673" t="s">
        <v>131</v>
      </c>
      <c r="N9673">
        <v>40.661718</v>
      </c>
      <c r="O9673">
        <v>-111.503454</v>
      </c>
      <c r="P9673">
        <v>6758.6244219999999</v>
      </c>
      <c r="Q9673">
        <v>1279</v>
      </c>
      <c r="R9673">
        <v>0</v>
      </c>
    </row>
    <row r="9674" spans="1:18" x14ac:dyDescent="0.25">
      <c r="A9674">
        <v>9523</v>
      </c>
      <c r="B9674">
        <v>94</v>
      </c>
      <c r="C9674">
        <v>7526184</v>
      </c>
      <c r="D9674" t="s">
        <v>322</v>
      </c>
      <c r="E9674">
        <v>0.33300000000000002</v>
      </c>
      <c r="F9674" t="s">
        <v>19</v>
      </c>
      <c r="G9674" t="s">
        <v>20</v>
      </c>
      <c r="H9674" t="s">
        <v>19</v>
      </c>
      <c r="I9674">
        <v>89</v>
      </c>
      <c r="J9674" t="s">
        <v>20</v>
      </c>
      <c r="K9674" t="s">
        <v>22</v>
      </c>
      <c r="L9674" t="s">
        <v>84</v>
      </c>
      <c r="M9674" t="s">
        <v>24</v>
      </c>
      <c r="N9674">
        <v>40.412927000000003</v>
      </c>
      <c r="O9674">
        <v>-111.872608</v>
      </c>
      <c r="P9674">
        <v>4502.8785909999997</v>
      </c>
      <c r="Q9674">
        <v>6660</v>
      </c>
      <c r="R9674">
        <v>0</v>
      </c>
    </row>
    <row r="9675" spans="1:18" x14ac:dyDescent="0.25">
      <c r="A9675">
        <v>9524</v>
      </c>
      <c r="B9675">
        <v>94</v>
      </c>
      <c r="C9675">
        <v>31507958</v>
      </c>
      <c r="D9675" t="s">
        <v>132</v>
      </c>
      <c r="E9675">
        <v>0.33400000000000002</v>
      </c>
      <c r="F9675" t="s">
        <v>21</v>
      </c>
      <c r="G9675" t="s">
        <v>26</v>
      </c>
      <c r="H9675" t="s">
        <v>21</v>
      </c>
      <c r="I9675" t="s">
        <v>20</v>
      </c>
      <c r="J9675" t="s">
        <v>20</v>
      </c>
      <c r="K9675" t="s">
        <v>22</v>
      </c>
      <c r="L9675" t="s">
        <v>133</v>
      </c>
      <c r="M9675" t="s">
        <v>134</v>
      </c>
      <c r="N9675">
        <v>40.302128000000003</v>
      </c>
      <c r="O9675">
        <v>-109.995182</v>
      </c>
      <c r="P9675">
        <v>5064.4184509999995</v>
      </c>
      <c r="Q9675">
        <v>1405</v>
      </c>
      <c r="R9675">
        <v>0</v>
      </c>
    </row>
    <row r="9676" spans="1:18" x14ac:dyDescent="0.25">
      <c r="A9676">
        <v>9525</v>
      </c>
      <c r="B9676">
        <v>94</v>
      </c>
      <c r="C9676">
        <v>31368636</v>
      </c>
      <c r="D9676" t="s">
        <v>345</v>
      </c>
      <c r="E9676">
        <v>0.33700000000000002</v>
      </c>
      <c r="F9676" t="s">
        <v>21</v>
      </c>
      <c r="G9676" t="s">
        <v>26</v>
      </c>
      <c r="H9676" t="s">
        <v>21</v>
      </c>
      <c r="I9676" t="s">
        <v>20</v>
      </c>
      <c r="J9676" t="s">
        <v>20</v>
      </c>
      <c r="K9676" t="s">
        <v>27</v>
      </c>
      <c r="L9676" t="s">
        <v>75</v>
      </c>
      <c r="M9676" t="s">
        <v>76</v>
      </c>
      <c r="N9676">
        <v>38.624209999999998</v>
      </c>
      <c r="O9676">
        <v>-112.22111</v>
      </c>
      <c r="P9676">
        <v>5397.5869570000004</v>
      </c>
      <c r="Q9676">
        <v>1403</v>
      </c>
      <c r="R9676">
        <v>0</v>
      </c>
    </row>
    <row r="9677" spans="1:18" x14ac:dyDescent="0.25">
      <c r="A9677">
        <v>9526</v>
      </c>
      <c r="B9677">
        <v>94</v>
      </c>
      <c r="C9677" t="s">
        <v>1143</v>
      </c>
      <c r="D9677" t="s">
        <v>264</v>
      </c>
      <c r="E9677">
        <v>0.33700000000000002</v>
      </c>
      <c r="F9677" t="s">
        <v>21</v>
      </c>
      <c r="G9677" t="s">
        <v>26</v>
      </c>
      <c r="H9677" t="s">
        <v>21</v>
      </c>
      <c r="I9677" t="s">
        <v>20</v>
      </c>
      <c r="J9677" t="s">
        <v>20</v>
      </c>
      <c r="K9677" t="s">
        <v>22</v>
      </c>
      <c r="L9677" t="s">
        <v>35</v>
      </c>
      <c r="M9677" t="s">
        <v>36</v>
      </c>
      <c r="N9677">
        <v>40.513814000000004</v>
      </c>
      <c r="O9677">
        <v>-111.47653800000001</v>
      </c>
      <c r="P9677">
        <v>5545.9628730000004</v>
      </c>
      <c r="Q9677">
        <v>420</v>
      </c>
      <c r="R9677">
        <v>0</v>
      </c>
    </row>
    <row r="9678" spans="1:18" x14ac:dyDescent="0.25">
      <c r="A9678">
        <v>9527</v>
      </c>
      <c r="B9678">
        <v>94</v>
      </c>
      <c r="C9678">
        <v>27643559</v>
      </c>
      <c r="D9678" t="s">
        <v>196</v>
      </c>
      <c r="E9678">
        <v>0.33700000000000002</v>
      </c>
      <c r="F9678" t="s">
        <v>21</v>
      </c>
      <c r="G9678" t="s">
        <v>26</v>
      </c>
      <c r="H9678" t="s">
        <v>21</v>
      </c>
      <c r="I9678" t="s">
        <v>20</v>
      </c>
      <c r="J9678" t="s">
        <v>20</v>
      </c>
      <c r="K9678" t="s">
        <v>27</v>
      </c>
      <c r="L9678" t="s">
        <v>72</v>
      </c>
      <c r="M9678" t="s">
        <v>73</v>
      </c>
      <c r="N9678">
        <v>37.109903000000003</v>
      </c>
      <c r="O9678">
        <v>-113.58757</v>
      </c>
      <c r="P9678">
        <v>2666.3376870000002</v>
      </c>
      <c r="Q9678">
        <v>308</v>
      </c>
      <c r="R9678">
        <v>0</v>
      </c>
    </row>
    <row r="9679" spans="1:18" x14ac:dyDescent="0.25">
      <c r="A9679">
        <v>9528</v>
      </c>
      <c r="B9679">
        <v>94</v>
      </c>
      <c r="C9679">
        <v>31658093</v>
      </c>
      <c r="D9679" t="s">
        <v>156</v>
      </c>
      <c r="E9679">
        <v>0.96799999999999997</v>
      </c>
      <c r="F9679" t="s">
        <v>21</v>
      </c>
      <c r="G9679" t="s">
        <v>20</v>
      </c>
      <c r="H9679" t="s">
        <v>21</v>
      </c>
      <c r="I9679" t="s">
        <v>20</v>
      </c>
      <c r="J9679" t="s">
        <v>20</v>
      </c>
      <c r="K9679" t="s">
        <v>41</v>
      </c>
      <c r="L9679" t="s">
        <v>81</v>
      </c>
      <c r="M9679" t="s">
        <v>93</v>
      </c>
      <c r="N9679">
        <v>41.273375000000001</v>
      </c>
      <c r="O9679">
        <v>-111.969368</v>
      </c>
      <c r="P9679">
        <v>4261.1974190000001</v>
      </c>
      <c r="Q9679">
        <v>424</v>
      </c>
      <c r="R9679">
        <v>0</v>
      </c>
    </row>
    <row r="9680" spans="1:18" x14ac:dyDescent="0.25">
      <c r="A9680">
        <v>9529</v>
      </c>
      <c r="B9680">
        <v>94</v>
      </c>
      <c r="C9680">
        <v>31366369</v>
      </c>
      <c r="D9680" t="s">
        <v>229</v>
      </c>
      <c r="E9680">
        <v>0.96899999999999997</v>
      </c>
      <c r="F9680" t="s">
        <v>21</v>
      </c>
      <c r="G9680" t="s">
        <v>20</v>
      </c>
      <c r="H9680" t="s">
        <v>21</v>
      </c>
      <c r="I9680" t="s">
        <v>20</v>
      </c>
      <c r="J9680" t="s">
        <v>20</v>
      </c>
      <c r="K9680" t="s">
        <v>27</v>
      </c>
      <c r="L9680" t="s">
        <v>230</v>
      </c>
      <c r="M9680" t="s">
        <v>82</v>
      </c>
      <c r="N9680">
        <v>39.476958000000003</v>
      </c>
      <c r="O9680">
        <v>-111.635003</v>
      </c>
      <c r="P9680">
        <v>5580.4687899999999</v>
      </c>
      <c r="Q9680">
        <v>331</v>
      </c>
      <c r="R9680">
        <v>0</v>
      </c>
    </row>
    <row r="9681" spans="1:18" x14ac:dyDescent="0.25">
      <c r="A9681">
        <v>9530</v>
      </c>
      <c r="B9681">
        <v>94</v>
      </c>
      <c r="C9681">
        <v>31382870</v>
      </c>
      <c r="D9681" t="s">
        <v>184</v>
      </c>
      <c r="E9681">
        <v>0.97099999999999997</v>
      </c>
      <c r="F9681" t="s">
        <v>21</v>
      </c>
      <c r="G9681" t="s">
        <v>26</v>
      </c>
      <c r="H9681" t="s">
        <v>21</v>
      </c>
      <c r="I9681" t="s">
        <v>20</v>
      </c>
      <c r="J9681" t="s">
        <v>20</v>
      </c>
      <c r="K9681" t="s">
        <v>27</v>
      </c>
      <c r="L9681" t="s">
        <v>54</v>
      </c>
      <c r="M9681" t="s">
        <v>55</v>
      </c>
      <c r="N9681">
        <v>37.661541</v>
      </c>
      <c r="O9681">
        <v>-113.069879</v>
      </c>
      <c r="P9681">
        <v>5871.9228949999997</v>
      </c>
      <c r="Q9681">
        <v>1410</v>
      </c>
      <c r="R9681">
        <v>0</v>
      </c>
    </row>
    <row r="9682" spans="1:18" x14ac:dyDescent="0.25">
      <c r="A9682">
        <v>9531</v>
      </c>
      <c r="B9682">
        <v>94</v>
      </c>
      <c r="C9682">
        <v>31500741</v>
      </c>
      <c r="D9682" t="s">
        <v>292</v>
      </c>
      <c r="E9682">
        <v>0.97199999999999998</v>
      </c>
      <c r="F9682" t="s">
        <v>21</v>
      </c>
      <c r="G9682" t="s">
        <v>26</v>
      </c>
      <c r="H9682" t="s">
        <v>21</v>
      </c>
      <c r="I9682" t="s">
        <v>20</v>
      </c>
      <c r="J9682" t="s">
        <v>20</v>
      </c>
      <c r="K9682" t="s">
        <v>22</v>
      </c>
      <c r="L9682" t="s">
        <v>253</v>
      </c>
      <c r="M9682" t="s">
        <v>134</v>
      </c>
      <c r="N9682">
        <v>40.177537999999998</v>
      </c>
      <c r="O9682">
        <v>-110.400249</v>
      </c>
      <c r="P9682">
        <v>5579.0736829999996</v>
      </c>
      <c r="Q9682">
        <v>323</v>
      </c>
      <c r="R9682">
        <v>0</v>
      </c>
    </row>
    <row r="9683" spans="1:18" x14ac:dyDescent="0.25">
      <c r="A9683">
        <v>9532</v>
      </c>
      <c r="B9683">
        <v>94</v>
      </c>
      <c r="C9683">
        <v>733344</v>
      </c>
      <c r="D9683" t="s">
        <v>68</v>
      </c>
      <c r="E9683">
        <v>0.97299999999999998</v>
      </c>
      <c r="F9683" t="s">
        <v>21</v>
      </c>
      <c r="G9683" t="s">
        <v>20</v>
      </c>
      <c r="H9683" t="s">
        <v>21</v>
      </c>
      <c r="I9683" t="s">
        <v>20</v>
      </c>
      <c r="J9683" t="s">
        <v>20</v>
      </c>
      <c r="K9683" t="s">
        <v>31</v>
      </c>
      <c r="L9683" t="s">
        <v>69</v>
      </c>
      <c r="M9683" t="s">
        <v>70</v>
      </c>
      <c r="N9683">
        <v>40.667786999999997</v>
      </c>
      <c r="O9683">
        <v>-111.935109</v>
      </c>
      <c r="P9683">
        <v>4232.3109679999998</v>
      </c>
      <c r="Q9683">
        <v>431</v>
      </c>
      <c r="R9683">
        <v>0</v>
      </c>
    </row>
    <row r="9684" spans="1:18" x14ac:dyDescent="0.25">
      <c r="A9684">
        <v>9533</v>
      </c>
      <c r="B9684">
        <v>94</v>
      </c>
      <c r="C9684">
        <v>2525046</v>
      </c>
      <c r="D9684" t="s">
        <v>176</v>
      </c>
      <c r="E9684">
        <v>0.97599999999999998</v>
      </c>
      <c r="F9684" t="s">
        <v>21</v>
      </c>
      <c r="G9684" t="s">
        <v>26</v>
      </c>
      <c r="H9684" t="s">
        <v>21</v>
      </c>
      <c r="I9684" t="s">
        <v>20</v>
      </c>
      <c r="J9684" t="s">
        <v>20</v>
      </c>
      <c r="K9684" t="s">
        <v>41</v>
      </c>
      <c r="L9684" t="s">
        <v>177</v>
      </c>
      <c r="M9684" t="s">
        <v>178</v>
      </c>
      <c r="N9684">
        <v>41.500748999999999</v>
      </c>
      <c r="O9684">
        <v>-112.015962</v>
      </c>
      <c r="P9684">
        <v>4390.3939110000001</v>
      </c>
      <c r="Q9684">
        <v>1329</v>
      </c>
      <c r="R9684">
        <v>0</v>
      </c>
    </row>
    <row r="9685" spans="1:18" x14ac:dyDescent="0.25">
      <c r="A9685">
        <v>9534</v>
      </c>
      <c r="B9685">
        <v>94</v>
      </c>
      <c r="C9685">
        <v>1224088</v>
      </c>
      <c r="D9685" t="s">
        <v>189</v>
      </c>
      <c r="E9685">
        <v>0.97599999999999998</v>
      </c>
      <c r="F9685" t="s">
        <v>19</v>
      </c>
      <c r="G9685" t="s">
        <v>20</v>
      </c>
      <c r="H9685" t="s">
        <v>21</v>
      </c>
      <c r="I9685" t="s">
        <v>20</v>
      </c>
      <c r="J9685" t="s">
        <v>20</v>
      </c>
      <c r="K9685" t="s">
        <v>41</v>
      </c>
      <c r="L9685" t="s">
        <v>81</v>
      </c>
      <c r="M9685" t="s">
        <v>190</v>
      </c>
      <c r="N9685">
        <v>41.168180999999997</v>
      </c>
      <c r="O9685">
        <v>-111.94494400000001</v>
      </c>
      <c r="P9685">
        <v>4707.5461740000001</v>
      </c>
      <c r="Q9685">
        <v>412</v>
      </c>
      <c r="R9685">
        <v>0</v>
      </c>
    </row>
    <row r="9686" spans="1:18" x14ac:dyDescent="0.25">
      <c r="A9686">
        <v>9535</v>
      </c>
      <c r="B9686">
        <v>94</v>
      </c>
      <c r="C9686">
        <v>965132</v>
      </c>
      <c r="D9686" t="s">
        <v>175</v>
      </c>
      <c r="E9686">
        <v>0.97899999999999998</v>
      </c>
      <c r="F9686" t="s">
        <v>21</v>
      </c>
      <c r="G9686" t="s">
        <v>26</v>
      </c>
      <c r="H9686" t="s">
        <v>21</v>
      </c>
      <c r="I9686" t="s">
        <v>20</v>
      </c>
      <c r="J9686" t="s">
        <v>20</v>
      </c>
      <c r="K9686" t="s">
        <v>41</v>
      </c>
      <c r="L9686" t="s">
        <v>87</v>
      </c>
      <c r="M9686" t="s">
        <v>93</v>
      </c>
      <c r="N9686">
        <v>41.060943999999999</v>
      </c>
      <c r="O9686">
        <v>-111.947582</v>
      </c>
      <c r="P9686">
        <v>4334.9311019999996</v>
      </c>
      <c r="Q9686">
        <v>1397</v>
      </c>
      <c r="R9686">
        <v>0</v>
      </c>
    </row>
    <row r="9687" spans="1:18" x14ac:dyDescent="0.25">
      <c r="A9687">
        <v>9536</v>
      </c>
      <c r="B9687">
        <v>94</v>
      </c>
      <c r="C9687">
        <v>31305509</v>
      </c>
      <c r="D9687" t="s">
        <v>251</v>
      </c>
      <c r="E9687">
        <v>0.97899999999999998</v>
      </c>
      <c r="F9687" t="s">
        <v>21</v>
      </c>
      <c r="G9687" t="s">
        <v>26</v>
      </c>
      <c r="H9687" t="s">
        <v>21</v>
      </c>
      <c r="I9687" t="s">
        <v>20</v>
      </c>
      <c r="J9687" t="s">
        <v>20</v>
      </c>
      <c r="K9687" t="s">
        <v>27</v>
      </c>
      <c r="L9687" t="s">
        <v>165</v>
      </c>
      <c r="M9687" t="s">
        <v>166</v>
      </c>
      <c r="N9687">
        <v>38.979196000000002</v>
      </c>
      <c r="O9687">
        <v>-112.34141099999999</v>
      </c>
      <c r="P9687">
        <v>4958.0936680000004</v>
      </c>
      <c r="Q9687">
        <v>326</v>
      </c>
      <c r="R9687">
        <v>0</v>
      </c>
    </row>
    <row r="9688" spans="1:18" x14ac:dyDescent="0.25">
      <c r="A9688">
        <v>9537</v>
      </c>
      <c r="B9688">
        <v>94</v>
      </c>
      <c r="C9688" t="e">
        <f>-JMqlCeYFFPbcFxgTXMECV</f>
        <v>#NAME?</v>
      </c>
      <c r="D9688" t="s">
        <v>1020</v>
      </c>
      <c r="E9688">
        <v>0.66700000000000004</v>
      </c>
      <c r="F9688" t="s">
        <v>21</v>
      </c>
      <c r="G9688" t="s">
        <v>26</v>
      </c>
      <c r="H9688" t="s">
        <v>21</v>
      </c>
      <c r="I9688" t="s">
        <v>20</v>
      </c>
      <c r="J9688" t="s">
        <v>20</v>
      </c>
      <c r="K9688" t="s">
        <v>31</v>
      </c>
      <c r="L9688" t="s">
        <v>66</v>
      </c>
      <c r="M9688" t="s">
        <v>67</v>
      </c>
      <c r="N9688">
        <v>40.782378000000001</v>
      </c>
      <c r="O9688">
        <v>-111.901003</v>
      </c>
      <c r="P9688">
        <v>4176.6342050000003</v>
      </c>
      <c r="Q9688">
        <v>257</v>
      </c>
      <c r="R9688">
        <v>0</v>
      </c>
    </row>
    <row r="9689" spans="1:18" x14ac:dyDescent="0.25">
      <c r="A9689">
        <v>9538</v>
      </c>
      <c r="B9689">
        <v>94</v>
      </c>
      <c r="C9689">
        <v>31398006</v>
      </c>
      <c r="D9689" t="s">
        <v>364</v>
      </c>
      <c r="E9689">
        <v>0.66700000000000004</v>
      </c>
      <c r="F9689" t="s">
        <v>21</v>
      </c>
      <c r="G9689" t="s">
        <v>26</v>
      </c>
      <c r="H9689" t="s">
        <v>21</v>
      </c>
      <c r="I9689" t="s">
        <v>20</v>
      </c>
      <c r="J9689" t="s">
        <v>20</v>
      </c>
      <c r="K9689" t="s">
        <v>22</v>
      </c>
      <c r="L9689" t="s">
        <v>198</v>
      </c>
      <c r="M9689" t="s">
        <v>85</v>
      </c>
      <c r="N9689">
        <v>40.054353999999996</v>
      </c>
      <c r="O9689">
        <v>-111.732232</v>
      </c>
      <c r="P9689">
        <v>4532.653523</v>
      </c>
      <c r="Q9689">
        <v>1401</v>
      </c>
      <c r="R9689">
        <v>0</v>
      </c>
    </row>
    <row r="9690" spans="1:18" x14ac:dyDescent="0.25">
      <c r="A9690">
        <v>9539</v>
      </c>
      <c r="B9690">
        <v>94</v>
      </c>
      <c r="C9690">
        <v>31528892</v>
      </c>
      <c r="D9690" t="s">
        <v>716</v>
      </c>
      <c r="E9690">
        <v>0.67300000000000004</v>
      </c>
      <c r="F9690" t="s">
        <v>21</v>
      </c>
      <c r="G9690" t="s">
        <v>26</v>
      </c>
      <c r="H9690" t="s">
        <v>21</v>
      </c>
      <c r="I9690" t="s">
        <v>20</v>
      </c>
      <c r="J9690" t="s">
        <v>20</v>
      </c>
      <c r="K9690" t="s">
        <v>27</v>
      </c>
      <c r="L9690" t="s">
        <v>51</v>
      </c>
      <c r="M9690" t="s">
        <v>106</v>
      </c>
      <c r="N9690">
        <v>37.852007</v>
      </c>
      <c r="O9690">
        <v>-112.82780200000001</v>
      </c>
      <c r="P9690">
        <v>5876.7782310000002</v>
      </c>
      <c r="Q9690">
        <v>433</v>
      </c>
      <c r="R9690">
        <v>0</v>
      </c>
    </row>
    <row r="9691" spans="1:18" x14ac:dyDescent="0.25">
      <c r="A9691">
        <v>9540</v>
      </c>
      <c r="B9691">
        <v>94</v>
      </c>
      <c r="C9691">
        <v>31309325</v>
      </c>
      <c r="D9691" t="s">
        <v>40</v>
      </c>
      <c r="E9691">
        <v>0.67300000000000004</v>
      </c>
      <c r="F9691" t="s">
        <v>21</v>
      </c>
      <c r="G9691" t="s">
        <v>26</v>
      </c>
      <c r="H9691" t="s">
        <v>21</v>
      </c>
      <c r="I9691" t="s">
        <v>20</v>
      </c>
      <c r="J9691" t="s">
        <v>20</v>
      </c>
      <c r="K9691" t="s">
        <v>41</v>
      </c>
      <c r="L9691" t="s">
        <v>42</v>
      </c>
      <c r="M9691" t="s">
        <v>43</v>
      </c>
      <c r="N9691">
        <v>41.640340000000002</v>
      </c>
      <c r="O9691">
        <v>-111.921953</v>
      </c>
      <c r="P9691">
        <v>4459.452929</v>
      </c>
      <c r="Q9691">
        <v>1391</v>
      </c>
      <c r="R9691">
        <v>0</v>
      </c>
    </row>
    <row r="9692" spans="1:18" x14ac:dyDescent="0.25">
      <c r="A9692">
        <v>9541</v>
      </c>
      <c r="B9692">
        <v>94</v>
      </c>
      <c r="C9692">
        <v>677509</v>
      </c>
      <c r="D9692" t="s">
        <v>77</v>
      </c>
      <c r="E9692">
        <v>0.67600000000000005</v>
      </c>
      <c r="F9692" t="s">
        <v>21</v>
      </c>
      <c r="G9692" t="s">
        <v>26</v>
      </c>
      <c r="H9692" t="s">
        <v>21</v>
      </c>
      <c r="I9692" t="s">
        <v>20</v>
      </c>
      <c r="J9692" t="s">
        <v>20</v>
      </c>
      <c r="K9692" t="s">
        <v>31</v>
      </c>
      <c r="L9692" t="s">
        <v>48</v>
      </c>
      <c r="M9692" t="s">
        <v>79</v>
      </c>
      <c r="N9692">
        <v>40.648415999999997</v>
      </c>
      <c r="O9692">
        <v>-112.02462800000001</v>
      </c>
      <c r="P9692">
        <v>4756.7714249999999</v>
      </c>
      <c r="Q9692">
        <v>1436</v>
      </c>
      <c r="R9692">
        <v>0</v>
      </c>
    </row>
    <row r="9693" spans="1:18" x14ac:dyDescent="0.25">
      <c r="A9693">
        <v>9542</v>
      </c>
      <c r="B9693">
        <v>94</v>
      </c>
      <c r="C9693">
        <v>28675461</v>
      </c>
      <c r="D9693" t="s">
        <v>269</v>
      </c>
      <c r="E9693">
        <v>0.67600000000000005</v>
      </c>
      <c r="F9693" t="s">
        <v>21</v>
      </c>
      <c r="G9693" t="s">
        <v>26</v>
      </c>
      <c r="H9693" t="s">
        <v>21</v>
      </c>
      <c r="I9693" t="s">
        <v>20</v>
      </c>
      <c r="J9693" t="s">
        <v>20</v>
      </c>
      <c r="K9693" t="s">
        <v>27</v>
      </c>
      <c r="L9693" t="s">
        <v>122</v>
      </c>
      <c r="M9693" t="s">
        <v>270</v>
      </c>
      <c r="N9693">
        <v>38.571606000000003</v>
      </c>
      <c r="O9693">
        <v>-110.708985</v>
      </c>
      <c r="P9693">
        <v>4909.5287079999998</v>
      </c>
      <c r="Q9693">
        <v>442</v>
      </c>
      <c r="R9693">
        <v>0</v>
      </c>
    </row>
    <row r="9694" spans="1:18" x14ac:dyDescent="0.25">
      <c r="A9694">
        <v>9543</v>
      </c>
      <c r="B9694">
        <v>94</v>
      </c>
      <c r="C9694">
        <v>31464690</v>
      </c>
      <c r="D9694" t="s">
        <v>264</v>
      </c>
      <c r="E9694">
        <v>0.67600000000000005</v>
      </c>
      <c r="F9694" t="s">
        <v>21</v>
      </c>
      <c r="G9694" t="s">
        <v>26</v>
      </c>
      <c r="H9694" t="s">
        <v>21</v>
      </c>
      <c r="I9694" t="s">
        <v>20</v>
      </c>
      <c r="J9694" t="s">
        <v>20</v>
      </c>
      <c r="K9694" t="s">
        <v>22</v>
      </c>
      <c r="L9694" t="s">
        <v>35</v>
      </c>
      <c r="M9694" t="s">
        <v>36</v>
      </c>
      <c r="N9694">
        <v>40.515394999999998</v>
      </c>
      <c r="O9694">
        <v>-111.480774</v>
      </c>
      <c r="P9694">
        <v>5549.9643669999996</v>
      </c>
      <c r="Q9694">
        <v>420</v>
      </c>
      <c r="R9694">
        <v>0</v>
      </c>
    </row>
    <row r="9695" spans="1:18" x14ac:dyDescent="0.25">
      <c r="A9695">
        <v>9544</v>
      </c>
      <c r="B9695">
        <v>94</v>
      </c>
      <c r="C9695">
        <v>31404869</v>
      </c>
      <c r="D9695" t="s">
        <v>74</v>
      </c>
      <c r="E9695">
        <v>0.67800000000000005</v>
      </c>
      <c r="F9695" t="s">
        <v>21</v>
      </c>
      <c r="G9695" t="s">
        <v>26</v>
      </c>
      <c r="H9695" t="s">
        <v>21</v>
      </c>
      <c r="I9695" t="s">
        <v>20</v>
      </c>
      <c r="J9695" t="s">
        <v>20</v>
      </c>
      <c r="K9695" t="s">
        <v>27</v>
      </c>
      <c r="L9695" t="s">
        <v>75</v>
      </c>
      <c r="M9695" t="s">
        <v>76</v>
      </c>
      <c r="N9695">
        <v>38.749780999999999</v>
      </c>
      <c r="O9695">
        <v>-112.093917</v>
      </c>
      <c r="P9695">
        <v>5239.706475</v>
      </c>
      <c r="Q9695">
        <v>332</v>
      </c>
      <c r="R9695">
        <v>0</v>
      </c>
    </row>
    <row r="9696" spans="1:18" x14ac:dyDescent="0.25">
      <c r="A9696">
        <v>9545</v>
      </c>
      <c r="B9696">
        <v>94</v>
      </c>
      <c r="C9696">
        <v>1097742</v>
      </c>
      <c r="D9696" t="s">
        <v>101</v>
      </c>
      <c r="E9696">
        <v>0.68100000000000005</v>
      </c>
      <c r="F9696" t="s">
        <v>21</v>
      </c>
      <c r="G9696" t="s">
        <v>26</v>
      </c>
      <c r="H9696" t="s">
        <v>21</v>
      </c>
      <c r="I9696" t="s">
        <v>20</v>
      </c>
      <c r="J9696" t="s">
        <v>20</v>
      </c>
      <c r="K9696" t="s">
        <v>41</v>
      </c>
      <c r="L9696" t="s">
        <v>57</v>
      </c>
      <c r="M9696" t="s">
        <v>58</v>
      </c>
      <c r="N9696">
        <v>41.118133999999998</v>
      </c>
      <c r="O9696">
        <v>-112.09953299999999</v>
      </c>
      <c r="P9696">
        <v>4225.2339970000003</v>
      </c>
      <c r="Q9696">
        <v>328</v>
      </c>
      <c r="R9696">
        <v>0</v>
      </c>
    </row>
    <row r="9697" spans="1:18" x14ac:dyDescent="0.25">
      <c r="A9697">
        <v>9546</v>
      </c>
      <c r="B9697">
        <v>94</v>
      </c>
      <c r="C9697">
        <v>1758921</v>
      </c>
      <c r="D9697" t="s">
        <v>370</v>
      </c>
      <c r="E9697">
        <v>0.68100000000000005</v>
      </c>
      <c r="F9697" t="s">
        <v>21</v>
      </c>
      <c r="G9697" t="s">
        <v>26</v>
      </c>
      <c r="H9697" t="s">
        <v>21</v>
      </c>
      <c r="I9697" t="s">
        <v>20</v>
      </c>
      <c r="J9697" t="s">
        <v>20</v>
      </c>
      <c r="K9697" t="s">
        <v>41</v>
      </c>
      <c r="L9697" t="s">
        <v>87</v>
      </c>
      <c r="M9697" t="s">
        <v>58</v>
      </c>
      <c r="N9697">
        <v>41.159469000000001</v>
      </c>
      <c r="O9697">
        <v>-112.006396</v>
      </c>
      <c r="P9697">
        <v>4428.5961520000001</v>
      </c>
      <c r="Q9697">
        <v>1435</v>
      </c>
      <c r="R9697">
        <v>0</v>
      </c>
    </row>
    <row r="9698" spans="1:18" x14ac:dyDescent="0.25">
      <c r="A9698">
        <v>9547</v>
      </c>
      <c r="B9698">
        <v>94</v>
      </c>
      <c r="C9698">
        <v>28481537</v>
      </c>
      <c r="D9698" t="s">
        <v>436</v>
      </c>
      <c r="E9698">
        <v>0.68200000000000005</v>
      </c>
      <c r="F9698" t="s">
        <v>21</v>
      </c>
      <c r="G9698" t="s">
        <v>26</v>
      </c>
      <c r="H9698" t="s">
        <v>21</v>
      </c>
      <c r="I9698" t="s">
        <v>20</v>
      </c>
      <c r="J9698" t="s">
        <v>20</v>
      </c>
      <c r="K9698" t="s">
        <v>22</v>
      </c>
      <c r="L9698" t="s">
        <v>234</v>
      </c>
      <c r="M9698" t="s">
        <v>98</v>
      </c>
      <c r="N9698">
        <v>40.522407000000001</v>
      </c>
      <c r="O9698">
        <v>-109.538071</v>
      </c>
      <c r="P9698">
        <v>5476.3966</v>
      </c>
      <c r="Q9698">
        <v>441</v>
      </c>
      <c r="R9698">
        <v>0</v>
      </c>
    </row>
    <row r="9699" spans="1:18" x14ac:dyDescent="0.25">
      <c r="A9699">
        <v>9548</v>
      </c>
      <c r="B9699">
        <v>94</v>
      </c>
      <c r="C9699">
        <v>3394973</v>
      </c>
      <c r="D9699" t="s">
        <v>1020</v>
      </c>
      <c r="E9699">
        <v>0.72699999999999998</v>
      </c>
      <c r="F9699" t="s">
        <v>19</v>
      </c>
      <c r="G9699" t="s">
        <v>20</v>
      </c>
      <c r="H9699" t="s">
        <v>19</v>
      </c>
      <c r="I9699">
        <v>89</v>
      </c>
      <c r="J9699" t="s">
        <v>20</v>
      </c>
      <c r="K9699" t="s">
        <v>31</v>
      </c>
      <c r="L9699" t="s">
        <v>66</v>
      </c>
      <c r="M9699" t="s">
        <v>67</v>
      </c>
      <c r="N9699">
        <v>40.782381000000001</v>
      </c>
      <c r="O9699">
        <v>-111.899698</v>
      </c>
      <c r="P9699">
        <v>4185.0064920000004</v>
      </c>
      <c r="Q9699">
        <v>257</v>
      </c>
      <c r="R9699">
        <v>0</v>
      </c>
    </row>
    <row r="9700" spans="1:18" x14ac:dyDescent="0.25">
      <c r="A9700">
        <v>9549</v>
      </c>
      <c r="B9700">
        <v>94</v>
      </c>
      <c r="C9700">
        <v>1398052</v>
      </c>
      <c r="D9700" t="s">
        <v>88</v>
      </c>
      <c r="E9700">
        <v>1.1000000000000001</v>
      </c>
      <c r="F9700" t="s">
        <v>21</v>
      </c>
      <c r="G9700" t="s">
        <v>26</v>
      </c>
      <c r="H9700" t="s">
        <v>21</v>
      </c>
      <c r="I9700" t="s">
        <v>20</v>
      </c>
      <c r="J9700" t="s">
        <v>20</v>
      </c>
      <c r="K9700" t="s">
        <v>31</v>
      </c>
      <c r="L9700" t="s">
        <v>89</v>
      </c>
      <c r="M9700" t="s">
        <v>90</v>
      </c>
      <c r="N9700">
        <v>40.522351</v>
      </c>
      <c r="O9700">
        <v>-111.963022</v>
      </c>
      <c r="P9700">
        <v>4481.5278010000002</v>
      </c>
      <c r="Q9700">
        <v>318</v>
      </c>
      <c r="R9700">
        <v>0</v>
      </c>
    </row>
    <row r="9701" spans="1:18" x14ac:dyDescent="0.25">
      <c r="A9701">
        <v>9550</v>
      </c>
      <c r="B9701">
        <v>94</v>
      </c>
      <c r="C9701">
        <v>31387621</v>
      </c>
      <c r="D9701" t="s">
        <v>369</v>
      </c>
      <c r="E9701">
        <v>1.1000000000000001</v>
      </c>
      <c r="F9701" t="s">
        <v>21</v>
      </c>
      <c r="G9701" t="s">
        <v>26</v>
      </c>
      <c r="H9701" t="s">
        <v>21</v>
      </c>
      <c r="I9701" t="s">
        <v>20</v>
      </c>
      <c r="J9701" t="s">
        <v>20</v>
      </c>
      <c r="K9701" t="s">
        <v>22</v>
      </c>
      <c r="L9701" t="s">
        <v>198</v>
      </c>
      <c r="M9701" t="s">
        <v>76</v>
      </c>
      <c r="N9701">
        <v>40.031323</v>
      </c>
      <c r="O9701">
        <v>-111.737818</v>
      </c>
      <c r="P9701">
        <v>4681.9814100000003</v>
      </c>
      <c r="Q9701">
        <v>347</v>
      </c>
      <c r="R9701">
        <v>0</v>
      </c>
    </row>
    <row r="9702" spans="1:18" x14ac:dyDescent="0.25">
      <c r="A9702">
        <v>9551</v>
      </c>
      <c r="B9702">
        <v>94</v>
      </c>
      <c r="C9702">
        <v>31468463</v>
      </c>
      <c r="D9702" t="s">
        <v>348</v>
      </c>
      <c r="E9702">
        <v>1.1020000000000001</v>
      </c>
      <c r="F9702" t="s">
        <v>21</v>
      </c>
      <c r="G9702" t="s">
        <v>26</v>
      </c>
      <c r="H9702" t="s">
        <v>21</v>
      </c>
      <c r="I9702" t="s">
        <v>20</v>
      </c>
      <c r="J9702" t="s">
        <v>20</v>
      </c>
      <c r="K9702" t="s">
        <v>27</v>
      </c>
      <c r="L9702" t="s">
        <v>122</v>
      </c>
      <c r="M9702" t="s">
        <v>123</v>
      </c>
      <c r="N9702">
        <v>38.359265999999998</v>
      </c>
      <c r="O9702">
        <v>-110.69847900000001</v>
      </c>
      <c r="P9702">
        <v>4336.0900170000004</v>
      </c>
      <c r="Q9702">
        <v>1388</v>
      </c>
      <c r="R9702">
        <v>0</v>
      </c>
    </row>
    <row r="9703" spans="1:18" x14ac:dyDescent="0.25">
      <c r="A9703">
        <v>9552</v>
      </c>
      <c r="B9703">
        <v>94</v>
      </c>
      <c r="C9703">
        <v>1004632</v>
      </c>
      <c r="D9703" t="s">
        <v>604</v>
      </c>
      <c r="E9703">
        <v>1.103</v>
      </c>
      <c r="F9703" t="s">
        <v>19</v>
      </c>
      <c r="G9703" t="s">
        <v>20</v>
      </c>
      <c r="H9703" t="s">
        <v>19</v>
      </c>
      <c r="I9703">
        <v>106</v>
      </c>
      <c r="J9703" t="s">
        <v>20</v>
      </c>
      <c r="K9703" t="s">
        <v>41</v>
      </c>
      <c r="L9703" t="s">
        <v>45</v>
      </c>
      <c r="M9703" t="s">
        <v>46</v>
      </c>
      <c r="N9703">
        <v>40.921489000000001</v>
      </c>
      <c r="O9703">
        <v>-111.87897599999999</v>
      </c>
      <c r="P9703">
        <v>4233.971184</v>
      </c>
      <c r="Q9703">
        <v>1394</v>
      </c>
      <c r="R9703">
        <v>0</v>
      </c>
    </row>
    <row r="9704" spans="1:18" x14ac:dyDescent="0.25">
      <c r="A9704">
        <v>9553</v>
      </c>
      <c r="B9704">
        <v>94</v>
      </c>
      <c r="C9704">
        <v>965686</v>
      </c>
      <c r="D9704" t="s">
        <v>175</v>
      </c>
      <c r="E9704">
        <v>1.1060000000000001</v>
      </c>
      <c r="F9704" t="s">
        <v>19</v>
      </c>
      <c r="G9704" t="s">
        <v>20</v>
      </c>
      <c r="H9704" t="s">
        <v>21</v>
      </c>
      <c r="I9704" t="s">
        <v>20</v>
      </c>
      <c r="J9704" t="s">
        <v>20</v>
      </c>
      <c r="K9704" t="s">
        <v>41</v>
      </c>
      <c r="L9704" t="s">
        <v>87</v>
      </c>
      <c r="M9704" t="s">
        <v>93</v>
      </c>
      <c r="N9704">
        <v>41.061585000000001</v>
      </c>
      <c r="O9704">
        <v>-111.945301</v>
      </c>
      <c r="P9704">
        <v>4350.3223040000003</v>
      </c>
      <c r="Q9704">
        <v>1397</v>
      </c>
      <c r="R9704">
        <v>0</v>
      </c>
    </row>
    <row r="9705" spans="1:18" x14ac:dyDescent="0.25">
      <c r="A9705">
        <v>9554</v>
      </c>
      <c r="B9705">
        <v>94</v>
      </c>
      <c r="C9705">
        <v>31366391</v>
      </c>
      <c r="D9705" t="s">
        <v>229</v>
      </c>
      <c r="E9705">
        <v>1.107</v>
      </c>
      <c r="F9705" t="s">
        <v>21</v>
      </c>
      <c r="G9705" t="s">
        <v>26</v>
      </c>
      <c r="H9705" t="s">
        <v>21</v>
      </c>
      <c r="I9705" t="s">
        <v>20</v>
      </c>
      <c r="J9705" t="s">
        <v>20</v>
      </c>
      <c r="K9705" t="s">
        <v>27</v>
      </c>
      <c r="L9705" t="s">
        <v>230</v>
      </c>
      <c r="M9705" t="s">
        <v>82</v>
      </c>
      <c r="N9705">
        <v>39.475302999999997</v>
      </c>
      <c r="O9705">
        <v>-111.63377800000001</v>
      </c>
      <c r="P9705">
        <v>5567.007012</v>
      </c>
      <c r="Q9705">
        <v>331</v>
      </c>
      <c r="R9705">
        <v>0</v>
      </c>
    </row>
    <row r="9706" spans="1:18" x14ac:dyDescent="0.25">
      <c r="A9706">
        <v>9555</v>
      </c>
      <c r="B9706">
        <v>94</v>
      </c>
      <c r="C9706">
        <v>31252266</v>
      </c>
      <c r="D9706" t="s">
        <v>303</v>
      </c>
      <c r="E9706">
        <v>1.1080000000000001</v>
      </c>
      <c r="F9706" t="s">
        <v>19</v>
      </c>
      <c r="G9706" t="s">
        <v>20</v>
      </c>
      <c r="H9706" t="s">
        <v>21</v>
      </c>
      <c r="I9706" t="s">
        <v>20</v>
      </c>
      <c r="J9706" t="s">
        <v>20</v>
      </c>
      <c r="K9706" t="s">
        <v>27</v>
      </c>
      <c r="L9706" t="s">
        <v>72</v>
      </c>
      <c r="M9706" t="s">
        <v>73</v>
      </c>
      <c r="N9706">
        <v>37.160449</v>
      </c>
      <c r="O9706">
        <v>-113.435547</v>
      </c>
      <c r="P9706">
        <v>3047.9289990000002</v>
      </c>
      <c r="Q9706">
        <v>1326</v>
      </c>
      <c r="R9706">
        <v>0</v>
      </c>
    </row>
    <row r="9707" spans="1:18" x14ac:dyDescent="0.25">
      <c r="A9707">
        <v>9556</v>
      </c>
      <c r="B9707">
        <v>94</v>
      </c>
      <c r="C9707">
        <v>31835517</v>
      </c>
      <c r="D9707" t="s">
        <v>161</v>
      </c>
      <c r="E9707">
        <v>1.1100000000000001</v>
      </c>
      <c r="F9707" t="s">
        <v>21</v>
      </c>
      <c r="G9707" t="s">
        <v>26</v>
      </c>
      <c r="H9707" t="s">
        <v>21</v>
      </c>
      <c r="I9707" t="s">
        <v>20</v>
      </c>
      <c r="J9707" t="s">
        <v>20</v>
      </c>
      <c r="K9707" t="s">
        <v>27</v>
      </c>
      <c r="L9707" t="s">
        <v>162</v>
      </c>
      <c r="M9707" t="s">
        <v>163</v>
      </c>
      <c r="N9707">
        <v>37.573580999999997</v>
      </c>
      <c r="O9707">
        <v>-113.714699</v>
      </c>
      <c r="P9707">
        <v>5245.5536050000001</v>
      </c>
      <c r="Q9707">
        <v>419</v>
      </c>
      <c r="R9707">
        <v>0</v>
      </c>
    </row>
    <row r="9708" spans="1:18" x14ac:dyDescent="0.25">
      <c r="A9708">
        <v>9557</v>
      </c>
      <c r="B9708">
        <v>94</v>
      </c>
      <c r="C9708">
        <v>1094170</v>
      </c>
      <c r="D9708" t="s">
        <v>195</v>
      </c>
      <c r="E9708">
        <v>1.117</v>
      </c>
      <c r="F9708" t="s">
        <v>21</v>
      </c>
      <c r="G9708" t="s">
        <v>26</v>
      </c>
      <c r="H9708" t="s">
        <v>21</v>
      </c>
      <c r="I9708" t="s">
        <v>20</v>
      </c>
      <c r="J9708" t="s">
        <v>20</v>
      </c>
      <c r="K9708" t="s">
        <v>41</v>
      </c>
      <c r="L9708" t="s">
        <v>57</v>
      </c>
      <c r="M9708" t="s">
        <v>190</v>
      </c>
      <c r="N9708">
        <v>41.089235000000002</v>
      </c>
      <c r="O9708">
        <v>-112.091289</v>
      </c>
      <c r="P9708">
        <v>4183.208541</v>
      </c>
      <c r="Q9708">
        <v>334</v>
      </c>
      <c r="R9708">
        <v>0</v>
      </c>
    </row>
    <row r="9709" spans="1:18" x14ac:dyDescent="0.25">
      <c r="A9709">
        <v>9558</v>
      </c>
      <c r="B9709">
        <v>94</v>
      </c>
      <c r="C9709" t="e">
        <f>-JLuoeE-H-a1pvh2rnsagk</f>
        <v>#NAME?</v>
      </c>
      <c r="D9709" t="s">
        <v>249</v>
      </c>
      <c r="E9709">
        <v>2.0840000000000001</v>
      </c>
      <c r="F9709" t="s">
        <v>21</v>
      </c>
      <c r="G9709" t="s">
        <v>26</v>
      </c>
      <c r="H9709" t="s">
        <v>21</v>
      </c>
      <c r="I9709" t="s">
        <v>20</v>
      </c>
      <c r="J9709" t="s">
        <v>20</v>
      </c>
      <c r="K9709" t="s">
        <v>31</v>
      </c>
      <c r="L9709" t="s">
        <v>89</v>
      </c>
      <c r="M9709" t="s">
        <v>24</v>
      </c>
      <c r="N9709">
        <v>40.486136000000002</v>
      </c>
      <c r="O9709">
        <v>-111.90581899999999</v>
      </c>
      <c r="P9709">
        <v>4427.7987659999999</v>
      </c>
      <c r="Q9709">
        <v>337</v>
      </c>
      <c r="R9709">
        <v>0</v>
      </c>
    </row>
    <row r="9710" spans="1:18" x14ac:dyDescent="0.25">
      <c r="A9710">
        <v>9559</v>
      </c>
      <c r="B9710">
        <v>94</v>
      </c>
      <c r="C9710">
        <v>2540448</v>
      </c>
      <c r="D9710" t="s">
        <v>176</v>
      </c>
      <c r="E9710">
        <v>2.0840000000000001</v>
      </c>
      <c r="F9710" t="s">
        <v>21</v>
      </c>
      <c r="G9710" t="s">
        <v>26</v>
      </c>
      <c r="H9710" t="s">
        <v>21</v>
      </c>
      <c r="I9710" t="s">
        <v>20</v>
      </c>
      <c r="J9710" t="s">
        <v>20</v>
      </c>
      <c r="K9710" t="s">
        <v>41</v>
      </c>
      <c r="L9710" t="s">
        <v>177</v>
      </c>
      <c r="M9710" t="s">
        <v>178</v>
      </c>
      <c r="N9710">
        <v>41.516849000000001</v>
      </c>
      <c r="O9710">
        <v>-112.01562699999999</v>
      </c>
      <c r="P9710">
        <v>4327.2746390000002</v>
      </c>
      <c r="Q9710">
        <v>1329</v>
      </c>
      <c r="R9710">
        <v>0</v>
      </c>
    </row>
    <row r="9711" spans="1:18" x14ac:dyDescent="0.25">
      <c r="A9711">
        <v>9560</v>
      </c>
      <c r="B9711">
        <v>94</v>
      </c>
      <c r="C9711">
        <v>519924</v>
      </c>
      <c r="D9711" t="s">
        <v>44</v>
      </c>
      <c r="E9711">
        <v>2.085</v>
      </c>
      <c r="F9711" t="s">
        <v>21</v>
      </c>
      <c r="G9711" t="s">
        <v>26</v>
      </c>
      <c r="H9711" t="s">
        <v>21</v>
      </c>
      <c r="I9711" t="s">
        <v>20</v>
      </c>
      <c r="J9711" t="s">
        <v>20</v>
      </c>
      <c r="K9711" t="s">
        <v>41</v>
      </c>
      <c r="L9711" t="s">
        <v>45</v>
      </c>
      <c r="M9711" t="s">
        <v>46</v>
      </c>
      <c r="N9711">
        <v>40.907612999999998</v>
      </c>
      <c r="O9711">
        <v>-111.878995</v>
      </c>
      <c r="P9711">
        <v>4239.0767900000001</v>
      </c>
      <c r="Q9711">
        <v>1395</v>
      </c>
      <c r="R9711">
        <v>0</v>
      </c>
    </row>
    <row r="9712" spans="1:18" x14ac:dyDescent="0.25">
      <c r="A9712">
        <v>9561</v>
      </c>
      <c r="B9712">
        <v>94</v>
      </c>
      <c r="C9712">
        <v>1548477</v>
      </c>
      <c r="D9712" t="s">
        <v>92</v>
      </c>
      <c r="E9712">
        <v>2.085</v>
      </c>
      <c r="F9712" t="s">
        <v>21</v>
      </c>
      <c r="G9712" t="s">
        <v>20</v>
      </c>
      <c r="H9712" t="s">
        <v>21</v>
      </c>
      <c r="I9712" t="s">
        <v>20</v>
      </c>
      <c r="J9712" t="s">
        <v>20</v>
      </c>
      <c r="K9712" t="s">
        <v>41</v>
      </c>
      <c r="L9712" t="s">
        <v>87</v>
      </c>
      <c r="M9712" t="s">
        <v>93</v>
      </c>
      <c r="N9712">
        <v>41.100850999999999</v>
      </c>
      <c r="O9712">
        <v>-111.97342500000001</v>
      </c>
      <c r="P9712">
        <v>4646.6012600000004</v>
      </c>
      <c r="Q9712">
        <v>252</v>
      </c>
      <c r="R9712">
        <v>0</v>
      </c>
    </row>
    <row r="9713" spans="1:18" x14ac:dyDescent="0.25">
      <c r="A9713">
        <v>9562</v>
      </c>
      <c r="B9713">
        <v>94</v>
      </c>
      <c r="C9713">
        <v>31301532</v>
      </c>
      <c r="D9713" t="s">
        <v>268</v>
      </c>
      <c r="E9713">
        <v>2.085</v>
      </c>
      <c r="F9713" t="s">
        <v>21</v>
      </c>
      <c r="G9713" t="s">
        <v>26</v>
      </c>
      <c r="H9713" t="s">
        <v>21</v>
      </c>
      <c r="I9713" t="s">
        <v>20</v>
      </c>
      <c r="J9713" t="s">
        <v>20</v>
      </c>
      <c r="K9713" t="s">
        <v>41</v>
      </c>
      <c r="L9713" t="s">
        <v>177</v>
      </c>
      <c r="M9713" t="s">
        <v>43</v>
      </c>
      <c r="N9713">
        <v>41.563253000000003</v>
      </c>
      <c r="O9713">
        <v>-112.16831999999999</v>
      </c>
      <c r="P9713">
        <v>4189.8932869999999</v>
      </c>
      <c r="Q9713">
        <v>1380</v>
      </c>
      <c r="R9713">
        <v>0</v>
      </c>
    </row>
    <row r="9714" spans="1:18" x14ac:dyDescent="0.25">
      <c r="A9714">
        <v>9563</v>
      </c>
      <c r="B9714">
        <v>94</v>
      </c>
      <c r="C9714">
        <v>31429026</v>
      </c>
      <c r="D9714" t="s">
        <v>107</v>
      </c>
      <c r="E9714">
        <v>2.089</v>
      </c>
      <c r="F9714" t="s">
        <v>21</v>
      </c>
      <c r="G9714" t="s">
        <v>26</v>
      </c>
      <c r="H9714" t="s">
        <v>21</v>
      </c>
      <c r="I9714" t="s">
        <v>20</v>
      </c>
      <c r="J9714" t="s">
        <v>20</v>
      </c>
      <c r="K9714" t="s">
        <v>41</v>
      </c>
      <c r="L9714" t="s">
        <v>81</v>
      </c>
      <c r="M9714" t="s">
        <v>93</v>
      </c>
      <c r="N9714">
        <v>41.222943999999998</v>
      </c>
      <c r="O9714">
        <v>-111.978813</v>
      </c>
      <c r="P9714">
        <v>4241.7690830000001</v>
      </c>
      <c r="Q9714">
        <v>413</v>
      </c>
      <c r="R9714">
        <v>0</v>
      </c>
    </row>
    <row r="9715" spans="1:18" x14ac:dyDescent="0.25">
      <c r="A9715">
        <v>9564</v>
      </c>
      <c r="B9715">
        <v>94</v>
      </c>
      <c r="C9715">
        <v>28335007</v>
      </c>
      <c r="D9715" t="s">
        <v>160</v>
      </c>
      <c r="E9715">
        <v>2.0979999999999999</v>
      </c>
      <c r="F9715" t="s">
        <v>21</v>
      </c>
      <c r="G9715" t="s">
        <v>20</v>
      </c>
      <c r="H9715" t="s">
        <v>21</v>
      </c>
      <c r="I9715" t="s">
        <v>20</v>
      </c>
      <c r="J9715" t="s">
        <v>20</v>
      </c>
      <c r="K9715" t="s">
        <v>27</v>
      </c>
      <c r="L9715" t="s">
        <v>72</v>
      </c>
      <c r="M9715" t="s">
        <v>73</v>
      </c>
      <c r="N9715">
        <v>37.238331000000002</v>
      </c>
      <c r="O9715">
        <v>-113.280916</v>
      </c>
      <c r="P9715">
        <v>3248.2975379999998</v>
      </c>
      <c r="Q9715">
        <v>1335</v>
      </c>
      <c r="R9715">
        <v>0</v>
      </c>
    </row>
    <row r="9716" spans="1:18" x14ac:dyDescent="0.25">
      <c r="A9716">
        <v>9565</v>
      </c>
      <c r="B9716">
        <v>94</v>
      </c>
      <c r="C9716">
        <v>31789997</v>
      </c>
      <c r="D9716" t="s">
        <v>61</v>
      </c>
      <c r="E9716">
        <v>2.0990000000000002</v>
      </c>
      <c r="F9716" t="s">
        <v>19</v>
      </c>
      <c r="G9716" t="s">
        <v>20</v>
      </c>
      <c r="H9716" t="s">
        <v>21</v>
      </c>
      <c r="I9716" t="s">
        <v>20</v>
      </c>
      <c r="J9716" t="s">
        <v>20</v>
      </c>
      <c r="K9716" t="s">
        <v>22</v>
      </c>
      <c r="L9716" t="s">
        <v>23</v>
      </c>
      <c r="M9716" t="s">
        <v>62</v>
      </c>
      <c r="N9716">
        <v>40.236441999999997</v>
      </c>
      <c r="O9716">
        <v>-111.658686</v>
      </c>
      <c r="P9716">
        <v>4499.0869259999999</v>
      </c>
      <c r="Q9716">
        <v>403</v>
      </c>
      <c r="R9716">
        <v>0</v>
      </c>
    </row>
    <row r="9717" spans="1:18" x14ac:dyDescent="0.25">
      <c r="A9717">
        <v>9566</v>
      </c>
      <c r="B9717">
        <v>94</v>
      </c>
      <c r="C9717">
        <v>31553147</v>
      </c>
      <c r="D9717" t="s">
        <v>102</v>
      </c>
      <c r="E9717">
        <v>2.101</v>
      </c>
      <c r="F9717" t="s">
        <v>21</v>
      </c>
      <c r="G9717" t="s">
        <v>26</v>
      </c>
      <c r="H9717" t="s">
        <v>21</v>
      </c>
      <c r="I9717" t="s">
        <v>20</v>
      </c>
      <c r="J9717" t="s">
        <v>20</v>
      </c>
      <c r="K9717" t="s">
        <v>27</v>
      </c>
      <c r="L9717" t="s">
        <v>103</v>
      </c>
      <c r="M9717" t="s">
        <v>104</v>
      </c>
      <c r="N9717">
        <v>38.275551</v>
      </c>
      <c r="O9717">
        <v>-112.64125300000001</v>
      </c>
      <c r="P9717">
        <v>5827.1747459999997</v>
      </c>
      <c r="Q9717">
        <v>1430</v>
      </c>
      <c r="R9717">
        <v>0</v>
      </c>
    </row>
    <row r="9718" spans="1:18" x14ac:dyDescent="0.25">
      <c r="A9718">
        <v>9567</v>
      </c>
      <c r="B9718">
        <v>94</v>
      </c>
      <c r="C9718">
        <v>31642473</v>
      </c>
      <c r="D9718" t="s">
        <v>157</v>
      </c>
      <c r="E9718">
        <v>2.1030000000000002</v>
      </c>
      <c r="F9718" t="s">
        <v>21</v>
      </c>
      <c r="G9718" t="s">
        <v>26</v>
      </c>
      <c r="H9718" t="s">
        <v>21</v>
      </c>
      <c r="I9718" t="s">
        <v>20</v>
      </c>
      <c r="J9718" t="s">
        <v>20</v>
      </c>
      <c r="K9718" t="s">
        <v>27</v>
      </c>
      <c r="L9718" t="s">
        <v>158</v>
      </c>
      <c r="M9718" t="s">
        <v>159</v>
      </c>
      <c r="N9718">
        <v>39.597123000000003</v>
      </c>
      <c r="O9718">
        <v>-110.791729</v>
      </c>
      <c r="P9718">
        <v>5515.6497300000001</v>
      </c>
      <c r="Q9718">
        <v>1360</v>
      </c>
      <c r="R9718">
        <v>0</v>
      </c>
    </row>
    <row r="9719" spans="1:18" x14ac:dyDescent="0.25">
      <c r="A9719">
        <v>9568</v>
      </c>
      <c r="B9719">
        <v>94</v>
      </c>
      <c r="C9719">
        <v>27684731</v>
      </c>
      <c r="D9719" t="s">
        <v>217</v>
      </c>
      <c r="E9719">
        <v>2.1059999999999999</v>
      </c>
      <c r="F9719" t="s">
        <v>19</v>
      </c>
      <c r="G9719" t="s">
        <v>20</v>
      </c>
      <c r="H9719" t="s">
        <v>19</v>
      </c>
      <c r="I9719">
        <v>34</v>
      </c>
      <c r="J9719" t="s">
        <v>20</v>
      </c>
      <c r="K9719" t="s">
        <v>27</v>
      </c>
      <c r="L9719" t="s">
        <v>72</v>
      </c>
      <c r="M9719" t="s">
        <v>163</v>
      </c>
      <c r="N9719">
        <v>37.109896999999997</v>
      </c>
      <c r="O9719">
        <v>-113.593845</v>
      </c>
      <c r="P9719">
        <v>2692.618434</v>
      </c>
      <c r="Q9719">
        <v>304</v>
      </c>
      <c r="R9719">
        <v>0</v>
      </c>
    </row>
    <row r="9720" spans="1:18" x14ac:dyDescent="0.25">
      <c r="A9720">
        <v>9569</v>
      </c>
      <c r="B9720">
        <v>94</v>
      </c>
      <c r="C9720">
        <v>31394351</v>
      </c>
      <c r="D9720" t="s">
        <v>352</v>
      </c>
      <c r="E9720">
        <v>17.956</v>
      </c>
      <c r="F9720" t="s">
        <v>21</v>
      </c>
      <c r="G9720" t="s">
        <v>26</v>
      </c>
      <c r="H9720" t="s">
        <v>21</v>
      </c>
      <c r="I9720" t="s">
        <v>20</v>
      </c>
      <c r="J9720" t="s">
        <v>20</v>
      </c>
      <c r="K9720" t="s">
        <v>31</v>
      </c>
      <c r="L9720" t="s">
        <v>282</v>
      </c>
      <c r="M9720" t="s">
        <v>206</v>
      </c>
      <c r="N9720">
        <v>40.337811000000002</v>
      </c>
      <c r="O9720">
        <v>-112.484435</v>
      </c>
      <c r="P9720">
        <v>5311.3082130000003</v>
      </c>
      <c r="Q9720">
        <v>409</v>
      </c>
      <c r="R9720">
        <v>0</v>
      </c>
    </row>
    <row r="9721" spans="1:18" x14ac:dyDescent="0.25">
      <c r="A9721">
        <v>9570</v>
      </c>
      <c r="B9721">
        <v>94</v>
      </c>
      <c r="C9721">
        <v>1544146</v>
      </c>
      <c r="D9721" t="s">
        <v>88</v>
      </c>
      <c r="E9721">
        <v>17.965</v>
      </c>
      <c r="F9721" t="s">
        <v>21</v>
      </c>
      <c r="G9721" t="s">
        <v>26</v>
      </c>
      <c r="H9721" t="s">
        <v>21</v>
      </c>
      <c r="I9721" t="s">
        <v>20</v>
      </c>
      <c r="J9721" t="s">
        <v>20</v>
      </c>
      <c r="K9721" t="s">
        <v>31</v>
      </c>
      <c r="L9721" t="s">
        <v>69</v>
      </c>
      <c r="M9721" t="s">
        <v>90</v>
      </c>
      <c r="N9721">
        <v>40.695366999999997</v>
      </c>
      <c r="O9721">
        <v>-111.871359</v>
      </c>
      <c r="P9721">
        <v>4219.2897759999996</v>
      </c>
      <c r="Q9721">
        <v>318</v>
      </c>
      <c r="R9721">
        <v>0</v>
      </c>
    </row>
    <row r="9722" spans="1:18" x14ac:dyDescent="0.25">
      <c r="A9722">
        <v>9571</v>
      </c>
      <c r="B9722">
        <v>94</v>
      </c>
      <c r="C9722">
        <v>31322456</v>
      </c>
      <c r="D9722" t="s">
        <v>303</v>
      </c>
      <c r="E9722">
        <v>17.986000000000001</v>
      </c>
      <c r="F9722" t="s">
        <v>21</v>
      </c>
      <c r="G9722" t="s">
        <v>26</v>
      </c>
      <c r="H9722" t="s">
        <v>21</v>
      </c>
      <c r="I9722" t="s">
        <v>20</v>
      </c>
      <c r="J9722" t="s">
        <v>20</v>
      </c>
      <c r="K9722" t="s">
        <v>27</v>
      </c>
      <c r="L9722" t="s">
        <v>72</v>
      </c>
      <c r="M9722" t="s">
        <v>73</v>
      </c>
      <c r="N9722">
        <v>37.204132000000001</v>
      </c>
      <c r="O9722">
        <v>-113.19943499999999</v>
      </c>
      <c r="P9722">
        <v>3469.6715549999999</v>
      </c>
      <c r="Q9722">
        <v>1326</v>
      </c>
      <c r="R9722">
        <v>0</v>
      </c>
    </row>
    <row r="9723" spans="1:18" x14ac:dyDescent="0.25">
      <c r="A9723">
        <v>9572</v>
      </c>
      <c r="B9723">
        <v>94</v>
      </c>
      <c r="C9723">
        <v>28165438</v>
      </c>
      <c r="D9723" t="s">
        <v>239</v>
      </c>
      <c r="E9723">
        <v>18</v>
      </c>
      <c r="F9723" t="s">
        <v>21</v>
      </c>
      <c r="G9723" t="s">
        <v>26</v>
      </c>
      <c r="H9723" t="s">
        <v>21</v>
      </c>
      <c r="I9723" t="s">
        <v>20</v>
      </c>
      <c r="J9723" t="s">
        <v>20</v>
      </c>
      <c r="K9723" t="s">
        <v>41</v>
      </c>
      <c r="L9723" t="s">
        <v>223</v>
      </c>
      <c r="M9723" t="s">
        <v>178</v>
      </c>
      <c r="N9723">
        <v>41.712480999999997</v>
      </c>
      <c r="O9723">
        <v>-112.132593</v>
      </c>
      <c r="P9723">
        <v>4275.4226879999997</v>
      </c>
      <c r="Q9723">
        <v>1392</v>
      </c>
      <c r="R9723">
        <v>0</v>
      </c>
    </row>
    <row r="9724" spans="1:18" x14ac:dyDescent="0.25">
      <c r="A9724">
        <v>9573</v>
      </c>
      <c r="B9724">
        <v>94</v>
      </c>
      <c r="C9724" t="s">
        <v>1144</v>
      </c>
      <c r="D9724" t="s">
        <v>272</v>
      </c>
      <c r="E9724">
        <v>170.46299999999999</v>
      </c>
      <c r="F9724" t="s">
        <v>21</v>
      </c>
      <c r="G9724" t="s">
        <v>26</v>
      </c>
      <c r="H9724" t="s">
        <v>21</v>
      </c>
      <c r="I9724" t="s">
        <v>20</v>
      </c>
      <c r="J9724" t="s">
        <v>20</v>
      </c>
      <c r="K9724" t="s">
        <v>27</v>
      </c>
      <c r="L9724" t="s">
        <v>64</v>
      </c>
      <c r="M9724" t="s">
        <v>214</v>
      </c>
      <c r="N9724">
        <v>38.325930999999997</v>
      </c>
      <c r="O9724">
        <v>-112.218946</v>
      </c>
      <c r="P9724">
        <v>6235.2415899999996</v>
      </c>
      <c r="Q9724">
        <v>1384</v>
      </c>
      <c r="R9724">
        <v>0</v>
      </c>
    </row>
    <row r="9725" spans="1:18" x14ac:dyDescent="0.25">
      <c r="A9725">
        <v>9574</v>
      </c>
      <c r="B9725">
        <v>94</v>
      </c>
      <c r="C9725">
        <v>484007</v>
      </c>
      <c r="D9725" t="s">
        <v>83</v>
      </c>
      <c r="E9725">
        <v>2.13</v>
      </c>
      <c r="F9725" t="s">
        <v>21</v>
      </c>
      <c r="G9725" t="s">
        <v>26</v>
      </c>
      <c r="H9725" t="s">
        <v>21</v>
      </c>
      <c r="I9725" t="s">
        <v>20</v>
      </c>
      <c r="J9725" t="s">
        <v>20</v>
      </c>
      <c r="K9725" t="s">
        <v>22</v>
      </c>
      <c r="L9725" t="s">
        <v>84</v>
      </c>
      <c r="M9725" t="s">
        <v>85</v>
      </c>
      <c r="N9725">
        <v>40.406750000000002</v>
      </c>
      <c r="O9725">
        <v>-111.790194</v>
      </c>
      <c r="P9725">
        <v>4747.9096419999996</v>
      </c>
      <c r="Q9725">
        <v>319</v>
      </c>
      <c r="R9725">
        <v>0</v>
      </c>
    </row>
    <row r="9726" spans="1:18" x14ac:dyDescent="0.25">
      <c r="A9726">
        <v>9575</v>
      </c>
      <c r="B9726">
        <v>94</v>
      </c>
      <c r="C9726" t="s">
        <v>1145</v>
      </c>
      <c r="D9726" t="s">
        <v>251</v>
      </c>
      <c r="E9726">
        <v>2.13</v>
      </c>
      <c r="F9726" t="s">
        <v>21</v>
      </c>
      <c r="G9726" t="s">
        <v>26</v>
      </c>
      <c r="H9726" t="s">
        <v>21</v>
      </c>
      <c r="I9726" t="s">
        <v>20</v>
      </c>
      <c r="J9726" t="s">
        <v>20</v>
      </c>
      <c r="K9726" t="s">
        <v>27</v>
      </c>
      <c r="L9726" t="s">
        <v>165</v>
      </c>
      <c r="M9726" t="s">
        <v>166</v>
      </c>
      <c r="N9726">
        <v>38.979145000000003</v>
      </c>
      <c r="O9726">
        <v>-112.36280600000001</v>
      </c>
      <c r="P9726">
        <v>4868.0394489999999</v>
      </c>
      <c r="Q9726">
        <v>326</v>
      </c>
      <c r="R9726">
        <v>0</v>
      </c>
    </row>
    <row r="9727" spans="1:18" x14ac:dyDescent="0.25">
      <c r="A9727">
        <v>9576</v>
      </c>
      <c r="B9727">
        <v>94</v>
      </c>
      <c r="C9727">
        <v>31798006</v>
      </c>
      <c r="D9727" t="s">
        <v>180</v>
      </c>
      <c r="E9727">
        <v>2.13</v>
      </c>
      <c r="F9727" t="s">
        <v>21</v>
      </c>
      <c r="G9727" t="s">
        <v>26</v>
      </c>
      <c r="H9727" t="s">
        <v>21</v>
      </c>
      <c r="I9727" t="s">
        <v>20</v>
      </c>
      <c r="J9727" t="s">
        <v>20</v>
      </c>
      <c r="K9727" t="s">
        <v>41</v>
      </c>
      <c r="L9727" t="s">
        <v>181</v>
      </c>
      <c r="M9727" t="s">
        <v>117</v>
      </c>
      <c r="N9727">
        <v>41.741140000000001</v>
      </c>
      <c r="O9727">
        <v>-112.159995</v>
      </c>
      <c r="P9727">
        <v>4285.891396</v>
      </c>
      <c r="Q9727">
        <v>1379</v>
      </c>
      <c r="R9727">
        <v>0</v>
      </c>
    </row>
    <row r="9728" spans="1:18" x14ac:dyDescent="0.25">
      <c r="A9728">
        <v>9577</v>
      </c>
      <c r="B9728">
        <v>94</v>
      </c>
      <c r="C9728">
        <v>31410890</v>
      </c>
      <c r="D9728" t="s">
        <v>129</v>
      </c>
      <c r="E9728">
        <v>2.1309999999999998</v>
      </c>
      <c r="F9728" t="s">
        <v>21</v>
      </c>
      <c r="G9728" t="s">
        <v>20</v>
      </c>
      <c r="H9728" t="s">
        <v>21</v>
      </c>
      <c r="I9728" t="s">
        <v>20</v>
      </c>
      <c r="J9728" t="s">
        <v>20</v>
      </c>
      <c r="K9728" t="s">
        <v>31</v>
      </c>
      <c r="L9728" t="s">
        <v>130</v>
      </c>
      <c r="M9728" t="s">
        <v>131</v>
      </c>
      <c r="N9728">
        <v>40.629254000000003</v>
      </c>
      <c r="O9728">
        <v>-111.247179</v>
      </c>
      <c r="P9728">
        <v>6636.7809589999997</v>
      </c>
      <c r="Q9728">
        <v>340</v>
      </c>
      <c r="R9728">
        <v>0</v>
      </c>
    </row>
    <row r="9729" spans="1:18" x14ac:dyDescent="0.25">
      <c r="A9729">
        <v>9578</v>
      </c>
      <c r="B9729">
        <v>94</v>
      </c>
      <c r="C9729">
        <v>1102328</v>
      </c>
      <c r="D9729" t="s">
        <v>195</v>
      </c>
      <c r="E9729">
        <v>2.1309999999999998</v>
      </c>
      <c r="F9729" t="s">
        <v>21</v>
      </c>
      <c r="G9729" t="s">
        <v>26</v>
      </c>
      <c r="H9729" t="s">
        <v>21</v>
      </c>
      <c r="I9729" t="s">
        <v>20</v>
      </c>
      <c r="J9729" t="s">
        <v>20</v>
      </c>
      <c r="K9729" t="s">
        <v>41</v>
      </c>
      <c r="L9729" t="s">
        <v>57</v>
      </c>
      <c r="M9729" t="s">
        <v>190</v>
      </c>
      <c r="N9729">
        <v>41.089196000000001</v>
      </c>
      <c r="O9729">
        <v>-112.07181300000001</v>
      </c>
      <c r="P9729">
        <v>4216.3905050000003</v>
      </c>
      <c r="Q9729">
        <v>334</v>
      </c>
      <c r="R9729">
        <v>0</v>
      </c>
    </row>
    <row r="9730" spans="1:18" x14ac:dyDescent="0.25">
      <c r="A9730">
        <v>9579</v>
      </c>
      <c r="B9730">
        <v>94</v>
      </c>
      <c r="C9730">
        <v>31514620</v>
      </c>
      <c r="D9730" t="s">
        <v>231</v>
      </c>
      <c r="E9730">
        <v>2.133</v>
      </c>
      <c r="F9730" t="s">
        <v>21</v>
      </c>
      <c r="G9730" t="s">
        <v>26</v>
      </c>
      <c r="H9730" t="s">
        <v>21</v>
      </c>
      <c r="I9730" t="s">
        <v>20</v>
      </c>
      <c r="J9730" t="s">
        <v>20</v>
      </c>
      <c r="K9730" t="s">
        <v>41</v>
      </c>
      <c r="L9730" t="s">
        <v>57</v>
      </c>
      <c r="M9730" t="s">
        <v>93</v>
      </c>
      <c r="N9730">
        <v>41.077229000000003</v>
      </c>
      <c r="O9730">
        <v>-111.98431100000001</v>
      </c>
      <c r="P9730">
        <v>4353.6967500000001</v>
      </c>
      <c r="Q9730">
        <v>1409</v>
      </c>
      <c r="R9730">
        <v>0</v>
      </c>
    </row>
    <row r="9731" spans="1:18" x14ac:dyDescent="0.25">
      <c r="A9731">
        <v>9580</v>
      </c>
      <c r="B9731">
        <v>94</v>
      </c>
      <c r="C9731">
        <v>31477154</v>
      </c>
      <c r="D9731" t="s">
        <v>244</v>
      </c>
      <c r="E9731">
        <v>2.133</v>
      </c>
      <c r="F9731" t="s">
        <v>21</v>
      </c>
      <c r="G9731" t="s">
        <v>26</v>
      </c>
      <c r="H9731" t="s">
        <v>21</v>
      </c>
      <c r="I9731" t="s">
        <v>20</v>
      </c>
      <c r="J9731" t="s">
        <v>20</v>
      </c>
      <c r="K9731" t="s">
        <v>27</v>
      </c>
      <c r="L9731" t="s">
        <v>183</v>
      </c>
      <c r="M9731" t="s">
        <v>58</v>
      </c>
      <c r="N9731">
        <v>38.933217999999997</v>
      </c>
      <c r="O9731">
        <v>-111.899473</v>
      </c>
      <c r="P9731">
        <v>5089.3278570000002</v>
      </c>
      <c r="Q9731">
        <v>1340</v>
      </c>
      <c r="R9731">
        <v>0</v>
      </c>
    </row>
    <row r="9732" spans="1:18" x14ac:dyDescent="0.25">
      <c r="A9732">
        <v>9581</v>
      </c>
      <c r="B9732">
        <v>94</v>
      </c>
      <c r="C9732">
        <v>31497884</v>
      </c>
      <c r="D9732" t="s">
        <v>765</v>
      </c>
      <c r="E9732">
        <v>2.133</v>
      </c>
      <c r="F9732" t="s">
        <v>21</v>
      </c>
      <c r="G9732" t="s">
        <v>26</v>
      </c>
      <c r="H9732" t="s">
        <v>19</v>
      </c>
      <c r="I9732">
        <v>65</v>
      </c>
      <c r="J9732" t="s">
        <v>20</v>
      </c>
      <c r="K9732" t="s">
        <v>31</v>
      </c>
      <c r="L9732" t="s">
        <v>433</v>
      </c>
      <c r="M9732" t="s">
        <v>138</v>
      </c>
      <c r="N9732">
        <v>41.020560000000003</v>
      </c>
      <c r="O9732">
        <v>-111.501092</v>
      </c>
      <c r="P9732">
        <v>5295.3112849999998</v>
      </c>
      <c r="Q9732">
        <v>1382</v>
      </c>
      <c r="R9732">
        <v>0</v>
      </c>
    </row>
    <row r="9733" spans="1:18" x14ac:dyDescent="0.25">
      <c r="A9733">
        <v>9582</v>
      </c>
      <c r="B9733">
        <v>94</v>
      </c>
      <c r="C9733">
        <v>31648788</v>
      </c>
      <c r="D9733" t="s">
        <v>240</v>
      </c>
      <c r="E9733">
        <v>2.1360000000000001</v>
      </c>
      <c r="F9733" t="s">
        <v>21</v>
      </c>
      <c r="G9733" t="s">
        <v>20</v>
      </c>
      <c r="H9733" t="s">
        <v>21</v>
      </c>
      <c r="I9733" t="s">
        <v>20</v>
      </c>
      <c r="J9733" t="s">
        <v>20</v>
      </c>
      <c r="K9733" t="s">
        <v>27</v>
      </c>
      <c r="L9733" t="s">
        <v>146</v>
      </c>
      <c r="M9733" t="s">
        <v>147</v>
      </c>
      <c r="N9733">
        <v>38.305464000000001</v>
      </c>
      <c r="O9733">
        <v>-109.365669</v>
      </c>
      <c r="P9733">
        <v>5992.1347029999997</v>
      </c>
      <c r="Q9733">
        <v>1355</v>
      </c>
      <c r="R9733">
        <v>0</v>
      </c>
    </row>
    <row r="9734" spans="1:18" x14ac:dyDescent="0.25">
      <c r="A9734">
        <v>9583</v>
      </c>
      <c r="B9734">
        <v>94</v>
      </c>
      <c r="C9734">
        <v>31404136</v>
      </c>
      <c r="D9734" t="s">
        <v>63</v>
      </c>
      <c r="E9734">
        <v>2.137</v>
      </c>
      <c r="F9734" t="s">
        <v>21</v>
      </c>
      <c r="G9734" t="s">
        <v>26</v>
      </c>
      <c r="H9734" t="s">
        <v>21</v>
      </c>
      <c r="I9734" t="s">
        <v>20</v>
      </c>
      <c r="J9734" t="s">
        <v>20</v>
      </c>
      <c r="K9734" t="s">
        <v>27</v>
      </c>
      <c r="L9734" t="s">
        <v>64</v>
      </c>
      <c r="M9734" t="s">
        <v>29</v>
      </c>
      <c r="N9734">
        <v>38.208295</v>
      </c>
      <c r="O9734">
        <v>-112.185558</v>
      </c>
      <c r="P9734">
        <v>5951.623971</v>
      </c>
      <c r="Q9734">
        <v>1365</v>
      </c>
      <c r="R9734">
        <v>0</v>
      </c>
    </row>
    <row r="9735" spans="1:18" x14ac:dyDescent="0.25">
      <c r="A9735">
        <v>9584</v>
      </c>
      <c r="B9735">
        <v>94</v>
      </c>
      <c r="C9735">
        <v>1003899</v>
      </c>
      <c r="D9735" t="s">
        <v>171</v>
      </c>
      <c r="E9735">
        <v>0.84199999999999997</v>
      </c>
      <c r="F9735" t="s">
        <v>21</v>
      </c>
      <c r="G9735" t="s">
        <v>26</v>
      </c>
      <c r="H9735" t="s">
        <v>21</v>
      </c>
      <c r="I9735" t="s">
        <v>20</v>
      </c>
      <c r="J9735" t="s">
        <v>20</v>
      </c>
      <c r="K9735" t="s">
        <v>31</v>
      </c>
      <c r="L9735" t="s">
        <v>78</v>
      </c>
      <c r="M9735" t="s">
        <v>79</v>
      </c>
      <c r="N9735">
        <v>40.696480999999999</v>
      </c>
      <c r="O9735">
        <v>-112.07575300000001</v>
      </c>
      <c r="P9735">
        <v>4322.2371160000002</v>
      </c>
      <c r="Q9735">
        <v>346</v>
      </c>
      <c r="R9735">
        <v>0</v>
      </c>
    </row>
    <row r="9736" spans="1:18" x14ac:dyDescent="0.25">
      <c r="A9736">
        <v>9585</v>
      </c>
      <c r="B9736">
        <v>94</v>
      </c>
      <c r="C9736">
        <v>529058</v>
      </c>
      <c r="D9736" t="s">
        <v>47</v>
      </c>
      <c r="E9736">
        <v>0.84399999999999997</v>
      </c>
      <c r="F9736" t="s">
        <v>21</v>
      </c>
      <c r="G9736" t="s">
        <v>26</v>
      </c>
      <c r="H9736" t="s">
        <v>21</v>
      </c>
      <c r="I9736" t="s">
        <v>20</v>
      </c>
      <c r="J9736" t="s">
        <v>20</v>
      </c>
      <c r="K9736" t="s">
        <v>31</v>
      </c>
      <c r="L9736" t="s">
        <v>48</v>
      </c>
      <c r="M9736" t="s">
        <v>49</v>
      </c>
      <c r="N9736">
        <v>40.544106999999997</v>
      </c>
      <c r="O9736">
        <v>-111.96792600000001</v>
      </c>
      <c r="P9736">
        <v>4512.9103809999997</v>
      </c>
      <c r="Q9736">
        <v>6715</v>
      </c>
      <c r="R9736">
        <v>0</v>
      </c>
    </row>
    <row r="9737" spans="1:18" x14ac:dyDescent="0.25">
      <c r="A9737">
        <v>9586</v>
      </c>
      <c r="B9737">
        <v>94</v>
      </c>
      <c r="C9737">
        <v>27864612</v>
      </c>
      <c r="D9737" t="s">
        <v>91</v>
      </c>
      <c r="E9737">
        <v>0.84499999999999997</v>
      </c>
      <c r="F9737" t="s">
        <v>21</v>
      </c>
      <c r="G9737" t="s">
        <v>26</v>
      </c>
      <c r="H9737" t="s">
        <v>21</v>
      </c>
      <c r="I9737" t="s">
        <v>20</v>
      </c>
      <c r="J9737" t="s">
        <v>20</v>
      </c>
      <c r="K9737" t="s">
        <v>41</v>
      </c>
      <c r="L9737" t="s">
        <v>42</v>
      </c>
      <c r="M9737" t="s">
        <v>73</v>
      </c>
      <c r="N9737">
        <v>41.628342000000004</v>
      </c>
      <c r="O9737">
        <v>-111.93472199999999</v>
      </c>
      <c r="P9737">
        <v>4499.9336229999999</v>
      </c>
      <c r="Q9737">
        <v>1339</v>
      </c>
      <c r="R9737">
        <v>0</v>
      </c>
    </row>
    <row r="9738" spans="1:18" x14ac:dyDescent="0.25">
      <c r="A9738">
        <v>9587</v>
      </c>
      <c r="B9738">
        <v>94</v>
      </c>
      <c r="C9738">
        <v>3395755</v>
      </c>
      <c r="D9738" t="s">
        <v>86</v>
      </c>
      <c r="E9738">
        <v>0.84799999999999998</v>
      </c>
      <c r="F9738" t="s">
        <v>21</v>
      </c>
      <c r="G9738" t="s">
        <v>26</v>
      </c>
      <c r="H9738" t="s">
        <v>21</v>
      </c>
      <c r="I9738" t="s">
        <v>20</v>
      </c>
      <c r="J9738" t="s">
        <v>20</v>
      </c>
      <c r="K9738" t="s">
        <v>41</v>
      </c>
      <c r="L9738" t="s">
        <v>87</v>
      </c>
      <c r="M9738" t="s">
        <v>58</v>
      </c>
      <c r="N9738">
        <v>41.019781999999999</v>
      </c>
      <c r="O9738">
        <v>-111.922611</v>
      </c>
      <c r="P9738">
        <v>4345.8001139999997</v>
      </c>
      <c r="Q9738">
        <v>258</v>
      </c>
      <c r="R9738">
        <v>0</v>
      </c>
    </row>
    <row r="9739" spans="1:18" x14ac:dyDescent="0.25">
      <c r="A9739">
        <v>9588</v>
      </c>
      <c r="B9739">
        <v>94</v>
      </c>
      <c r="C9739">
        <v>1223635</v>
      </c>
      <c r="D9739" t="s">
        <v>189</v>
      </c>
      <c r="E9739">
        <v>0.45800000000000002</v>
      </c>
      <c r="F9739" t="s">
        <v>19</v>
      </c>
      <c r="G9739" t="s">
        <v>20</v>
      </c>
      <c r="H9739" t="s">
        <v>21</v>
      </c>
      <c r="I9739" t="s">
        <v>20</v>
      </c>
      <c r="J9739" t="s">
        <v>20</v>
      </c>
      <c r="K9739" t="s">
        <v>41</v>
      </c>
      <c r="L9739" t="s">
        <v>81</v>
      </c>
      <c r="M9739" t="s">
        <v>190</v>
      </c>
      <c r="N9739">
        <v>41.161582000000003</v>
      </c>
      <c r="O9739">
        <v>-111.940258</v>
      </c>
      <c r="P9739">
        <v>4764.3863300000003</v>
      </c>
      <c r="Q9739">
        <v>412</v>
      </c>
      <c r="R9739">
        <v>0</v>
      </c>
    </row>
    <row r="9740" spans="1:18" x14ac:dyDescent="0.25">
      <c r="A9740">
        <v>9589</v>
      </c>
      <c r="B9740">
        <v>94</v>
      </c>
      <c r="C9740">
        <v>31841309</v>
      </c>
      <c r="D9740" t="s">
        <v>179</v>
      </c>
      <c r="E9740">
        <v>0.45900000000000002</v>
      </c>
      <c r="F9740" t="s">
        <v>19</v>
      </c>
      <c r="G9740" t="s">
        <v>20</v>
      </c>
      <c r="H9740" t="s">
        <v>21</v>
      </c>
      <c r="I9740" t="s">
        <v>20</v>
      </c>
      <c r="J9740" t="s">
        <v>20</v>
      </c>
      <c r="K9740" t="s">
        <v>31</v>
      </c>
      <c r="L9740" t="s">
        <v>66</v>
      </c>
      <c r="M9740" t="s">
        <v>67</v>
      </c>
      <c r="N9740">
        <v>40.756293999999997</v>
      </c>
      <c r="O9740">
        <v>-111.89680799999999</v>
      </c>
      <c r="P9740">
        <v>4179.2004029999998</v>
      </c>
      <c r="Q9740">
        <v>362</v>
      </c>
      <c r="R9740">
        <v>0</v>
      </c>
    </row>
    <row r="9741" spans="1:18" x14ac:dyDescent="0.25">
      <c r="A9741">
        <v>9590</v>
      </c>
      <c r="B9741">
        <v>94</v>
      </c>
      <c r="C9741">
        <v>31404858</v>
      </c>
      <c r="D9741" t="s">
        <v>74</v>
      </c>
      <c r="E9741">
        <v>0.45900000000000002</v>
      </c>
      <c r="F9741" t="s">
        <v>21</v>
      </c>
      <c r="G9741" t="s">
        <v>26</v>
      </c>
      <c r="H9741" t="s">
        <v>21</v>
      </c>
      <c r="I9741" t="s">
        <v>20</v>
      </c>
      <c r="J9741" t="s">
        <v>20</v>
      </c>
      <c r="K9741" t="s">
        <v>27</v>
      </c>
      <c r="L9741" t="s">
        <v>75</v>
      </c>
      <c r="M9741" t="s">
        <v>76</v>
      </c>
      <c r="N9741">
        <v>38.749887999999999</v>
      </c>
      <c r="O9741">
        <v>-112.09801</v>
      </c>
      <c r="P9741">
        <v>5251.2590749999999</v>
      </c>
      <c r="Q9741">
        <v>332</v>
      </c>
      <c r="R9741">
        <v>0</v>
      </c>
    </row>
    <row r="9742" spans="1:18" x14ac:dyDescent="0.25">
      <c r="A9742">
        <v>9591</v>
      </c>
      <c r="B9742">
        <v>94</v>
      </c>
      <c r="C9742">
        <v>31285191</v>
      </c>
      <c r="D9742" t="s">
        <v>126</v>
      </c>
      <c r="E9742">
        <v>0.46</v>
      </c>
      <c r="F9742" t="s">
        <v>21</v>
      </c>
      <c r="G9742" t="s">
        <v>26</v>
      </c>
      <c r="H9742" t="s">
        <v>21</v>
      </c>
      <c r="I9742" t="s">
        <v>20</v>
      </c>
      <c r="J9742" t="s">
        <v>20</v>
      </c>
      <c r="K9742" t="s">
        <v>41</v>
      </c>
      <c r="L9742" t="s">
        <v>57</v>
      </c>
      <c r="M9742" t="s">
        <v>93</v>
      </c>
      <c r="N9742">
        <v>41.197474999999997</v>
      </c>
      <c r="O9742">
        <v>-112.093187</v>
      </c>
      <c r="P9742">
        <v>4196.6773000000003</v>
      </c>
      <c r="Q9742">
        <v>1412</v>
      </c>
      <c r="R9742">
        <v>0</v>
      </c>
    </row>
    <row r="9743" spans="1:18" x14ac:dyDescent="0.25">
      <c r="A9743">
        <v>9592</v>
      </c>
      <c r="B9743">
        <v>94</v>
      </c>
      <c r="C9743">
        <v>31529030</v>
      </c>
      <c r="D9743" t="s">
        <v>716</v>
      </c>
      <c r="E9743">
        <v>0.46100000000000002</v>
      </c>
      <c r="F9743" t="s">
        <v>21</v>
      </c>
      <c r="G9743" t="s">
        <v>26</v>
      </c>
      <c r="H9743" t="s">
        <v>21</v>
      </c>
      <c r="I9743" t="s">
        <v>20</v>
      </c>
      <c r="J9743" t="s">
        <v>20</v>
      </c>
      <c r="K9743" t="s">
        <v>27</v>
      </c>
      <c r="L9743" t="s">
        <v>51</v>
      </c>
      <c r="M9743" t="s">
        <v>106</v>
      </c>
      <c r="N9743">
        <v>37.848933000000002</v>
      </c>
      <c r="O9743">
        <v>-112.82774999999999</v>
      </c>
      <c r="P9743">
        <v>5898.1215279999997</v>
      </c>
      <c r="Q9743">
        <v>433</v>
      </c>
      <c r="R9743">
        <v>0</v>
      </c>
    </row>
    <row r="9744" spans="1:18" x14ac:dyDescent="0.25">
      <c r="A9744">
        <v>9593</v>
      </c>
      <c r="B9744">
        <v>94</v>
      </c>
      <c r="C9744">
        <v>31387549</v>
      </c>
      <c r="D9744" t="s">
        <v>364</v>
      </c>
      <c r="E9744">
        <v>0.52900000000000003</v>
      </c>
      <c r="F9744" t="s">
        <v>21</v>
      </c>
      <c r="G9744" t="s">
        <v>26</v>
      </c>
      <c r="H9744" t="s">
        <v>21</v>
      </c>
      <c r="I9744" t="s">
        <v>20</v>
      </c>
      <c r="J9744" t="s">
        <v>20</v>
      </c>
      <c r="K9744" t="s">
        <v>22</v>
      </c>
      <c r="L9744" t="s">
        <v>198</v>
      </c>
      <c r="M9744" t="s">
        <v>85</v>
      </c>
      <c r="N9744">
        <v>40.052342000000003</v>
      </c>
      <c r="O9744">
        <v>-111.732241</v>
      </c>
      <c r="P9744">
        <v>4544.7723669999996</v>
      </c>
      <c r="Q9744">
        <v>1401</v>
      </c>
      <c r="R9744">
        <v>0</v>
      </c>
    </row>
    <row r="9745" spans="1:18" x14ac:dyDescent="0.25">
      <c r="A9745">
        <v>9594</v>
      </c>
      <c r="B9745">
        <v>94</v>
      </c>
      <c r="C9745" t="e">
        <f>-JNKyoCxFgX0Z6lg_anVMk</f>
        <v>#NAME?</v>
      </c>
      <c r="D9745" t="s">
        <v>124</v>
      </c>
      <c r="E9745">
        <v>0.85199999999999998</v>
      </c>
      <c r="F9745" t="s">
        <v>21</v>
      </c>
      <c r="G9745" t="s">
        <v>20</v>
      </c>
      <c r="H9745" t="s">
        <v>21</v>
      </c>
      <c r="I9745" t="s">
        <v>20</v>
      </c>
      <c r="J9745" t="s">
        <v>20</v>
      </c>
      <c r="K9745" t="s">
        <v>22</v>
      </c>
      <c r="L9745" t="s">
        <v>193</v>
      </c>
      <c r="M9745" t="s">
        <v>194</v>
      </c>
      <c r="N9745">
        <v>39.964351000000001</v>
      </c>
      <c r="O9745">
        <v>-111.956569</v>
      </c>
      <c r="P9745">
        <v>4609.4557869999999</v>
      </c>
      <c r="Q9745">
        <v>1368</v>
      </c>
      <c r="R9745">
        <v>0</v>
      </c>
    </row>
    <row r="9746" spans="1:18" x14ac:dyDescent="0.25">
      <c r="A9746">
        <v>9595</v>
      </c>
      <c r="B9746">
        <v>94</v>
      </c>
      <c r="C9746">
        <v>31387588</v>
      </c>
      <c r="D9746" t="s">
        <v>369</v>
      </c>
      <c r="E9746">
        <v>0.85499999999999998</v>
      </c>
      <c r="F9746" t="s">
        <v>21</v>
      </c>
      <c r="G9746" t="s">
        <v>26</v>
      </c>
      <c r="H9746" t="s">
        <v>21</v>
      </c>
      <c r="I9746" t="s">
        <v>20</v>
      </c>
      <c r="J9746" t="s">
        <v>20</v>
      </c>
      <c r="K9746" t="s">
        <v>22</v>
      </c>
      <c r="L9746" t="s">
        <v>198</v>
      </c>
      <c r="M9746" t="s">
        <v>76</v>
      </c>
      <c r="N9746">
        <v>40.031337000000001</v>
      </c>
      <c r="O9746">
        <v>-111.742469</v>
      </c>
      <c r="P9746">
        <v>4605.4751109999997</v>
      </c>
      <c r="Q9746">
        <v>347</v>
      </c>
      <c r="R9746">
        <v>0</v>
      </c>
    </row>
    <row r="9747" spans="1:18" x14ac:dyDescent="0.25">
      <c r="A9747">
        <v>9596</v>
      </c>
      <c r="B9747">
        <v>94</v>
      </c>
      <c r="C9747">
        <v>27947081</v>
      </c>
      <c r="D9747" t="s">
        <v>281</v>
      </c>
      <c r="E9747">
        <v>0.85799999999999998</v>
      </c>
      <c r="F9747" t="s">
        <v>21</v>
      </c>
      <c r="G9747" t="s">
        <v>26</v>
      </c>
      <c r="H9747" t="s">
        <v>21</v>
      </c>
      <c r="I9747" t="s">
        <v>20</v>
      </c>
      <c r="J9747" t="s">
        <v>20</v>
      </c>
      <c r="K9747" t="s">
        <v>22</v>
      </c>
      <c r="L9747" t="s">
        <v>193</v>
      </c>
      <c r="M9747" t="s">
        <v>174</v>
      </c>
      <c r="N9747">
        <v>39.925744999999999</v>
      </c>
      <c r="O9747">
        <v>-112.15758700000001</v>
      </c>
      <c r="P9747">
        <v>5847.6167429999996</v>
      </c>
      <c r="Q9747">
        <v>1347</v>
      </c>
      <c r="R9747">
        <v>0</v>
      </c>
    </row>
    <row r="9748" spans="1:18" x14ac:dyDescent="0.25">
      <c r="A9748">
        <v>9597</v>
      </c>
      <c r="B9748">
        <v>94</v>
      </c>
      <c r="C9748">
        <v>31508220</v>
      </c>
      <c r="D9748" t="s">
        <v>132</v>
      </c>
      <c r="E9748">
        <v>0.85899999999999999</v>
      </c>
      <c r="F9748" t="s">
        <v>21</v>
      </c>
      <c r="G9748" t="s">
        <v>26</v>
      </c>
      <c r="H9748" t="s">
        <v>21</v>
      </c>
      <c r="I9748" t="s">
        <v>20</v>
      </c>
      <c r="J9748" t="s">
        <v>20</v>
      </c>
      <c r="K9748" t="s">
        <v>22</v>
      </c>
      <c r="L9748" t="s">
        <v>133</v>
      </c>
      <c r="M9748" t="s">
        <v>134</v>
      </c>
      <c r="N9748">
        <v>40.305512</v>
      </c>
      <c r="O9748">
        <v>-110.00337</v>
      </c>
      <c r="P9748">
        <v>5106.3577830000004</v>
      </c>
      <c r="Q9748">
        <v>1405</v>
      </c>
      <c r="R9748">
        <v>0</v>
      </c>
    </row>
    <row r="9749" spans="1:18" x14ac:dyDescent="0.25">
      <c r="A9749">
        <v>9598</v>
      </c>
      <c r="B9749">
        <v>94</v>
      </c>
      <c r="C9749">
        <v>31466310</v>
      </c>
      <c r="D9749" t="s">
        <v>404</v>
      </c>
      <c r="E9749">
        <v>0.86</v>
      </c>
      <c r="F9749" t="s">
        <v>21</v>
      </c>
      <c r="G9749" t="s">
        <v>20</v>
      </c>
      <c r="H9749" t="s">
        <v>21</v>
      </c>
      <c r="I9749" t="s">
        <v>20</v>
      </c>
      <c r="J9749" t="s">
        <v>20</v>
      </c>
      <c r="K9749" t="s">
        <v>27</v>
      </c>
      <c r="L9749" t="s">
        <v>405</v>
      </c>
      <c r="M9749" t="s">
        <v>238</v>
      </c>
      <c r="N9749">
        <v>38.969661000000002</v>
      </c>
      <c r="O9749">
        <v>-109.71502</v>
      </c>
      <c r="P9749">
        <v>5065.187629</v>
      </c>
      <c r="Q9749">
        <v>325</v>
      </c>
      <c r="R9749">
        <v>0</v>
      </c>
    </row>
    <row r="9750" spans="1:18" x14ac:dyDescent="0.25">
      <c r="A9750">
        <v>9599</v>
      </c>
      <c r="B9750">
        <v>94</v>
      </c>
      <c r="C9750" t="e">
        <f>-JP2iLT3GBXAZBkkfsTiKF</f>
        <v>#NAME?</v>
      </c>
      <c r="D9750" t="s">
        <v>345</v>
      </c>
      <c r="E9750">
        <v>0.86</v>
      </c>
      <c r="F9750" t="s">
        <v>21</v>
      </c>
      <c r="G9750" t="s">
        <v>20</v>
      </c>
      <c r="H9750" t="s">
        <v>21</v>
      </c>
      <c r="I9750" t="s">
        <v>20</v>
      </c>
      <c r="J9750" t="s">
        <v>20</v>
      </c>
      <c r="K9750" t="s">
        <v>27</v>
      </c>
      <c r="L9750" t="s">
        <v>75</v>
      </c>
      <c r="M9750" t="s">
        <v>76</v>
      </c>
      <c r="N9750">
        <v>38.624220999999999</v>
      </c>
      <c r="O9750">
        <v>-112.211429</v>
      </c>
      <c r="P9750">
        <v>5360.2791399999996</v>
      </c>
      <c r="Q9750">
        <v>1403</v>
      </c>
      <c r="R9750">
        <v>0</v>
      </c>
    </row>
    <row r="9751" spans="1:18" x14ac:dyDescent="0.25">
      <c r="A9751">
        <v>9600</v>
      </c>
      <c r="B9751">
        <v>94</v>
      </c>
      <c r="C9751">
        <v>31695894</v>
      </c>
      <c r="D9751" t="s">
        <v>245</v>
      </c>
      <c r="E9751">
        <v>0.86099999999999999</v>
      </c>
      <c r="F9751" t="s">
        <v>21</v>
      </c>
      <c r="G9751" t="s">
        <v>26</v>
      </c>
      <c r="H9751" t="s">
        <v>21</v>
      </c>
      <c r="I9751" t="s">
        <v>20</v>
      </c>
      <c r="J9751" t="s">
        <v>20</v>
      </c>
      <c r="K9751" t="s">
        <v>22</v>
      </c>
      <c r="L9751" t="s">
        <v>97</v>
      </c>
      <c r="M9751" t="s">
        <v>98</v>
      </c>
      <c r="N9751">
        <v>40.872011999999998</v>
      </c>
      <c r="O9751">
        <v>-109.495406</v>
      </c>
      <c r="P9751">
        <v>7348.2235179999998</v>
      </c>
      <c r="Q9751">
        <v>1353</v>
      </c>
      <c r="R9751">
        <v>0</v>
      </c>
    </row>
    <row r="9752" spans="1:18" x14ac:dyDescent="0.25">
      <c r="A9752">
        <v>9601</v>
      </c>
      <c r="B9752">
        <v>94</v>
      </c>
      <c r="C9752">
        <v>31513700</v>
      </c>
      <c r="D9752" t="s">
        <v>231</v>
      </c>
      <c r="E9752">
        <v>0.86399999999999999</v>
      </c>
      <c r="F9752" t="s">
        <v>21</v>
      </c>
      <c r="G9752" t="s">
        <v>26</v>
      </c>
      <c r="H9752" t="s">
        <v>21</v>
      </c>
      <c r="I9752" t="s">
        <v>20</v>
      </c>
      <c r="J9752" t="s">
        <v>20</v>
      </c>
      <c r="K9752" t="s">
        <v>41</v>
      </c>
      <c r="L9752" t="s">
        <v>57</v>
      </c>
      <c r="M9752" t="s">
        <v>93</v>
      </c>
      <c r="N9752">
        <v>41.063172000000002</v>
      </c>
      <c r="O9752">
        <v>-111.969022</v>
      </c>
      <c r="P9752">
        <v>4308.831056</v>
      </c>
      <c r="Q9752">
        <v>1409</v>
      </c>
      <c r="R9752">
        <v>0</v>
      </c>
    </row>
    <row r="9753" spans="1:18" x14ac:dyDescent="0.25">
      <c r="A9753">
        <v>9602</v>
      </c>
      <c r="B9753">
        <v>94</v>
      </c>
      <c r="C9753">
        <v>1736321</v>
      </c>
      <c r="D9753" t="s">
        <v>260</v>
      </c>
      <c r="E9753">
        <v>0.86499999999999999</v>
      </c>
      <c r="F9753" t="s">
        <v>21</v>
      </c>
      <c r="G9753" t="s">
        <v>26</v>
      </c>
      <c r="H9753" t="s">
        <v>21</v>
      </c>
      <c r="I9753" t="s">
        <v>20</v>
      </c>
      <c r="J9753" t="s">
        <v>20</v>
      </c>
      <c r="K9753" t="s">
        <v>41</v>
      </c>
      <c r="L9753" t="s">
        <v>81</v>
      </c>
      <c r="M9753" t="s">
        <v>46</v>
      </c>
      <c r="N9753">
        <v>41.222990000000003</v>
      </c>
      <c r="O9753">
        <v>-111.99134100000001</v>
      </c>
      <c r="P9753">
        <v>4271.2762549999998</v>
      </c>
      <c r="Q9753">
        <v>1358</v>
      </c>
      <c r="R9753">
        <v>0</v>
      </c>
    </row>
    <row r="9754" spans="1:18" x14ac:dyDescent="0.25">
      <c r="A9754">
        <v>9603</v>
      </c>
      <c r="B9754">
        <v>94</v>
      </c>
      <c r="C9754">
        <v>1625576</v>
      </c>
      <c r="D9754" t="s">
        <v>180</v>
      </c>
      <c r="E9754">
        <v>0.86599999999999999</v>
      </c>
      <c r="F9754" t="s">
        <v>21</v>
      </c>
      <c r="G9754" t="s">
        <v>26</v>
      </c>
      <c r="H9754" t="s">
        <v>21</v>
      </c>
      <c r="I9754" t="s">
        <v>20</v>
      </c>
      <c r="J9754" t="s">
        <v>20</v>
      </c>
      <c r="K9754" t="s">
        <v>41</v>
      </c>
      <c r="L9754" t="s">
        <v>181</v>
      </c>
      <c r="M9754" t="s">
        <v>117</v>
      </c>
      <c r="N9754">
        <v>41.724538000000003</v>
      </c>
      <c r="O9754">
        <v>-112.162165</v>
      </c>
      <c r="P9754">
        <v>4277.7756829999998</v>
      </c>
      <c r="Q9754">
        <v>1379</v>
      </c>
      <c r="R9754">
        <v>0</v>
      </c>
    </row>
    <row r="9755" spans="1:18" x14ac:dyDescent="0.25">
      <c r="A9755">
        <v>9604</v>
      </c>
      <c r="B9755">
        <v>94</v>
      </c>
      <c r="C9755">
        <v>31835145</v>
      </c>
      <c r="D9755" t="s">
        <v>161</v>
      </c>
      <c r="E9755">
        <v>0.86799999999999999</v>
      </c>
      <c r="F9755" t="s">
        <v>21</v>
      </c>
      <c r="G9755" t="s">
        <v>26</v>
      </c>
      <c r="H9755" t="s">
        <v>21</v>
      </c>
      <c r="I9755" t="s">
        <v>20</v>
      </c>
      <c r="J9755" t="s">
        <v>20</v>
      </c>
      <c r="K9755" t="s">
        <v>27</v>
      </c>
      <c r="L9755" t="s">
        <v>162</v>
      </c>
      <c r="M9755" t="s">
        <v>163</v>
      </c>
      <c r="N9755">
        <v>37.573535999999997</v>
      </c>
      <c r="O9755">
        <v>-113.71914099999999</v>
      </c>
      <c r="P9755">
        <v>5237.509129</v>
      </c>
      <c r="Q9755">
        <v>419</v>
      </c>
      <c r="R9755">
        <v>0</v>
      </c>
    </row>
    <row r="9756" spans="1:18" x14ac:dyDescent="0.25">
      <c r="A9756">
        <v>9605</v>
      </c>
      <c r="B9756">
        <v>94</v>
      </c>
      <c r="C9756">
        <v>31534867</v>
      </c>
      <c r="D9756" t="s">
        <v>53</v>
      </c>
      <c r="E9756">
        <v>0.86799999999999999</v>
      </c>
      <c r="F9756" t="s">
        <v>21</v>
      </c>
      <c r="G9756" t="s">
        <v>26</v>
      </c>
      <c r="H9756" t="s">
        <v>21</v>
      </c>
      <c r="I9756" t="s">
        <v>20</v>
      </c>
      <c r="J9756" t="s">
        <v>20</v>
      </c>
      <c r="K9756" t="s">
        <v>27</v>
      </c>
      <c r="L9756" t="s">
        <v>54</v>
      </c>
      <c r="M9756" t="s">
        <v>55</v>
      </c>
      <c r="N9756">
        <v>37.677005000000001</v>
      </c>
      <c r="O9756">
        <v>-113.07770499999999</v>
      </c>
      <c r="P9756">
        <v>5704.8476289999999</v>
      </c>
      <c r="Q9756">
        <v>1285</v>
      </c>
      <c r="R9756">
        <v>0</v>
      </c>
    </row>
    <row r="9757" spans="1:18" x14ac:dyDescent="0.25">
      <c r="A9757">
        <v>9606</v>
      </c>
      <c r="B9757">
        <v>94</v>
      </c>
      <c r="C9757">
        <v>31341834</v>
      </c>
      <c r="D9757" t="s">
        <v>220</v>
      </c>
      <c r="E9757">
        <v>0.86899999999999999</v>
      </c>
      <c r="F9757" t="s">
        <v>21</v>
      </c>
      <c r="G9757" t="s">
        <v>20</v>
      </c>
      <c r="H9757" t="s">
        <v>21</v>
      </c>
      <c r="I9757" t="s">
        <v>20</v>
      </c>
      <c r="J9757" t="s">
        <v>20</v>
      </c>
      <c r="K9757" t="s">
        <v>27</v>
      </c>
      <c r="L9757" t="s">
        <v>247</v>
      </c>
      <c r="M9757" t="s">
        <v>29</v>
      </c>
      <c r="N9757">
        <v>37.748581999999999</v>
      </c>
      <c r="O9757">
        <v>-112.360968</v>
      </c>
      <c r="P9757">
        <v>6773.591907</v>
      </c>
      <c r="Q9757">
        <v>1328</v>
      </c>
      <c r="R9757">
        <v>0</v>
      </c>
    </row>
    <row r="9758" spans="1:18" x14ac:dyDescent="0.25">
      <c r="A9758">
        <v>9607</v>
      </c>
      <c r="B9758">
        <v>94</v>
      </c>
      <c r="C9758" t="s">
        <v>1146</v>
      </c>
      <c r="D9758" t="s">
        <v>109</v>
      </c>
      <c r="E9758">
        <v>0.87</v>
      </c>
      <c r="F9758" t="s">
        <v>21</v>
      </c>
      <c r="G9758" t="s">
        <v>26</v>
      </c>
      <c r="H9758" t="s">
        <v>21</v>
      </c>
      <c r="I9758" t="s">
        <v>20</v>
      </c>
      <c r="J9758" t="s">
        <v>20</v>
      </c>
      <c r="K9758" t="s">
        <v>41</v>
      </c>
      <c r="L9758" t="s">
        <v>42</v>
      </c>
      <c r="M9758" t="s">
        <v>73</v>
      </c>
      <c r="N9758">
        <v>41.575049</v>
      </c>
      <c r="O9758">
        <v>-111.838284</v>
      </c>
      <c r="P9758">
        <v>4823.8631820000001</v>
      </c>
      <c r="Q9758">
        <v>345</v>
      </c>
      <c r="R9758">
        <v>0</v>
      </c>
    </row>
    <row r="9759" spans="1:18" x14ac:dyDescent="0.25">
      <c r="A9759">
        <v>9608</v>
      </c>
      <c r="B9759">
        <v>94</v>
      </c>
      <c r="C9759">
        <v>28326319</v>
      </c>
      <c r="D9759" t="s">
        <v>160</v>
      </c>
      <c r="E9759">
        <v>0.871</v>
      </c>
      <c r="F9759" t="s">
        <v>21</v>
      </c>
      <c r="G9759" t="s">
        <v>26</v>
      </c>
      <c r="H9759" t="s">
        <v>21</v>
      </c>
      <c r="I9759" t="s">
        <v>20</v>
      </c>
      <c r="J9759" t="s">
        <v>20</v>
      </c>
      <c r="K9759" t="s">
        <v>27</v>
      </c>
      <c r="L9759" t="s">
        <v>72</v>
      </c>
      <c r="M9759" t="s">
        <v>73</v>
      </c>
      <c r="N9759">
        <v>37.22184</v>
      </c>
      <c r="O9759">
        <v>-113.278462</v>
      </c>
      <c r="P9759">
        <v>3036.6740070000001</v>
      </c>
      <c r="Q9759">
        <v>1335</v>
      </c>
      <c r="R9759">
        <v>0</v>
      </c>
    </row>
    <row r="9760" spans="1:18" x14ac:dyDescent="0.25">
      <c r="A9760">
        <v>9609</v>
      </c>
      <c r="B9760">
        <v>94</v>
      </c>
      <c r="C9760">
        <v>946427</v>
      </c>
      <c r="D9760" t="s">
        <v>65</v>
      </c>
      <c r="E9760">
        <v>1.155</v>
      </c>
      <c r="F9760" t="s">
        <v>21</v>
      </c>
      <c r="G9760" t="s">
        <v>26</v>
      </c>
      <c r="H9760" t="s">
        <v>21</v>
      </c>
      <c r="I9760" t="s">
        <v>20</v>
      </c>
      <c r="J9760" t="s">
        <v>20</v>
      </c>
      <c r="K9760" t="s">
        <v>31</v>
      </c>
      <c r="L9760" t="s">
        <v>66</v>
      </c>
      <c r="M9760" t="s">
        <v>67</v>
      </c>
      <c r="N9760">
        <v>40.780549000000001</v>
      </c>
      <c r="O9760">
        <v>-111.890005</v>
      </c>
      <c r="P9760">
        <v>4458.5397540000004</v>
      </c>
      <c r="Q9760">
        <v>402</v>
      </c>
      <c r="R9760">
        <v>0</v>
      </c>
    </row>
    <row r="9761" spans="1:18" x14ac:dyDescent="0.25">
      <c r="A9761">
        <v>9610</v>
      </c>
      <c r="B9761">
        <v>94</v>
      </c>
      <c r="C9761">
        <v>31534889</v>
      </c>
      <c r="D9761" t="s">
        <v>53</v>
      </c>
      <c r="E9761">
        <v>1.1559999999999999</v>
      </c>
      <c r="F9761" t="s">
        <v>21</v>
      </c>
      <c r="G9761" t="s">
        <v>26</v>
      </c>
      <c r="H9761" t="s">
        <v>21</v>
      </c>
      <c r="I9761" t="s">
        <v>20</v>
      </c>
      <c r="J9761" t="s">
        <v>20</v>
      </c>
      <c r="K9761" t="s">
        <v>27</v>
      </c>
      <c r="L9761" t="s">
        <v>54</v>
      </c>
      <c r="M9761" t="s">
        <v>55</v>
      </c>
      <c r="N9761">
        <v>37.674129000000001</v>
      </c>
      <c r="O9761">
        <v>-113.07623100000001</v>
      </c>
      <c r="P9761">
        <v>5734.0512159999998</v>
      </c>
      <c r="Q9761">
        <v>1285</v>
      </c>
      <c r="R9761">
        <v>0</v>
      </c>
    </row>
    <row r="9762" spans="1:18" x14ac:dyDescent="0.25">
      <c r="A9762">
        <v>9611</v>
      </c>
      <c r="B9762">
        <v>94</v>
      </c>
      <c r="C9762">
        <v>27644944</v>
      </c>
      <c r="D9762" t="s">
        <v>196</v>
      </c>
      <c r="E9762">
        <v>1.1559999999999999</v>
      </c>
      <c r="F9762" t="s">
        <v>21</v>
      </c>
      <c r="G9762" t="s">
        <v>26</v>
      </c>
      <c r="H9762" t="s">
        <v>21</v>
      </c>
      <c r="I9762" t="s">
        <v>20</v>
      </c>
      <c r="J9762" t="s">
        <v>20</v>
      </c>
      <c r="K9762" t="s">
        <v>27</v>
      </c>
      <c r="L9762" t="s">
        <v>72</v>
      </c>
      <c r="M9762" t="s">
        <v>73</v>
      </c>
      <c r="N9762">
        <v>37.109848999999997</v>
      </c>
      <c r="O9762">
        <v>-113.57271299999999</v>
      </c>
      <c r="P9762">
        <v>2672.134125</v>
      </c>
      <c r="Q9762">
        <v>308</v>
      </c>
      <c r="R9762">
        <v>0</v>
      </c>
    </row>
    <row r="9763" spans="1:18" x14ac:dyDescent="0.25">
      <c r="A9763">
        <v>9612</v>
      </c>
      <c r="B9763">
        <v>94</v>
      </c>
      <c r="C9763">
        <v>1225748</v>
      </c>
      <c r="D9763" t="s">
        <v>189</v>
      </c>
      <c r="E9763">
        <v>1.159</v>
      </c>
      <c r="F9763" t="s">
        <v>21</v>
      </c>
      <c r="G9763" t="s">
        <v>26</v>
      </c>
      <c r="H9763" t="s">
        <v>21</v>
      </c>
      <c r="I9763" t="s">
        <v>20</v>
      </c>
      <c r="J9763" t="s">
        <v>20</v>
      </c>
      <c r="K9763" t="s">
        <v>41</v>
      </c>
      <c r="L9763" t="s">
        <v>81</v>
      </c>
      <c r="M9763" t="s">
        <v>190</v>
      </c>
      <c r="N9763">
        <v>41.170397999999999</v>
      </c>
      <c r="O9763">
        <v>-111.94685699999999</v>
      </c>
      <c r="P9763">
        <v>4720.0731180000002</v>
      </c>
      <c r="Q9763">
        <v>412</v>
      </c>
      <c r="R9763">
        <v>0</v>
      </c>
    </row>
    <row r="9764" spans="1:18" x14ac:dyDescent="0.25">
      <c r="A9764">
        <v>9613</v>
      </c>
      <c r="B9764">
        <v>94</v>
      </c>
      <c r="C9764">
        <v>31501413</v>
      </c>
      <c r="D9764" t="s">
        <v>292</v>
      </c>
      <c r="E9764">
        <v>1.163</v>
      </c>
      <c r="F9764" t="s">
        <v>21</v>
      </c>
      <c r="G9764" t="s">
        <v>26</v>
      </c>
      <c r="H9764" t="s">
        <v>21</v>
      </c>
      <c r="I9764" t="s">
        <v>20</v>
      </c>
      <c r="J9764" t="s">
        <v>20</v>
      </c>
      <c r="K9764" t="s">
        <v>22</v>
      </c>
      <c r="L9764" t="s">
        <v>253</v>
      </c>
      <c r="M9764" t="s">
        <v>134</v>
      </c>
      <c r="N9764">
        <v>40.180174000000001</v>
      </c>
      <c r="O9764">
        <v>-110.39916599999999</v>
      </c>
      <c r="P9764">
        <v>5614.821653</v>
      </c>
      <c r="Q9764">
        <v>323</v>
      </c>
      <c r="R9764">
        <v>0</v>
      </c>
    </row>
    <row r="9765" spans="1:18" x14ac:dyDescent="0.25">
      <c r="A9765">
        <v>9614</v>
      </c>
      <c r="B9765">
        <v>94</v>
      </c>
      <c r="C9765">
        <v>31378559</v>
      </c>
      <c r="D9765" t="s">
        <v>221</v>
      </c>
      <c r="E9765">
        <v>1.169</v>
      </c>
      <c r="F9765" t="s">
        <v>21</v>
      </c>
      <c r="G9765" t="s">
        <v>26</v>
      </c>
      <c r="H9765" t="s">
        <v>21</v>
      </c>
      <c r="I9765" t="s">
        <v>20</v>
      </c>
      <c r="J9765" t="s">
        <v>20</v>
      </c>
      <c r="K9765" t="s">
        <v>27</v>
      </c>
      <c r="L9765" t="s">
        <v>350</v>
      </c>
      <c r="M9765" t="s">
        <v>174</v>
      </c>
      <c r="N9765">
        <v>39.171647</v>
      </c>
      <c r="O9765">
        <v>-111.830698</v>
      </c>
      <c r="P9765">
        <v>5183.9721229999996</v>
      </c>
      <c r="Q9765">
        <v>1342</v>
      </c>
      <c r="R9765">
        <v>0</v>
      </c>
    </row>
    <row r="9766" spans="1:18" x14ac:dyDescent="0.25">
      <c r="A9766">
        <v>9615</v>
      </c>
      <c r="B9766">
        <v>94</v>
      </c>
      <c r="C9766">
        <v>31485791</v>
      </c>
      <c r="D9766" t="s">
        <v>164</v>
      </c>
      <c r="E9766">
        <v>1.173</v>
      </c>
      <c r="F9766" t="s">
        <v>21</v>
      </c>
      <c r="G9766" t="s">
        <v>26</v>
      </c>
      <c r="H9766" t="s">
        <v>21</v>
      </c>
      <c r="I9766" t="s">
        <v>20</v>
      </c>
      <c r="J9766" t="s">
        <v>20</v>
      </c>
      <c r="K9766" t="s">
        <v>27</v>
      </c>
      <c r="L9766" t="s">
        <v>165</v>
      </c>
      <c r="M9766" t="s">
        <v>166</v>
      </c>
      <c r="N9766">
        <v>38.957490999999997</v>
      </c>
      <c r="O9766">
        <v>-112.33479800000001</v>
      </c>
      <c r="P9766">
        <v>5030.5963320000001</v>
      </c>
      <c r="Q9766">
        <v>1390</v>
      </c>
      <c r="R9766">
        <v>0</v>
      </c>
    </row>
    <row r="9767" spans="1:18" x14ac:dyDescent="0.25">
      <c r="A9767">
        <v>9616</v>
      </c>
      <c r="B9767">
        <v>94</v>
      </c>
      <c r="C9767">
        <v>31390234</v>
      </c>
      <c r="D9767" t="s">
        <v>124</v>
      </c>
      <c r="E9767">
        <v>0</v>
      </c>
      <c r="F9767" t="s">
        <v>21</v>
      </c>
      <c r="G9767" t="s">
        <v>26</v>
      </c>
      <c r="H9767" t="s">
        <v>19</v>
      </c>
      <c r="I9767">
        <v>6</v>
      </c>
      <c r="J9767" t="s">
        <v>20</v>
      </c>
      <c r="K9767" t="s">
        <v>22</v>
      </c>
      <c r="L9767" t="s">
        <v>193</v>
      </c>
      <c r="M9767" t="s">
        <v>194</v>
      </c>
      <c r="N9767">
        <v>39.951985000000001</v>
      </c>
      <c r="O9767">
        <v>-111.95616699999999</v>
      </c>
      <c r="P9767">
        <v>4640.8243389999998</v>
      </c>
      <c r="Q9767">
        <v>1368</v>
      </c>
      <c r="R9767">
        <v>0</v>
      </c>
    </row>
    <row r="9768" spans="1:18" x14ac:dyDescent="0.25">
      <c r="A9768">
        <v>9617</v>
      </c>
      <c r="B9768">
        <v>94</v>
      </c>
      <c r="C9768" t="e">
        <f>-JQz4KuGHC1ExmhmD9md3F</f>
        <v>#NAME?</v>
      </c>
      <c r="D9768" t="s">
        <v>1147</v>
      </c>
      <c r="E9768">
        <v>0</v>
      </c>
      <c r="F9768" t="s">
        <v>21</v>
      </c>
      <c r="G9768" t="s">
        <v>26</v>
      </c>
      <c r="H9768" t="s">
        <v>21</v>
      </c>
      <c r="I9768" t="s">
        <v>20</v>
      </c>
      <c r="J9768" t="s">
        <v>20</v>
      </c>
      <c r="K9768" t="s">
        <v>27</v>
      </c>
      <c r="L9768" t="s">
        <v>405</v>
      </c>
      <c r="M9768" t="s">
        <v>973</v>
      </c>
      <c r="N9768">
        <v>38.937764999999999</v>
      </c>
      <c r="O9768">
        <v>-109.407183</v>
      </c>
      <c r="P9768">
        <v>4394.794844</v>
      </c>
      <c r="Q9768">
        <v>1370</v>
      </c>
      <c r="R9768">
        <v>0</v>
      </c>
    </row>
    <row r="9769" spans="1:18" x14ac:dyDescent="0.25">
      <c r="A9769">
        <v>9618</v>
      </c>
      <c r="B9769">
        <v>94</v>
      </c>
      <c r="C9769" t="e">
        <f>-Ip5iBTfHtqgHYq_ItVrCk</f>
        <v>#NAME?</v>
      </c>
      <c r="D9769" t="s">
        <v>239</v>
      </c>
      <c r="E9769">
        <v>0.33800000000000002</v>
      </c>
      <c r="F9769" t="s">
        <v>21</v>
      </c>
      <c r="G9769" t="s">
        <v>26</v>
      </c>
      <c r="H9769" t="s">
        <v>21</v>
      </c>
      <c r="I9769" t="s">
        <v>20</v>
      </c>
      <c r="J9769" t="s">
        <v>20</v>
      </c>
      <c r="K9769" t="s">
        <v>41</v>
      </c>
      <c r="L9769" t="s">
        <v>181</v>
      </c>
      <c r="M9769" t="s">
        <v>178</v>
      </c>
      <c r="N9769">
        <v>41.617641999999996</v>
      </c>
      <c r="O9769">
        <v>-112.366519</v>
      </c>
      <c r="P9769">
        <v>4213.0384949999998</v>
      </c>
      <c r="Q9769">
        <v>1392</v>
      </c>
      <c r="R9769">
        <v>0</v>
      </c>
    </row>
    <row r="9770" spans="1:18" x14ac:dyDescent="0.25">
      <c r="A9770">
        <v>9619</v>
      </c>
      <c r="B9770">
        <v>94</v>
      </c>
      <c r="C9770">
        <v>31410549</v>
      </c>
      <c r="D9770" t="s">
        <v>129</v>
      </c>
      <c r="E9770">
        <v>0.33900000000000002</v>
      </c>
      <c r="F9770" t="s">
        <v>21</v>
      </c>
      <c r="G9770" t="s">
        <v>26</v>
      </c>
      <c r="H9770" t="s">
        <v>21</v>
      </c>
      <c r="I9770" t="s">
        <v>20</v>
      </c>
      <c r="J9770" t="s">
        <v>20</v>
      </c>
      <c r="K9770" t="s">
        <v>31</v>
      </c>
      <c r="L9770" t="s">
        <v>130</v>
      </c>
      <c r="M9770" t="s">
        <v>131</v>
      </c>
      <c r="N9770">
        <v>40.643166999999998</v>
      </c>
      <c r="O9770">
        <v>-111.274342</v>
      </c>
      <c r="P9770">
        <v>6458.0639289999999</v>
      </c>
      <c r="Q9770">
        <v>340</v>
      </c>
      <c r="R9770">
        <v>0</v>
      </c>
    </row>
    <row r="9771" spans="1:18" x14ac:dyDescent="0.25">
      <c r="A9771">
        <v>9620</v>
      </c>
      <c r="B9771">
        <v>94</v>
      </c>
      <c r="C9771">
        <v>31403042</v>
      </c>
      <c r="D9771" t="s">
        <v>30</v>
      </c>
      <c r="E9771">
        <v>0.34300000000000003</v>
      </c>
      <c r="F9771" t="s">
        <v>21</v>
      </c>
      <c r="G9771" t="s">
        <v>26</v>
      </c>
      <c r="H9771" t="s">
        <v>21</v>
      </c>
      <c r="I9771" t="s">
        <v>20</v>
      </c>
      <c r="J9771" t="s">
        <v>20</v>
      </c>
      <c r="K9771" t="s">
        <v>31</v>
      </c>
      <c r="L9771" t="s">
        <v>32</v>
      </c>
      <c r="M9771" t="s">
        <v>33</v>
      </c>
      <c r="N9771">
        <v>40.614426999999999</v>
      </c>
      <c r="O9771">
        <v>-111.788827</v>
      </c>
      <c r="P9771">
        <v>5000.4296420000001</v>
      </c>
      <c r="Q9771">
        <v>415</v>
      </c>
      <c r="R9771">
        <v>0</v>
      </c>
    </row>
    <row r="9772" spans="1:18" x14ac:dyDescent="0.25">
      <c r="A9772">
        <v>9621</v>
      </c>
      <c r="B9772">
        <v>94</v>
      </c>
      <c r="C9772">
        <v>31501862</v>
      </c>
      <c r="D9772" t="s">
        <v>150</v>
      </c>
      <c r="E9772">
        <v>0.34499999999999997</v>
      </c>
      <c r="F9772" t="s">
        <v>21</v>
      </c>
      <c r="G9772" t="s">
        <v>26</v>
      </c>
      <c r="H9772" t="s">
        <v>21</v>
      </c>
      <c r="I9772" t="s">
        <v>20</v>
      </c>
      <c r="J9772" t="s">
        <v>20</v>
      </c>
      <c r="K9772" t="s">
        <v>27</v>
      </c>
      <c r="L9772" t="s">
        <v>151</v>
      </c>
      <c r="M9772" t="s">
        <v>152</v>
      </c>
      <c r="N9772">
        <v>38.994191000000001</v>
      </c>
      <c r="O9772">
        <v>-110.185281</v>
      </c>
      <c r="P9772">
        <v>4047.059698</v>
      </c>
      <c r="Q9772">
        <v>1336</v>
      </c>
      <c r="R9772">
        <v>0</v>
      </c>
    </row>
    <row r="9773" spans="1:18" x14ac:dyDescent="0.25">
      <c r="A9773">
        <v>9622</v>
      </c>
      <c r="B9773">
        <v>94</v>
      </c>
      <c r="C9773">
        <v>31758860</v>
      </c>
      <c r="D9773" t="s">
        <v>77</v>
      </c>
      <c r="E9773">
        <v>0.34699999999999998</v>
      </c>
      <c r="F9773" t="s">
        <v>21</v>
      </c>
      <c r="G9773" t="s">
        <v>26</v>
      </c>
      <c r="H9773" t="s">
        <v>21</v>
      </c>
      <c r="I9773" t="s">
        <v>20</v>
      </c>
      <c r="J9773" t="s">
        <v>20</v>
      </c>
      <c r="K9773" t="s">
        <v>31</v>
      </c>
      <c r="L9773" t="s">
        <v>48</v>
      </c>
      <c r="M9773" t="s">
        <v>79</v>
      </c>
      <c r="N9773">
        <v>40.643621000000003</v>
      </c>
      <c r="O9773">
        <v>-112.024597</v>
      </c>
      <c r="P9773">
        <v>4761.7870480000001</v>
      </c>
      <c r="Q9773">
        <v>1436</v>
      </c>
      <c r="R9773">
        <v>0</v>
      </c>
    </row>
    <row r="9774" spans="1:18" x14ac:dyDescent="0.25">
      <c r="A9774">
        <v>9623</v>
      </c>
      <c r="B9774">
        <v>94</v>
      </c>
      <c r="C9774">
        <v>31663112</v>
      </c>
      <c r="D9774" t="s">
        <v>170</v>
      </c>
      <c r="E9774">
        <v>0.34899999999999998</v>
      </c>
      <c r="F9774" t="s">
        <v>21</v>
      </c>
      <c r="G9774" t="s">
        <v>361</v>
      </c>
      <c r="H9774" t="s">
        <v>21</v>
      </c>
      <c r="I9774" t="s">
        <v>20</v>
      </c>
      <c r="J9774" t="s">
        <v>20</v>
      </c>
      <c r="K9774" t="s">
        <v>41</v>
      </c>
      <c r="L9774" t="s">
        <v>81</v>
      </c>
      <c r="M9774" t="s">
        <v>82</v>
      </c>
      <c r="N9774">
        <v>41.193219999999997</v>
      </c>
      <c r="O9774">
        <v>-111.947847</v>
      </c>
      <c r="P9774">
        <v>4555.728599</v>
      </c>
      <c r="Q9774">
        <v>1284</v>
      </c>
      <c r="R9774">
        <v>0</v>
      </c>
    </row>
    <row r="9775" spans="1:18" x14ac:dyDescent="0.25">
      <c r="A9775">
        <v>9624</v>
      </c>
      <c r="B9775">
        <v>94</v>
      </c>
      <c r="C9775">
        <v>31815273</v>
      </c>
      <c r="D9775" t="s">
        <v>351</v>
      </c>
      <c r="E9775">
        <v>0.26</v>
      </c>
      <c r="F9775" t="s">
        <v>21</v>
      </c>
      <c r="G9775" t="s">
        <v>26</v>
      </c>
      <c r="H9775" t="s">
        <v>21</v>
      </c>
      <c r="I9775" t="s">
        <v>20</v>
      </c>
      <c r="J9775" t="s">
        <v>20</v>
      </c>
      <c r="K9775" t="s">
        <v>22</v>
      </c>
      <c r="L9775" t="s">
        <v>140</v>
      </c>
      <c r="M9775" t="s">
        <v>125</v>
      </c>
      <c r="N9775">
        <v>40.118516</v>
      </c>
      <c r="O9775">
        <v>-111.63313599999999</v>
      </c>
      <c r="P9775">
        <v>4576.0687690000004</v>
      </c>
      <c r="Q9775">
        <v>1357</v>
      </c>
      <c r="R9775">
        <v>0</v>
      </c>
    </row>
    <row r="9776" spans="1:18" x14ac:dyDescent="0.25">
      <c r="A9776">
        <v>9625</v>
      </c>
      <c r="B9776">
        <v>94</v>
      </c>
      <c r="C9776">
        <v>27926184</v>
      </c>
      <c r="D9776" t="s">
        <v>59</v>
      </c>
      <c r="E9776">
        <v>0.61899999999999999</v>
      </c>
      <c r="F9776" t="s">
        <v>19</v>
      </c>
      <c r="G9776" t="s">
        <v>20</v>
      </c>
      <c r="H9776" t="s">
        <v>21</v>
      </c>
      <c r="I9776" t="s">
        <v>20</v>
      </c>
      <c r="J9776" t="s">
        <v>20</v>
      </c>
      <c r="K9776" t="s">
        <v>22</v>
      </c>
      <c r="L9776" t="s">
        <v>60</v>
      </c>
      <c r="M9776" t="s">
        <v>24</v>
      </c>
      <c r="N9776">
        <v>40.311906999999998</v>
      </c>
      <c r="O9776">
        <v>-111.722883</v>
      </c>
      <c r="P9776">
        <v>4619.4330209999998</v>
      </c>
      <c r="Q9776">
        <v>313</v>
      </c>
      <c r="R9776">
        <v>0</v>
      </c>
    </row>
    <row r="9777" spans="1:18" x14ac:dyDescent="0.25">
      <c r="A9777">
        <v>9626</v>
      </c>
      <c r="B9777">
        <v>94</v>
      </c>
      <c r="C9777">
        <v>31390917</v>
      </c>
      <c r="D9777" t="s">
        <v>124</v>
      </c>
      <c r="E9777">
        <v>0.62</v>
      </c>
      <c r="F9777" t="s">
        <v>21</v>
      </c>
      <c r="G9777" t="s">
        <v>26</v>
      </c>
      <c r="H9777" t="s">
        <v>21</v>
      </c>
      <c r="I9777" t="s">
        <v>20</v>
      </c>
      <c r="J9777" t="s">
        <v>20</v>
      </c>
      <c r="K9777" t="s">
        <v>22</v>
      </c>
      <c r="L9777" t="s">
        <v>193</v>
      </c>
      <c r="M9777" t="s">
        <v>194</v>
      </c>
      <c r="N9777">
        <v>39.960971999999998</v>
      </c>
      <c r="O9777">
        <v>-111.956457</v>
      </c>
      <c r="P9777">
        <v>4619.9056419999997</v>
      </c>
      <c r="Q9777">
        <v>1368</v>
      </c>
      <c r="R9777">
        <v>0</v>
      </c>
    </row>
    <row r="9778" spans="1:18" x14ac:dyDescent="0.25">
      <c r="A9778">
        <v>9627</v>
      </c>
      <c r="B9778">
        <v>94</v>
      </c>
      <c r="C9778">
        <v>1620566</v>
      </c>
      <c r="D9778" t="s">
        <v>180</v>
      </c>
      <c r="E9778">
        <v>0.621</v>
      </c>
      <c r="F9778" t="s">
        <v>21</v>
      </c>
      <c r="G9778" t="s">
        <v>26</v>
      </c>
      <c r="H9778" t="s">
        <v>21</v>
      </c>
      <c r="I9778" t="s">
        <v>20</v>
      </c>
      <c r="J9778" t="s">
        <v>20</v>
      </c>
      <c r="K9778" t="s">
        <v>41</v>
      </c>
      <c r="L9778" t="s">
        <v>181</v>
      </c>
      <c r="M9778" t="s">
        <v>117</v>
      </c>
      <c r="N9778">
        <v>41.720951999999997</v>
      </c>
      <c r="O9778">
        <v>-112.162052</v>
      </c>
      <c r="P9778">
        <v>4274.2009360000002</v>
      </c>
      <c r="Q9778">
        <v>1379</v>
      </c>
      <c r="R9778">
        <v>0</v>
      </c>
    </row>
    <row r="9779" spans="1:18" x14ac:dyDescent="0.25">
      <c r="A9779">
        <v>9628</v>
      </c>
      <c r="B9779">
        <v>94</v>
      </c>
      <c r="C9779">
        <v>31835123</v>
      </c>
      <c r="D9779" t="s">
        <v>161</v>
      </c>
      <c r="E9779">
        <v>0.622</v>
      </c>
      <c r="F9779" t="s">
        <v>21</v>
      </c>
      <c r="G9779" t="s">
        <v>26</v>
      </c>
      <c r="H9779" t="s">
        <v>21</v>
      </c>
      <c r="I9779" t="s">
        <v>20</v>
      </c>
      <c r="J9779" t="s">
        <v>20</v>
      </c>
      <c r="K9779" t="s">
        <v>27</v>
      </c>
      <c r="L9779" t="s">
        <v>162</v>
      </c>
      <c r="M9779" t="s">
        <v>163</v>
      </c>
      <c r="N9779">
        <v>37.573500000000003</v>
      </c>
      <c r="O9779">
        <v>-113.72362800000001</v>
      </c>
      <c r="P9779">
        <v>5243.8304889999999</v>
      </c>
      <c r="Q9779">
        <v>419</v>
      </c>
      <c r="R9779">
        <v>0</v>
      </c>
    </row>
    <row r="9780" spans="1:18" x14ac:dyDescent="0.25">
      <c r="A9780">
        <v>9629</v>
      </c>
      <c r="B9780">
        <v>94</v>
      </c>
      <c r="C9780">
        <v>31188789</v>
      </c>
      <c r="D9780" t="s">
        <v>309</v>
      </c>
      <c r="E9780">
        <v>0.623</v>
      </c>
      <c r="F9780" t="s">
        <v>21</v>
      </c>
      <c r="G9780" t="s">
        <v>26</v>
      </c>
      <c r="H9780" t="s">
        <v>21</v>
      </c>
      <c r="I9780" t="s">
        <v>20</v>
      </c>
      <c r="J9780" t="s">
        <v>20</v>
      </c>
      <c r="K9780" t="s">
        <v>22</v>
      </c>
      <c r="L9780" t="s">
        <v>198</v>
      </c>
      <c r="M9780" t="s">
        <v>125</v>
      </c>
      <c r="N9780">
        <v>40.050002999999997</v>
      </c>
      <c r="O9780">
        <v>-111.78736499999999</v>
      </c>
      <c r="P9780">
        <v>4513.8542289999996</v>
      </c>
      <c r="Q9780">
        <v>339</v>
      </c>
      <c r="R9780">
        <v>0</v>
      </c>
    </row>
    <row r="9781" spans="1:18" x14ac:dyDescent="0.25">
      <c r="A9781">
        <v>9630</v>
      </c>
      <c r="B9781">
        <v>94</v>
      </c>
      <c r="C9781">
        <v>31400389</v>
      </c>
      <c r="D9781" t="s">
        <v>139</v>
      </c>
      <c r="E9781">
        <v>0.624</v>
      </c>
      <c r="F9781" t="s">
        <v>19</v>
      </c>
      <c r="G9781" t="s">
        <v>20</v>
      </c>
      <c r="H9781" t="s">
        <v>19</v>
      </c>
      <c r="I9781">
        <v>147</v>
      </c>
      <c r="J9781" t="s">
        <v>20</v>
      </c>
      <c r="K9781" t="s">
        <v>22</v>
      </c>
      <c r="L9781" t="s">
        <v>140</v>
      </c>
      <c r="M9781" t="s">
        <v>141</v>
      </c>
      <c r="N9781">
        <v>40.115012999999998</v>
      </c>
      <c r="O9781">
        <v>-111.654759</v>
      </c>
      <c r="P9781">
        <v>4518.270794</v>
      </c>
      <c r="Q9781">
        <v>342</v>
      </c>
      <c r="R9781">
        <v>0</v>
      </c>
    </row>
    <row r="9782" spans="1:18" x14ac:dyDescent="0.25">
      <c r="A9782">
        <v>9631</v>
      </c>
      <c r="B9782">
        <v>94</v>
      </c>
      <c r="C9782">
        <v>31513034</v>
      </c>
      <c r="D9782" t="s">
        <v>231</v>
      </c>
      <c r="E9782">
        <v>0.625</v>
      </c>
      <c r="F9782" t="s">
        <v>19</v>
      </c>
      <c r="G9782" t="s">
        <v>20</v>
      </c>
      <c r="H9782" t="s">
        <v>19</v>
      </c>
      <c r="I9782">
        <v>109</v>
      </c>
      <c r="J9782" t="s">
        <v>20</v>
      </c>
      <c r="K9782" t="s">
        <v>41</v>
      </c>
      <c r="L9782" t="s">
        <v>57</v>
      </c>
      <c r="M9782" t="s">
        <v>93</v>
      </c>
      <c r="N9782">
        <v>41.060200000000002</v>
      </c>
      <c r="O9782">
        <v>-111.96627599999999</v>
      </c>
      <c r="P9782">
        <v>4302.0834910000003</v>
      </c>
      <c r="Q9782">
        <v>1409</v>
      </c>
      <c r="R9782">
        <v>0</v>
      </c>
    </row>
    <row r="9783" spans="1:18" x14ac:dyDescent="0.25">
      <c r="A9783">
        <v>9632</v>
      </c>
      <c r="B9783">
        <v>94</v>
      </c>
      <c r="C9783" t="e">
        <f>-IrAz8mqI451Jtrei8rPhk</f>
        <v>#NAME?</v>
      </c>
      <c r="D9783" t="s">
        <v>92</v>
      </c>
      <c r="E9783">
        <v>0.626</v>
      </c>
      <c r="F9783" t="s">
        <v>21</v>
      </c>
      <c r="G9783" t="s">
        <v>26</v>
      </c>
      <c r="H9783" t="s">
        <v>21</v>
      </c>
      <c r="I9783" t="s">
        <v>20</v>
      </c>
      <c r="J9783" t="s">
        <v>20</v>
      </c>
      <c r="K9783" t="s">
        <v>41</v>
      </c>
      <c r="L9783" t="s">
        <v>87</v>
      </c>
      <c r="M9783" t="s">
        <v>93</v>
      </c>
      <c r="N9783">
        <v>41.079726000000001</v>
      </c>
      <c r="O9783">
        <v>-111.973495</v>
      </c>
      <c r="P9783">
        <v>4397.8276230000001</v>
      </c>
      <c r="Q9783">
        <v>252</v>
      </c>
      <c r="R9783">
        <v>0</v>
      </c>
    </row>
    <row r="9784" spans="1:18" x14ac:dyDescent="0.25">
      <c r="A9784">
        <v>9633</v>
      </c>
      <c r="B9784">
        <v>94</v>
      </c>
      <c r="C9784">
        <v>31790673</v>
      </c>
      <c r="D9784" t="s">
        <v>192</v>
      </c>
      <c r="E9784">
        <v>0.628</v>
      </c>
      <c r="F9784" t="s">
        <v>21</v>
      </c>
      <c r="G9784" t="s">
        <v>20</v>
      </c>
      <c r="H9784" t="s">
        <v>21</v>
      </c>
      <c r="I9784" t="s">
        <v>20</v>
      </c>
      <c r="J9784" t="s">
        <v>20</v>
      </c>
      <c r="K9784" t="s">
        <v>22</v>
      </c>
      <c r="L9784" t="s">
        <v>140</v>
      </c>
      <c r="M9784" t="s">
        <v>125</v>
      </c>
      <c r="N9784">
        <v>40.123783000000003</v>
      </c>
      <c r="O9784">
        <v>-111.730475</v>
      </c>
      <c r="P9784">
        <v>4460.2319349999998</v>
      </c>
      <c r="Q9784">
        <v>1375</v>
      </c>
      <c r="R9784">
        <v>0</v>
      </c>
    </row>
    <row r="9785" spans="1:18" x14ac:dyDescent="0.25">
      <c r="A9785">
        <v>9634</v>
      </c>
      <c r="B9785">
        <v>94</v>
      </c>
      <c r="C9785">
        <v>1547055</v>
      </c>
      <c r="D9785" t="s">
        <v>88</v>
      </c>
      <c r="E9785">
        <v>18.388000000000002</v>
      </c>
      <c r="F9785" t="s">
        <v>21</v>
      </c>
      <c r="G9785" t="s">
        <v>26</v>
      </c>
      <c r="H9785" t="s">
        <v>21</v>
      </c>
      <c r="I9785" t="s">
        <v>20</v>
      </c>
      <c r="J9785" t="s">
        <v>20</v>
      </c>
      <c r="K9785" t="s">
        <v>31</v>
      </c>
      <c r="L9785" t="s">
        <v>66</v>
      </c>
      <c r="M9785" t="s">
        <v>90</v>
      </c>
      <c r="N9785">
        <v>40.701492999999999</v>
      </c>
      <c r="O9785">
        <v>-111.87120400000001</v>
      </c>
      <c r="P9785">
        <v>4221.0570239999997</v>
      </c>
      <c r="Q9785">
        <v>318</v>
      </c>
      <c r="R9785">
        <v>0</v>
      </c>
    </row>
    <row r="9786" spans="1:18" x14ac:dyDescent="0.25">
      <c r="A9786">
        <v>9635</v>
      </c>
      <c r="B9786">
        <v>94</v>
      </c>
      <c r="C9786" t="e">
        <f>-JNLL8CvHIDh0ILYtwt_FV</f>
        <v>#NAME?</v>
      </c>
      <c r="D9786" t="s">
        <v>124</v>
      </c>
      <c r="E9786">
        <v>18.393000000000001</v>
      </c>
      <c r="F9786" t="s">
        <v>21</v>
      </c>
      <c r="G9786" t="s">
        <v>20</v>
      </c>
      <c r="H9786" t="s">
        <v>21</v>
      </c>
      <c r="I9786" t="s">
        <v>20</v>
      </c>
      <c r="J9786" t="s">
        <v>20</v>
      </c>
      <c r="K9786" t="s">
        <v>22</v>
      </c>
      <c r="L9786" t="s">
        <v>193</v>
      </c>
      <c r="M9786" t="s">
        <v>194</v>
      </c>
      <c r="N9786">
        <v>40.199680000000001</v>
      </c>
      <c r="O9786">
        <v>-111.900955</v>
      </c>
      <c r="P9786">
        <v>4564.7704290000001</v>
      </c>
      <c r="Q9786">
        <v>1368</v>
      </c>
      <c r="R9786">
        <v>0</v>
      </c>
    </row>
    <row r="9787" spans="1:18" x14ac:dyDescent="0.25">
      <c r="A9787">
        <v>9636</v>
      </c>
      <c r="B9787">
        <v>94</v>
      </c>
      <c r="C9787" t="e">
        <f>-IoHq_vpIcuBFRUBQR-hMV</f>
        <v>#NAME?</v>
      </c>
      <c r="D9787" t="s">
        <v>272</v>
      </c>
      <c r="E9787">
        <v>142.51900000000001</v>
      </c>
      <c r="F9787" t="s">
        <v>21</v>
      </c>
      <c r="G9787" t="s">
        <v>26</v>
      </c>
      <c r="H9787" t="s">
        <v>21</v>
      </c>
      <c r="I9787" t="s">
        <v>20</v>
      </c>
      <c r="J9787" t="s">
        <v>20</v>
      </c>
      <c r="K9787" t="s">
        <v>27</v>
      </c>
      <c r="L9787" t="s">
        <v>247</v>
      </c>
      <c r="M9787" t="s">
        <v>214</v>
      </c>
      <c r="N9787">
        <v>37.982886999999998</v>
      </c>
      <c r="O9787">
        <v>-112.39918</v>
      </c>
      <c r="P9787">
        <v>6408.8860560000003</v>
      </c>
      <c r="Q9787">
        <v>1384</v>
      </c>
      <c r="R9787">
        <v>0</v>
      </c>
    </row>
    <row r="9788" spans="1:18" x14ac:dyDescent="0.25">
      <c r="A9788">
        <v>9637</v>
      </c>
      <c r="B9788">
        <v>94</v>
      </c>
      <c r="C9788">
        <v>31831588</v>
      </c>
      <c r="D9788" t="s">
        <v>118</v>
      </c>
      <c r="E9788">
        <v>142.52099999999999</v>
      </c>
      <c r="F9788" t="s">
        <v>21</v>
      </c>
      <c r="G9788" t="s">
        <v>26</v>
      </c>
      <c r="H9788" t="s">
        <v>21</v>
      </c>
      <c r="I9788" t="s">
        <v>20</v>
      </c>
      <c r="J9788" t="s">
        <v>20</v>
      </c>
      <c r="K9788" t="s">
        <v>22</v>
      </c>
      <c r="L9788" t="s">
        <v>234</v>
      </c>
      <c r="M9788" t="s">
        <v>169</v>
      </c>
      <c r="N9788">
        <v>40.445326000000001</v>
      </c>
      <c r="O9788">
        <v>-109.55703</v>
      </c>
      <c r="P9788">
        <v>5371.5685320000002</v>
      </c>
      <c r="Q9788">
        <v>310</v>
      </c>
      <c r="R9788">
        <v>0</v>
      </c>
    </row>
    <row r="9789" spans="1:18" x14ac:dyDescent="0.25">
      <c r="A9789">
        <v>9638</v>
      </c>
      <c r="B9789">
        <v>94</v>
      </c>
      <c r="C9789">
        <v>31831599</v>
      </c>
      <c r="D9789" t="s">
        <v>118</v>
      </c>
      <c r="E9789">
        <v>142.65600000000001</v>
      </c>
      <c r="F9789" t="s">
        <v>21</v>
      </c>
      <c r="G9789" t="s">
        <v>26</v>
      </c>
      <c r="H9789" t="s">
        <v>21</v>
      </c>
      <c r="I9789" t="s">
        <v>20</v>
      </c>
      <c r="J9789" t="s">
        <v>20</v>
      </c>
      <c r="K9789" t="s">
        <v>22</v>
      </c>
      <c r="L9789" t="s">
        <v>234</v>
      </c>
      <c r="M9789" t="s">
        <v>169</v>
      </c>
      <c r="N9789">
        <v>40.446710000000003</v>
      </c>
      <c r="O9789">
        <v>-109.55519099999999</v>
      </c>
      <c r="P9789">
        <v>5358.7941840000003</v>
      </c>
      <c r="Q9789">
        <v>310</v>
      </c>
      <c r="R9789">
        <v>0</v>
      </c>
    </row>
    <row r="9790" spans="1:18" x14ac:dyDescent="0.25">
      <c r="A9790">
        <v>9639</v>
      </c>
      <c r="B9790">
        <v>94</v>
      </c>
      <c r="C9790">
        <v>31743882</v>
      </c>
      <c r="D9790" t="s">
        <v>336</v>
      </c>
      <c r="E9790">
        <v>16.844000000000001</v>
      </c>
      <c r="F9790" t="s">
        <v>21</v>
      </c>
      <c r="G9790" t="s">
        <v>20</v>
      </c>
      <c r="H9790" t="s">
        <v>21</v>
      </c>
      <c r="I9790" t="s">
        <v>20</v>
      </c>
      <c r="J9790" t="s">
        <v>20</v>
      </c>
      <c r="K9790" t="s">
        <v>31</v>
      </c>
      <c r="L9790" t="s">
        <v>32</v>
      </c>
      <c r="M9790" t="s">
        <v>33</v>
      </c>
      <c r="N9790">
        <v>40.604070999999998</v>
      </c>
      <c r="O9790">
        <v>-111.582365</v>
      </c>
      <c r="P9790">
        <v>8665.0679689999997</v>
      </c>
      <c r="Q9790">
        <v>404</v>
      </c>
      <c r="R9790">
        <v>0</v>
      </c>
    </row>
    <row r="9791" spans="1:18" x14ac:dyDescent="0.25">
      <c r="A9791">
        <v>9640</v>
      </c>
      <c r="B9791">
        <v>94</v>
      </c>
      <c r="C9791">
        <v>31743860</v>
      </c>
      <c r="D9791" t="s">
        <v>336</v>
      </c>
      <c r="E9791">
        <v>16.844000000000001</v>
      </c>
      <c r="F9791" t="s">
        <v>21</v>
      </c>
      <c r="G9791" t="s">
        <v>20</v>
      </c>
      <c r="H9791" t="s">
        <v>21</v>
      </c>
      <c r="I9791" t="s">
        <v>20</v>
      </c>
      <c r="J9791" t="s">
        <v>20</v>
      </c>
      <c r="K9791" t="s">
        <v>31</v>
      </c>
      <c r="L9791" t="s">
        <v>32</v>
      </c>
      <c r="M9791" t="s">
        <v>33</v>
      </c>
      <c r="N9791">
        <v>40.605445000000003</v>
      </c>
      <c r="O9791">
        <v>-111.581084</v>
      </c>
      <c r="P9791">
        <v>8652.7981999999993</v>
      </c>
      <c r="Q9791">
        <v>404</v>
      </c>
      <c r="R9791">
        <v>0</v>
      </c>
    </row>
    <row r="9792" spans="1:18" x14ac:dyDescent="0.25">
      <c r="A9792">
        <v>9641</v>
      </c>
      <c r="B9792">
        <v>94</v>
      </c>
      <c r="C9792">
        <v>31753932</v>
      </c>
      <c r="D9792" t="s">
        <v>231</v>
      </c>
      <c r="E9792">
        <v>16.852</v>
      </c>
      <c r="F9792" t="s">
        <v>21</v>
      </c>
      <c r="G9792" t="s">
        <v>26</v>
      </c>
      <c r="H9792" t="s">
        <v>21</v>
      </c>
      <c r="I9792" t="s">
        <v>20</v>
      </c>
      <c r="J9792" t="s">
        <v>20</v>
      </c>
      <c r="K9792" t="s">
        <v>41</v>
      </c>
      <c r="L9792" t="s">
        <v>57</v>
      </c>
      <c r="M9792" t="s">
        <v>93</v>
      </c>
      <c r="N9792">
        <v>41.279477999999997</v>
      </c>
      <c r="O9792">
        <v>-112.02806099999999</v>
      </c>
      <c r="P9792">
        <v>4189.6653850000002</v>
      </c>
      <c r="Q9792">
        <v>1409</v>
      </c>
      <c r="R9792">
        <v>0</v>
      </c>
    </row>
    <row r="9793" spans="1:18" x14ac:dyDescent="0.25">
      <c r="A9793">
        <v>9642</v>
      </c>
      <c r="B9793">
        <v>94</v>
      </c>
      <c r="C9793">
        <v>1539492</v>
      </c>
      <c r="D9793" t="s">
        <v>88</v>
      </c>
      <c r="E9793">
        <v>16.870999999999999</v>
      </c>
      <c r="F9793" t="s">
        <v>21</v>
      </c>
      <c r="G9793" t="s">
        <v>26</v>
      </c>
      <c r="H9793" t="s">
        <v>21</v>
      </c>
      <c r="I9793" t="s">
        <v>20</v>
      </c>
      <c r="J9793" t="s">
        <v>20</v>
      </c>
      <c r="K9793" t="s">
        <v>31</v>
      </c>
      <c r="L9793" t="s">
        <v>69</v>
      </c>
      <c r="M9793" t="s">
        <v>90</v>
      </c>
      <c r="N9793">
        <v>40.679516999999997</v>
      </c>
      <c r="O9793">
        <v>-111.871431</v>
      </c>
      <c r="P9793">
        <v>4241.6451870000001</v>
      </c>
      <c r="Q9793">
        <v>318</v>
      </c>
      <c r="R9793">
        <v>0</v>
      </c>
    </row>
    <row r="9794" spans="1:18" x14ac:dyDescent="0.25">
      <c r="A9794">
        <v>9643</v>
      </c>
      <c r="B9794">
        <v>94</v>
      </c>
      <c r="C9794">
        <v>28163085</v>
      </c>
      <c r="D9794" t="s">
        <v>239</v>
      </c>
      <c r="E9794">
        <v>16.904</v>
      </c>
      <c r="F9794" t="s">
        <v>21</v>
      </c>
      <c r="G9794" t="s">
        <v>26</v>
      </c>
      <c r="H9794" t="s">
        <v>21</v>
      </c>
      <c r="I9794" t="s">
        <v>20</v>
      </c>
      <c r="J9794" t="s">
        <v>20</v>
      </c>
      <c r="K9794" t="s">
        <v>41</v>
      </c>
      <c r="L9794" t="s">
        <v>181</v>
      </c>
      <c r="M9794" t="s">
        <v>178</v>
      </c>
      <c r="N9794">
        <v>41.712076000000003</v>
      </c>
      <c r="O9794">
        <v>-112.153779</v>
      </c>
      <c r="P9794">
        <v>4270.4209650000003</v>
      </c>
      <c r="Q9794">
        <v>1392</v>
      </c>
      <c r="R9794">
        <v>0</v>
      </c>
    </row>
    <row r="9795" spans="1:18" x14ac:dyDescent="0.25">
      <c r="A9795">
        <v>9644</v>
      </c>
      <c r="B9795">
        <v>94</v>
      </c>
      <c r="C9795">
        <v>31303333</v>
      </c>
      <c r="D9795" t="s">
        <v>339</v>
      </c>
      <c r="E9795">
        <v>16.904</v>
      </c>
      <c r="F9795" t="s">
        <v>21</v>
      </c>
      <c r="G9795" t="s">
        <v>26</v>
      </c>
      <c r="H9795" t="s">
        <v>21</v>
      </c>
      <c r="I9795" t="s">
        <v>20</v>
      </c>
      <c r="J9795" t="s">
        <v>20</v>
      </c>
      <c r="K9795" t="s">
        <v>41</v>
      </c>
      <c r="L9795" t="s">
        <v>95</v>
      </c>
      <c r="M9795" t="s">
        <v>73</v>
      </c>
      <c r="N9795">
        <v>41.922866999999997</v>
      </c>
      <c r="O9795">
        <v>-111.823001</v>
      </c>
      <c r="P9795">
        <v>4495.4028630000003</v>
      </c>
      <c r="Q9795">
        <v>1417</v>
      </c>
      <c r="R9795">
        <v>0</v>
      </c>
    </row>
    <row r="9796" spans="1:18" x14ac:dyDescent="0.25">
      <c r="A9796">
        <v>9645</v>
      </c>
      <c r="B9796">
        <v>94</v>
      </c>
      <c r="C9796">
        <v>1539499</v>
      </c>
      <c r="D9796" t="s">
        <v>88</v>
      </c>
      <c r="E9796">
        <v>16.904</v>
      </c>
      <c r="F9796" t="s">
        <v>21</v>
      </c>
      <c r="G9796" t="s">
        <v>26</v>
      </c>
      <c r="H9796" t="s">
        <v>21</v>
      </c>
      <c r="I9796" t="s">
        <v>20</v>
      </c>
      <c r="J9796" t="s">
        <v>20</v>
      </c>
      <c r="K9796" t="s">
        <v>31</v>
      </c>
      <c r="L9796" t="s">
        <v>69</v>
      </c>
      <c r="M9796" t="s">
        <v>90</v>
      </c>
      <c r="N9796">
        <v>40.680008999999998</v>
      </c>
      <c r="O9796">
        <v>-111.87143399999999</v>
      </c>
      <c r="P9796">
        <v>4241.0564450000002</v>
      </c>
      <c r="Q9796">
        <v>318</v>
      </c>
      <c r="R9796">
        <v>0</v>
      </c>
    </row>
    <row r="9797" spans="1:18" x14ac:dyDescent="0.25">
      <c r="A9797">
        <v>9646</v>
      </c>
      <c r="B9797">
        <v>94</v>
      </c>
      <c r="C9797">
        <v>31609528</v>
      </c>
      <c r="D9797" t="s">
        <v>50</v>
      </c>
      <c r="E9797">
        <v>16.907</v>
      </c>
      <c r="F9797" t="s">
        <v>21</v>
      </c>
      <c r="G9797" t="s">
        <v>26</v>
      </c>
      <c r="H9797" t="s">
        <v>21</v>
      </c>
      <c r="I9797" t="s">
        <v>20</v>
      </c>
      <c r="J9797" t="s">
        <v>20</v>
      </c>
      <c r="K9797" t="s">
        <v>27</v>
      </c>
      <c r="L9797" t="s">
        <v>51</v>
      </c>
      <c r="M9797" t="s">
        <v>52</v>
      </c>
      <c r="N9797">
        <v>37.678714999999997</v>
      </c>
      <c r="O9797">
        <v>-112.848112</v>
      </c>
      <c r="P9797">
        <v>10163.911704</v>
      </c>
      <c r="Q9797">
        <v>1418</v>
      </c>
      <c r="R9797">
        <v>0</v>
      </c>
    </row>
    <row r="9798" spans="1:18" x14ac:dyDescent="0.25">
      <c r="A9798">
        <v>9647</v>
      </c>
      <c r="B9798">
        <v>94</v>
      </c>
      <c r="C9798">
        <v>31712766</v>
      </c>
      <c r="D9798" t="s">
        <v>118</v>
      </c>
      <c r="E9798">
        <v>16.916</v>
      </c>
      <c r="F9798" t="s">
        <v>19</v>
      </c>
      <c r="G9798" t="s">
        <v>20</v>
      </c>
      <c r="H9798" t="s">
        <v>21</v>
      </c>
      <c r="I9798" t="s">
        <v>20</v>
      </c>
      <c r="J9798" t="s">
        <v>20</v>
      </c>
      <c r="K9798" t="s">
        <v>22</v>
      </c>
      <c r="L9798" t="s">
        <v>35</v>
      </c>
      <c r="M9798" t="s">
        <v>120</v>
      </c>
      <c r="N9798">
        <v>40.507655999999997</v>
      </c>
      <c r="O9798">
        <v>-111.413456</v>
      </c>
      <c r="P9798">
        <v>5547.0569269999996</v>
      </c>
      <c r="Q9798">
        <v>310</v>
      </c>
      <c r="R9798">
        <v>0</v>
      </c>
    </row>
    <row r="9799" spans="1:18" x14ac:dyDescent="0.25">
      <c r="A9799">
        <v>9648</v>
      </c>
      <c r="B9799">
        <v>94</v>
      </c>
      <c r="C9799">
        <v>31369895</v>
      </c>
      <c r="D9799" t="s">
        <v>199</v>
      </c>
      <c r="E9799">
        <v>1.1200000000000001</v>
      </c>
      <c r="F9799" t="s">
        <v>21</v>
      </c>
      <c r="G9799" t="s">
        <v>26</v>
      </c>
      <c r="H9799" t="s">
        <v>21</v>
      </c>
      <c r="I9799" t="s">
        <v>20</v>
      </c>
      <c r="J9799" t="s">
        <v>20</v>
      </c>
      <c r="K9799" t="s">
        <v>27</v>
      </c>
      <c r="L9799" t="s">
        <v>103</v>
      </c>
      <c r="M9799" t="s">
        <v>200</v>
      </c>
      <c r="N9799">
        <v>38.277079999999998</v>
      </c>
      <c r="O9799">
        <v>-112.620778</v>
      </c>
      <c r="P9799">
        <v>5916.1354529999999</v>
      </c>
      <c r="Q9799">
        <v>341</v>
      </c>
      <c r="R9799">
        <v>0</v>
      </c>
    </row>
    <row r="9800" spans="1:18" x14ac:dyDescent="0.25">
      <c r="A9800">
        <v>9649</v>
      </c>
      <c r="B9800">
        <v>94</v>
      </c>
      <c r="C9800" t="e">
        <f>-Ip0GalZIvesxxxwQ00_Mk</f>
        <v>#NAME?</v>
      </c>
      <c r="D9800" t="s">
        <v>154</v>
      </c>
      <c r="E9800">
        <v>1.121</v>
      </c>
      <c r="F9800" t="s">
        <v>21</v>
      </c>
      <c r="G9800" t="s">
        <v>20</v>
      </c>
      <c r="H9800" t="s">
        <v>21</v>
      </c>
      <c r="I9800" t="s">
        <v>20</v>
      </c>
      <c r="J9800" t="s">
        <v>20</v>
      </c>
      <c r="K9800" t="s">
        <v>22</v>
      </c>
      <c r="L9800" t="s">
        <v>155</v>
      </c>
      <c r="M9800" t="s">
        <v>76</v>
      </c>
      <c r="N9800">
        <v>39.821359000000001</v>
      </c>
      <c r="O9800">
        <v>-111.834902</v>
      </c>
      <c r="P9800">
        <v>5047.0754559999996</v>
      </c>
      <c r="Q9800">
        <v>1359</v>
      </c>
      <c r="R9800">
        <v>0</v>
      </c>
    </row>
    <row r="9801" spans="1:18" x14ac:dyDescent="0.25">
      <c r="A9801">
        <v>9650</v>
      </c>
      <c r="B9801">
        <v>94</v>
      </c>
      <c r="C9801">
        <v>3395766</v>
      </c>
      <c r="D9801" t="s">
        <v>86</v>
      </c>
      <c r="E9801">
        <v>1.1220000000000001</v>
      </c>
      <c r="F9801" t="s">
        <v>21</v>
      </c>
      <c r="G9801" t="s">
        <v>26</v>
      </c>
      <c r="H9801" t="s">
        <v>21</v>
      </c>
      <c r="I9801" t="s">
        <v>20</v>
      </c>
      <c r="J9801" t="s">
        <v>20</v>
      </c>
      <c r="K9801" t="s">
        <v>41</v>
      </c>
      <c r="L9801" t="s">
        <v>87</v>
      </c>
      <c r="M9801" t="s">
        <v>58</v>
      </c>
      <c r="N9801">
        <v>41.022682000000003</v>
      </c>
      <c r="O9801">
        <v>-111.926117</v>
      </c>
      <c r="P9801">
        <v>4337.3757519999999</v>
      </c>
      <c r="Q9801">
        <v>258</v>
      </c>
      <c r="R9801">
        <v>0</v>
      </c>
    </row>
    <row r="9802" spans="1:18" x14ac:dyDescent="0.25">
      <c r="A9802">
        <v>9651</v>
      </c>
      <c r="B9802">
        <v>94</v>
      </c>
      <c r="C9802">
        <v>1004059</v>
      </c>
      <c r="D9802" t="s">
        <v>171</v>
      </c>
      <c r="E9802">
        <v>0.98099999999999998</v>
      </c>
      <c r="F9802" t="s">
        <v>21</v>
      </c>
      <c r="G9802" t="s">
        <v>26</v>
      </c>
      <c r="H9802" t="s">
        <v>21</v>
      </c>
      <c r="I9802" t="s">
        <v>20</v>
      </c>
      <c r="J9802" t="s">
        <v>20</v>
      </c>
      <c r="K9802" t="s">
        <v>31</v>
      </c>
      <c r="L9802" t="s">
        <v>78</v>
      </c>
      <c r="M9802" t="s">
        <v>79</v>
      </c>
      <c r="N9802">
        <v>40.696489</v>
      </c>
      <c r="O9802">
        <v>-112.073108</v>
      </c>
      <c r="P9802">
        <v>4316.2031850000003</v>
      </c>
      <c r="Q9802">
        <v>346</v>
      </c>
      <c r="R9802">
        <v>0</v>
      </c>
    </row>
    <row r="9803" spans="1:18" x14ac:dyDescent="0.25">
      <c r="A9803">
        <v>9652</v>
      </c>
      <c r="B9803">
        <v>94</v>
      </c>
      <c r="C9803">
        <v>1092230</v>
      </c>
      <c r="D9803" t="s">
        <v>367</v>
      </c>
      <c r="E9803">
        <v>0.98099999999999998</v>
      </c>
      <c r="F9803" t="s">
        <v>21</v>
      </c>
      <c r="G9803" t="s">
        <v>26</v>
      </c>
      <c r="H9803" t="s">
        <v>21</v>
      </c>
      <c r="I9803" t="s">
        <v>20</v>
      </c>
      <c r="J9803" t="s">
        <v>20</v>
      </c>
      <c r="K9803" t="s">
        <v>41</v>
      </c>
      <c r="L9803" t="s">
        <v>177</v>
      </c>
      <c r="M9803" t="s">
        <v>368</v>
      </c>
      <c r="N9803">
        <v>41.422429000000001</v>
      </c>
      <c r="O9803">
        <v>-112.05085699999999</v>
      </c>
      <c r="P9803">
        <v>4203.6300950000004</v>
      </c>
      <c r="Q9803">
        <v>266</v>
      </c>
      <c r="R9803">
        <v>0</v>
      </c>
    </row>
    <row r="9804" spans="1:18" x14ac:dyDescent="0.25">
      <c r="A9804">
        <v>9653</v>
      </c>
      <c r="B9804">
        <v>94</v>
      </c>
      <c r="C9804">
        <v>1371777</v>
      </c>
      <c r="D9804" t="s">
        <v>437</v>
      </c>
      <c r="E9804">
        <v>0.98199999999999998</v>
      </c>
      <c r="F9804" t="s">
        <v>21</v>
      </c>
      <c r="G9804" t="s">
        <v>26</v>
      </c>
      <c r="H9804" t="s">
        <v>21</v>
      </c>
      <c r="I9804" t="s">
        <v>20</v>
      </c>
      <c r="J9804" t="s">
        <v>20</v>
      </c>
      <c r="K9804" t="s">
        <v>41</v>
      </c>
      <c r="L9804" t="s">
        <v>223</v>
      </c>
      <c r="M9804" t="s">
        <v>43</v>
      </c>
      <c r="N9804">
        <v>41.792855000000003</v>
      </c>
      <c r="O9804">
        <v>-112.115736</v>
      </c>
      <c r="P9804">
        <v>4314.0618299999996</v>
      </c>
      <c r="Q9804">
        <v>1378</v>
      </c>
      <c r="R9804">
        <v>0</v>
      </c>
    </row>
    <row r="9805" spans="1:18" x14ac:dyDescent="0.25">
      <c r="A9805">
        <v>9654</v>
      </c>
      <c r="B9805">
        <v>94</v>
      </c>
      <c r="C9805">
        <v>1107572</v>
      </c>
      <c r="D9805" t="s">
        <v>108</v>
      </c>
      <c r="E9805">
        <v>0.98199999999999998</v>
      </c>
      <c r="F9805" t="s">
        <v>19</v>
      </c>
      <c r="G9805" t="s">
        <v>20</v>
      </c>
      <c r="H9805" t="s">
        <v>21</v>
      </c>
      <c r="I9805" t="s">
        <v>20</v>
      </c>
      <c r="J9805" t="s">
        <v>20</v>
      </c>
      <c r="K9805" t="s">
        <v>41</v>
      </c>
      <c r="L9805" t="s">
        <v>81</v>
      </c>
      <c r="M9805" t="s">
        <v>93</v>
      </c>
      <c r="N9805">
        <v>41.174849000000002</v>
      </c>
      <c r="O9805">
        <v>-112.00994</v>
      </c>
      <c r="P9805">
        <v>4344.2289719999999</v>
      </c>
      <c r="Q9805">
        <v>1341</v>
      </c>
      <c r="R9805">
        <v>0</v>
      </c>
    </row>
    <row r="9806" spans="1:18" x14ac:dyDescent="0.25">
      <c r="A9806">
        <v>9655</v>
      </c>
      <c r="B9806">
        <v>94</v>
      </c>
      <c r="C9806">
        <v>31562920</v>
      </c>
      <c r="D9806" t="s">
        <v>80</v>
      </c>
      <c r="E9806">
        <v>0.98499999999999999</v>
      </c>
      <c r="F9806" t="s">
        <v>19</v>
      </c>
      <c r="G9806" t="s">
        <v>20</v>
      </c>
      <c r="H9806" t="s">
        <v>21</v>
      </c>
      <c r="I9806" t="s">
        <v>20</v>
      </c>
      <c r="J9806" t="s">
        <v>20</v>
      </c>
      <c r="K9806" t="s">
        <v>41</v>
      </c>
      <c r="L9806" t="s">
        <v>81</v>
      </c>
      <c r="M9806" t="s">
        <v>82</v>
      </c>
      <c r="N9806">
        <v>41.229334999999999</v>
      </c>
      <c r="O9806">
        <v>-112.006432</v>
      </c>
      <c r="P9806">
        <v>4219.2962109999999</v>
      </c>
      <c r="Q9806">
        <v>1393</v>
      </c>
      <c r="R9806">
        <v>0</v>
      </c>
    </row>
    <row r="9807" spans="1:18" x14ac:dyDescent="0.25">
      <c r="A9807">
        <v>9656</v>
      </c>
      <c r="B9807">
        <v>94</v>
      </c>
      <c r="C9807">
        <v>31401212</v>
      </c>
      <c r="D9807" t="s">
        <v>139</v>
      </c>
      <c r="E9807">
        <v>0.98599999999999999</v>
      </c>
      <c r="F9807" t="s">
        <v>19</v>
      </c>
      <c r="G9807" t="s">
        <v>20</v>
      </c>
      <c r="H9807" t="s">
        <v>21</v>
      </c>
      <c r="I9807" t="s">
        <v>20</v>
      </c>
      <c r="J9807" t="s">
        <v>20</v>
      </c>
      <c r="K9807" t="s">
        <v>22</v>
      </c>
      <c r="L9807" t="s">
        <v>140</v>
      </c>
      <c r="M9807" t="s">
        <v>141</v>
      </c>
      <c r="N9807">
        <v>40.120128000000001</v>
      </c>
      <c r="O9807">
        <v>-111.654718</v>
      </c>
      <c r="P9807">
        <v>4505.7228519999999</v>
      </c>
      <c r="Q9807">
        <v>342</v>
      </c>
      <c r="R9807">
        <v>0</v>
      </c>
    </row>
    <row r="9808" spans="1:18" x14ac:dyDescent="0.25">
      <c r="A9808">
        <v>9657</v>
      </c>
      <c r="B9808">
        <v>94</v>
      </c>
      <c r="C9808" t="s">
        <v>1148</v>
      </c>
      <c r="D9808" t="s">
        <v>265</v>
      </c>
      <c r="E9808">
        <v>17.210999999999999</v>
      </c>
      <c r="F9808" t="s">
        <v>21</v>
      </c>
      <c r="G9808" t="s">
        <v>20</v>
      </c>
      <c r="H9808" t="s">
        <v>21</v>
      </c>
      <c r="I9808" t="s">
        <v>20</v>
      </c>
      <c r="J9808" t="s">
        <v>20</v>
      </c>
      <c r="K9808" t="s">
        <v>27</v>
      </c>
      <c r="L9808" t="s">
        <v>266</v>
      </c>
      <c r="M9808" t="s">
        <v>267</v>
      </c>
      <c r="N9808">
        <v>38.581856000000002</v>
      </c>
      <c r="O9808">
        <v>-111.479196</v>
      </c>
      <c r="P9808">
        <v>8894.7471320000004</v>
      </c>
      <c r="Q9808">
        <v>1371</v>
      </c>
      <c r="R9808">
        <v>0</v>
      </c>
    </row>
    <row r="9809" spans="1:18" x14ac:dyDescent="0.25">
      <c r="A9809">
        <v>9658</v>
      </c>
      <c r="B9809">
        <v>94</v>
      </c>
      <c r="C9809">
        <v>31321712</v>
      </c>
      <c r="D9809" t="s">
        <v>303</v>
      </c>
      <c r="E9809">
        <v>17.221</v>
      </c>
      <c r="F9809" t="s">
        <v>21</v>
      </c>
      <c r="G9809" t="s">
        <v>26</v>
      </c>
      <c r="H9809" t="s">
        <v>21</v>
      </c>
      <c r="I9809" t="s">
        <v>20</v>
      </c>
      <c r="J9809" t="s">
        <v>20</v>
      </c>
      <c r="K9809" t="s">
        <v>27</v>
      </c>
      <c r="L9809" t="s">
        <v>72</v>
      </c>
      <c r="M9809" t="s">
        <v>73</v>
      </c>
      <c r="N9809">
        <v>37.205604999999998</v>
      </c>
      <c r="O9809">
        <v>-113.213185</v>
      </c>
      <c r="P9809">
        <v>3467.5442309999999</v>
      </c>
      <c r="Q9809">
        <v>1326</v>
      </c>
      <c r="R9809">
        <v>0</v>
      </c>
    </row>
    <row r="9810" spans="1:18" x14ac:dyDescent="0.25">
      <c r="A9810">
        <v>9659</v>
      </c>
      <c r="B9810">
        <v>94</v>
      </c>
      <c r="C9810" t="s">
        <v>1149</v>
      </c>
      <c r="D9810" t="s">
        <v>265</v>
      </c>
      <c r="E9810">
        <v>17.222000000000001</v>
      </c>
      <c r="F9810" t="s">
        <v>21</v>
      </c>
      <c r="G9810" t="s">
        <v>20</v>
      </c>
      <c r="H9810" t="s">
        <v>21</v>
      </c>
      <c r="I9810" t="s">
        <v>20</v>
      </c>
      <c r="J9810" t="s">
        <v>20</v>
      </c>
      <c r="K9810" t="s">
        <v>27</v>
      </c>
      <c r="L9810" t="s">
        <v>266</v>
      </c>
      <c r="M9810" t="s">
        <v>267</v>
      </c>
      <c r="N9810">
        <v>38.581952999999999</v>
      </c>
      <c r="O9810">
        <v>-111.47905799999999</v>
      </c>
      <c r="P9810">
        <v>8895.5980039999995</v>
      </c>
      <c r="Q9810">
        <v>1371</v>
      </c>
      <c r="R9810">
        <v>0</v>
      </c>
    </row>
    <row r="9811" spans="1:18" x14ac:dyDescent="0.25">
      <c r="A9811">
        <v>9660</v>
      </c>
      <c r="B9811">
        <v>94</v>
      </c>
      <c r="C9811">
        <v>2593315</v>
      </c>
      <c r="D9811" t="s">
        <v>176</v>
      </c>
      <c r="E9811">
        <v>17.231000000000002</v>
      </c>
      <c r="F9811" t="s">
        <v>21</v>
      </c>
      <c r="G9811" t="s">
        <v>26</v>
      </c>
      <c r="H9811" t="s">
        <v>21</v>
      </c>
      <c r="I9811" t="s">
        <v>20</v>
      </c>
      <c r="J9811" t="s">
        <v>20</v>
      </c>
      <c r="K9811" t="s">
        <v>41</v>
      </c>
      <c r="L9811" t="s">
        <v>181</v>
      </c>
      <c r="M9811" t="s">
        <v>178</v>
      </c>
      <c r="N9811">
        <v>41.669513999999999</v>
      </c>
      <c r="O9811">
        <v>-112.140899</v>
      </c>
      <c r="P9811">
        <v>4229.5634069999996</v>
      </c>
      <c r="Q9811">
        <v>1329</v>
      </c>
      <c r="R9811">
        <v>0</v>
      </c>
    </row>
    <row r="9812" spans="1:18" x14ac:dyDescent="0.25">
      <c r="A9812">
        <v>9661</v>
      </c>
      <c r="B9812">
        <v>94</v>
      </c>
      <c r="C9812" t="e">
        <f>-JMH3fNgIdyJ96Mh0QbAsk</f>
        <v>#NAME?</v>
      </c>
      <c r="D9812" t="s">
        <v>88</v>
      </c>
      <c r="E9812">
        <v>17.236999999999998</v>
      </c>
      <c r="F9812" t="s">
        <v>21</v>
      </c>
      <c r="G9812" t="s">
        <v>26</v>
      </c>
      <c r="H9812" t="s">
        <v>21</v>
      </c>
      <c r="I9812" t="s">
        <v>20</v>
      </c>
      <c r="J9812" t="s">
        <v>20</v>
      </c>
      <c r="K9812" t="s">
        <v>31</v>
      </c>
      <c r="L9812" t="s">
        <v>69</v>
      </c>
      <c r="M9812" t="s">
        <v>90</v>
      </c>
      <c r="N9812">
        <v>40.684826000000001</v>
      </c>
      <c r="O9812">
        <v>-111.871414</v>
      </c>
      <c r="P9812">
        <v>4226.6571590000003</v>
      </c>
      <c r="Q9812">
        <v>318</v>
      </c>
      <c r="R9812">
        <v>0</v>
      </c>
    </row>
    <row r="9813" spans="1:18" x14ac:dyDescent="0.25">
      <c r="A9813">
        <v>9662</v>
      </c>
      <c r="B9813">
        <v>94</v>
      </c>
      <c r="C9813">
        <v>28564246</v>
      </c>
      <c r="D9813" t="s">
        <v>323</v>
      </c>
      <c r="E9813">
        <v>17.236999999999998</v>
      </c>
      <c r="F9813" t="s">
        <v>21</v>
      </c>
      <c r="G9813" t="s">
        <v>26</v>
      </c>
      <c r="H9813" t="s">
        <v>21</v>
      </c>
      <c r="I9813" t="s">
        <v>20</v>
      </c>
      <c r="J9813" t="s">
        <v>20</v>
      </c>
      <c r="K9813" t="s">
        <v>31</v>
      </c>
      <c r="L9813" t="s">
        <v>130</v>
      </c>
      <c r="M9813" t="s">
        <v>131</v>
      </c>
      <c r="N9813">
        <v>40.706876999999999</v>
      </c>
      <c r="O9813">
        <v>-111.288062</v>
      </c>
      <c r="P9813">
        <v>6396.9278649999997</v>
      </c>
      <c r="Q9813">
        <v>1345</v>
      </c>
      <c r="R9813">
        <v>0</v>
      </c>
    </row>
    <row r="9814" spans="1:18" x14ac:dyDescent="0.25">
      <c r="A9814">
        <v>9663</v>
      </c>
      <c r="B9814">
        <v>94</v>
      </c>
      <c r="C9814">
        <v>31302986</v>
      </c>
      <c r="D9814" t="s">
        <v>116</v>
      </c>
      <c r="E9814">
        <v>17.242999999999999</v>
      </c>
      <c r="F9814" t="s">
        <v>21</v>
      </c>
      <c r="G9814" t="s">
        <v>26</v>
      </c>
      <c r="H9814" t="s">
        <v>21</v>
      </c>
      <c r="I9814" t="s">
        <v>20</v>
      </c>
      <c r="J9814" t="s">
        <v>20</v>
      </c>
      <c r="K9814" t="s">
        <v>41</v>
      </c>
      <c r="L9814" t="s">
        <v>42</v>
      </c>
      <c r="M9814" t="s">
        <v>43</v>
      </c>
      <c r="N9814">
        <v>41.61974</v>
      </c>
      <c r="O9814">
        <v>-111.93032700000001</v>
      </c>
      <c r="P9814">
        <v>4567.6552460000003</v>
      </c>
      <c r="Q9814">
        <v>324</v>
      </c>
      <c r="R9814">
        <v>0</v>
      </c>
    </row>
    <row r="9815" spans="1:18" x14ac:dyDescent="0.25">
      <c r="A9815">
        <v>9664</v>
      </c>
      <c r="B9815">
        <v>94</v>
      </c>
      <c r="C9815">
        <v>31496150</v>
      </c>
      <c r="D9815" t="s">
        <v>129</v>
      </c>
      <c r="E9815">
        <v>17.251000000000001</v>
      </c>
      <c r="F9815" t="s">
        <v>21</v>
      </c>
      <c r="G9815" t="s">
        <v>26</v>
      </c>
      <c r="H9815" t="s">
        <v>21</v>
      </c>
      <c r="I9815" t="s">
        <v>20</v>
      </c>
      <c r="J9815" t="s">
        <v>20</v>
      </c>
      <c r="K9815" t="s">
        <v>31</v>
      </c>
      <c r="L9815" t="s">
        <v>130</v>
      </c>
      <c r="M9815" t="s">
        <v>131</v>
      </c>
      <c r="N9815">
        <v>40.593304000000003</v>
      </c>
      <c r="O9815">
        <v>-111.008008</v>
      </c>
      <c r="P9815">
        <v>8024.5207309999996</v>
      </c>
      <c r="Q9815">
        <v>340</v>
      </c>
      <c r="R9815">
        <v>0</v>
      </c>
    </row>
    <row r="9816" spans="1:18" x14ac:dyDescent="0.25">
      <c r="A9816">
        <v>9665</v>
      </c>
      <c r="B9816">
        <v>94</v>
      </c>
      <c r="C9816">
        <v>28606906</v>
      </c>
      <c r="D9816" t="s">
        <v>142</v>
      </c>
      <c r="E9816">
        <v>19.577000000000002</v>
      </c>
      <c r="F9816" t="s">
        <v>21</v>
      </c>
      <c r="G9816" t="s">
        <v>26</v>
      </c>
      <c r="H9816" t="s">
        <v>21</v>
      </c>
      <c r="I9816" t="s">
        <v>20</v>
      </c>
      <c r="J9816" t="s">
        <v>20</v>
      </c>
      <c r="K9816" t="s">
        <v>27</v>
      </c>
      <c r="L9816" t="s">
        <v>143</v>
      </c>
      <c r="M9816" t="s">
        <v>106</v>
      </c>
      <c r="N9816">
        <v>38.697018</v>
      </c>
      <c r="O9816">
        <v>-113.904976</v>
      </c>
      <c r="P9816">
        <v>5852.4594340000003</v>
      </c>
      <c r="Q9816">
        <v>305</v>
      </c>
      <c r="R9816">
        <v>0</v>
      </c>
    </row>
    <row r="9817" spans="1:18" x14ac:dyDescent="0.25">
      <c r="A9817">
        <v>9666</v>
      </c>
      <c r="B9817">
        <v>94</v>
      </c>
      <c r="C9817">
        <v>31193989</v>
      </c>
      <c r="D9817" t="s">
        <v>310</v>
      </c>
      <c r="E9817">
        <v>19.597999999999999</v>
      </c>
      <c r="F9817" t="s">
        <v>21</v>
      </c>
      <c r="G9817" t="s">
        <v>26</v>
      </c>
      <c r="H9817" t="s">
        <v>21</v>
      </c>
      <c r="I9817" t="s">
        <v>20</v>
      </c>
      <c r="J9817" t="s">
        <v>20</v>
      </c>
      <c r="K9817" t="s">
        <v>31</v>
      </c>
      <c r="L9817" t="s">
        <v>285</v>
      </c>
      <c r="M9817" t="s">
        <v>206</v>
      </c>
      <c r="N9817">
        <v>40.647145000000002</v>
      </c>
      <c r="O9817">
        <v>-112.302667</v>
      </c>
      <c r="P9817">
        <v>4212.2023749999998</v>
      </c>
      <c r="Q9817">
        <v>1414</v>
      </c>
      <c r="R9817">
        <v>0</v>
      </c>
    </row>
    <row r="9818" spans="1:18" x14ac:dyDescent="0.25">
      <c r="A9818">
        <v>9667</v>
      </c>
      <c r="B9818">
        <v>94</v>
      </c>
      <c r="C9818">
        <v>31587934</v>
      </c>
      <c r="D9818" t="s">
        <v>213</v>
      </c>
      <c r="E9818">
        <v>157.00700000000001</v>
      </c>
      <c r="F9818" t="s">
        <v>21</v>
      </c>
      <c r="G9818" t="s">
        <v>26</v>
      </c>
      <c r="H9818" t="s">
        <v>21</v>
      </c>
      <c r="I9818" t="s">
        <v>20</v>
      </c>
      <c r="J9818" t="s">
        <v>20</v>
      </c>
      <c r="K9818" t="s">
        <v>22</v>
      </c>
      <c r="L9818" t="s">
        <v>198</v>
      </c>
      <c r="M9818" t="s">
        <v>214</v>
      </c>
      <c r="N9818">
        <v>39.980491999999998</v>
      </c>
      <c r="O9818">
        <v>-111.832953</v>
      </c>
      <c r="P9818">
        <v>4649.9440100000002</v>
      </c>
      <c r="Q9818">
        <v>1332</v>
      </c>
      <c r="R9818">
        <v>0</v>
      </c>
    </row>
    <row r="9819" spans="1:18" x14ac:dyDescent="0.25">
      <c r="A9819">
        <v>9668</v>
      </c>
      <c r="B9819">
        <v>94</v>
      </c>
      <c r="C9819" t="e">
        <f>-IoI1KTxGE5NX0xqGOQY8k</f>
        <v>#NAME?</v>
      </c>
      <c r="D9819" t="s">
        <v>272</v>
      </c>
      <c r="E9819">
        <v>157.04499999999999</v>
      </c>
      <c r="F9819" t="s">
        <v>21</v>
      </c>
      <c r="G9819" t="s">
        <v>26</v>
      </c>
      <c r="H9819" t="s">
        <v>21</v>
      </c>
      <c r="I9819" t="s">
        <v>20</v>
      </c>
      <c r="J9819" t="s">
        <v>20</v>
      </c>
      <c r="K9819" t="s">
        <v>27</v>
      </c>
      <c r="L9819" t="s">
        <v>64</v>
      </c>
      <c r="M9819" t="s">
        <v>214</v>
      </c>
      <c r="N9819">
        <v>38.157251000000002</v>
      </c>
      <c r="O9819">
        <v>-112.281155</v>
      </c>
      <c r="P9819">
        <v>6035.2404329999999</v>
      </c>
      <c r="Q9819">
        <v>1384</v>
      </c>
      <c r="R9819">
        <v>0</v>
      </c>
    </row>
    <row r="9820" spans="1:18" x14ac:dyDescent="0.25">
      <c r="A9820">
        <v>9669</v>
      </c>
      <c r="B9820">
        <v>94</v>
      </c>
      <c r="C9820">
        <v>31493409</v>
      </c>
      <c r="D9820" t="s">
        <v>288</v>
      </c>
      <c r="E9820">
        <v>157.10499999999999</v>
      </c>
      <c r="F9820" t="s">
        <v>21</v>
      </c>
      <c r="G9820" t="s">
        <v>26</v>
      </c>
      <c r="H9820" t="s">
        <v>21</v>
      </c>
      <c r="I9820" t="s">
        <v>20</v>
      </c>
      <c r="J9820" t="s">
        <v>20</v>
      </c>
      <c r="K9820" t="s">
        <v>27</v>
      </c>
      <c r="L9820" t="s">
        <v>38</v>
      </c>
      <c r="M9820" t="s">
        <v>147</v>
      </c>
      <c r="N9820">
        <v>38.941766999999999</v>
      </c>
      <c r="O9820">
        <v>-109.81647599999999</v>
      </c>
      <c r="P9820">
        <v>4811.0800179999997</v>
      </c>
      <c r="Q9820">
        <v>350</v>
      </c>
      <c r="R9820">
        <v>0</v>
      </c>
    </row>
    <row r="9821" spans="1:18" x14ac:dyDescent="0.25">
      <c r="A9821">
        <v>9670</v>
      </c>
      <c r="B9821">
        <v>94</v>
      </c>
      <c r="C9821">
        <v>31870303</v>
      </c>
      <c r="D9821" t="s">
        <v>118</v>
      </c>
      <c r="E9821">
        <v>157.10900000000001</v>
      </c>
      <c r="F9821" t="s">
        <v>21</v>
      </c>
      <c r="G9821" t="s">
        <v>26</v>
      </c>
      <c r="H9821" t="s">
        <v>19</v>
      </c>
      <c r="I9821">
        <v>149</v>
      </c>
      <c r="J9821" t="s">
        <v>20</v>
      </c>
      <c r="K9821" t="s">
        <v>22</v>
      </c>
      <c r="L9821" t="s">
        <v>234</v>
      </c>
      <c r="M9821" t="s">
        <v>169</v>
      </c>
      <c r="N9821">
        <v>40.36983</v>
      </c>
      <c r="O9821">
        <v>-109.345589</v>
      </c>
      <c r="P9821">
        <v>4711.5024839999996</v>
      </c>
      <c r="Q9821">
        <v>310</v>
      </c>
      <c r="R9821">
        <v>0</v>
      </c>
    </row>
    <row r="9822" spans="1:18" x14ac:dyDescent="0.25">
      <c r="A9822">
        <v>9671</v>
      </c>
      <c r="B9822">
        <v>94</v>
      </c>
      <c r="C9822">
        <v>31493420</v>
      </c>
      <c r="D9822" t="s">
        <v>288</v>
      </c>
      <c r="E9822">
        <v>157.19300000000001</v>
      </c>
      <c r="F9822" t="s">
        <v>21</v>
      </c>
      <c r="G9822" t="s">
        <v>26</v>
      </c>
      <c r="H9822" t="s">
        <v>21</v>
      </c>
      <c r="I9822" t="s">
        <v>20</v>
      </c>
      <c r="J9822" t="s">
        <v>20</v>
      </c>
      <c r="K9822" t="s">
        <v>27</v>
      </c>
      <c r="L9822" t="s">
        <v>38</v>
      </c>
      <c r="M9822" t="s">
        <v>147</v>
      </c>
      <c r="N9822">
        <v>38.943058000000001</v>
      </c>
      <c r="O9822">
        <v>-109.81679099999999</v>
      </c>
      <c r="P9822">
        <v>4817.3626640000002</v>
      </c>
      <c r="Q9822">
        <v>350</v>
      </c>
      <c r="R9822">
        <v>0</v>
      </c>
    </row>
    <row r="9823" spans="1:18" x14ac:dyDescent="0.25">
      <c r="A9823">
        <v>9672</v>
      </c>
      <c r="B9823">
        <v>94</v>
      </c>
      <c r="C9823">
        <v>31587945</v>
      </c>
      <c r="D9823" t="s">
        <v>213</v>
      </c>
      <c r="E9823">
        <v>157.27799999999999</v>
      </c>
      <c r="F9823" t="s">
        <v>21</v>
      </c>
      <c r="G9823" t="s">
        <v>26</v>
      </c>
      <c r="H9823" t="s">
        <v>21</v>
      </c>
      <c r="I9823" t="s">
        <v>20</v>
      </c>
      <c r="J9823" t="s">
        <v>20</v>
      </c>
      <c r="K9823" t="s">
        <v>22</v>
      </c>
      <c r="L9823" t="s">
        <v>198</v>
      </c>
      <c r="M9823" t="s">
        <v>214</v>
      </c>
      <c r="N9823">
        <v>39.982174999999998</v>
      </c>
      <c r="O9823">
        <v>-111.82850000000001</v>
      </c>
      <c r="P9823">
        <v>4677.7365559999998</v>
      </c>
      <c r="Q9823">
        <v>1332</v>
      </c>
      <c r="R9823">
        <v>0</v>
      </c>
    </row>
    <row r="9824" spans="1:18" x14ac:dyDescent="0.25">
      <c r="A9824">
        <v>9673</v>
      </c>
      <c r="B9824">
        <v>94</v>
      </c>
      <c r="C9824" t="s">
        <v>1150</v>
      </c>
      <c r="D9824" t="s">
        <v>272</v>
      </c>
      <c r="E9824">
        <v>157.352</v>
      </c>
      <c r="F9824" t="s">
        <v>21</v>
      </c>
      <c r="G9824" t="s">
        <v>26</v>
      </c>
      <c r="H9824" t="s">
        <v>21</v>
      </c>
      <c r="I9824" t="s">
        <v>20</v>
      </c>
      <c r="J9824" t="s">
        <v>20</v>
      </c>
      <c r="K9824" t="s">
        <v>27</v>
      </c>
      <c r="L9824" t="s">
        <v>64</v>
      </c>
      <c r="M9824" t="s">
        <v>214</v>
      </c>
      <c r="N9824">
        <v>38.161408000000002</v>
      </c>
      <c r="O9824">
        <v>-112.279534</v>
      </c>
      <c r="P9824">
        <v>6027.6717939999999</v>
      </c>
      <c r="Q9824">
        <v>1384</v>
      </c>
      <c r="R9824">
        <v>0</v>
      </c>
    </row>
    <row r="9825" spans="1:18" x14ac:dyDescent="0.25">
      <c r="A9825">
        <v>9674</v>
      </c>
      <c r="B9825">
        <v>94</v>
      </c>
      <c r="C9825">
        <v>31547450</v>
      </c>
      <c r="D9825" t="s">
        <v>320</v>
      </c>
      <c r="E9825">
        <v>157.465</v>
      </c>
      <c r="F9825" t="s">
        <v>21</v>
      </c>
      <c r="G9825" t="s">
        <v>26</v>
      </c>
      <c r="H9825" t="s">
        <v>21</v>
      </c>
      <c r="I9825" t="s">
        <v>20</v>
      </c>
      <c r="J9825" t="s">
        <v>20</v>
      </c>
      <c r="K9825" t="s">
        <v>27</v>
      </c>
      <c r="L9825" t="s">
        <v>183</v>
      </c>
      <c r="M9825" t="s">
        <v>76</v>
      </c>
      <c r="N9825">
        <v>38.955598999999999</v>
      </c>
      <c r="O9825">
        <v>-111.87858</v>
      </c>
      <c r="P9825">
        <v>5072.8335100000004</v>
      </c>
      <c r="Q9825">
        <v>1356</v>
      </c>
      <c r="R9825">
        <v>0</v>
      </c>
    </row>
    <row r="9826" spans="1:18" x14ac:dyDescent="0.25">
      <c r="A9826">
        <v>9675</v>
      </c>
      <c r="B9826">
        <v>94</v>
      </c>
      <c r="C9826">
        <v>31615112</v>
      </c>
      <c r="D9826" t="s">
        <v>213</v>
      </c>
      <c r="E9826">
        <v>177.94900000000001</v>
      </c>
      <c r="F9826" t="s">
        <v>21</v>
      </c>
      <c r="G9826" t="s">
        <v>26</v>
      </c>
      <c r="H9826" t="s">
        <v>19</v>
      </c>
      <c r="I9826">
        <v>89</v>
      </c>
      <c r="J9826" t="s">
        <v>20</v>
      </c>
      <c r="K9826" t="s">
        <v>22</v>
      </c>
      <c r="L9826" t="s">
        <v>140</v>
      </c>
      <c r="M9826" t="s">
        <v>159</v>
      </c>
      <c r="N9826">
        <v>40.082113999999997</v>
      </c>
      <c r="O9826">
        <v>-111.58750499999999</v>
      </c>
      <c r="P9826">
        <v>4783.5995089999997</v>
      </c>
      <c r="Q9826">
        <v>1332</v>
      </c>
      <c r="R9826">
        <v>0</v>
      </c>
    </row>
    <row r="9827" spans="1:18" x14ac:dyDescent="0.25">
      <c r="A9827">
        <v>9676</v>
      </c>
      <c r="B9827">
        <v>94</v>
      </c>
      <c r="C9827" t="e">
        <f>-IoIP-orHluo1N59hMeqxV</f>
        <v>#NAME?</v>
      </c>
      <c r="D9827" t="s">
        <v>272</v>
      </c>
      <c r="E9827">
        <v>178.38300000000001</v>
      </c>
      <c r="F9827" t="s">
        <v>21</v>
      </c>
      <c r="G9827" t="s">
        <v>20</v>
      </c>
      <c r="H9827" t="s">
        <v>21</v>
      </c>
      <c r="I9827" t="s">
        <v>20</v>
      </c>
      <c r="J9827" t="s">
        <v>20</v>
      </c>
      <c r="K9827" t="s">
        <v>27</v>
      </c>
      <c r="L9827" t="s">
        <v>64</v>
      </c>
      <c r="M9827" t="s">
        <v>214</v>
      </c>
      <c r="N9827">
        <v>38.439604000000003</v>
      </c>
      <c r="O9827">
        <v>-112.230082</v>
      </c>
      <c r="P9827">
        <v>5906.4634690000003</v>
      </c>
      <c r="Q9827">
        <v>1384</v>
      </c>
      <c r="R9827">
        <v>0</v>
      </c>
    </row>
    <row r="9828" spans="1:18" x14ac:dyDescent="0.25">
      <c r="A9828">
        <v>9677</v>
      </c>
      <c r="B9828">
        <v>94</v>
      </c>
      <c r="C9828" t="e">
        <f>-IpPFww_HpixVvlhtW6XvV</f>
        <v>#NAME?</v>
      </c>
      <c r="D9828" t="s">
        <v>50</v>
      </c>
      <c r="E9828">
        <v>27.695</v>
      </c>
      <c r="F9828" t="s">
        <v>21</v>
      </c>
      <c r="G9828" t="s">
        <v>20</v>
      </c>
      <c r="H9828" t="s">
        <v>21</v>
      </c>
      <c r="I9828" t="s">
        <v>20</v>
      </c>
      <c r="J9828" t="s">
        <v>20</v>
      </c>
      <c r="K9828" t="s">
        <v>27</v>
      </c>
      <c r="L9828" t="s">
        <v>51</v>
      </c>
      <c r="M9828" t="s">
        <v>52</v>
      </c>
      <c r="N9828">
        <v>37.650754999999997</v>
      </c>
      <c r="O9828">
        <v>-112.68949600000001</v>
      </c>
      <c r="P9828">
        <v>8800.8845779999992</v>
      </c>
      <c r="Q9828">
        <v>1418</v>
      </c>
      <c r="R9828">
        <v>0</v>
      </c>
    </row>
    <row r="9829" spans="1:18" x14ac:dyDescent="0.25">
      <c r="A9829">
        <v>9678</v>
      </c>
      <c r="B9829">
        <v>94</v>
      </c>
      <c r="C9829">
        <v>1396703</v>
      </c>
      <c r="D9829" t="s">
        <v>88</v>
      </c>
      <c r="E9829">
        <v>0.85</v>
      </c>
      <c r="F9829" t="s">
        <v>21</v>
      </c>
      <c r="G9829" t="s">
        <v>26</v>
      </c>
      <c r="H9829" t="s">
        <v>21</v>
      </c>
      <c r="I9829" t="s">
        <v>20</v>
      </c>
      <c r="J9829" t="s">
        <v>20</v>
      </c>
      <c r="K9829" t="s">
        <v>31</v>
      </c>
      <c r="L9829" t="s">
        <v>89</v>
      </c>
      <c r="M9829" t="s">
        <v>90</v>
      </c>
      <c r="N9829">
        <v>40.522311999999999</v>
      </c>
      <c r="O9829">
        <v>-111.967772</v>
      </c>
      <c r="P9829">
        <v>4505.8019370000002</v>
      </c>
      <c r="Q9829">
        <v>318</v>
      </c>
      <c r="R9829">
        <v>0</v>
      </c>
    </row>
    <row r="9830" spans="1:18" x14ac:dyDescent="0.25">
      <c r="A9830">
        <v>9679</v>
      </c>
      <c r="B9830">
        <v>94</v>
      </c>
      <c r="C9830">
        <v>31369862</v>
      </c>
      <c r="D9830" t="s">
        <v>199</v>
      </c>
      <c r="E9830">
        <v>0.85</v>
      </c>
      <c r="F9830" t="s">
        <v>21</v>
      </c>
      <c r="G9830" t="s">
        <v>26</v>
      </c>
      <c r="H9830" t="s">
        <v>21</v>
      </c>
      <c r="I9830" t="s">
        <v>20</v>
      </c>
      <c r="J9830" t="s">
        <v>20</v>
      </c>
      <c r="K9830" t="s">
        <v>27</v>
      </c>
      <c r="L9830" t="s">
        <v>103</v>
      </c>
      <c r="M9830" t="s">
        <v>200</v>
      </c>
      <c r="N9830">
        <v>38.277036000000003</v>
      </c>
      <c r="O9830">
        <v>-112.625721</v>
      </c>
      <c r="P9830">
        <v>5896.314085</v>
      </c>
      <c r="Q9830">
        <v>341</v>
      </c>
      <c r="R9830">
        <v>0</v>
      </c>
    </row>
    <row r="9831" spans="1:18" x14ac:dyDescent="0.25">
      <c r="A9831">
        <v>9680</v>
      </c>
      <c r="B9831">
        <v>94</v>
      </c>
      <c r="C9831" t="s">
        <v>1151</v>
      </c>
      <c r="D9831" t="s">
        <v>1152</v>
      </c>
      <c r="E9831">
        <v>0</v>
      </c>
      <c r="F9831" t="s">
        <v>21</v>
      </c>
      <c r="G9831" t="s">
        <v>26</v>
      </c>
      <c r="H9831" t="s">
        <v>21</v>
      </c>
      <c r="I9831" t="s">
        <v>20</v>
      </c>
      <c r="J9831" t="s">
        <v>20</v>
      </c>
      <c r="K9831" t="s">
        <v>22</v>
      </c>
      <c r="L9831" t="s">
        <v>198</v>
      </c>
      <c r="M9831" t="s">
        <v>365</v>
      </c>
      <c r="N9831">
        <v>39.951056000000001</v>
      </c>
      <c r="O9831">
        <v>-111.803488</v>
      </c>
      <c r="P9831">
        <v>4949.4540559999996</v>
      </c>
      <c r="Q9831">
        <v>6661</v>
      </c>
      <c r="R9831">
        <v>0</v>
      </c>
    </row>
    <row r="9832" spans="1:18" x14ac:dyDescent="0.25">
      <c r="A9832">
        <v>9681</v>
      </c>
      <c r="B9832">
        <v>94</v>
      </c>
      <c r="C9832">
        <v>31696464</v>
      </c>
      <c r="D9832" t="s">
        <v>715</v>
      </c>
      <c r="E9832">
        <v>0</v>
      </c>
      <c r="F9832" t="s">
        <v>21</v>
      </c>
      <c r="G9832" t="s">
        <v>26</v>
      </c>
      <c r="H9832" t="s">
        <v>21</v>
      </c>
      <c r="I9832" t="s">
        <v>20</v>
      </c>
      <c r="J9832" t="s">
        <v>20</v>
      </c>
      <c r="K9832" t="s">
        <v>41</v>
      </c>
      <c r="L9832" t="s">
        <v>87</v>
      </c>
      <c r="M9832" t="s">
        <v>46</v>
      </c>
      <c r="N9832">
        <v>40.973455999999999</v>
      </c>
      <c r="O9832">
        <v>-111.891845</v>
      </c>
      <c r="P9832">
        <v>4210.5481890000001</v>
      </c>
      <c r="Q9832">
        <v>1277</v>
      </c>
      <c r="R9832">
        <v>0</v>
      </c>
    </row>
    <row r="9833" spans="1:18" x14ac:dyDescent="0.25">
      <c r="A9833">
        <v>9682</v>
      </c>
      <c r="B9833">
        <v>94</v>
      </c>
      <c r="C9833">
        <v>31518843</v>
      </c>
      <c r="D9833" t="s">
        <v>148</v>
      </c>
      <c r="E9833">
        <v>0</v>
      </c>
      <c r="F9833" t="s">
        <v>21</v>
      </c>
      <c r="G9833" t="s">
        <v>26</v>
      </c>
      <c r="H9833" t="s">
        <v>19</v>
      </c>
      <c r="I9833">
        <v>32</v>
      </c>
      <c r="J9833" t="s">
        <v>20</v>
      </c>
      <c r="K9833" t="s">
        <v>31</v>
      </c>
      <c r="L9833" t="s">
        <v>149</v>
      </c>
      <c r="M9833" t="s">
        <v>131</v>
      </c>
      <c r="N9833">
        <v>40.752856999999999</v>
      </c>
      <c r="O9833">
        <v>-111.375984</v>
      </c>
      <c r="P9833">
        <v>6010.1065980000003</v>
      </c>
      <c r="Q9833">
        <v>263</v>
      </c>
      <c r="R9833">
        <v>0</v>
      </c>
    </row>
    <row r="9834" spans="1:18" x14ac:dyDescent="0.25">
      <c r="A9834">
        <v>9683</v>
      </c>
      <c r="B9834">
        <v>94</v>
      </c>
      <c r="C9834">
        <v>31642845</v>
      </c>
      <c r="D9834" t="s">
        <v>519</v>
      </c>
      <c r="E9834">
        <v>0</v>
      </c>
      <c r="F9834" t="s">
        <v>21</v>
      </c>
      <c r="G9834" t="s">
        <v>26</v>
      </c>
      <c r="H9834" t="s">
        <v>19</v>
      </c>
      <c r="I9834">
        <v>191</v>
      </c>
      <c r="J9834" t="s">
        <v>20</v>
      </c>
      <c r="K9834" t="s">
        <v>27</v>
      </c>
      <c r="L9834" t="s">
        <v>158</v>
      </c>
      <c r="M9834" t="s">
        <v>159</v>
      </c>
      <c r="N9834">
        <v>39.646850000000001</v>
      </c>
      <c r="O9834">
        <v>-110.860219</v>
      </c>
      <c r="P9834">
        <v>5632.1172479999996</v>
      </c>
      <c r="Q9834">
        <v>1415</v>
      </c>
      <c r="R9834">
        <v>0</v>
      </c>
    </row>
    <row r="9835" spans="1:18" x14ac:dyDescent="0.25">
      <c r="A9835">
        <v>9684</v>
      </c>
      <c r="B9835">
        <v>94</v>
      </c>
      <c r="C9835">
        <v>31587649</v>
      </c>
      <c r="D9835" t="s">
        <v>185</v>
      </c>
      <c r="E9835">
        <v>0</v>
      </c>
      <c r="F9835" t="s">
        <v>19</v>
      </c>
      <c r="G9835" t="s">
        <v>20</v>
      </c>
      <c r="H9835" t="s">
        <v>19</v>
      </c>
      <c r="I9835">
        <v>126</v>
      </c>
      <c r="J9835" t="s">
        <v>20</v>
      </c>
      <c r="K9835" t="s">
        <v>41</v>
      </c>
      <c r="L9835" t="s">
        <v>57</v>
      </c>
      <c r="M9835" t="s">
        <v>58</v>
      </c>
      <c r="N9835">
        <v>41.139859999999999</v>
      </c>
      <c r="O9835">
        <v>-112.026126</v>
      </c>
      <c r="P9835">
        <v>4506.9389620000002</v>
      </c>
      <c r="Q9835">
        <v>309</v>
      </c>
      <c r="R9835">
        <v>0</v>
      </c>
    </row>
    <row r="9836" spans="1:18" x14ac:dyDescent="0.25">
      <c r="A9836">
        <v>9685</v>
      </c>
      <c r="B9836">
        <v>94</v>
      </c>
      <c r="C9836">
        <v>28547586</v>
      </c>
      <c r="D9836" t="s">
        <v>1142</v>
      </c>
      <c r="E9836">
        <v>0</v>
      </c>
      <c r="F9836" t="s">
        <v>19</v>
      </c>
      <c r="G9836" t="s">
        <v>20</v>
      </c>
      <c r="H9836" t="s">
        <v>19</v>
      </c>
      <c r="I9836">
        <v>9</v>
      </c>
      <c r="J9836" t="s">
        <v>20</v>
      </c>
      <c r="K9836" t="s">
        <v>27</v>
      </c>
      <c r="L9836" t="s">
        <v>72</v>
      </c>
      <c r="M9836" t="s">
        <v>73</v>
      </c>
      <c r="N9836">
        <v>37.168292999999998</v>
      </c>
      <c r="O9836">
        <v>-113.407855</v>
      </c>
      <c r="P9836">
        <v>2819.0160770000002</v>
      </c>
      <c r="Q9836">
        <v>447</v>
      </c>
      <c r="R9836">
        <v>0</v>
      </c>
    </row>
    <row r="9837" spans="1:18" x14ac:dyDescent="0.25">
      <c r="A9837">
        <v>9686</v>
      </c>
      <c r="B9837">
        <v>94</v>
      </c>
      <c r="C9837">
        <v>31528128</v>
      </c>
      <c r="D9837" t="s">
        <v>716</v>
      </c>
      <c r="E9837">
        <v>0</v>
      </c>
      <c r="F9837" t="s">
        <v>21</v>
      </c>
      <c r="G9837" t="s">
        <v>26</v>
      </c>
      <c r="H9837" t="s">
        <v>19</v>
      </c>
      <c r="I9837">
        <v>143</v>
      </c>
      <c r="J9837" t="s">
        <v>20</v>
      </c>
      <c r="K9837" t="s">
        <v>27</v>
      </c>
      <c r="L9837" t="s">
        <v>51</v>
      </c>
      <c r="M9837" t="s">
        <v>106</v>
      </c>
      <c r="N9837">
        <v>37.842174999999997</v>
      </c>
      <c r="O9837">
        <v>-112.827609</v>
      </c>
      <c r="P9837">
        <v>5946.997316</v>
      </c>
      <c r="Q9837">
        <v>433</v>
      </c>
      <c r="R9837">
        <v>0</v>
      </c>
    </row>
    <row r="9838" spans="1:18" x14ac:dyDescent="0.25">
      <c r="A9838">
        <v>9687</v>
      </c>
      <c r="B9838">
        <v>94</v>
      </c>
      <c r="C9838">
        <v>1368409</v>
      </c>
      <c r="D9838" t="s">
        <v>437</v>
      </c>
      <c r="E9838">
        <v>0</v>
      </c>
      <c r="F9838" t="s">
        <v>21</v>
      </c>
      <c r="G9838" t="s">
        <v>26</v>
      </c>
      <c r="H9838" t="s">
        <v>19</v>
      </c>
      <c r="I9838">
        <v>30</v>
      </c>
      <c r="J9838" t="s">
        <v>20</v>
      </c>
      <c r="K9838" t="s">
        <v>41</v>
      </c>
      <c r="L9838" t="s">
        <v>223</v>
      </c>
      <c r="M9838" t="s">
        <v>43</v>
      </c>
      <c r="N9838">
        <v>41.785452999999997</v>
      </c>
      <c r="O9838">
        <v>-112.12512</v>
      </c>
      <c r="P9838">
        <v>4305.9431290000002</v>
      </c>
      <c r="Q9838">
        <v>1378</v>
      </c>
      <c r="R9838">
        <v>0</v>
      </c>
    </row>
    <row r="9839" spans="1:18" x14ac:dyDescent="0.25">
      <c r="A9839">
        <v>9688</v>
      </c>
      <c r="B9839">
        <v>94</v>
      </c>
      <c r="C9839">
        <v>31250597</v>
      </c>
      <c r="D9839" t="s">
        <v>278</v>
      </c>
      <c r="E9839">
        <v>0</v>
      </c>
      <c r="F9839" t="s">
        <v>19</v>
      </c>
      <c r="G9839" t="s">
        <v>20</v>
      </c>
      <c r="H9839" t="s">
        <v>19</v>
      </c>
      <c r="I9839">
        <v>130</v>
      </c>
      <c r="J9839" t="s">
        <v>20</v>
      </c>
      <c r="K9839" t="s">
        <v>27</v>
      </c>
      <c r="L9839" t="s">
        <v>501</v>
      </c>
      <c r="M9839" t="s">
        <v>280</v>
      </c>
      <c r="N9839">
        <v>37.677365999999999</v>
      </c>
      <c r="O9839">
        <v>-113.061763</v>
      </c>
      <c r="P9839">
        <v>5776.8816489999999</v>
      </c>
      <c r="Q9839">
        <v>1330</v>
      </c>
      <c r="R9839">
        <v>0</v>
      </c>
    </row>
    <row r="9840" spans="1:18" x14ac:dyDescent="0.25">
      <c r="A9840">
        <v>9689</v>
      </c>
      <c r="B9840">
        <v>94</v>
      </c>
      <c r="C9840" t="s">
        <v>1153</v>
      </c>
      <c r="D9840" t="s">
        <v>1154</v>
      </c>
      <c r="E9840">
        <v>0</v>
      </c>
      <c r="F9840" t="s">
        <v>21</v>
      </c>
      <c r="G9840" t="s">
        <v>26</v>
      </c>
      <c r="H9840" t="s">
        <v>21</v>
      </c>
      <c r="I9840" t="s">
        <v>20</v>
      </c>
      <c r="J9840" t="s">
        <v>20</v>
      </c>
      <c r="K9840" t="s">
        <v>31</v>
      </c>
      <c r="L9840" t="s">
        <v>373</v>
      </c>
      <c r="M9840" t="s">
        <v>123</v>
      </c>
      <c r="N9840">
        <v>40.739877</v>
      </c>
      <c r="O9840">
        <v>-113.970257</v>
      </c>
      <c r="P9840">
        <v>4162.4491090000001</v>
      </c>
      <c r="Q9840">
        <v>321</v>
      </c>
      <c r="R9840">
        <v>0</v>
      </c>
    </row>
    <row r="9841" spans="1:18" x14ac:dyDescent="0.25">
      <c r="A9841">
        <v>9690</v>
      </c>
      <c r="B9841">
        <v>94</v>
      </c>
      <c r="C9841">
        <v>31652290</v>
      </c>
      <c r="D9841" t="s">
        <v>65</v>
      </c>
      <c r="E9841">
        <v>0</v>
      </c>
      <c r="F9841" t="s">
        <v>19</v>
      </c>
      <c r="G9841" t="s">
        <v>20</v>
      </c>
      <c r="H9841" t="s">
        <v>19</v>
      </c>
      <c r="I9841">
        <v>89</v>
      </c>
      <c r="J9841" t="s">
        <v>20</v>
      </c>
      <c r="K9841" t="s">
        <v>31</v>
      </c>
      <c r="L9841" t="s">
        <v>66</v>
      </c>
      <c r="M9841" t="s">
        <v>67</v>
      </c>
      <c r="N9841">
        <v>40.794038</v>
      </c>
      <c r="O9841">
        <v>-111.90330899999999</v>
      </c>
      <c r="P9841">
        <v>4213.8173980000001</v>
      </c>
      <c r="Q9841">
        <v>402</v>
      </c>
      <c r="R9841">
        <v>0</v>
      </c>
    </row>
    <row r="9842" spans="1:18" x14ac:dyDescent="0.25">
      <c r="A9842">
        <v>9691</v>
      </c>
      <c r="B9842">
        <v>94</v>
      </c>
      <c r="C9842" t="e">
        <f>-JQPTm0OFT5nMkgkPPlKwk</f>
        <v>#NAME?</v>
      </c>
      <c r="D9842" t="s">
        <v>1155</v>
      </c>
      <c r="E9842">
        <v>0</v>
      </c>
      <c r="F9842" t="s">
        <v>21</v>
      </c>
      <c r="G9842" t="s">
        <v>26</v>
      </c>
      <c r="H9842" t="s">
        <v>21</v>
      </c>
      <c r="I9842" t="s">
        <v>20</v>
      </c>
      <c r="J9842" t="s">
        <v>20</v>
      </c>
      <c r="K9842" t="s">
        <v>27</v>
      </c>
      <c r="L9842" t="s">
        <v>165</v>
      </c>
      <c r="M9842" t="s">
        <v>365</v>
      </c>
      <c r="N9842">
        <v>38.949133000000003</v>
      </c>
      <c r="O9842">
        <v>-112.351298</v>
      </c>
      <c r="P9842">
        <v>4958.1271150000002</v>
      </c>
      <c r="Q9842">
        <v>6661</v>
      </c>
      <c r="R9842">
        <v>0</v>
      </c>
    </row>
    <row r="9843" spans="1:18" x14ac:dyDescent="0.25">
      <c r="A9843">
        <v>9692</v>
      </c>
      <c r="B9843">
        <v>94</v>
      </c>
      <c r="C9843" t="e">
        <f>-IqC_6aEGVeW7ZCdCIYZAF</f>
        <v>#NAME?</v>
      </c>
      <c r="D9843" t="s">
        <v>1156</v>
      </c>
      <c r="E9843">
        <v>0</v>
      </c>
      <c r="F9843" t="s">
        <v>21</v>
      </c>
      <c r="G9843" t="s">
        <v>26</v>
      </c>
      <c r="H9843" t="s">
        <v>21</v>
      </c>
      <c r="I9843" t="s">
        <v>20</v>
      </c>
      <c r="J9843" t="s">
        <v>20</v>
      </c>
      <c r="K9843" t="s">
        <v>27</v>
      </c>
      <c r="L9843" t="s">
        <v>72</v>
      </c>
      <c r="M9843" t="s">
        <v>125</v>
      </c>
      <c r="N9843">
        <v>37.454667999999998</v>
      </c>
      <c r="O9843">
        <v>-113.228838</v>
      </c>
      <c r="P9843">
        <v>4968.9728059999998</v>
      </c>
      <c r="Q9843">
        <v>6661</v>
      </c>
      <c r="R9843">
        <v>0</v>
      </c>
    </row>
    <row r="9844" spans="1:18" x14ac:dyDescent="0.25">
      <c r="A9844">
        <v>9693</v>
      </c>
      <c r="B9844">
        <v>94</v>
      </c>
      <c r="C9844" t="e">
        <f>-IqX3V-tIp1KOzAZJv3Kak</f>
        <v>#NAME?</v>
      </c>
      <c r="D9844" t="s">
        <v>1157</v>
      </c>
      <c r="E9844">
        <v>0</v>
      </c>
      <c r="F9844" t="s">
        <v>21</v>
      </c>
      <c r="G9844" t="s">
        <v>26</v>
      </c>
      <c r="H9844" t="s">
        <v>21</v>
      </c>
      <c r="I9844" t="s">
        <v>20</v>
      </c>
      <c r="J9844" t="s">
        <v>20</v>
      </c>
      <c r="K9844" t="s">
        <v>27</v>
      </c>
      <c r="L9844" t="s">
        <v>103</v>
      </c>
      <c r="M9844" t="s">
        <v>55</v>
      </c>
      <c r="N9844">
        <v>38.129555000000003</v>
      </c>
      <c r="O9844">
        <v>-112.62611699999999</v>
      </c>
      <c r="P9844">
        <v>6210.6510719999997</v>
      </c>
      <c r="Q9844">
        <v>1333</v>
      </c>
      <c r="R9844">
        <v>0</v>
      </c>
    </row>
    <row r="9845" spans="1:18" x14ac:dyDescent="0.25">
      <c r="A9845">
        <v>9694</v>
      </c>
      <c r="B9845">
        <v>94</v>
      </c>
      <c r="C9845">
        <v>28351612</v>
      </c>
      <c r="D9845" t="s">
        <v>323</v>
      </c>
      <c r="E9845">
        <v>0</v>
      </c>
      <c r="F9845" t="s">
        <v>19</v>
      </c>
      <c r="G9845" t="s">
        <v>20</v>
      </c>
      <c r="H9845" t="s">
        <v>19</v>
      </c>
      <c r="I9845">
        <v>40</v>
      </c>
      <c r="J9845" t="s">
        <v>20</v>
      </c>
      <c r="K9845" t="s">
        <v>22</v>
      </c>
      <c r="L9845" t="s">
        <v>35</v>
      </c>
      <c r="M9845" t="s">
        <v>131</v>
      </c>
      <c r="N9845">
        <v>40.557693999999998</v>
      </c>
      <c r="O9845">
        <v>-111.425712</v>
      </c>
      <c r="P9845">
        <v>5671.1907119999996</v>
      </c>
      <c r="Q9845">
        <v>1345</v>
      </c>
      <c r="R9845">
        <v>0</v>
      </c>
    </row>
    <row r="9846" spans="1:18" x14ac:dyDescent="0.25">
      <c r="A9846">
        <v>9695</v>
      </c>
      <c r="B9846">
        <v>94</v>
      </c>
      <c r="C9846" t="e">
        <f>-JQL7-pSF4X1mlC_SLf8tV</f>
        <v>#NAME?</v>
      </c>
      <c r="D9846" t="s">
        <v>1158</v>
      </c>
      <c r="E9846">
        <v>0</v>
      </c>
      <c r="F9846" t="s">
        <v>21</v>
      </c>
      <c r="G9846" t="s">
        <v>26</v>
      </c>
      <c r="H9846" t="s">
        <v>21</v>
      </c>
      <c r="I9846" t="s">
        <v>20</v>
      </c>
      <c r="J9846" t="s">
        <v>20</v>
      </c>
      <c r="K9846" t="s">
        <v>27</v>
      </c>
      <c r="L9846" t="s">
        <v>75</v>
      </c>
      <c r="M9846" t="s">
        <v>978</v>
      </c>
      <c r="N9846">
        <v>38.789167999999997</v>
      </c>
      <c r="O9846">
        <v>-112.08289600000001</v>
      </c>
      <c r="P9846">
        <v>5370.5234909999999</v>
      </c>
      <c r="Q9846">
        <v>1370</v>
      </c>
      <c r="R9846">
        <v>0</v>
      </c>
    </row>
    <row r="9847" spans="1:18" x14ac:dyDescent="0.25">
      <c r="A9847">
        <v>9696</v>
      </c>
      <c r="B9847">
        <v>94</v>
      </c>
      <c r="C9847">
        <v>2123176</v>
      </c>
      <c r="D9847" t="s">
        <v>332</v>
      </c>
      <c r="E9847">
        <v>0</v>
      </c>
      <c r="F9847" t="s">
        <v>19</v>
      </c>
      <c r="G9847" t="s">
        <v>20</v>
      </c>
      <c r="H9847" t="s">
        <v>19</v>
      </c>
      <c r="I9847">
        <v>138</v>
      </c>
      <c r="J9847" t="s">
        <v>20</v>
      </c>
      <c r="K9847" t="s">
        <v>31</v>
      </c>
      <c r="L9847" t="s">
        <v>282</v>
      </c>
      <c r="M9847" t="s">
        <v>206</v>
      </c>
      <c r="N9847">
        <v>40.599611000000003</v>
      </c>
      <c r="O9847">
        <v>-112.426025</v>
      </c>
      <c r="P9847">
        <v>4235.701024</v>
      </c>
      <c r="Q9847">
        <v>1399</v>
      </c>
      <c r="R9847">
        <v>0</v>
      </c>
    </row>
    <row r="9848" spans="1:18" x14ac:dyDescent="0.25">
      <c r="A9848">
        <v>9697</v>
      </c>
      <c r="B9848">
        <v>94</v>
      </c>
      <c r="C9848" t="s">
        <v>1159</v>
      </c>
      <c r="D9848" t="s">
        <v>1160</v>
      </c>
      <c r="E9848">
        <v>0</v>
      </c>
      <c r="F9848" t="s">
        <v>21</v>
      </c>
      <c r="G9848" t="s">
        <v>26</v>
      </c>
      <c r="H9848" t="s">
        <v>21</v>
      </c>
      <c r="I9848" t="s">
        <v>20</v>
      </c>
      <c r="J9848" t="s">
        <v>20</v>
      </c>
      <c r="K9848" t="s">
        <v>31</v>
      </c>
      <c r="L9848" t="s">
        <v>433</v>
      </c>
      <c r="M9848" t="s">
        <v>147</v>
      </c>
      <c r="N9848">
        <v>41.200462999999999</v>
      </c>
      <c r="O9848">
        <v>-111.107792</v>
      </c>
      <c r="P9848">
        <v>6774.936745</v>
      </c>
      <c r="Q9848">
        <v>321</v>
      </c>
      <c r="R9848">
        <v>0</v>
      </c>
    </row>
    <row r="9849" spans="1:18" x14ac:dyDescent="0.25">
      <c r="A9849">
        <v>9698</v>
      </c>
      <c r="B9849">
        <v>94</v>
      </c>
      <c r="C9849">
        <v>31749362</v>
      </c>
      <c r="D9849" t="s">
        <v>262</v>
      </c>
      <c r="E9849">
        <v>0</v>
      </c>
      <c r="F9849" t="s">
        <v>19</v>
      </c>
      <c r="G9849" t="s">
        <v>20</v>
      </c>
      <c r="H9849" t="s">
        <v>19</v>
      </c>
      <c r="I9849">
        <v>68</v>
      </c>
      <c r="J9849" t="s">
        <v>20</v>
      </c>
      <c r="K9849" t="s">
        <v>22</v>
      </c>
      <c r="L9849" t="s">
        <v>263</v>
      </c>
      <c r="M9849" t="s">
        <v>24</v>
      </c>
      <c r="N9849">
        <v>40.372812000000003</v>
      </c>
      <c r="O9849">
        <v>-111.91630499999999</v>
      </c>
      <c r="P9849">
        <v>4466.2142549999999</v>
      </c>
      <c r="Q9849">
        <v>1419</v>
      </c>
      <c r="R9849">
        <v>0</v>
      </c>
    </row>
    <row r="9850" spans="1:18" x14ac:dyDescent="0.25">
      <c r="A9850">
        <v>9699</v>
      </c>
      <c r="B9850">
        <v>94</v>
      </c>
      <c r="C9850" t="s">
        <v>1161</v>
      </c>
      <c r="D9850" t="s">
        <v>1162</v>
      </c>
      <c r="E9850">
        <v>0</v>
      </c>
      <c r="F9850" t="s">
        <v>21</v>
      </c>
      <c r="G9850" t="s">
        <v>26</v>
      </c>
      <c r="H9850" t="s">
        <v>21</v>
      </c>
      <c r="I9850" t="s">
        <v>20</v>
      </c>
      <c r="J9850" t="s">
        <v>20</v>
      </c>
      <c r="K9850" t="s">
        <v>22</v>
      </c>
      <c r="L9850" t="s">
        <v>155</v>
      </c>
      <c r="M9850" t="s">
        <v>365</v>
      </c>
      <c r="N9850">
        <v>39.436705000000003</v>
      </c>
      <c r="O9850">
        <v>-112.034071</v>
      </c>
      <c r="P9850">
        <v>4912.0103449999997</v>
      </c>
      <c r="Q9850">
        <v>6661</v>
      </c>
      <c r="R9850">
        <v>0</v>
      </c>
    </row>
    <row r="9851" spans="1:18" x14ac:dyDescent="0.25">
      <c r="A9851">
        <v>9700</v>
      </c>
      <c r="B9851">
        <v>94</v>
      </c>
      <c r="C9851" t="e">
        <f>-IqCazjNFHTX6eVC6xGUmk</f>
        <v>#NAME?</v>
      </c>
      <c r="D9851" t="s">
        <v>1163</v>
      </c>
      <c r="E9851">
        <v>0</v>
      </c>
      <c r="F9851" t="s">
        <v>21</v>
      </c>
      <c r="G9851" t="s">
        <v>361</v>
      </c>
      <c r="H9851" t="s">
        <v>21</v>
      </c>
      <c r="I9851" t="s">
        <v>20</v>
      </c>
      <c r="J9851" t="s">
        <v>20</v>
      </c>
      <c r="K9851" t="s">
        <v>27</v>
      </c>
      <c r="L9851" t="s">
        <v>400</v>
      </c>
      <c r="M9851" t="s">
        <v>365</v>
      </c>
      <c r="N9851">
        <v>38.537958000000003</v>
      </c>
      <c r="O9851">
        <v>-112.611575</v>
      </c>
      <c r="P9851">
        <v>5998.2235659999997</v>
      </c>
      <c r="Q9851">
        <v>6661</v>
      </c>
      <c r="R9851">
        <v>0</v>
      </c>
    </row>
    <row r="9852" spans="1:18" x14ac:dyDescent="0.25">
      <c r="A9852">
        <v>9701</v>
      </c>
      <c r="B9852">
        <v>94</v>
      </c>
      <c r="C9852">
        <v>31389220</v>
      </c>
      <c r="D9852" t="s">
        <v>377</v>
      </c>
      <c r="E9852">
        <v>9.8000000000000004E-2</v>
      </c>
      <c r="F9852" t="s">
        <v>19</v>
      </c>
      <c r="G9852" t="s">
        <v>20</v>
      </c>
      <c r="H9852" t="s">
        <v>21</v>
      </c>
      <c r="I9852" t="s">
        <v>20</v>
      </c>
      <c r="J9852" t="s">
        <v>20</v>
      </c>
      <c r="K9852" t="s">
        <v>22</v>
      </c>
      <c r="L9852" t="s">
        <v>84</v>
      </c>
      <c r="M9852" t="s">
        <v>24</v>
      </c>
      <c r="N9852">
        <v>40.360078999999999</v>
      </c>
      <c r="O9852">
        <v>-111.78572</v>
      </c>
      <c r="P9852">
        <v>4513.6077299999997</v>
      </c>
      <c r="Q9852">
        <v>1439</v>
      </c>
      <c r="R9852">
        <v>0</v>
      </c>
    </row>
    <row r="9853" spans="1:18" x14ac:dyDescent="0.25">
      <c r="A9853">
        <v>9702</v>
      </c>
      <c r="B9853">
        <v>94</v>
      </c>
      <c r="C9853">
        <v>31507597</v>
      </c>
      <c r="D9853" t="s">
        <v>132</v>
      </c>
      <c r="E9853">
        <v>0.24</v>
      </c>
      <c r="F9853" t="s">
        <v>21</v>
      </c>
      <c r="G9853" t="s">
        <v>26</v>
      </c>
      <c r="H9853" t="s">
        <v>21</v>
      </c>
      <c r="I9853" t="s">
        <v>20</v>
      </c>
      <c r="J9853" t="s">
        <v>20</v>
      </c>
      <c r="K9853" t="s">
        <v>22</v>
      </c>
      <c r="L9853" t="s">
        <v>133</v>
      </c>
      <c r="M9853" t="s">
        <v>134</v>
      </c>
      <c r="N9853">
        <v>40.302137000000002</v>
      </c>
      <c r="O9853">
        <v>-109.993398</v>
      </c>
      <c r="P9853">
        <v>5060.7688349999999</v>
      </c>
      <c r="Q9853">
        <v>1405</v>
      </c>
      <c r="R9853">
        <v>0</v>
      </c>
    </row>
    <row r="9854" spans="1:18" x14ac:dyDescent="0.25">
      <c r="A9854">
        <v>9703</v>
      </c>
      <c r="B9854">
        <v>94</v>
      </c>
      <c r="C9854">
        <v>31834190</v>
      </c>
      <c r="D9854" t="s">
        <v>161</v>
      </c>
      <c r="E9854">
        <v>0.24099999999999999</v>
      </c>
      <c r="F9854" t="s">
        <v>21</v>
      </c>
      <c r="G9854" t="s">
        <v>26</v>
      </c>
      <c r="H9854" t="s">
        <v>21</v>
      </c>
      <c r="I9854" t="s">
        <v>20</v>
      </c>
      <c r="J9854" t="s">
        <v>20</v>
      </c>
      <c r="K9854" t="s">
        <v>27</v>
      </c>
      <c r="L9854" t="s">
        <v>162</v>
      </c>
      <c r="M9854" t="s">
        <v>163</v>
      </c>
      <c r="N9854">
        <v>37.573444000000002</v>
      </c>
      <c r="O9854">
        <v>-113.73053299999999</v>
      </c>
      <c r="P9854">
        <v>5246.7278630000001</v>
      </c>
      <c r="Q9854">
        <v>419</v>
      </c>
      <c r="R9854">
        <v>0</v>
      </c>
    </row>
    <row r="9855" spans="1:18" x14ac:dyDescent="0.25">
      <c r="A9855">
        <v>9704</v>
      </c>
      <c r="B9855">
        <v>94</v>
      </c>
      <c r="C9855">
        <v>27941240</v>
      </c>
      <c r="D9855" t="s">
        <v>265</v>
      </c>
      <c r="E9855">
        <v>0.24199999999999999</v>
      </c>
      <c r="F9855" t="s">
        <v>21</v>
      </c>
      <c r="G9855" t="s">
        <v>26</v>
      </c>
      <c r="H9855" t="s">
        <v>21</v>
      </c>
      <c r="I9855" t="s">
        <v>20</v>
      </c>
      <c r="J9855" t="s">
        <v>20</v>
      </c>
      <c r="K9855" t="s">
        <v>27</v>
      </c>
      <c r="L9855" t="s">
        <v>266</v>
      </c>
      <c r="M9855" t="s">
        <v>267</v>
      </c>
      <c r="N9855">
        <v>38.411675000000002</v>
      </c>
      <c r="O9855">
        <v>-111.638424</v>
      </c>
      <c r="P9855">
        <v>7014.6759480000001</v>
      </c>
      <c r="Q9855">
        <v>1371</v>
      </c>
      <c r="R9855">
        <v>0</v>
      </c>
    </row>
    <row r="9856" spans="1:18" x14ac:dyDescent="0.25">
      <c r="A9856">
        <v>9705</v>
      </c>
      <c r="B9856">
        <v>94</v>
      </c>
      <c r="C9856">
        <v>31404597</v>
      </c>
      <c r="D9856" t="s">
        <v>74</v>
      </c>
      <c r="E9856">
        <v>0.24199999999999999</v>
      </c>
      <c r="F9856" t="s">
        <v>21</v>
      </c>
      <c r="G9856" t="s">
        <v>26</v>
      </c>
      <c r="H9856" t="s">
        <v>21</v>
      </c>
      <c r="I9856" t="s">
        <v>20</v>
      </c>
      <c r="J9856" t="s">
        <v>20</v>
      </c>
      <c r="K9856" t="s">
        <v>27</v>
      </c>
      <c r="L9856" t="s">
        <v>75</v>
      </c>
      <c r="M9856" t="s">
        <v>76</v>
      </c>
      <c r="N9856">
        <v>38.749986999999997</v>
      </c>
      <c r="O9856">
        <v>-112.10201000000001</v>
      </c>
      <c r="P9856">
        <v>5265.8769179999999</v>
      </c>
      <c r="Q9856">
        <v>332</v>
      </c>
      <c r="R9856">
        <v>0</v>
      </c>
    </row>
    <row r="9857" spans="1:18" x14ac:dyDescent="0.25">
      <c r="A9857">
        <v>9706</v>
      </c>
      <c r="B9857">
        <v>94</v>
      </c>
      <c r="C9857">
        <v>31386595</v>
      </c>
      <c r="D9857" t="s">
        <v>369</v>
      </c>
      <c r="E9857">
        <v>0.24299999999999999</v>
      </c>
      <c r="F9857" t="s">
        <v>19</v>
      </c>
      <c r="G9857" t="s">
        <v>20</v>
      </c>
      <c r="H9857" t="s">
        <v>21</v>
      </c>
      <c r="I9857" t="s">
        <v>20</v>
      </c>
      <c r="J9857" t="s">
        <v>20</v>
      </c>
      <c r="K9857" t="s">
        <v>22</v>
      </c>
      <c r="L9857" t="s">
        <v>198</v>
      </c>
      <c r="M9857" t="s">
        <v>76</v>
      </c>
      <c r="N9857">
        <v>40.031337000000001</v>
      </c>
      <c r="O9857">
        <v>-111.75407300000001</v>
      </c>
      <c r="P9857">
        <v>4584.6382000000003</v>
      </c>
      <c r="Q9857">
        <v>347</v>
      </c>
      <c r="R9857">
        <v>0</v>
      </c>
    </row>
    <row r="9858" spans="1:18" x14ac:dyDescent="0.25">
      <c r="A9858">
        <v>9707</v>
      </c>
      <c r="B9858">
        <v>94</v>
      </c>
      <c r="C9858" t="e">
        <f>-Iq04VLmIkLpgcqSzmIgck</f>
        <v>#NAME?</v>
      </c>
      <c r="D9858" t="s">
        <v>1164</v>
      </c>
      <c r="E9858">
        <v>0</v>
      </c>
      <c r="F9858" t="s">
        <v>21</v>
      </c>
      <c r="G9858" t="s">
        <v>26</v>
      </c>
      <c r="H9858" t="s">
        <v>21</v>
      </c>
      <c r="I9858" t="s">
        <v>20</v>
      </c>
      <c r="J9858" t="s">
        <v>20</v>
      </c>
      <c r="K9858" t="s">
        <v>41</v>
      </c>
      <c r="L9858" t="s">
        <v>291</v>
      </c>
      <c r="M9858" t="s">
        <v>368</v>
      </c>
      <c r="N9858">
        <v>41.897610999999998</v>
      </c>
      <c r="O9858">
        <v>-112.544667</v>
      </c>
      <c r="P9858">
        <v>5233.1526110000004</v>
      </c>
      <c r="Q9858">
        <v>6664</v>
      </c>
      <c r="R9858">
        <v>0</v>
      </c>
    </row>
    <row r="9859" spans="1:18" x14ac:dyDescent="0.25">
      <c r="A9859">
        <v>9708</v>
      </c>
      <c r="B9859">
        <v>94</v>
      </c>
      <c r="C9859">
        <v>28319125</v>
      </c>
      <c r="D9859" t="s">
        <v>160</v>
      </c>
      <c r="E9859">
        <v>0</v>
      </c>
      <c r="F9859" t="s">
        <v>19</v>
      </c>
      <c r="G9859" t="s">
        <v>20</v>
      </c>
      <c r="H9859" t="s">
        <v>19</v>
      </c>
      <c r="I9859">
        <v>9</v>
      </c>
      <c r="J9859" t="s">
        <v>20</v>
      </c>
      <c r="K9859" t="s">
        <v>27</v>
      </c>
      <c r="L9859" t="s">
        <v>72</v>
      </c>
      <c r="M9859" t="s">
        <v>73</v>
      </c>
      <c r="N9859">
        <v>37.210830999999999</v>
      </c>
      <c r="O9859">
        <v>-113.272195</v>
      </c>
      <c r="P9859">
        <v>3157.1353319999998</v>
      </c>
      <c r="Q9859">
        <v>1335</v>
      </c>
      <c r="R9859">
        <v>0</v>
      </c>
    </row>
    <row r="9860" spans="1:18" x14ac:dyDescent="0.25">
      <c r="A9860">
        <v>9709</v>
      </c>
      <c r="B9860">
        <v>94</v>
      </c>
      <c r="C9860">
        <v>1391953</v>
      </c>
      <c r="D9860" t="s">
        <v>88</v>
      </c>
      <c r="E9860">
        <v>0</v>
      </c>
      <c r="F9860" t="s">
        <v>19</v>
      </c>
      <c r="G9860" t="s">
        <v>20</v>
      </c>
      <c r="H9860" t="s">
        <v>19</v>
      </c>
      <c r="I9860">
        <v>154</v>
      </c>
      <c r="J9860" t="s">
        <v>20</v>
      </c>
      <c r="K9860" t="s">
        <v>31</v>
      </c>
      <c r="L9860" t="s">
        <v>89</v>
      </c>
      <c r="M9860" t="s">
        <v>90</v>
      </c>
      <c r="N9860">
        <v>40.522213000000001</v>
      </c>
      <c r="O9860">
        <v>-111.98417000000001</v>
      </c>
      <c r="P9860">
        <v>4588.146326</v>
      </c>
      <c r="Q9860">
        <v>318</v>
      </c>
      <c r="R9860">
        <v>0</v>
      </c>
    </row>
    <row r="9861" spans="1:18" x14ac:dyDescent="0.25">
      <c r="A9861">
        <v>9710</v>
      </c>
      <c r="B9861">
        <v>94</v>
      </c>
      <c r="C9861" t="e">
        <f>-JRH8cldHTyDro5P0Mspkk</f>
        <v>#NAME?</v>
      </c>
      <c r="D9861" t="s">
        <v>1165</v>
      </c>
      <c r="E9861">
        <v>0</v>
      </c>
      <c r="F9861" t="s">
        <v>21</v>
      </c>
      <c r="G9861" t="s">
        <v>26</v>
      </c>
      <c r="H9861" t="s">
        <v>21</v>
      </c>
      <c r="I9861" t="s">
        <v>20</v>
      </c>
      <c r="J9861" t="s">
        <v>20</v>
      </c>
      <c r="K9861" t="s">
        <v>27</v>
      </c>
      <c r="L9861" t="s">
        <v>242</v>
      </c>
      <c r="M9861" t="s">
        <v>978</v>
      </c>
      <c r="N9861">
        <v>38.809994000000003</v>
      </c>
      <c r="O9861">
        <v>-111.210415</v>
      </c>
      <c r="P9861">
        <v>5643.9853880000001</v>
      </c>
      <c r="Q9861">
        <v>1370</v>
      </c>
      <c r="R9861">
        <v>0</v>
      </c>
    </row>
    <row r="9862" spans="1:18" x14ac:dyDescent="0.25">
      <c r="A9862">
        <v>9711</v>
      </c>
      <c r="B9862">
        <v>94</v>
      </c>
      <c r="C9862">
        <v>31288495</v>
      </c>
      <c r="D9862" t="s">
        <v>308</v>
      </c>
      <c r="E9862">
        <v>0</v>
      </c>
      <c r="F9862" t="s">
        <v>21</v>
      </c>
      <c r="G9862" t="s">
        <v>26</v>
      </c>
      <c r="H9862" t="s">
        <v>19</v>
      </c>
      <c r="I9862">
        <v>89</v>
      </c>
      <c r="J9862" t="s">
        <v>20</v>
      </c>
      <c r="K9862" t="s">
        <v>27</v>
      </c>
      <c r="L9862" t="s">
        <v>230</v>
      </c>
      <c r="M9862" t="s">
        <v>82</v>
      </c>
      <c r="N9862">
        <v>39.634354000000002</v>
      </c>
      <c r="O9862">
        <v>-111.440966</v>
      </c>
      <c r="P9862">
        <v>5935.219607</v>
      </c>
      <c r="Q9862">
        <v>1344</v>
      </c>
      <c r="R9862">
        <v>0</v>
      </c>
    </row>
    <row r="9863" spans="1:18" x14ac:dyDescent="0.25">
      <c r="A9863">
        <v>9712</v>
      </c>
      <c r="B9863">
        <v>94</v>
      </c>
      <c r="C9863" t="e">
        <f>-IpztJQ5IWaSMB9Nkm3XaF</f>
        <v>#NAME?</v>
      </c>
      <c r="D9863" t="s">
        <v>1166</v>
      </c>
      <c r="E9863">
        <v>0</v>
      </c>
      <c r="F9863" t="s">
        <v>21</v>
      </c>
      <c r="G9863" t="s">
        <v>26</v>
      </c>
      <c r="H9863" t="s">
        <v>21</v>
      </c>
      <c r="I9863" t="s">
        <v>20</v>
      </c>
      <c r="J9863" t="s">
        <v>20</v>
      </c>
      <c r="K9863" t="s">
        <v>27</v>
      </c>
      <c r="L9863" t="s">
        <v>405</v>
      </c>
      <c r="M9863" t="s">
        <v>973</v>
      </c>
      <c r="N9863">
        <v>39.038589000000002</v>
      </c>
      <c r="O9863">
        <v>-109.28486100000001</v>
      </c>
      <c r="P9863">
        <v>4462.9582170000003</v>
      </c>
      <c r="Q9863">
        <v>6662</v>
      </c>
      <c r="R9863">
        <v>0</v>
      </c>
    </row>
    <row r="9864" spans="1:18" x14ac:dyDescent="0.25">
      <c r="A9864">
        <v>9713</v>
      </c>
      <c r="B9864">
        <v>94</v>
      </c>
      <c r="C9864">
        <v>2339031</v>
      </c>
      <c r="D9864" t="s">
        <v>113</v>
      </c>
      <c r="E9864">
        <v>0</v>
      </c>
      <c r="F9864" t="s">
        <v>19</v>
      </c>
      <c r="G9864" t="s">
        <v>20</v>
      </c>
      <c r="H9864" t="s">
        <v>19</v>
      </c>
      <c r="I9864">
        <v>26</v>
      </c>
      <c r="J9864" t="s">
        <v>20</v>
      </c>
      <c r="K9864" t="s">
        <v>41</v>
      </c>
      <c r="L9864" t="s">
        <v>87</v>
      </c>
      <c r="M9864" t="s">
        <v>58</v>
      </c>
      <c r="N9864">
        <v>41.176994999999998</v>
      </c>
      <c r="O9864">
        <v>-112.00397100000001</v>
      </c>
      <c r="P9864">
        <v>4314.6587019999997</v>
      </c>
      <c r="Q9864">
        <v>1363</v>
      </c>
      <c r="R9864">
        <v>0</v>
      </c>
    </row>
    <row r="9865" spans="1:18" x14ac:dyDescent="0.25">
      <c r="A9865">
        <v>9714</v>
      </c>
      <c r="B9865">
        <v>94</v>
      </c>
      <c r="C9865">
        <v>31193462</v>
      </c>
      <c r="D9865" t="s">
        <v>374</v>
      </c>
      <c r="E9865">
        <v>0</v>
      </c>
      <c r="F9865" t="s">
        <v>21</v>
      </c>
      <c r="G9865" t="s">
        <v>26</v>
      </c>
      <c r="H9865" t="s">
        <v>19</v>
      </c>
      <c r="I9865">
        <v>40</v>
      </c>
      <c r="J9865" t="s">
        <v>20</v>
      </c>
      <c r="K9865" t="s">
        <v>22</v>
      </c>
      <c r="L9865" t="s">
        <v>234</v>
      </c>
      <c r="M9865" t="s">
        <v>169</v>
      </c>
      <c r="N9865">
        <v>40.369835999999999</v>
      </c>
      <c r="O9865">
        <v>-109.345564</v>
      </c>
      <c r="P9865">
        <v>4711.9802559999998</v>
      </c>
      <c r="Q9865">
        <v>1422</v>
      </c>
      <c r="R9865">
        <v>0</v>
      </c>
    </row>
    <row r="9866" spans="1:18" x14ac:dyDescent="0.25">
      <c r="A9866">
        <v>9715</v>
      </c>
      <c r="B9866">
        <v>94</v>
      </c>
      <c r="C9866" t="s">
        <v>1167</v>
      </c>
      <c r="D9866" t="s">
        <v>1168</v>
      </c>
      <c r="E9866">
        <v>0</v>
      </c>
      <c r="F9866" t="s">
        <v>21</v>
      </c>
      <c r="G9866" t="s">
        <v>26</v>
      </c>
      <c r="H9866" t="s">
        <v>21</v>
      </c>
      <c r="I9866" t="s">
        <v>20</v>
      </c>
      <c r="J9866" t="s">
        <v>20</v>
      </c>
      <c r="K9866" t="s">
        <v>27</v>
      </c>
      <c r="L9866" t="s">
        <v>202</v>
      </c>
      <c r="M9866" t="s">
        <v>76</v>
      </c>
      <c r="N9866">
        <v>39.202328000000001</v>
      </c>
      <c r="O9866">
        <v>-112.173174</v>
      </c>
      <c r="P9866">
        <v>5903.456201</v>
      </c>
      <c r="Q9866">
        <v>1333</v>
      </c>
      <c r="R9866">
        <v>0</v>
      </c>
    </row>
    <row r="9867" spans="1:18" x14ac:dyDescent="0.25">
      <c r="A9867">
        <v>9716</v>
      </c>
      <c r="B9867">
        <v>94</v>
      </c>
      <c r="C9867" t="e">
        <f>-Iq3NkDtF0mUoNjVhWUaJk</f>
        <v>#NAME?</v>
      </c>
      <c r="D9867" t="s">
        <v>1169</v>
      </c>
      <c r="E9867">
        <v>0</v>
      </c>
      <c r="F9867" t="s">
        <v>21</v>
      </c>
      <c r="G9867" t="s">
        <v>26</v>
      </c>
      <c r="H9867" t="s">
        <v>21</v>
      </c>
      <c r="I9867" t="s">
        <v>20</v>
      </c>
      <c r="J9867" t="s">
        <v>20</v>
      </c>
      <c r="K9867" t="s">
        <v>31</v>
      </c>
      <c r="L9867" t="s">
        <v>285</v>
      </c>
      <c r="M9867" t="s">
        <v>123</v>
      </c>
      <c r="N9867">
        <v>40.762251999999997</v>
      </c>
      <c r="O9867">
        <v>-112.781853</v>
      </c>
      <c r="P9867">
        <v>4192.3932290000002</v>
      </c>
      <c r="Q9867">
        <v>321</v>
      </c>
      <c r="R9867">
        <v>0</v>
      </c>
    </row>
    <row r="9868" spans="1:18" x14ac:dyDescent="0.25">
      <c r="A9868">
        <v>9717</v>
      </c>
      <c r="B9868">
        <v>94</v>
      </c>
      <c r="C9868" t="e">
        <f>-JMH2nz6F7idV99bxg3JBV</f>
        <v>#NAME?</v>
      </c>
      <c r="D9868" t="s">
        <v>718</v>
      </c>
      <c r="E9868">
        <v>0</v>
      </c>
      <c r="F9868" t="s">
        <v>19</v>
      </c>
      <c r="G9868" t="s">
        <v>20</v>
      </c>
      <c r="H9868" t="s">
        <v>21</v>
      </c>
      <c r="I9868" t="s">
        <v>20</v>
      </c>
      <c r="J9868" t="s">
        <v>20</v>
      </c>
      <c r="K9868" t="s">
        <v>31</v>
      </c>
      <c r="L9868" t="s">
        <v>66</v>
      </c>
      <c r="M9868" t="s">
        <v>67</v>
      </c>
      <c r="N9868">
        <v>40.749797000000001</v>
      </c>
      <c r="O9868">
        <v>-111.89403900000001</v>
      </c>
      <c r="P9868">
        <v>4176.2526639999996</v>
      </c>
      <c r="Q9868">
        <v>1282</v>
      </c>
      <c r="R9868">
        <v>0</v>
      </c>
    </row>
    <row r="9869" spans="1:18" x14ac:dyDescent="0.25">
      <c r="A9869">
        <v>9718</v>
      </c>
      <c r="B9869">
        <v>94</v>
      </c>
      <c r="C9869" t="e">
        <f>-JQL4KRFG6attnB3yc_SwV</f>
        <v>#NAME?</v>
      </c>
      <c r="D9869" t="s">
        <v>1170</v>
      </c>
      <c r="E9869">
        <v>0</v>
      </c>
      <c r="F9869" t="s">
        <v>21</v>
      </c>
      <c r="G9869" t="s">
        <v>26</v>
      </c>
      <c r="H9869" t="s">
        <v>21</v>
      </c>
      <c r="I9869" t="s">
        <v>20</v>
      </c>
      <c r="J9869" t="s">
        <v>20</v>
      </c>
      <c r="K9869" t="s">
        <v>27</v>
      </c>
      <c r="L9869" t="s">
        <v>75</v>
      </c>
      <c r="M9869" t="s">
        <v>379</v>
      </c>
      <c r="N9869">
        <v>38.790511000000002</v>
      </c>
      <c r="O9869">
        <v>-112.083271</v>
      </c>
      <c r="P9869">
        <v>5387.1489650000003</v>
      </c>
      <c r="Q9869">
        <v>6662</v>
      </c>
      <c r="R9869">
        <v>0</v>
      </c>
    </row>
    <row r="9870" spans="1:18" x14ac:dyDescent="0.25">
      <c r="A9870">
        <v>9719</v>
      </c>
      <c r="B9870">
        <v>94</v>
      </c>
      <c r="C9870">
        <v>1091584</v>
      </c>
      <c r="D9870" t="s">
        <v>101</v>
      </c>
      <c r="E9870">
        <v>0</v>
      </c>
      <c r="F9870" t="s">
        <v>21</v>
      </c>
      <c r="G9870" t="s">
        <v>26</v>
      </c>
      <c r="H9870" t="s">
        <v>19</v>
      </c>
      <c r="I9870">
        <v>110</v>
      </c>
      <c r="J9870" t="s">
        <v>20</v>
      </c>
      <c r="K9870" t="s">
        <v>41</v>
      </c>
      <c r="L9870" t="s">
        <v>57</v>
      </c>
      <c r="M9870" t="s">
        <v>58</v>
      </c>
      <c r="N9870">
        <v>41.118082000000001</v>
      </c>
      <c r="O9870">
        <v>-112.112576</v>
      </c>
      <c r="P9870">
        <v>4179.2992780000004</v>
      </c>
      <c r="Q9870">
        <v>328</v>
      </c>
      <c r="R9870">
        <v>0</v>
      </c>
    </row>
    <row r="9871" spans="1:18" x14ac:dyDescent="0.25">
      <c r="A9871">
        <v>9720</v>
      </c>
      <c r="B9871">
        <v>94</v>
      </c>
      <c r="C9871">
        <v>31650888</v>
      </c>
      <c r="D9871" t="s">
        <v>363</v>
      </c>
      <c r="E9871">
        <v>0</v>
      </c>
      <c r="F9871" t="s">
        <v>21</v>
      </c>
      <c r="G9871" t="s">
        <v>26</v>
      </c>
      <c r="H9871" t="s">
        <v>19</v>
      </c>
      <c r="I9871">
        <v>23</v>
      </c>
      <c r="J9871" t="s">
        <v>20</v>
      </c>
      <c r="K9871" t="s">
        <v>41</v>
      </c>
      <c r="L9871" t="s">
        <v>95</v>
      </c>
      <c r="M9871" t="s">
        <v>73</v>
      </c>
      <c r="N9871">
        <v>41.860810000000001</v>
      </c>
      <c r="O9871">
        <v>-111.97841699999999</v>
      </c>
      <c r="P9871">
        <v>4489.079941</v>
      </c>
      <c r="Q9871">
        <v>356</v>
      </c>
      <c r="R9871">
        <v>0</v>
      </c>
    </row>
    <row r="9872" spans="1:18" x14ac:dyDescent="0.25">
      <c r="A9872">
        <v>9721</v>
      </c>
      <c r="B9872">
        <v>94</v>
      </c>
      <c r="C9872">
        <v>31525061</v>
      </c>
      <c r="D9872" t="s">
        <v>252</v>
      </c>
      <c r="E9872">
        <v>0</v>
      </c>
      <c r="F9872" t="s">
        <v>21</v>
      </c>
      <c r="G9872" t="s">
        <v>26</v>
      </c>
      <c r="H9872" t="s">
        <v>19</v>
      </c>
      <c r="I9872">
        <v>40</v>
      </c>
      <c r="J9872" t="s">
        <v>20</v>
      </c>
      <c r="K9872" t="s">
        <v>22</v>
      </c>
      <c r="L9872" t="s">
        <v>253</v>
      </c>
      <c r="M9872" t="s">
        <v>169</v>
      </c>
      <c r="N9872">
        <v>40.163493000000003</v>
      </c>
      <c r="O9872">
        <v>-110.412722</v>
      </c>
      <c r="P9872">
        <v>5467.3730130000004</v>
      </c>
      <c r="Q9872">
        <v>265</v>
      </c>
      <c r="R9872">
        <v>0</v>
      </c>
    </row>
    <row r="9873" spans="1:18" x14ac:dyDescent="0.25">
      <c r="A9873">
        <v>9722</v>
      </c>
      <c r="B9873">
        <v>94</v>
      </c>
      <c r="C9873">
        <v>31580210</v>
      </c>
      <c r="D9873" t="s">
        <v>145</v>
      </c>
      <c r="E9873">
        <v>0</v>
      </c>
      <c r="F9873" t="s">
        <v>19</v>
      </c>
      <c r="G9873" t="s">
        <v>20</v>
      </c>
      <c r="H9873" t="s">
        <v>19</v>
      </c>
      <c r="I9873">
        <v>191</v>
      </c>
      <c r="J9873" t="s">
        <v>20</v>
      </c>
      <c r="K9873" t="s">
        <v>27</v>
      </c>
      <c r="L9873" t="s">
        <v>146</v>
      </c>
      <c r="M9873" t="s">
        <v>147</v>
      </c>
      <c r="N9873">
        <v>37.872619999999998</v>
      </c>
      <c r="O9873">
        <v>-109.342866</v>
      </c>
      <c r="P9873">
        <v>7006.7117479999997</v>
      </c>
      <c r="Q9873">
        <v>1291</v>
      </c>
      <c r="R9873">
        <v>0</v>
      </c>
    </row>
    <row r="9874" spans="1:18" x14ac:dyDescent="0.25">
      <c r="A9874">
        <v>9723</v>
      </c>
      <c r="B9874">
        <v>94</v>
      </c>
      <c r="C9874">
        <v>31750880</v>
      </c>
      <c r="D9874" t="s">
        <v>47</v>
      </c>
      <c r="E9874">
        <v>0</v>
      </c>
      <c r="F9874" t="s">
        <v>19</v>
      </c>
      <c r="G9874" t="s">
        <v>20</v>
      </c>
      <c r="H9874" t="s">
        <v>19</v>
      </c>
      <c r="I9874">
        <v>154</v>
      </c>
      <c r="J9874" t="s">
        <v>20</v>
      </c>
      <c r="K9874" t="s">
        <v>31</v>
      </c>
      <c r="L9874" t="s">
        <v>48</v>
      </c>
      <c r="M9874" t="s">
        <v>49</v>
      </c>
      <c r="N9874">
        <v>40.544196999999997</v>
      </c>
      <c r="O9874">
        <v>-111.984239</v>
      </c>
      <c r="P9874">
        <v>4593.8625050000001</v>
      </c>
      <c r="Q9874">
        <v>6715</v>
      </c>
      <c r="R9874">
        <v>0</v>
      </c>
    </row>
    <row r="9875" spans="1:18" x14ac:dyDescent="0.25">
      <c r="A9875">
        <v>9724</v>
      </c>
      <c r="B9875">
        <v>94</v>
      </c>
      <c r="C9875">
        <v>31421084</v>
      </c>
      <c r="D9875" t="s">
        <v>288</v>
      </c>
      <c r="E9875">
        <v>76.236000000000004</v>
      </c>
      <c r="F9875" t="s">
        <v>21</v>
      </c>
      <c r="G9875" t="s">
        <v>26</v>
      </c>
      <c r="H9875" t="s">
        <v>21</v>
      </c>
      <c r="I9875" t="s">
        <v>20</v>
      </c>
      <c r="J9875" t="s">
        <v>20</v>
      </c>
      <c r="K9875" t="s">
        <v>27</v>
      </c>
      <c r="L9875" t="s">
        <v>146</v>
      </c>
      <c r="M9875" t="s">
        <v>147</v>
      </c>
      <c r="N9875">
        <v>37.935605000000002</v>
      </c>
      <c r="O9875">
        <v>-109.34613899999999</v>
      </c>
      <c r="P9875">
        <v>6928.2578780000003</v>
      </c>
      <c r="Q9875">
        <v>350</v>
      </c>
      <c r="R9875">
        <v>0</v>
      </c>
    </row>
    <row r="9876" spans="1:18" x14ac:dyDescent="0.25">
      <c r="A9876">
        <v>9725</v>
      </c>
      <c r="B9876">
        <v>94</v>
      </c>
      <c r="C9876" t="e">
        <f>-JOim5fDI8axf-PZ2UtrbV</f>
        <v>#NAME?</v>
      </c>
      <c r="D9876" t="s">
        <v>244</v>
      </c>
      <c r="E9876">
        <v>76.266000000000005</v>
      </c>
      <c r="F9876" t="s">
        <v>21</v>
      </c>
      <c r="G9876" t="s">
        <v>26</v>
      </c>
      <c r="H9876" t="s">
        <v>21</v>
      </c>
      <c r="I9876" t="s">
        <v>20</v>
      </c>
      <c r="J9876" t="s">
        <v>20</v>
      </c>
      <c r="K9876" t="s">
        <v>27</v>
      </c>
      <c r="L9876" t="s">
        <v>266</v>
      </c>
      <c r="M9876" t="s">
        <v>270</v>
      </c>
      <c r="N9876">
        <v>38.315134999999998</v>
      </c>
      <c r="O9876">
        <v>-111.30447599999999</v>
      </c>
      <c r="P9876">
        <v>5989.606683</v>
      </c>
      <c r="Q9876">
        <v>1340</v>
      </c>
      <c r="R9876">
        <v>0</v>
      </c>
    </row>
    <row r="9877" spans="1:18" x14ac:dyDescent="0.25">
      <c r="A9877">
        <v>9726</v>
      </c>
      <c r="B9877">
        <v>94</v>
      </c>
      <c r="C9877">
        <v>31769892</v>
      </c>
      <c r="D9877" t="s">
        <v>118</v>
      </c>
      <c r="E9877">
        <v>76.468000000000004</v>
      </c>
      <c r="F9877" t="s">
        <v>21</v>
      </c>
      <c r="G9877" t="s">
        <v>20</v>
      </c>
      <c r="H9877" t="s">
        <v>21</v>
      </c>
      <c r="I9877" t="s">
        <v>20</v>
      </c>
      <c r="J9877" t="s">
        <v>20</v>
      </c>
      <c r="K9877" t="s">
        <v>22</v>
      </c>
      <c r="L9877" t="s">
        <v>253</v>
      </c>
      <c r="M9877" t="s">
        <v>120</v>
      </c>
      <c r="N9877">
        <v>40.172521000000003</v>
      </c>
      <c r="O9877">
        <v>-110.58500600000001</v>
      </c>
      <c r="P9877">
        <v>6332.3203249999997</v>
      </c>
      <c r="Q9877">
        <v>310</v>
      </c>
      <c r="R9877">
        <v>0</v>
      </c>
    </row>
    <row r="9878" spans="1:18" x14ac:dyDescent="0.25">
      <c r="A9878">
        <v>9727</v>
      </c>
      <c r="B9878">
        <v>94</v>
      </c>
      <c r="C9878">
        <v>28712548</v>
      </c>
      <c r="D9878" t="s">
        <v>142</v>
      </c>
      <c r="E9878">
        <v>76.471000000000004</v>
      </c>
      <c r="F9878" t="s">
        <v>21</v>
      </c>
      <c r="G9878" t="s">
        <v>26</v>
      </c>
      <c r="H9878" t="s">
        <v>21</v>
      </c>
      <c r="I9878" t="s">
        <v>20</v>
      </c>
      <c r="J9878" t="s">
        <v>20</v>
      </c>
      <c r="K9878" t="s">
        <v>27</v>
      </c>
      <c r="L9878" t="s">
        <v>143</v>
      </c>
      <c r="M9878" t="s">
        <v>106</v>
      </c>
      <c r="N9878">
        <v>38.396990000000002</v>
      </c>
      <c r="O9878">
        <v>-113.01898199999999</v>
      </c>
      <c r="P9878">
        <v>4954.239912</v>
      </c>
      <c r="Q9878">
        <v>305</v>
      </c>
      <c r="R9878">
        <v>0</v>
      </c>
    </row>
    <row r="9879" spans="1:18" x14ac:dyDescent="0.25">
      <c r="A9879">
        <v>9728</v>
      </c>
      <c r="B9879">
        <v>94</v>
      </c>
      <c r="C9879">
        <v>28715308</v>
      </c>
      <c r="D9879" t="s">
        <v>142</v>
      </c>
      <c r="E9879">
        <v>76.534000000000006</v>
      </c>
      <c r="F9879" t="s">
        <v>21</v>
      </c>
      <c r="G9879" t="s">
        <v>26</v>
      </c>
      <c r="H9879" t="s">
        <v>21</v>
      </c>
      <c r="I9879" t="s">
        <v>20</v>
      </c>
      <c r="J9879" t="s">
        <v>20</v>
      </c>
      <c r="K9879" t="s">
        <v>27</v>
      </c>
      <c r="L9879" t="s">
        <v>143</v>
      </c>
      <c r="M9879" t="s">
        <v>106</v>
      </c>
      <c r="N9879">
        <v>38.396991999999997</v>
      </c>
      <c r="O9879">
        <v>-113.017825</v>
      </c>
      <c r="P9879">
        <v>4952.7394690000001</v>
      </c>
      <c r="Q9879">
        <v>305</v>
      </c>
      <c r="R9879">
        <v>0</v>
      </c>
    </row>
    <row r="9880" spans="1:18" x14ac:dyDescent="0.25">
      <c r="A9880">
        <v>9729</v>
      </c>
      <c r="B9880">
        <v>94</v>
      </c>
      <c r="C9880">
        <v>28718152</v>
      </c>
      <c r="D9880" t="s">
        <v>142</v>
      </c>
      <c r="E9880">
        <v>76.594999999999999</v>
      </c>
      <c r="F9880" t="s">
        <v>21</v>
      </c>
      <c r="G9880" t="s">
        <v>26</v>
      </c>
      <c r="H9880" t="s">
        <v>21</v>
      </c>
      <c r="I9880" t="s">
        <v>20</v>
      </c>
      <c r="J9880" t="s">
        <v>20</v>
      </c>
      <c r="K9880" t="s">
        <v>27</v>
      </c>
      <c r="L9880" t="s">
        <v>143</v>
      </c>
      <c r="M9880" t="s">
        <v>106</v>
      </c>
      <c r="N9880">
        <v>38.396988999999998</v>
      </c>
      <c r="O9880">
        <v>-113.016666</v>
      </c>
      <c r="P9880">
        <v>4951.3843710000001</v>
      </c>
      <c r="Q9880">
        <v>305</v>
      </c>
      <c r="R9880">
        <v>0</v>
      </c>
    </row>
    <row r="9881" spans="1:18" x14ac:dyDescent="0.25">
      <c r="A9881">
        <v>9730</v>
      </c>
      <c r="B9881">
        <v>94</v>
      </c>
      <c r="C9881">
        <v>28718186</v>
      </c>
      <c r="D9881" t="s">
        <v>142</v>
      </c>
      <c r="E9881">
        <v>76.656999999999996</v>
      </c>
      <c r="F9881" t="s">
        <v>21</v>
      </c>
      <c r="G9881" t="s">
        <v>26</v>
      </c>
      <c r="H9881" t="s">
        <v>21</v>
      </c>
      <c r="I9881" t="s">
        <v>20</v>
      </c>
      <c r="J9881" t="s">
        <v>20</v>
      </c>
      <c r="K9881" t="s">
        <v>27</v>
      </c>
      <c r="L9881" t="s">
        <v>143</v>
      </c>
      <c r="M9881" t="s">
        <v>106</v>
      </c>
      <c r="N9881">
        <v>38.396984000000003</v>
      </c>
      <c r="O9881">
        <v>-113.015536</v>
      </c>
      <c r="P9881">
        <v>4949.8578310000003</v>
      </c>
      <c r="Q9881">
        <v>305</v>
      </c>
      <c r="R9881">
        <v>0</v>
      </c>
    </row>
    <row r="9882" spans="1:18" x14ac:dyDescent="0.25">
      <c r="A9882">
        <v>9731</v>
      </c>
      <c r="B9882">
        <v>94</v>
      </c>
      <c r="C9882">
        <v>28720906</v>
      </c>
      <c r="D9882" t="s">
        <v>142</v>
      </c>
      <c r="E9882">
        <v>76.72</v>
      </c>
      <c r="F9882" t="s">
        <v>21</v>
      </c>
      <c r="G9882" t="s">
        <v>26</v>
      </c>
      <c r="H9882" t="s">
        <v>21</v>
      </c>
      <c r="I9882" t="s">
        <v>20</v>
      </c>
      <c r="J9882" t="s">
        <v>20</v>
      </c>
      <c r="K9882" t="s">
        <v>27</v>
      </c>
      <c r="L9882" t="s">
        <v>143</v>
      </c>
      <c r="M9882" t="s">
        <v>106</v>
      </c>
      <c r="N9882">
        <v>38.397032000000003</v>
      </c>
      <c r="O9882">
        <v>-113.014386</v>
      </c>
      <c r="P9882">
        <v>4943.0296930000004</v>
      </c>
      <c r="Q9882">
        <v>305</v>
      </c>
      <c r="R9882">
        <v>0</v>
      </c>
    </row>
    <row r="9883" spans="1:18" x14ac:dyDescent="0.25">
      <c r="A9883">
        <v>9732</v>
      </c>
      <c r="B9883">
        <v>94</v>
      </c>
      <c r="C9883">
        <v>28720927</v>
      </c>
      <c r="D9883" t="s">
        <v>142</v>
      </c>
      <c r="E9883">
        <v>76.798000000000002</v>
      </c>
      <c r="F9883" t="s">
        <v>21</v>
      </c>
      <c r="G9883" t="s">
        <v>26</v>
      </c>
      <c r="H9883" t="s">
        <v>21</v>
      </c>
      <c r="I9883" t="s">
        <v>20</v>
      </c>
      <c r="J9883" t="s">
        <v>20</v>
      </c>
      <c r="K9883" t="s">
        <v>27</v>
      </c>
      <c r="L9883" t="s">
        <v>143</v>
      </c>
      <c r="M9883" t="s">
        <v>106</v>
      </c>
      <c r="N9883">
        <v>38.397257000000003</v>
      </c>
      <c r="O9883">
        <v>-113.012992</v>
      </c>
      <c r="P9883">
        <v>4914.7033160000001</v>
      </c>
      <c r="Q9883">
        <v>305</v>
      </c>
      <c r="R9883">
        <v>0</v>
      </c>
    </row>
    <row r="9884" spans="1:18" x14ac:dyDescent="0.25">
      <c r="A9884">
        <v>9733</v>
      </c>
      <c r="B9884">
        <v>94</v>
      </c>
      <c r="C9884">
        <v>28722171</v>
      </c>
      <c r="D9884" t="s">
        <v>142</v>
      </c>
      <c r="E9884">
        <v>76.858000000000004</v>
      </c>
      <c r="F9884" t="s">
        <v>21</v>
      </c>
      <c r="G9884" t="s">
        <v>26</v>
      </c>
      <c r="H9884" t="s">
        <v>21</v>
      </c>
      <c r="I9884" t="s">
        <v>20</v>
      </c>
      <c r="J9884" t="s">
        <v>20</v>
      </c>
      <c r="K9884" t="s">
        <v>27</v>
      </c>
      <c r="L9884" t="s">
        <v>143</v>
      </c>
      <c r="M9884" t="s">
        <v>106</v>
      </c>
      <c r="N9884">
        <v>38.397208999999997</v>
      </c>
      <c r="O9884">
        <v>-113.011881</v>
      </c>
      <c r="P9884">
        <v>4901.9449430000004</v>
      </c>
      <c r="Q9884">
        <v>305</v>
      </c>
      <c r="R9884">
        <v>0</v>
      </c>
    </row>
    <row r="9885" spans="1:18" x14ac:dyDescent="0.25">
      <c r="A9885">
        <v>9734</v>
      </c>
      <c r="B9885">
        <v>94</v>
      </c>
      <c r="C9885" t="s">
        <v>1171</v>
      </c>
      <c r="D9885" t="s">
        <v>244</v>
      </c>
      <c r="E9885">
        <v>76.900999999999996</v>
      </c>
      <c r="F9885" t="s">
        <v>21</v>
      </c>
      <c r="G9885" t="s">
        <v>26</v>
      </c>
      <c r="H9885" t="s">
        <v>21</v>
      </c>
      <c r="I9885" t="s">
        <v>20</v>
      </c>
      <c r="J9885" t="s">
        <v>20</v>
      </c>
      <c r="K9885" t="s">
        <v>27</v>
      </c>
      <c r="L9885" t="s">
        <v>266</v>
      </c>
      <c r="M9885" t="s">
        <v>270</v>
      </c>
      <c r="N9885">
        <v>38.308768000000001</v>
      </c>
      <c r="O9885">
        <v>-111.29632599999999</v>
      </c>
      <c r="P9885">
        <v>6083.9739239999999</v>
      </c>
      <c r="Q9885">
        <v>1340</v>
      </c>
      <c r="R9885">
        <v>0</v>
      </c>
    </row>
    <row r="9886" spans="1:18" x14ac:dyDescent="0.25">
      <c r="A9886">
        <v>9735</v>
      </c>
      <c r="B9886">
        <v>94</v>
      </c>
      <c r="C9886">
        <v>31353445</v>
      </c>
      <c r="D9886" t="s">
        <v>142</v>
      </c>
      <c r="E9886">
        <v>76.917000000000002</v>
      </c>
      <c r="F9886" t="s">
        <v>21</v>
      </c>
      <c r="G9886" t="s">
        <v>26</v>
      </c>
      <c r="H9886" t="s">
        <v>19</v>
      </c>
      <c r="I9886">
        <v>257</v>
      </c>
      <c r="J9886" t="s">
        <v>20</v>
      </c>
      <c r="K9886" t="s">
        <v>27</v>
      </c>
      <c r="L9886" t="s">
        <v>143</v>
      </c>
      <c r="M9886" t="s">
        <v>106</v>
      </c>
      <c r="N9886">
        <v>38.397060000000003</v>
      </c>
      <c r="O9886">
        <v>-113.010811</v>
      </c>
      <c r="P9886">
        <v>4894.3354330000002</v>
      </c>
      <c r="Q9886">
        <v>305</v>
      </c>
      <c r="R9886">
        <v>0</v>
      </c>
    </row>
    <row r="9887" spans="1:18" x14ac:dyDescent="0.25">
      <c r="A9887">
        <v>9736</v>
      </c>
      <c r="B9887">
        <v>94</v>
      </c>
      <c r="C9887">
        <v>31306485</v>
      </c>
      <c r="D9887" t="s">
        <v>251</v>
      </c>
      <c r="E9887">
        <v>16.928000000000001</v>
      </c>
      <c r="F9887" t="s">
        <v>21</v>
      </c>
      <c r="G9887" t="s">
        <v>26</v>
      </c>
      <c r="H9887" t="s">
        <v>19</v>
      </c>
      <c r="I9887">
        <v>50</v>
      </c>
      <c r="J9887" t="s">
        <v>20</v>
      </c>
      <c r="K9887" t="s">
        <v>27</v>
      </c>
      <c r="L9887" t="s">
        <v>165</v>
      </c>
      <c r="M9887" t="s">
        <v>166</v>
      </c>
      <c r="N9887">
        <v>39.156351999999998</v>
      </c>
      <c r="O9887">
        <v>-112.40894</v>
      </c>
      <c r="P9887">
        <v>4627.6520129999999</v>
      </c>
      <c r="Q9887">
        <v>326</v>
      </c>
      <c r="R9887">
        <v>0</v>
      </c>
    </row>
    <row r="9888" spans="1:18" x14ac:dyDescent="0.25">
      <c r="A9888">
        <v>9737</v>
      </c>
      <c r="B9888">
        <v>94</v>
      </c>
      <c r="C9888">
        <v>31414930</v>
      </c>
      <c r="D9888" t="s">
        <v>333</v>
      </c>
      <c r="E9888">
        <v>16.934999999999999</v>
      </c>
      <c r="F9888" t="s">
        <v>19</v>
      </c>
      <c r="G9888" t="s">
        <v>20</v>
      </c>
      <c r="H9888" t="s">
        <v>21</v>
      </c>
      <c r="I9888" t="s">
        <v>20</v>
      </c>
      <c r="J9888" t="s">
        <v>20</v>
      </c>
      <c r="K9888" t="s">
        <v>31</v>
      </c>
      <c r="L9888" t="s">
        <v>78</v>
      </c>
      <c r="M9888" t="s">
        <v>49</v>
      </c>
      <c r="N9888">
        <v>40.667546999999999</v>
      </c>
      <c r="O9888">
        <v>-111.981539</v>
      </c>
      <c r="P9888">
        <v>4378.687261</v>
      </c>
      <c r="Q9888">
        <v>1426</v>
      </c>
      <c r="R9888">
        <v>0</v>
      </c>
    </row>
    <row r="9889" spans="1:18" x14ac:dyDescent="0.25">
      <c r="A9889">
        <v>9738</v>
      </c>
      <c r="B9889">
        <v>94</v>
      </c>
      <c r="C9889">
        <v>31302975</v>
      </c>
      <c r="D9889" t="s">
        <v>116</v>
      </c>
      <c r="E9889">
        <v>16.939</v>
      </c>
      <c r="F9889" t="s">
        <v>21</v>
      </c>
      <c r="G9889" t="s">
        <v>26</v>
      </c>
      <c r="H9889" t="s">
        <v>19</v>
      </c>
      <c r="I9889">
        <v>23</v>
      </c>
      <c r="J9889" t="s">
        <v>20</v>
      </c>
      <c r="K9889" t="s">
        <v>41</v>
      </c>
      <c r="L9889" t="s">
        <v>42</v>
      </c>
      <c r="M9889" t="s">
        <v>43</v>
      </c>
      <c r="N9889">
        <v>41.616027000000003</v>
      </c>
      <c r="O9889">
        <v>-111.93346099999999</v>
      </c>
      <c r="P9889">
        <v>4612.6527509999996</v>
      </c>
      <c r="Q9889">
        <v>324</v>
      </c>
      <c r="R9889">
        <v>0</v>
      </c>
    </row>
    <row r="9890" spans="1:18" x14ac:dyDescent="0.25">
      <c r="A9890">
        <v>9739</v>
      </c>
      <c r="B9890">
        <v>94</v>
      </c>
      <c r="C9890">
        <v>31418172</v>
      </c>
      <c r="D9890" t="s">
        <v>221</v>
      </c>
      <c r="E9890">
        <v>16.940000000000001</v>
      </c>
      <c r="F9890" t="s">
        <v>21</v>
      </c>
      <c r="G9890" t="s">
        <v>20</v>
      </c>
      <c r="H9890" t="s">
        <v>21</v>
      </c>
      <c r="I9890" t="s">
        <v>20</v>
      </c>
      <c r="J9890" t="s">
        <v>20</v>
      </c>
      <c r="K9890" t="s">
        <v>22</v>
      </c>
      <c r="L9890" t="s">
        <v>155</v>
      </c>
      <c r="M9890" t="s">
        <v>174</v>
      </c>
      <c r="N9890">
        <v>39.380274999999997</v>
      </c>
      <c r="O9890">
        <v>-111.927791</v>
      </c>
      <c r="P9890">
        <v>5215.4995580000004</v>
      </c>
      <c r="Q9890">
        <v>1342</v>
      </c>
      <c r="R9890">
        <v>0</v>
      </c>
    </row>
    <row r="9891" spans="1:18" x14ac:dyDescent="0.25">
      <c r="A9891">
        <v>9740</v>
      </c>
      <c r="B9891">
        <v>94</v>
      </c>
      <c r="C9891">
        <v>31305354</v>
      </c>
      <c r="D9891" t="s">
        <v>203</v>
      </c>
      <c r="E9891">
        <v>16.95</v>
      </c>
      <c r="F9891" t="s">
        <v>21</v>
      </c>
      <c r="G9891" t="s">
        <v>26</v>
      </c>
      <c r="H9891" t="s">
        <v>21</v>
      </c>
      <c r="I9891" t="s">
        <v>20</v>
      </c>
      <c r="J9891" t="s">
        <v>20</v>
      </c>
      <c r="K9891" t="s">
        <v>41</v>
      </c>
      <c r="L9891" t="s">
        <v>255</v>
      </c>
      <c r="M9891" t="s">
        <v>204</v>
      </c>
      <c r="N9891">
        <v>41.249603</v>
      </c>
      <c r="O9891">
        <v>-111.786478</v>
      </c>
      <c r="P9891">
        <v>4876.9892559999998</v>
      </c>
      <c r="Q9891">
        <v>1349</v>
      </c>
      <c r="R9891">
        <v>0</v>
      </c>
    </row>
    <row r="9892" spans="1:18" x14ac:dyDescent="0.25">
      <c r="A9892">
        <v>9741</v>
      </c>
      <c r="B9892">
        <v>94</v>
      </c>
      <c r="C9892" t="e">
        <f>-IoLz1TEIP5Aeq1_X6Q4YF</f>
        <v>#NAME?</v>
      </c>
      <c r="D9892" t="s">
        <v>304</v>
      </c>
      <c r="E9892">
        <v>16.965</v>
      </c>
      <c r="F9892" t="s">
        <v>21</v>
      </c>
      <c r="G9892" t="s">
        <v>20</v>
      </c>
      <c r="H9892" t="s">
        <v>21</v>
      </c>
      <c r="I9892" t="s">
        <v>20</v>
      </c>
      <c r="J9892" t="s">
        <v>20</v>
      </c>
      <c r="K9892" t="s">
        <v>41</v>
      </c>
      <c r="L9892" t="s">
        <v>223</v>
      </c>
      <c r="M9892" t="s">
        <v>43</v>
      </c>
      <c r="N9892">
        <v>41.757297000000001</v>
      </c>
      <c r="O9892">
        <v>-112.098185</v>
      </c>
      <c r="P9892">
        <v>4358.9621889999999</v>
      </c>
      <c r="Q9892">
        <v>1348</v>
      </c>
      <c r="R9892">
        <v>0</v>
      </c>
    </row>
    <row r="9893" spans="1:18" x14ac:dyDescent="0.25">
      <c r="A9893">
        <v>9742</v>
      </c>
      <c r="B9893">
        <v>94</v>
      </c>
      <c r="C9893">
        <v>31328549</v>
      </c>
      <c r="D9893" t="s">
        <v>278</v>
      </c>
      <c r="E9893">
        <v>40.728000000000002</v>
      </c>
      <c r="F9893" t="s">
        <v>21</v>
      </c>
      <c r="G9893" t="s">
        <v>20</v>
      </c>
      <c r="H9893" t="s">
        <v>21</v>
      </c>
      <c r="I9893" t="s">
        <v>20</v>
      </c>
      <c r="J9893" t="s">
        <v>20</v>
      </c>
      <c r="K9893" t="s">
        <v>27</v>
      </c>
      <c r="L9893" t="s">
        <v>279</v>
      </c>
      <c r="M9893" t="s">
        <v>280</v>
      </c>
      <c r="N9893">
        <v>37.489511999999998</v>
      </c>
      <c r="O9893">
        <v>-112.517399</v>
      </c>
      <c r="P9893">
        <v>7432.494745</v>
      </c>
      <c r="Q9893">
        <v>1330</v>
      </c>
      <c r="R9893">
        <v>0</v>
      </c>
    </row>
    <row r="9894" spans="1:18" x14ac:dyDescent="0.25">
      <c r="A9894">
        <v>9743</v>
      </c>
      <c r="B9894">
        <v>94</v>
      </c>
      <c r="C9894" t="s">
        <v>1172</v>
      </c>
      <c r="D9894" t="s">
        <v>124</v>
      </c>
      <c r="E9894">
        <v>40.734000000000002</v>
      </c>
      <c r="F9894" t="s">
        <v>21</v>
      </c>
      <c r="G9894" t="s">
        <v>26</v>
      </c>
      <c r="H9894" t="s">
        <v>21</v>
      </c>
      <c r="I9894" t="s">
        <v>20</v>
      </c>
      <c r="J9894" t="s">
        <v>20</v>
      </c>
      <c r="K9894" t="s">
        <v>31</v>
      </c>
      <c r="L9894" t="s">
        <v>89</v>
      </c>
      <c r="M9894" t="s">
        <v>125</v>
      </c>
      <c r="N9894">
        <v>40.499344999999998</v>
      </c>
      <c r="O9894">
        <v>-111.938715</v>
      </c>
      <c r="P9894">
        <v>4399.6412879999998</v>
      </c>
      <c r="Q9894">
        <v>1368</v>
      </c>
      <c r="R9894">
        <v>0</v>
      </c>
    </row>
    <row r="9895" spans="1:18" x14ac:dyDescent="0.25">
      <c r="A9895">
        <v>9744</v>
      </c>
      <c r="B9895">
        <v>94</v>
      </c>
      <c r="C9895">
        <v>31434890</v>
      </c>
      <c r="D9895" t="s">
        <v>221</v>
      </c>
      <c r="E9895">
        <v>40.764000000000003</v>
      </c>
      <c r="F9895" t="s">
        <v>19</v>
      </c>
      <c r="G9895" t="s">
        <v>20</v>
      </c>
      <c r="H9895" t="s">
        <v>19</v>
      </c>
      <c r="I9895">
        <v>132</v>
      </c>
      <c r="J9895" t="s">
        <v>20</v>
      </c>
      <c r="K9895" t="s">
        <v>22</v>
      </c>
      <c r="L9895" t="s">
        <v>155</v>
      </c>
      <c r="M9895" t="s">
        <v>174</v>
      </c>
      <c r="N9895">
        <v>39.710012999999996</v>
      </c>
      <c r="O9895">
        <v>-111.83614300000001</v>
      </c>
      <c r="P9895">
        <v>5074.7619519999998</v>
      </c>
      <c r="Q9895">
        <v>1342</v>
      </c>
      <c r="R9895">
        <v>0</v>
      </c>
    </row>
    <row r="9896" spans="1:18" x14ac:dyDescent="0.25">
      <c r="A9896">
        <v>9745</v>
      </c>
      <c r="B9896">
        <v>94</v>
      </c>
      <c r="C9896">
        <v>27990636</v>
      </c>
      <c r="D9896" t="s">
        <v>281</v>
      </c>
      <c r="E9896">
        <v>40.777999999999999</v>
      </c>
      <c r="F9896" t="s">
        <v>21</v>
      </c>
      <c r="G9896" t="s">
        <v>26</v>
      </c>
      <c r="H9896" t="s">
        <v>21</v>
      </c>
      <c r="I9896" t="s">
        <v>20</v>
      </c>
      <c r="J9896" t="s">
        <v>20</v>
      </c>
      <c r="K9896" t="s">
        <v>31</v>
      </c>
      <c r="L9896" t="s">
        <v>282</v>
      </c>
      <c r="M9896" t="s">
        <v>283</v>
      </c>
      <c r="N9896">
        <v>40.365682999999997</v>
      </c>
      <c r="O9896">
        <v>-112.41295100000001</v>
      </c>
      <c r="P9896">
        <v>4969.4511599999996</v>
      </c>
      <c r="Q9896">
        <v>1347</v>
      </c>
      <c r="R9896">
        <v>0</v>
      </c>
    </row>
    <row r="9897" spans="1:18" x14ac:dyDescent="0.25">
      <c r="A9897">
        <v>9746</v>
      </c>
      <c r="B9897">
        <v>94</v>
      </c>
      <c r="C9897">
        <v>31302589</v>
      </c>
      <c r="D9897" t="s">
        <v>316</v>
      </c>
      <c r="E9897">
        <v>40.783999999999999</v>
      </c>
      <c r="F9897" t="s">
        <v>21</v>
      </c>
      <c r="G9897" t="s">
        <v>26</v>
      </c>
      <c r="H9897" t="s">
        <v>21</v>
      </c>
      <c r="I9897" t="s">
        <v>20</v>
      </c>
      <c r="J9897" t="s">
        <v>20</v>
      </c>
      <c r="K9897" t="s">
        <v>22</v>
      </c>
      <c r="L9897" t="s">
        <v>168</v>
      </c>
      <c r="M9897" t="s">
        <v>302</v>
      </c>
      <c r="N9897">
        <v>40.371417999999998</v>
      </c>
      <c r="O9897">
        <v>-110.72695</v>
      </c>
      <c r="P9897">
        <v>6540.3584350000001</v>
      </c>
      <c r="Q9897">
        <v>1346</v>
      </c>
      <c r="R9897">
        <v>0</v>
      </c>
    </row>
    <row r="9898" spans="1:18" x14ac:dyDescent="0.25">
      <c r="A9898">
        <v>9747</v>
      </c>
      <c r="B9898">
        <v>94</v>
      </c>
      <c r="C9898">
        <v>31331910</v>
      </c>
      <c r="D9898" t="s">
        <v>278</v>
      </c>
      <c r="E9898">
        <v>40.804000000000002</v>
      </c>
      <c r="F9898" t="s">
        <v>21</v>
      </c>
      <c r="G9898" t="s">
        <v>26</v>
      </c>
      <c r="H9898" t="s">
        <v>21</v>
      </c>
      <c r="I9898" t="s">
        <v>20</v>
      </c>
      <c r="J9898" t="s">
        <v>20</v>
      </c>
      <c r="K9898" t="s">
        <v>27</v>
      </c>
      <c r="L9898" t="s">
        <v>279</v>
      </c>
      <c r="M9898" t="s">
        <v>280</v>
      </c>
      <c r="N9898">
        <v>37.489229999999999</v>
      </c>
      <c r="O9898">
        <v>-112.51607799999999</v>
      </c>
      <c r="P9898">
        <v>7431.6207130000003</v>
      </c>
      <c r="Q9898">
        <v>1330</v>
      </c>
      <c r="R9898">
        <v>0</v>
      </c>
    </row>
    <row r="9899" spans="1:18" x14ac:dyDescent="0.25">
      <c r="A9899">
        <v>9748</v>
      </c>
      <c r="B9899">
        <v>94</v>
      </c>
      <c r="C9899">
        <v>28636621</v>
      </c>
      <c r="D9899" t="s">
        <v>142</v>
      </c>
      <c r="E9899">
        <v>40.814999999999998</v>
      </c>
      <c r="F9899" t="s">
        <v>21</v>
      </c>
      <c r="G9899" t="s">
        <v>20</v>
      </c>
      <c r="H9899" t="s">
        <v>21</v>
      </c>
      <c r="I9899" t="s">
        <v>20</v>
      </c>
      <c r="J9899" t="s">
        <v>20</v>
      </c>
      <c r="K9899" t="s">
        <v>27</v>
      </c>
      <c r="L9899" t="s">
        <v>143</v>
      </c>
      <c r="M9899" t="s">
        <v>106</v>
      </c>
      <c r="N9899">
        <v>38.507876000000003</v>
      </c>
      <c r="O9899">
        <v>-113.615798</v>
      </c>
      <c r="P9899">
        <v>5515.6650900000004</v>
      </c>
      <c r="Q9899">
        <v>305</v>
      </c>
      <c r="R9899">
        <v>0</v>
      </c>
    </row>
    <row r="9900" spans="1:18" x14ac:dyDescent="0.25">
      <c r="A9900">
        <v>9749</v>
      </c>
      <c r="B9900">
        <v>94</v>
      </c>
      <c r="C9900" t="e">
        <f>-IpZbWdtGb1ZQVCgnMFiPF</f>
        <v>#NAME?</v>
      </c>
      <c r="D9900" t="s">
        <v>272</v>
      </c>
      <c r="E9900">
        <v>499.61599999999999</v>
      </c>
      <c r="F9900" t="s">
        <v>21</v>
      </c>
      <c r="G9900" t="s">
        <v>26</v>
      </c>
      <c r="H9900" t="s">
        <v>21</v>
      </c>
      <c r="I9900" t="s">
        <v>20</v>
      </c>
      <c r="J9900" t="s">
        <v>20</v>
      </c>
      <c r="K9900" t="s">
        <v>41</v>
      </c>
      <c r="L9900" t="s">
        <v>325</v>
      </c>
      <c r="M9900" t="s">
        <v>152</v>
      </c>
      <c r="N9900">
        <v>41.960881000000001</v>
      </c>
      <c r="O9900">
        <v>-111.400648</v>
      </c>
      <c r="P9900">
        <v>5896.2286880000001</v>
      </c>
      <c r="Q9900">
        <v>1384</v>
      </c>
      <c r="R9900">
        <v>0</v>
      </c>
    </row>
    <row r="9901" spans="1:18" x14ac:dyDescent="0.25">
      <c r="A9901">
        <v>9750</v>
      </c>
      <c r="B9901">
        <v>94</v>
      </c>
      <c r="C9901" t="e">
        <f>-IpZbvoZGxeoS_0Og4cMrk</f>
        <v>#NAME?</v>
      </c>
      <c r="D9901" t="s">
        <v>272</v>
      </c>
      <c r="E9901">
        <v>499.80099999999999</v>
      </c>
      <c r="F9901" t="s">
        <v>21</v>
      </c>
      <c r="G9901" t="s">
        <v>26</v>
      </c>
      <c r="H9901" t="s">
        <v>21</v>
      </c>
      <c r="I9901" t="s">
        <v>20</v>
      </c>
      <c r="J9901" t="s">
        <v>20</v>
      </c>
      <c r="K9901" t="s">
        <v>41</v>
      </c>
      <c r="L9901" t="s">
        <v>325</v>
      </c>
      <c r="M9901" t="s">
        <v>152</v>
      </c>
      <c r="N9901">
        <v>41.963509000000002</v>
      </c>
      <c r="O9901">
        <v>-111.399967</v>
      </c>
      <c r="P9901">
        <v>5887.864767</v>
      </c>
      <c r="Q9901">
        <v>1384</v>
      </c>
      <c r="R9901">
        <v>0</v>
      </c>
    </row>
    <row r="9902" spans="1:18" x14ac:dyDescent="0.25">
      <c r="A9902">
        <v>9751</v>
      </c>
      <c r="B9902">
        <v>94</v>
      </c>
      <c r="C9902">
        <v>31507575</v>
      </c>
      <c r="D9902" t="s">
        <v>132</v>
      </c>
      <c r="E9902">
        <v>0.08</v>
      </c>
      <c r="F9902" t="s">
        <v>21</v>
      </c>
      <c r="G9902" t="s">
        <v>26</v>
      </c>
      <c r="H9902" t="s">
        <v>21</v>
      </c>
      <c r="I9902" t="s">
        <v>20</v>
      </c>
      <c r="J9902" t="s">
        <v>20</v>
      </c>
      <c r="K9902" t="s">
        <v>22</v>
      </c>
      <c r="L9902" t="s">
        <v>133</v>
      </c>
      <c r="M9902" t="s">
        <v>134</v>
      </c>
      <c r="N9902">
        <v>40.302146</v>
      </c>
      <c r="O9902">
        <v>-109.99037300000001</v>
      </c>
      <c r="P9902">
        <v>5049.3626830000003</v>
      </c>
      <c r="Q9902">
        <v>1405</v>
      </c>
      <c r="R9902">
        <v>0</v>
      </c>
    </row>
    <row r="9903" spans="1:18" x14ac:dyDescent="0.25">
      <c r="A9903">
        <v>9752</v>
      </c>
      <c r="B9903">
        <v>94</v>
      </c>
      <c r="C9903">
        <v>31411433</v>
      </c>
      <c r="D9903" t="s">
        <v>765</v>
      </c>
      <c r="E9903">
        <v>8.2000000000000003E-2</v>
      </c>
      <c r="F9903" t="s">
        <v>21</v>
      </c>
      <c r="G9903" t="s">
        <v>26</v>
      </c>
      <c r="H9903" t="s">
        <v>21</v>
      </c>
      <c r="I9903" t="s">
        <v>20</v>
      </c>
      <c r="J9903" t="s">
        <v>20</v>
      </c>
      <c r="K9903" t="s">
        <v>31</v>
      </c>
      <c r="L9903" t="s">
        <v>433</v>
      </c>
      <c r="M9903" t="s">
        <v>138</v>
      </c>
      <c r="N9903">
        <v>41.044055</v>
      </c>
      <c r="O9903">
        <v>-111.523831</v>
      </c>
      <c r="P9903">
        <v>5220.7256719999996</v>
      </c>
      <c r="Q9903">
        <v>1382</v>
      </c>
      <c r="R9903">
        <v>0</v>
      </c>
    </row>
    <row r="9904" spans="1:18" x14ac:dyDescent="0.25">
      <c r="A9904">
        <v>9753</v>
      </c>
      <c r="B9904">
        <v>94</v>
      </c>
      <c r="C9904">
        <v>31266676</v>
      </c>
      <c r="D9904" t="s">
        <v>278</v>
      </c>
      <c r="E9904">
        <v>8.3000000000000004E-2</v>
      </c>
      <c r="F9904" t="s">
        <v>21</v>
      </c>
      <c r="G9904" t="s">
        <v>26</v>
      </c>
      <c r="H9904" t="s">
        <v>21</v>
      </c>
      <c r="I9904" t="s">
        <v>20</v>
      </c>
      <c r="J9904" t="s">
        <v>20</v>
      </c>
      <c r="K9904" t="s">
        <v>27</v>
      </c>
      <c r="L9904" t="s">
        <v>501</v>
      </c>
      <c r="M9904" t="s">
        <v>280</v>
      </c>
      <c r="N9904">
        <v>37.677376000000002</v>
      </c>
      <c r="O9904">
        <v>-113.06005500000001</v>
      </c>
      <c r="P9904">
        <v>5784.6831759999995</v>
      </c>
      <c r="Q9904">
        <v>1330</v>
      </c>
      <c r="R9904">
        <v>0</v>
      </c>
    </row>
    <row r="9905" spans="1:18" x14ac:dyDescent="0.25">
      <c r="A9905">
        <v>9754</v>
      </c>
      <c r="B9905">
        <v>94</v>
      </c>
      <c r="C9905">
        <v>31307660</v>
      </c>
      <c r="D9905" t="s">
        <v>215</v>
      </c>
      <c r="E9905">
        <v>8.4000000000000005E-2</v>
      </c>
      <c r="F9905" t="s">
        <v>21</v>
      </c>
      <c r="G9905" t="s">
        <v>26</v>
      </c>
      <c r="H9905" t="s">
        <v>21</v>
      </c>
      <c r="I9905" t="s">
        <v>20</v>
      </c>
      <c r="J9905" t="s">
        <v>20</v>
      </c>
      <c r="K9905" t="s">
        <v>22</v>
      </c>
      <c r="L9905" t="s">
        <v>23</v>
      </c>
      <c r="M9905" t="s">
        <v>85</v>
      </c>
      <c r="N9905">
        <v>40.233758999999999</v>
      </c>
      <c r="O9905">
        <v>-111.66929500000001</v>
      </c>
      <c r="P9905">
        <v>4483.557804</v>
      </c>
      <c r="Q9905">
        <v>330</v>
      </c>
      <c r="R9905">
        <v>0</v>
      </c>
    </row>
    <row r="9906" spans="1:18" x14ac:dyDescent="0.25">
      <c r="A9906">
        <v>9755</v>
      </c>
      <c r="B9906">
        <v>94</v>
      </c>
      <c r="C9906">
        <v>31289256</v>
      </c>
      <c r="D9906" t="s">
        <v>308</v>
      </c>
      <c r="E9906">
        <v>8.4000000000000005E-2</v>
      </c>
      <c r="F9906" t="s">
        <v>21</v>
      </c>
      <c r="G9906" t="s">
        <v>26</v>
      </c>
      <c r="H9906" t="s">
        <v>21</v>
      </c>
      <c r="I9906" t="s">
        <v>20</v>
      </c>
      <c r="J9906" t="s">
        <v>20</v>
      </c>
      <c r="K9906" t="s">
        <v>27</v>
      </c>
      <c r="L9906" t="s">
        <v>230</v>
      </c>
      <c r="M9906" t="s">
        <v>82</v>
      </c>
      <c r="N9906">
        <v>39.634385000000002</v>
      </c>
      <c r="O9906">
        <v>-111.43928</v>
      </c>
      <c r="P9906">
        <v>5944.8891279999998</v>
      </c>
      <c r="Q9906">
        <v>1344</v>
      </c>
      <c r="R9906">
        <v>0</v>
      </c>
    </row>
    <row r="9907" spans="1:18" x14ac:dyDescent="0.25">
      <c r="A9907">
        <v>9756</v>
      </c>
      <c r="B9907">
        <v>94</v>
      </c>
      <c r="C9907">
        <v>1735943</v>
      </c>
      <c r="D9907" t="s">
        <v>260</v>
      </c>
      <c r="E9907">
        <v>8.5000000000000006E-2</v>
      </c>
      <c r="F9907" t="s">
        <v>19</v>
      </c>
      <c r="G9907" t="s">
        <v>20</v>
      </c>
      <c r="H9907" t="s">
        <v>21</v>
      </c>
      <c r="I9907" t="s">
        <v>20</v>
      </c>
      <c r="J9907" t="s">
        <v>20</v>
      </c>
      <c r="K9907" t="s">
        <v>41</v>
      </c>
      <c r="L9907" t="s">
        <v>81</v>
      </c>
      <c r="M9907" t="s">
        <v>46</v>
      </c>
      <c r="N9907">
        <v>41.219884</v>
      </c>
      <c r="O9907">
        <v>-112.00451200000001</v>
      </c>
      <c r="P9907">
        <v>4271.6968200000001</v>
      </c>
      <c r="Q9907">
        <v>1358</v>
      </c>
      <c r="R9907">
        <v>0</v>
      </c>
    </row>
    <row r="9908" spans="1:18" x14ac:dyDescent="0.25">
      <c r="A9908">
        <v>9757</v>
      </c>
      <c r="B9908">
        <v>94</v>
      </c>
      <c r="C9908">
        <v>31272361</v>
      </c>
      <c r="D9908" t="s">
        <v>347</v>
      </c>
      <c r="E9908">
        <v>8.5999999999999993E-2</v>
      </c>
      <c r="F9908" t="s">
        <v>21</v>
      </c>
      <c r="G9908" t="s">
        <v>26</v>
      </c>
      <c r="H9908" t="s">
        <v>21</v>
      </c>
      <c r="I9908" t="s">
        <v>20</v>
      </c>
      <c r="J9908" t="s">
        <v>20</v>
      </c>
      <c r="K9908" t="s">
        <v>41</v>
      </c>
      <c r="L9908" t="s">
        <v>325</v>
      </c>
      <c r="M9908" t="s">
        <v>204</v>
      </c>
      <c r="N9908">
        <v>41.415047000000001</v>
      </c>
      <c r="O9908">
        <v>-111.04674</v>
      </c>
      <c r="P9908">
        <v>6494.6700570000003</v>
      </c>
      <c r="Q9908">
        <v>1334</v>
      </c>
      <c r="R9908">
        <v>0</v>
      </c>
    </row>
    <row r="9909" spans="1:18" x14ac:dyDescent="0.25">
      <c r="A9909">
        <v>9758</v>
      </c>
      <c r="B9909">
        <v>94</v>
      </c>
      <c r="C9909">
        <v>31528658</v>
      </c>
      <c r="D9909" t="s">
        <v>716</v>
      </c>
      <c r="E9909">
        <v>8.7999999999999995E-2</v>
      </c>
      <c r="F9909" t="s">
        <v>21</v>
      </c>
      <c r="G9909" t="s">
        <v>26</v>
      </c>
      <c r="H9909" t="s">
        <v>21</v>
      </c>
      <c r="I9909" t="s">
        <v>20</v>
      </c>
      <c r="J9909" t="s">
        <v>20</v>
      </c>
      <c r="K9909" t="s">
        <v>27</v>
      </c>
      <c r="L9909" t="s">
        <v>51</v>
      </c>
      <c r="M9909" t="s">
        <v>106</v>
      </c>
      <c r="N9909">
        <v>37.843474999999998</v>
      </c>
      <c r="O9909">
        <v>-112.82764299999999</v>
      </c>
      <c r="P9909">
        <v>5936.0775830000002</v>
      </c>
      <c r="Q9909">
        <v>433</v>
      </c>
      <c r="R9909">
        <v>0</v>
      </c>
    </row>
    <row r="9910" spans="1:18" x14ac:dyDescent="0.25">
      <c r="A9910">
        <v>9759</v>
      </c>
      <c r="B9910">
        <v>94</v>
      </c>
      <c r="C9910">
        <v>31720748</v>
      </c>
      <c r="D9910" t="s">
        <v>336</v>
      </c>
      <c r="E9910">
        <v>8.7999999999999995E-2</v>
      </c>
      <c r="F9910" t="s">
        <v>19</v>
      </c>
      <c r="G9910" t="s">
        <v>20</v>
      </c>
      <c r="H9910" t="s">
        <v>21</v>
      </c>
      <c r="I9910" t="s">
        <v>20</v>
      </c>
      <c r="J9910" t="s">
        <v>20</v>
      </c>
      <c r="K9910" t="s">
        <v>31</v>
      </c>
      <c r="L9910" t="s">
        <v>32</v>
      </c>
      <c r="M9910" t="s">
        <v>33</v>
      </c>
      <c r="N9910">
        <v>40.637486000000003</v>
      </c>
      <c r="O9910">
        <v>-111.808728</v>
      </c>
      <c r="P9910">
        <v>4539.3441000000003</v>
      </c>
      <c r="Q9910">
        <v>404</v>
      </c>
      <c r="R9910">
        <v>0</v>
      </c>
    </row>
    <row r="9911" spans="1:18" x14ac:dyDescent="0.25">
      <c r="A9911">
        <v>9760</v>
      </c>
      <c r="B9911">
        <v>94</v>
      </c>
      <c r="C9911">
        <v>31398951</v>
      </c>
      <c r="D9911" t="s">
        <v>139</v>
      </c>
      <c r="E9911">
        <v>8.8999999999999996E-2</v>
      </c>
      <c r="F9911" t="s">
        <v>21</v>
      </c>
      <c r="G9911" t="s">
        <v>26</v>
      </c>
      <c r="H9911" t="s">
        <v>21</v>
      </c>
      <c r="I9911" t="s">
        <v>20</v>
      </c>
      <c r="J9911" t="s">
        <v>20</v>
      </c>
      <c r="K9911" t="s">
        <v>22</v>
      </c>
      <c r="L9911" t="s">
        <v>140</v>
      </c>
      <c r="M9911" t="s">
        <v>141</v>
      </c>
      <c r="N9911">
        <v>40.107191</v>
      </c>
      <c r="O9911">
        <v>-111.65482</v>
      </c>
      <c r="P9911">
        <v>4532.4674539999996</v>
      </c>
      <c r="Q9911">
        <v>342</v>
      </c>
      <c r="R9911">
        <v>0</v>
      </c>
    </row>
    <row r="9912" spans="1:18" x14ac:dyDescent="0.25">
      <c r="A9912">
        <v>9761</v>
      </c>
      <c r="B9912">
        <v>94</v>
      </c>
      <c r="C9912">
        <v>31533396</v>
      </c>
      <c r="D9912" t="s">
        <v>53</v>
      </c>
      <c r="E9912">
        <v>0.09</v>
      </c>
      <c r="F9912" t="s">
        <v>21</v>
      </c>
      <c r="G9912" t="s">
        <v>26</v>
      </c>
      <c r="H9912" t="s">
        <v>21</v>
      </c>
      <c r="I9912" t="s">
        <v>20</v>
      </c>
      <c r="J9912" t="s">
        <v>20</v>
      </c>
      <c r="K9912" t="s">
        <v>27</v>
      </c>
      <c r="L9912" t="s">
        <v>54</v>
      </c>
      <c r="M9912" t="s">
        <v>55</v>
      </c>
      <c r="N9912">
        <v>37.677362000000002</v>
      </c>
      <c r="O9912">
        <v>-113.06344799999999</v>
      </c>
      <c r="P9912">
        <v>5768.818851</v>
      </c>
      <c r="Q9912">
        <v>1285</v>
      </c>
      <c r="R9912">
        <v>0</v>
      </c>
    </row>
    <row r="9913" spans="1:18" x14ac:dyDescent="0.25">
      <c r="A9913">
        <v>9762</v>
      </c>
      <c r="B9913">
        <v>94</v>
      </c>
      <c r="C9913">
        <v>507084</v>
      </c>
      <c r="D9913" t="s">
        <v>135</v>
      </c>
      <c r="E9913">
        <v>9.0999999999999998E-2</v>
      </c>
      <c r="F9913" t="s">
        <v>21</v>
      </c>
      <c r="G9913" t="s">
        <v>26</v>
      </c>
      <c r="H9913" t="s">
        <v>21</v>
      </c>
      <c r="I9913" t="s">
        <v>20</v>
      </c>
      <c r="J9913" t="s">
        <v>20</v>
      </c>
      <c r="K9913" t="s">
        <v>31</v>
      </c>
      <c r="L9913" t="s">
        <v>48</v>
      </c>
      <c r="M9913" t="s">
        <v>144</v>
      </c>
      <c r="N9913">
        <v>40.561819</v>
      </c>
      <c r="O9913">
        <v>-111.975328</v>
      </c>
      <c r="P9913">
        <v>4585.6779139999999</v>
      </c>
      <c r="Q9913">
        <v>1423</v>
      </c>
      <c r="R9913">
        <v>0</v>
      </c>
    </row>
    <row r="9914" spans="1:18" x14ac:dyDescent="0.25">
      <c r="A9914">
        <v>9763</v>
      </c>
      <c r="B9914">
        <v>94</v>
      </c>
      <c r="C9914" t="e">
        <f>-IrAd4AwI71igSJzJ4i3KF</f>
        <v>#NAME?</v>
      </c>
      <c r="D9914" t="s">
        <v>92</v>
      </c>
      <c r="E9914">
        <v>9.1999999999999998E-2</v>
      </c>
      <c r="F9914" t="s">
        <v>19</v>
      </c>
      <c r="G9914" t="s">
        <v>20</v>
      </c>
      <c r="H9914" t="s">
        <v>21</v>
      </c>
      <c r="I9914" t="s">
        <v>20</v>
      </c>
      <c r="J9914" t="s">
        <v>20</v>
      </c>
      <c r="K9914" t="s">
        <v>41</v>
      </c>
      <c r="L9914" t="s">
        <v>87</v>
      </c>
      <c r="M9914" t="s">
        <v>93</v>
      </c>
      <c r="N9914">
        <v>41.073518</v>
      </c>
      <c r="O9914">
        <v>-111.977469</v>
      </c>
      <c r="P9914">
        <v>4348.9305169999998</v>
      </c>
      <c r="Q9914">
        <v>252</v>
      </c>
      <c r="R9914">
        <v>0</v>
      </c>
    </row>
    <row r="9915" spans="1:18" x14ac:dyDescent="0.25">
      <c r="A9915">
        <v>9764</v>
      </c>
      <c r="B9915">
        <v>94</v>
      </c>
      <c r="C9915">
        <v>750528</v>
      </c>
      <c r="D9915" t="s">
        <v>86</v>
      </c>
      <c r="E9915">
        <v>9.2999999999999999E-2</v>
      </c>
      <c r="F9915" t="s">
        <v>19</v>
      </c>
      <c r="G9915" t="s">
        <v>20</v>
      </c>
      <c r="H9915" t="s">
        <v>21</v>
      </c>
      <c r="I9915" t="s">
        <v>20</v>
      </c>
      <c r="J9915" t="s">
        <v>20</v>
      </c>
      <c r="K9915" t="s">
        <v>41</v>
      </c>
      <c r="L9915" t="s">
        <v>87</v>
      </c>
      <c r="M9915" t="s">
        <v>58</v>
      </c>
      <c r="N9915">
        <v>41.011845999999998</v>
      </c>
      <c r="O9915">
        <v>-111.91277599999999</v>
      </c>
      <c r="P9915">
        <v>4324.9550440000003</v>
      </c>
      <c r="Q9915">
        <v>258</v>
      </c>
      <c r="R9915">
        <v>0</v>
      </c>
    </row>
    <row r="9916" spans="1:18" x14ac:dyDescent="0.25">
      <c r="A9916">
        <v>9765</v>
      </c>
      <c r="B9916">
        <v>94</v>
      </c>
      <c r="C9916">
        <v>31367674</v>
      </c>
      <c r="D9916" t="s">
        <v>199</v>
      </c>
      <c r="E9916">
        <v>9.2999999999999999E-2</v>
      </c>
      <c r="F9916" t="s">
        <v>21</v>
      </c>
      <c r="G9916" t="s">
        <v>26</v>
      </c>
      <c r="H9916" t="s">
        <v>21</v>
      </c>
      <c r="I9916" t="s">
        <v>20</v>
      </c>
      <c r="J9916" t="s">
        <v>20</v>
      </c>
      <c r="K9916" t="s">
        <v>27</v>
      </c>
      <c r="L9916" t="s">
        <v>103</v>
      </c>
      <c r="M9916" t="s">
        <v>200</v>
      </c>
      <c r="N9916">
        <v>38.276918999999999</v>
      </c>
      <c r="O9916">
        <v>-112.63957000000001</v>
      </c>
      <c r="P9916">
        <v>5840.8685020000003</v>
      </c>
      <c r="Q9916">
        <v>341</v>
      </c>
      <c r="R9916">
        <v>0</v>
      </c>
    </row>
    <row r="9917" spans="1:18" x14ac:dyDescent="0.25">
      <c r="A9917">
        <v>9766</v>
      </c>
      <c r="B9917">
        <v>94</v>
      </c>
      <c r="C9917">
        <v>31771283</v>
      </c>
      <c r="D9917" t="s">
        <v>353</v>
      </c>
      <c r="E9917">
        <v>27.695</v>
      </c>
      <c r="F9917" t="s">
        <v>21</v>
      </c>
      <c r="G9917" t="s">
        <v>26</v>
      </c>
      <c r="H9917" t="s">
        <v>21</v>
      </c>
      <c r="I9917" t="s">
        <v>20</v>
      </c>
      <c r="J9917" t="s">
        <v>20</v>
      </c>
      <c r="K9917" t="s">
        <v>31</v>
      </c>
      <c r="L9917" t="s">
        <v>433</v>
      </c>
      <c r="M9917" t="s">
        <v>138</v>
      </c>
      <c r="N9917">
        <v>41.017026999999999</v>
      </c>
      <c r="O9917">
        <v>-111.49838699999999</v>
      </c>
      <c r="P9917">
        <v>5302.4303710000004</v>
      </c>
      <c r="Q9917">
        <v>1367</v>
      </c>
      <c r="R9917">
        <v>0</v>
      </c>
    </row>
    <row r="9918" spans="1:18" x14ac:dyDescent="0.25">
      <c r="A9918">
        <v>9767</v>
      </c>
      <c r="B9918">
        <v>94</v>
      </c>
      <c r="C9918">
        <v>31307569</v>
      </c>
      <c r="D9918" t="s">
        <v>203</v>
      </c>
      <c r="E9918">
        <v>27.716999999999999</v>
      </c>
      <c r="F9918" t="s">
        <v>21</v>
      </c>
      <c r="G9918" t="s">
        <v>26</v>
      </c>
      <c r="H9918" t="s">
        <v>21</v>
      </c>
      <c r="I9918" t="s">
        <v>20</v>
      </c>
      <c r="J9918" t="s">
        <v>20</v>
      </c>
      <c r="K9918" t="s">
        <v>41</v>
      </c>
      <c r="L9918" t="s">
        <v>255</v>
      </c>
      <c r="M9918" t="s">
        <v>204</v>
      </c>
      <c r="N9918">
        <v>41.297215000000001</v>
      </c>
      <c r="O9918">
        <v>-111.62013</v>
      </c>
      <c r="P9918">
        <v>5410.8343109999996</v>
      </c>
      <c r="Q9918">
        <v>1349</v>
      </c>
      <c r="R9918">
        <v>0</v>
      </c>
    </row>
    <row r="9919" spans="1:18" x14ac:dyDescent="0.25">
      <c r="A9919">
        <v>9768</v>
      </c>
      <c r="B9919">
        <v>94</v>
      </c>
      <c r="C9919" t="s">
        <v>1173</v>
      </c>
      <c r="D9919" t="s">
        <v>272</v>
      </c>
      <c r="E9919">
        <v>164.483</v>
      </c>
      <c r="F9919" t="s">
        <v>21</v>
      </c>
      <c r="G9919" t="s">
        <v>26</v>
      </c>
      <c r="H9919" t="s">
        <v>21</v>
      </c>
      <c r="I9919" t="s">
        <v>20</v>
      </c>
      <c r="J9919" t="s">
        <v>20</v>
      </c>
      <c r="K9919" t="s">
        <v>27</v>
      </c>
      <c r="L9919" t="s">
        <v>64</v>
      </c>
      <c r="M9919" t="s">
        <v>214</v>
      </c>
      <c r="N9919">
        <v>38.239846999999997</v>
      </c>
      <c r="O9919">
        <v>-112.219994</v>
      </c>
      <c r="P9919">
        <v>5945.7344510000003</v>
      </c>
      <c r="Q9919">
        <v>1384</v>
      </c>
      <c r="R9919">
        <v>0</v>
      </c>
    </row>
    <row r="9920" spans="1:18" x14ac:dyDescent="0.25">
      <c r="A9920">
        <v>9769</v>
      </c>
      <c r="B9920">
        <v>94</v>
      </c>
      <c r="C9920" t="e">
        <f>-IoIDAMfFIXOxLWnFt0juV</f>
        <v>#NAME?</v>
      </c>
      <c r="D9920" t="s">
        <v>272</v>
      </c>
      <c r="E9920">
        <v>164.583</v>
      </c>
      <c r="F9920" t="s">
        <v>21</v>
      </c>
      <c r="G9920" t="s">
        <v>26</v>
      </c>
      <c r="H9920" t="s">
        <v>21</v>
      </c>
      <c r="I9920" t="s">
        <v>20</v>
      </c>
      <c r="J9920" t="s">
        <v>20</v>
      </c>
      <c r="K9920" t="s">
        <v>27</v>
      </c>
      <c r="L9920" t="s">
        <v>64</v>
      </c>
      <c r="M9920" t="s">
        <v>214</v>
      </c>
      <c r="N9920">
        <v>38.241297000000003</v>
      </c>
      <c r="O9920">
        <v>-112.22000800000001</v>
      </c>
      <c r="P9920">
        <v>5949.3904970000003</v>
      </c>
      <c r="Q9920">
        <v>1384</v>
      </c>
      <c r="R9920">
        <v>0</v>
      </c>
    </row>
    <row r="9921" spans="1:18" x14ac:dyDescent="0.25">
      <c r="A9921">
        <v>9770</v>
      </c>
      <c r="B9921">
        <v>94</v>
      </c>
      <c r="C9921" t="e">
        <f>-IoIDKDmI9m2v-RQuP1c5F</f>
        <v>#NAME?</v>
      </c>
      <c r="D9921" t="s">
        <v>272</v>
      </c>
      <c r="E9921">
        <v>164.68299999999999</v>
      </c>
      <c r="F9921" t="s">
        <v>21</v>
      </c>
      <c r="G9921" t="s">
        <v>26</v>
      </c>
      <c r="H9921" t="s">
        <v>21</v>
      </c>
      <c r="I9921" t="s">
        <v>20</v>
      </c>
      <c r="J9921" t="s">
        <v>20</v>
      </c>
      <c r="K9921" t="s">
        <v>27</v>
      </c>
      <c r="L9921" t="s">
        <v>64</v>
      </c>
      <c r="M9921" t="s">
        <v>214</v>
      </c>
      <c r="N9921">
        <v>38.242739</v>
      </c>
      <c r="O9921">
        <v>-112.220043</v>
      </c>
      <c r="P9921">
        <v>5953.2619910000003</v>
      </c>
      <c r="Q9921">
        <v>1384</v>
      </c>
      <c r="R9921">
        <v>0</v>
      </c>
    </row>
    <row r="9922" spans="1:18" x14ac:dyDescent="0.25">
      <c r="A9922">
        <v>9771</v>
      </c>
      <c r="B9922">
        <v>94</v>
      </c>
      <c r="C9922" t="e">
        <f>-IoIDUPGFo56CSikKOGnFF</f>
        <v>#NAME?</v>
      </c>
      <c r="D9922" t="s">
        <v>272</v>
      </c>
      <c r="E9922">
        <v>164.78200000000001</v>
      </c>
      <c r="F9922" t="s">
        <v>21</v>
      </c>
      <c r="G9922" t="s">
        <v>26</v>
      </c>
      <c r="H9922" t="s">
        <v>21</v>
      </c>
      <c r="I9922" t="s">
        <v>20</v>
      </c>
      <c r="J9922" t="s">
        <v>20</v>
      </c>
      <c r="K9922" t="s">
        <v>27</v>
      </c>
      <c r="L9922" t="s">
        <v>64</v>
      </c>
      <c r="M9922" t="s">
        <v>214</v>
      </c>
      <c r="N9922">
        <v>38.24418</v>
      </c>
      <c r="O9922">
        <v>-112.22007000000001</v>
      </c>
      <c r="P9922">
        <v>5958.3389319999997</v>
      </c>
      <c r="Q9922">
        <v>1384</v>
      </c>
      <c r="R9922">
        <v>0</v>
      </c>
    </row>
    <row r="9923" spans="1:18" x14ac:dyDescent="0.25">
      <c r="A9923">
        <v>9772</v>
      </c>
      <c r="B9923">
        <v>94</v>
      </c>
      <c r="C9923" t="s">
        <v>1174</v>
      </c>
      <c r="D9923" t="s">
        <v>272</v>
      </c>
      <c r="E9923">
        <v>164.839</v>
      </c>
      <c r="F9923" t="s">
        <v>21</v>
      </c>
      <c r="G9923" t="s">
        <v>20</v>
      </c>
      <c r="H9923" t="s">
        <v>21</v>
      </c>
      <c r="I9923" t="s">
        <v>20</v>
      </c>
      <c r="J9923" t="s">
        <v>20</v>
      </c>
      <c r="K9923" t="s">
        <v>27</v>
      </c>
      <c r="L9923" t="s">
        <v>64</v>
      </c>
      <c r="M9923" t="s">
        <v>214</v>
      </c>
      <c r="N9923">
        <v>38.245010000000001</v>
      </c>
      <c r="O9923">
        <v>-112.22008099999999</v>
      </c>
      <c r="P9923">
        <v>5961.9280509999999</v>
      </c>
      <c r="Q9923">
        <v>1384</v>
      </c>
      <c r="R9923">
        <v>0</v>
      </c>
    </row>
    <row r="9924" spans="1:18" x14ac:dyDescent="0.25">
      <c r="A9924">
        <v>9773</v>
      </c>
      <c r="B9924">
        <v>94</v>
      </c>
      <c r="C9924">
        <v>1092453</v>
      </c>
      <c r="D9924" t="s">
        <v>195</v>
      </c>
      <c r="E9924">
        <v>0.501</v>
      </c>
      <c r="F9924" t="s">
        <v>21</v>
      </c>
      <c r="G9924" t="s">
        <v>26</v>
      </c>
      <c r="H9924" t="s">
        <v>21</v>
      </c>
      <c r="I9924" t="s">
        <v>20</v>
      </c>
      <c r="J9924" t="s">
        <v>20</v>
      </c>
      <c r="K9924" t="s">
        <v>41</v>
      </c>
      <c r="L9924" t="s">
        <v>57</v>
      </c>
      <c r="M9924" t="s">
        <v>190</v>
      </c>
      <c r="N9924">
        <v>41.089247</v>
      </c>
      <c r="O9924">
        <v>-112.103077</v>
      </c>
      <c r="P9924">
        <v>4176.5245809999997</v>
      </c>
      <c r="Q9924">
        <v>334</v>
      </c>
      <c r="R9924">
        <v>0</v>
      </c>
    </row>
    <row r="9925" spans="1:18" x14ac:dyDescent="0.25">
      <c r="A9925">
        <v>9774</v>
      </c>
      <c r="B9925">
        <v>94</v>
      </c>
      <c r="C9925">
        <v>710280</v>
      </c>
      <c r="D9925" t="s">
        <v>68</v>
      </c>
      <c r="E9925">
        <v>0.502</v>
      </c>
      <c r="F9925" t="s">
        <v>21</v>
      </c>
      <c r="G9925" t="s">
        <v>26</v>
      </c>
      <c r="H9925" t="s">
        <v>21</v>
      </c>
      <c r="I9925" t="s">
        <v>20</v>
      </c>
      <c r="J9925" t="s">
        <v>20</v>
      </c>
      <c r="K9925" t="s">
        <v>31</v>
      </c>
      <c r="L9925" t="s">
        <v>69</v>
      </c>
      <c r="M9925" t="s">
        <v>70</v>
      </c>
      <c r="N9925">
        <v>40.667644000000003</v>
      </c>
      <c r="O9925">
        <v>-111.94424600000001</v>
      </c>
      <c r="P9925">
        <v>4246.3799209999997</v>
      </c>
      <c r="Q9925">
        <v>431</v>
      </c>
      <c r="R9925">
        <v>0</v>
      </c>
    </row>
    <row r="9926" spans="1:18" x14ac:dyDescent="0.25">
      <c r="A9926">
        <v>9775</v>
      </c>
      <c r="B9926">
        <v>94</v>
      </c>
      <c r="C9926">
        <v>31188778</v>
      </c>
      <c r="D9926" t="s">
        <v>309</v>
      </c>
      <c r="E9926">
        <v>0.502</v>
      </c>
      <c r="F9926" t="s">
        <v>21</v>
      </c>
      <c r="G9926" t="s">
        <v>26</v>
      </c>
      <c r="H9926" t="s">
        <v>21</v>
      </c>
      <c r="I9926" t="s">
        <v>20</v>
      </c>
      <c r="J9926" t="s">
        <v>20</v>
      </c>
      <c r="K9926" t="s">
        <v>22</v>
      </c>
      <c r="L9926" t="s">
        <v>198</v>
      </c>
      <c r="M9926" t="s">
        <v>125</v>
      </c>
      <c r="N9926">
        <v>40.048259999999999</v>
      </c>
      <c r="O9926">
        <v>-111.78733699999999</v>
      </c>
      <c r="P9926">
        <v>4518.3324430000002</v>
      </c>
      <c r="Q9926">
        <v>339</v>
      </c>
      <c r="R9926">
        <v>0</v>
      </c>
    </row>
    <row r="9927" spans="1:18" x14ac:dyDescent="0.25">
      <c r="A9927">
        <v>9776</v>
      </c>
      <c r="B9927">
        <v>94</v>
      </c>
      <c r="C9927" t="e">
        <f>-IrAxpM6IyH3ix4bhQwxlF</f>
        <v>#NAME?</v>
      </c>
      <c r="D9927" t="s">
        <v>92</v>
      </c>
      <c r="E9927">
        <v>0.503</v>
      </c>
      <c r="F9927" t="s">
        <v>19</v>
      </c>
      <c r="G9927" t="s">
        <v>20</v>
      </c>
      <c r="H9927" t="s">
        <v>21</v>
      </c>
      <c r="I9927" t="s">
        <v>20</v>
      </c>
      <c r="J9927" t="s">
        <v>20</v>
      </c>
      <c r="K9927" t="s">
        <v>41</v>
      </c>
      <c r="L9927" t="s">
        <v>87</v>
      </c>
      <c r="M9927" t="s">
        <v>93</v>
      </c>
      <c r="N9927">
        <v>41.077956999999998</v>
      </c>
      <c r="O9927">
        <v>-111.97350900000001</v>
      </c>
      <c r="P9927">
        <v>4385.9578140000003</v>
      </c>
      <c r="Q9927">
        <v>252</v>
      </c>
      <c r="R9927">
        <v>0</v>
      </c>
    </row>
    <row r="9928" spans="1:18" x14ac:dyDescent="0.25">
      <c r="A9928">
        <v>9777</v>
      </c>
      <c r="B9928">
        <v>94</v>
      </c>
      <c r="C9928">
        <v>751728</v>
      </c>
      <c r="D9928" t="s">
        <v>86</v>
      </c>
      <c r="E9928">
        <v>0.503</v>
      </c>
      <c r="F9928" t="s">
        <v>19</v>
      </c>
      <c r="G9928" t="s">
        <v>20</v>
      </c>
      <c r="H9928" t="s">
        <v>21</v>
      </c>
      <c r="I9928" t="s">
        <v>20</v>
      </c>
      <c r="J9928" t="s">
        <v>20</v>
      </c>
      <c r="K9928" t="s">
        <v>41</v>
      </c>
      <c r="L9928" t="s">
        <v>87</v>
      </c>
      <c r="M9928" t="s">
        <v>58</v>
      </c>
      <c r="N9928">
        <v>41.016134000000001</v>
      </c>
      <c r="O9928">
        <v>-111.918147</v>
      </c>
      <c r="P9928">
        <v>4332.8419180000001</v>
      </c>
      <c r="Q9928">
        <v>258</v>
      </c>
      <c r="R9928">
        <v>0</v>
      </c>
    </row>
    <row r="9929" spans="1:18" x14ac:dyDescent="0.25">
      <c r="A9929">
        <v>9778</v>
      </c>
      <c r="B9929">
        <v>94</v>
      </c>
      <c r="C9929">
        <v>31415266</v>
      </c>
      <c r="D9929" t="s">
        <v>107</v>
      </c>
      <c r="E9929">
        <v>0.504</v>
      </c>
      <c r="F9929" t="s">
        <v>21</v>
      </c>
      <c r="G9929" t="s">
        <v>26</v>
      </c>
      <c r="H9929" t="s">
        <v>21</v>
      </c>
      <c r="I9929" t="s">
        <v>20</v>
      </c>
      <c r="J9929" t="s">
        <v>20</v>
      </c>
      <c r="K9929" t="s">
        <v>41</v>
      </c>
      <c r="L9929" t="s">
        <v>81</v>
      </c>
      <c r="M9929" t="s">
        <v>93</v>
      </c>
      <c r="N9929">
        <v>41.199877999999998</v>
      </c>
      <c r="O9929">
        <v>-111.979366</v>
      </c>
      <c r="P9929">
        <v>4274.2925429999996</v>
      </c>
      <c r="Q9929">
        <v>413</v>
      </c>
      <c r="R9929">
        <v>0</v>
      </c>
    </row>
    <row r="9930" spans="1:18" x14ac:dyDescent="0.25">
      <c r="A9930">
        <v>9779</v>
      </c>
      <c r="B9930">
        <v>94</v>
      </c>
      <c r="C9930">
        <v>613710</v>
      </c>
      <c r="D9930" t="s">
        <v>47</v>
      </c>
      <c r="E9930">
        <v>0.504</v>
      </c>
      <c r="F9930" t="s">
        <v>21</v>
      </c>
      <c r="G9930" t="s">
        <v>26</v>
      </c>
      <c r="H9930" t="s">
        <v>21</v>
      </c>
      <c r="I9930" t="s">
        <v>20</v>
      </c>
      <c r="J9930" t="s">
        <v>20</v>
      </c>
      <c r="K9930" t="s">
        <v>31</v>
      </c>
      <c r="L9930" t="s">
        <v>48</v>
      </c>
      <c r="M9930" t="s">
        <v>49</v>
      </c>
      <c r="N9930">
        <v>40.544141000000003</v>
      </c>
      <c r="O9930">
        <v>-111.974424</v>
      </c>
      <c r="P9930">
        <v>4573.219497</v>
      </c>
      <c r="Q9930">
        <v>6715</v>
      </c>
      <c r="R9930">
        <v>0</v>
      </c>
    </row>
    <row r="9931" spans="1:18" x14ac:dyDescent="0.25">
      <c r="A9931">
        <v>9780</v>
      </c>
      <c r="B9931">
        <v>94</v>
      </c>
      <c r="C9931">
        <v>1035818</v>
      </c>
      <c r="D9931" t="s">
        <v>127</v>
      </c>
      <c r="E9931">
        <v>0.504</v>
      </c>
      <c r="F9931" t="s">
        <v>21</v>
      </c>
      <c r="G9931" t="s">
        <v>26</v>
      </c>
      <c r="H9931" t="s">
        <v>21</v>
      </c>
      <c r="I9931" t="s">
        <v>20</v>
      </c>
      <c r="J9931" t="s">
        <v>20</v>
      </c>
      <c r="K9931" t="s">
        <v>41</v>
      </c>
      <c r="L9931" t="s">
        <v>95</v>
      </c>
      <c r="M9931" t="s">
        <v>73</v>
      </c>
      <c r="N9931">
        <v>41.9754</v>
      </c>
      <c r="O9931">
        <v>-111.944258</v>
      </c>
      <c r="P9931">
        <v>4428.5106619999997</v>
      </c>
      <c r="Q9931">
        <v>1364</v>
      </c>
      <c r="R9931">
        <v>0</v>
      </c>
    </row>
    <row r="9932" spans="1:18" x14ac:dyDescent="0.25">
      <c r="A9932">
        <v>9781</v>
      </c>
      <c r="B9932">
        <v>94</v>
      </c>
      <c r="C9932">
        <v>31193484</v>
      </c>
      <c r="D9932" t="s">
        <v>374</v>
      </c>
      <c r="E9932">
        <v>0.505</v>
      </c>
      <c r="F9932" t="s">
        <v>21</v>
      </c>
      <c r="G9932" t="s">
        <v>26</v>
      </c>
      <c r="H9932" t="s">
        <v>21</v>
      </c>
      <c r="I9932" t="s">
        <v>20</v>
      </c>
      <c r="J9932" t="s">
        <v>20</v>
      </c>
      <c r="K9932" t="s">
        <v>22</v>
      </c>
      <c r="L9932" t="s">
        <v>234</v>
      </c>
      <c r="M9932" t="s">
        <v>169</v>
      </c>
      <c r="N9932">
        <v>40.377127999999999</v>
      </c>
      <c r="O9932">
        <v>-109.34573899999999</v>
      </c>
      <c r="P9932">
        <v>4716.1070719999998</v>
      </c>
      <c r="Q9932">
        <v>1422</v>
      </c>
      <c r="R9932">
        <v>0</v>
      </c>
    </row>
    <row r="9933" spans="1:18" x14ac:dyDescent="0.25">
      <c r="A9933">
        <v>9782</v>
      </c>
      <c r="B9933">
        <v>94</v>
      </c>
      <c r="C9933">
        <v>31189945</v>
      </c>
      <c r="D9933" t="s">
        <v>414</v>
      </c>
      <c r="E9933">
        <v>0.505</v>
      </c>
      <c r="F9933" t="s">
        <v>21</v>
      </c>
      <c r="G9933" t="s">
        <v>26</v>
      </c>
      <c r="H9933" t="s">
        <v>21</v>
      </c>
      <c r="I9933" t="s">
        <v>20</v>
      </c>
      <c r="J9933" t="s">
        <v>20</v>
      </c>
      <c r="K9933" t="s">
        <v>27</v>
      </c>
      <c r="L9933" t="s">
        <v>350</v>
      </c>
      <c r="M9933" t="s">
        <v>58</v>
      </c>
      <c r="N9933">
        <v>39.141831000000003</v>
      </c>
      <c r="O9933">
        <v>-111.80943600000001</v>
      </c>
      <c r="P9933">
        <v>5052.7918710000004</v>
      </c>
      <c r="Q9933">
        <v>336</v>
      </c>
      <c r="R9933">
        <v>0</v>
      </c>
    </row>
    <row r="9934" spans="1:18" x14ac:dyDescent="0.25">
      <c r="A9934">
        <v>9783</v>
      </c>
      <c r="B9934">
        <v>94</v>
      </c>
      <c r="C9934">
        <v>31657141</v>
      </c>
      <c r="D9934" t="s">
        <v>156</v>
      </c>
      <c r="E9934">
        <v>0.50600000000000001</v>
      </c>
      <c r="F9934" t="s">
        <v>19</v>
      </c>
      <c r="G9934" t="s">
        <v>20</v>
      </c>
      <c r="H9934" t="s">
        <v>21</v>
      </c>
      <c r="I9934" t="s">
        <v>20</v>
      </c>
      <c r="J9934" t="s">
        <v>20</v>
      </c>
      <c r="K9934" t="s">
        <v>41</v>
      </c>
      <c r="L9934" t="s">
        <v>81</v>
      </c>
      <c r="M9934" t="s">
        <v>93</v>
      </c>
      <c r="N9934">
        <v>41.266641</v>
      </c>
      <c r="O9934">
        <v>-111.969521</v>
      </c>
      <c r="P9934">
        <v>4249.6514090000001</v>
      </c>
      <c r="Q9934">
        <v>424</v>
      </c>
      <c r="R9934">
        <v>0</v>
      </c>
    </row>
    <row r="9935" spans="1:18" x14ac:dyDescent="0.25">
      <c r="A9935">
        <v>9784</v>
      </c>
      <c r="B9935">
        <v>94</v>
      </c>
      <c r="C9935">
        <v>963932</v>
      </c>
      <c r="D9935" t="s">
        <v>175</v>
      </c>
      <c r="E9935">
        <v>0.50700000000000001</v>
      </c>
      <c r="F9935" t="s">
        <v>21</v>
      </c>
      <c r="G9935" t="s">
        <v>26</v>
      </c>
      <c r="H9935" t="s">
        <v>21</v>
      </c>
      <c r="I9935" t="s">
        <v>20</v>
      </c>
      <c r="J9935" t="s">
        <v>20</v>
      </c>
      <c r="K9935" t="s">
        <v>41</v>
      </c>
      <c r="L9935" t="s">
        <v>87</v>
      </c>
      <c r="M9935" t="s">
        <v>93</v>
      </c>
      <c r="N9935">
        <v>41.060088999999998</v>
      </c>
      <c r="O9935">
        <v>-111.95637600000001</v>
      </c>
      <c r="P9935">
        <v>4309.3062280000004</v>
      </c>
      <c r="Q9935">
        <v>1397</v>
      </c>
      <c r="R9935">
        <v>0</v>
      </c>
    </row>
    <row r="9936" spans="1:18" x14ac:dyDescent="0.25">
      <c r="A9936">
        <v>9785</v>
      </c>
      <c r="B9936">
        <v>94</v>
      </c>
      <c r="C9936">
        <v>31190738</v>
      </c>
      <c r="D9936" t="s">
        <v>310</v>
      </c>
      <c r="E9936">
        <v>0.50700000000000001</v>
      </c>
      <c r="F9936" t="s">
        <v>21</v>
      </c>
      <c r="G9936" t="s">
        <v>26</v>
      </c>
      <c r="H9936" t="s">
        <v>19</v>
      </c>
      <c r="I9936">
        <v>80</v>
      </c>
      <c r="J9936" t="s">
        <v>20</v>
      </c>
      <c r="K9936" t="s">
        <v>31</v>
      </c>
      <c r="L9936" t="s">
        <v>285</v>
      </c>
      <c r="M9936" t="s">
        <v>206</v>
      </c>
      <c r="N9936">
        <v>40.704836999999998</v>
      </c>
      <c r="O9936">
        <v>-112.530044</v>
      </c>
      <c r="P9936">
        <v>4161.862803</v>
      </c>
      <c r="Q9936">
        <v>1414</v>
      </c>
      <c r="R9936">
        <v>0</v>
      </c>
    </row>
    <row r="9937" spans="1:18" x14ac:dyDescent="0.25">
      <c r="A9937">
        <v>9786</v>
      </c>
      <c r="B9937">
        <v>94</v>
      </c>
      <c r="C9937">
        <v>31633209</v>
      </c>
      <c r="D9937" t="s">
        <v>113</v>
      </c>
      <c r="E9937">
        <v>0.41499999999999998</v>
      </c>
      <c r="F9937" t="s">
        <v>21</v>
      </c>
      <c r="G9937" t="s">
        <v>26</v>
      </c>
      <c r="H9937" t="s">
        <v>21</v>
      </c>
      <c r="I9937" t="s">
        <v>20</v>
      </c>
      <c r="J9937" t="s">
        <v>20</v>
      </c>
      <c r="K9937" t="s">
        <v>41</v>
      </c>
      <c r="L9937" t="s">
        <v>87</v>
      </c>
      <c r="M9937" t="s">
        <v>58</v>
      </c>
      <c r="N9937">
        <v>41.171232000000003</v>
      </c>
      <c r="O9937">
        <v>-112.005764</v>
      </c>
      <c r="P9937">
        <v>4322.2731750000003</v>
      </c>
      <c r="Q9937">
        <v>1363</v>
      </c>
      <c r="R9937">
        <v>0</v>
      </c>
    </row>
    <row r="9938" spans="1:18" x14ac:dyDescent="0.25">
      <c r="A9938">
        <v>9787</v>
      </c>
      <c r="B9938">
        <v>94</v>
      </c>
      <c r="C9938">
        <v>31600056</v>
      </c>
      <c r="D9938" t="s">
        <v>232</v>
      </c>
      <c r="E9938">
        <v>0.91100000000000003</v>
      </c>
      <c r="F9938" t="s">
        <v>21</v>
      </c>
      <c r="G9938" t="s">
        <v>26</v>
      </c>
      <c r="H9938" t="s">
        <v>21</v>
      </c>
      <c r="I9938" t="s">
        <v>20</v>
      </c>
      <c r="J9938" t="s">
        <v>20</v>
      </c>
      <c r="K9938" t="s">
        <v>31</v>
      </c>
      <c r="L9938" t="s">
        <v>209</v>
      </c>
      <c r="M9938" t="s">
        <v>131</v>
      </c>
      <c r="N9938">
        <v>40.667064000000003</v>
      </c>
      <c r="O9938">
        <v>-111.49505600000001</v>
      </c>
      <c r="P9938">
        <v>6699.3546530000003</v>
      </c>
      <c r="Q9938">
        <v>1279</v>
      </c>
      <c r="R9938">
        <v>0</v>
      </c>
    </row>
    <row r="9939" spans="1:18" x14ac:dyDescent="0.25">
      <c r="A9939">
        <v>9788</v>
      </c>
      <c r="B9939">
        <v>94</v>
      </c>
      <c r="C9939">
        <v>31612551</v>
      </c>
      <c r="D9939" t="s">
        <v>217</v>
      </c>
      <c r="E9939">
        <v>0.91200000000000003</v>
      </c>
      <c r="F9939" t="s">
        <v>21</v>
      </c>
      <c r="G9939" t="s">
        <v>26</v>
      </c>
      <c r="H9939" t="s">
        <v>21</v>
      </c>
      <c r="I9939" t="s">
        <v>20</v>
      </c>
      <c r="J9939" t="s">
        <v>20</v>
      </c>
      <c r="K9939" t="s">
        <v>27</v>
      </c>
      <c r="L9939" t="s">
        <v>72</v>
      </c>
      <c r="M9939" t="s">
        <v>163</v>
      </c>
      <c r="N9939">
        <v>37.094244000000003</v>
      </c>
      <c r="O9939">
        <v>-113.586371</v>
      </c>
      <c r="P9939">
        <v>2541.034811</v>
      </c>
      <c r="Q9939">
        <v>304</v>
      </c>
      <c r="R9939">
        <v>0</v>
      </c>
    </row>
    <row r="9940" spans="1:18" x14ac:dyDescent="0.25">
      <c r="A9940">
        <v>9789</v>
      </c>
      <c r="B9940">
        <v>94</v>
      </c>
      <c r="C9940">
        <v>27519045</v>
      </c>
      <c r="D9940" t="s">
        <v>157</v>
      </c>
      <c r="E9940">
        <v>0.91300000000000003</v>
      </c>
      <c r="F9940" t="s">
        <v>19</v>
      </c>
      <c r="G9940" t="s">
        <v>20</v>
      </c>
      <c r="H9940" t="s">
        <v>19</v>
      </c>
      <c r="I9940">
        <v>10</v>
      </c>
      <c r="J9940" t="s">
        <v>20</v>
      </c>
      <c r="K9940" t="s">
        <v>27</v>
      </c>
      <c r="L9940" t="s">
        <v>158</v>
      </c>
      <c r="M9940" t="s">
        <v>159</v>
      </c>
      <c r="N9940">
        <v>39.600991999999998</v>
      </c>
      <c r="O9940">
        <v>-110.811279</v>
      </c>
      <c r="P9940">
        <v>5512.791526</v>
      </c>
      <c r="Q9940">
        <v>1360</v>
      </c>
      <c r="R9940">
        <v>0</v>
      </c>
    </row>
    <row r="9941" spans="1:18" x14ac:dyDescent="0.25">
      <c r="A9941">
        <v>9790</v>
      </c>
      <c r="B9941">
        <v>94</v>
      </c>
      <c r="C9941">
        <v>1368918</v>
      </c>
      <c r="D9941" t="s">
        <v>363</v>
      </c>
      <c r="E9941">
        <v>0.91400000000000003</v>
      </c>
      <c r="F9941" t="s">
        <v>21</v>
      </c>
      <c r="G9941" t="s">
        <v>26</v>
      </c>
      <c r="H9941" t="s">
        <v>21</v>
      </c>
      <c r="I9941" t="s">
        <v>20</v>
      </c>
      <c r="J9941" t="s">
        <v>20</v>
      </c>
      <c r="K9941" t="s">
        <v>41</v>
      </c>
      <c r="L9941" t="s">
        <v>95</v>
      </c>
      <c r="M9941" t="s">
        <v>73</v>
      </c>
      <c r="N9941">
        <v>41.849572000000002</v>
      </c>
      <c r="O9941">
        <v>-111.969089</v>
      </c>
      <c r="P9941">
        <v>4448.7295109999995</v>
      </c>
      <c r="Q9941">
        <v>356</v>
      </c>
      <c r="R9941">
        <v>0</v>
      </c>
    </row>
    <row r="9942" spans="1:18" x14ac:dyDescent="0.25">
      <c r="A9942">
        <v>9791</v>
      </c>
      <c r="B9942">
        <v>94</v>
      </c>
      <c r="C9942">
        <v>31849322</v>
      </c>
      <c r="D9942" t="s">
        <v>179</v>
      </c>
      <c r="E9942">
        <v>0.91400000000000003</v>
      </c>
      <c r="F9942" t="s">
        <v>19</v>
      </c>
      <c r="G9942" t="s">
        <v>20</v>
      </c>
      <c r="H9942" t="s">
        <v>19</v>
      </c>
      <c r="I9942">
        <v>89</v>
      </c>
      <c r="J9942" t="s">
        <v>20</v>
      </c>
      <c r="K9942" t="s">
        <v>31</v>
      </c>
      <c r="L9942" t="s">
        <v>66</v>
      </c>
      <c r="M9942" t="s">
        <v>67</v>
      </c>
      <c r="N9942">
        <v>40.756317000000003</v>
      </c>
      <c r="O9942">
        <v>-111.88824</v>
      </c>
      <c r="P9942">
        <v>4193.4275029999999</v>
      </c>
      <c r="Q9942">
        <v>362</v>
      </c>
      <c r="R9942">
        <v>0</v>
      </c>
    </row>
    <row r="9943" spans="1:18" x14ac:dyDescent="0.25">
      <c r="A9943">
        <v>9792</v>
      </c>
      <c r="B9943">
        <v>94</v>
      </c>
      <c r="C9943">
        <v>1397212</v>
      </c>
      <c r="D9943" t="s">
        <v>88</v>
      </c>
      <c r="E9943">
        <v>0.92300000000000004</v>
      </c>
      <c r="F9943" t="s">
        <v>21</v>
      </c>
      <c r="G9943" t="s">
        <v>26</v>
      </c>
      <c r="H9943" t="s">
        <v>21</v>
      </c>
      <c r="I9943" t="s">
        <v>20</v>
      </c>
      <c r="J9943" t="s">
        <v>20</v>
      </c>
      <c r="K9943" t="s">
        <v>31</v>
      </c>
      <c r="L9943" t="s">
        <v>89</v>
      </c>
      <c r="M9943" t="s">
        <v>90</v>
      </c>
      <c r="N9943">
        <v>40.522339000000002</v>
      </c>
      <c r="O9943">
        <v>-111.96638400000001</v>
      </c>
      <c r="P9943">
        <v>4498.1268</v>
      </c>
      <c r="Q9943">
        <v>318</v>
      </c>
      <c r="R9943">
        <v>0</v>
      </c>
    </row>
    <row r="9944" spans="1:18" x14ac:dyDescent="0.25">
      <c r="A9944">
        <v>9793</v>
      </c>
      <c r="B9944">
        <v>94</v>
      </c>
      <c r="C9944">
        <v>31266469</v>
      </c>
      <c r="D9944" t="s">
        <v>403</v>
      </c>
      <c r="E9944">
        <v>0.92300000000000004</v>
      </c>
      <c r="F9944" t="s">
        <v>21</v>
      </c>
      <c r="G9944" t="s">
        <v>26</v>
      </c>
      <c r="H9944" t="s">
        <v>21</v>
      </c>
      <c r="I9944" t="s">
        <v>20</v>
      </c>
      <c r="J9944" t="s">
        <v>20</v>
      </c>
      <c r="K9944" t="s">
        <v>27</v>
      </c>
      <c r="L9944" t="s">
        <v>72</v>
      </c>
      <c r="M9944" t="s">
        <v>73</v>
      </c>
      <c r="N9944">
        <v>37.124290999999999</v>
      </c>
      <c r="O9944">
        <v>-113.607097</v>
      </c>
      <c r="P9944">
        <v>2786.2670990000001</v>
      </c>
      <c r="Q9944">
        <v>303</v>
      </c>
      <c r="R9944">
        <v>0</v>
      </c>
    </row>
    <row r="9945" spans="1:18" x14ac:dyDescent="0.25">
      <c r="A9945">
        <v>9794</v>
      </c>
      <c r="B9945">
        <v>94</v>
      </c>
      <c r="C9945">
        <v>27644538</v>
      </c>
      <c r="D9945" t="s">
        <v>196</v>
      </c>
      <c r="E9945">
        <v>0.92300000000000004</v>
      </c>
      <c r="F9945" t="s">
        <v>21</v>
      </c>
      <c r="G9945" t="s">
        <v>26</v>
      </c>
      <c r="H9945" t="s">
        <v>21</v>
      </c>
      <c r="I9945" t="s">
        <v>20</v>
      </c>
      <c r="J9945" t="s">
        <v>20</v>
      </c>
      <c r="K9945" t="s">
        <v>27</v>
      </c>
      <c r="L9945" t="s">
        <v>72</v>
      </c>
      <c r="M9945" t="s">
        <v>73</v>
      </c>
      <c r="N9945">
        <v>37.109884000000001</v>
      </c>
      <c r="O9945">
        <v>-113.576939</v>
      </c>
      <c r="P9945">
        <v>2668.0365029999998</v>
      </c>
      <c r="Q9945">
        <v>308</v>
      </c>
      <c r="R9945">
        <v>0</v>
      </c>
    </row>
    <row r="9946" spans="1:18" x14ac:dyDescent="0.25">
      <c r="A9946">
        <v>9795</v>
      </c>
      <c r="B9946">
        <v>94</v>
      </c>
      <c r="C9946">
        <v>1083328</v>
      </c>
      <c r="D9946" t="s">
        <v>367</v>
      </c>
      <c r="E9946">
        <v>0.92400000000000004</v>
      </c>
      <c r="F9946" t="s">
        <v>21</v>
      </c>
      <c r="G9946" t="s">
        <v>26</v>
      </c>
      <c r="H9946" t="s">
        <v>21</v>
      </c>
      <c r="I9946" t="s">
        <v>20</v>
      </c>
      <c r="J9946" t="s">
        <v>20</v>
      </c>
      <c r="K9946" t="s">
        <v>41</v>
      </c>
      <c r="L9946" t="s">
        <v>177</v>
      </c>
      <c r="M9946" t="s">
        <v>368</v>
      </c>
      <c r="N9946">
        <v>41.422232999999999</v>
      </c>
      <c r="O9946">
        <v>-112.051908</v>
      </c>
      <c r="P9946">
        <v>4198.3616510000002</v>
      </c>
      <c r="Q9946">
        <v>266</v>
      </c>
      <c r="R9946">
        <v>0</v>
      </c>
    </row>
    <row r="9947" spans="1:18" x14ac:dyDescent="0.25">
      <c r="A9947">
        <v>9796</v>
      </c>
      <c r="B9947">
        <v>94</v>
      </c>
      <c r="C9947">
        <v>2516980</v>
      </c>
      <c r="D9947" t="s">
        <v>176</v>
      </c>
      <c r="E9947">
        <v>0.24399999999999999</v>
      </c>
      <c r="F9947" t="s">
        <v>19</v>
      </c>
      <c r="G9947" t="s">
        <v>20</v>
      </c>
      <c r="H9947" t="s">
        <v>21</v>
      </c>
      <c r="I9947" t="s">
        <v>20</v>
      </c>
      <c r="J9947" t="s">
        <v>20</v>
      </c>
      <c r="K9947" t="s">
        <v>41</v>
      </c>
      <c r="L9947" t="s">
        <v>177</v>
      </c>
      <c r="M9947" t="s">
        <v>178</v>
      </c>
      <c r="N9947">
        <v>41.490105999999997</v>
      </c>
      <c r="O9947">
        <v>-112.016169</v>
      </c>
      <c r="P9947">
        <v>4291.6848030000001</v>
      </c>
      <c r="Q9947">
        <v>1329</v>
      </c>
      <c r="R9947">
        <v>0</v>
      </c>
    </row>
    <row r="9948" spans="1:18" x14ac:dyDescent="0.25">
      <c r="A9948">
        <v>9797</v>
      </c>
      <c r="B9948">
        <v>94</v>
      </c>
      <c r="C9948">
        <v>31463416</v>
      </c>
      <c r="D9948" t="s">
        <v>710</v>
      </c>
      <c r="E9948">
        <v>0.245</v>
      </c>
      <c r="F9948" t="s">
        <v>21</v>
      </c>
      <c r="G9948" t="s">
        <v>26</v>
      </c>
      <c r="H9948" t="s">
        <v>21</v>
      </c>
      <c r="I9948" t="s">
        <v>20</v>
      </c>
      <c r="J9948" t="s">
        <v>20</v>
      </c>
      <c r="K9948" t="s">
        <v>22</v>
      </c>
      <c r="L9948" t="s">
        <v>35</v>
      </c>
      <c r="M9948" t="s">
        <v>169</v>
      </c>
      <c r="N9948">
        <v>40.626544000000003</v>
      </c>
      <c r="O9948">
        <v>-111.437803</v>
      </c>
      <c r="P9948">
        <v>6361.644593</v>
      </c>
      <c r="Q9948">
        <v>369</v>
      </c>
      <c r="R9948">
        <v>0</v>
      </c>
    </row>
    <row r="9949" spans="1:18" x14ac:dyDescent="0.25">
      <c r="A9949">
        <v>9798</v>
      </c>
      <c r="B9949">
        <v>94</v>
      </c>
      <c r="C9949" t="s">
        <v>1175</v>
      </c>
      <c r="D9949" t="s">
        <v>107</v>
      </c>
      <c r="E9949">
        <v>0.247</v>
      </c>
      <c r="F9949" t="s">
        <v>21</v>
      </c>
      <c r="G9949" t="s">
        <v>26</v>
      </c>
      <c r="H9949" t="s">
        <v>21</v>
      </c>
      <c r="I9949" t="s">
        <v>20</v>
      </c>
      <c r="J9949" t="s">
        <v>20</v>
      </c>
      <c r="K9949" t="s">
        <v>41</v>
      </c>
      <c r="L9949" t="s">
        <v>81</v>
      </c>
      <c r="M9949" t="s">
        <v>93</v>
      </c>
      <c r="N9949">
        <v>41.196103000000001</v>
      </c>
      <c r="O9949">
        <v>-111.97943600000001</v>
      </c>
      <c r="P9949">
        <v>4285.936471</v>
      </c>
      <c r="Q9949">
        <v>413</v>
      </c>
      <c r="R9949">
        <v>0</v>
      </c>
    </row>
    <row r="9950" spans="1:18" x14ac:dyDescent="0.25">
      <c r="A9950">
        <v>9799</v>
      </c>
      <c r="B9950">
        <v>94</v>
      </c>
      <c r="C9950">
        <v>31528698</v>
      </c>
      <c r="D9950" t="s">
        <v>716</v>
      </c>
      <c r="E9950">
        <v>0.25</v>
      </c>
      <c r="F9950" t="s">
        <v>21</v>
      </c>
      <c r="G9950" t="s">
        <v>26</v>
      </c>
      <c r="H9950" t="s">
        <v>21</v>
      </c>
      <c r="I9950" t="s">
        <v>20</v>
      </c>
      <c r="J9950" t="s">
        <v>20</v>
      </c>
      <c r="K9950" t="s">
        <v>27</v>
      </c>
      <c r="L9950" t="s">
        <v>51</v>
      </c>
      <c r="M9950" t="s">
        <v>106</v>
      </c>
      <c r="N9950">
        <v>37.845858</v>
      </c>
      <c r="O9950">
        <v>-112.82769</v>
      </c>
      <c r="P9950">
        <v>5919.281054</v>
      </c>
      <c r="Q9950">
        <v>433</v>
      </c>
      <c r="R9950">
        <v>0</v>
      </c>
    </row>
    <row r="9951" spans="1:18" x14ac:dyDescent="0.25">
      <c r="A9951">
        <v>9800</v>
      </c>
      <c r="B9951">
        <v>94</v>
      </c>
      <c r="C9951">
        <v>27337141</v>
      </c>
      <c r="D9951" t="s">
        <v>185</v>
      </c>
      <c r="E9951">
        <v>0.25</v>
      </c>
      <c r="F9951" t="s">
        <v>19</v>
      </c>
      <c r="G9951" t="s">
        <v>20</v>
      </c>
      <c r="H9951" t="s">
        <v>21</v>
      </c>
      <c r="I9951" t="s">
        <v>20</v>
      </c>
      <c r="J9951" t="s">
        <v>20</v>
      </c>
      <c r="K9951" t="s">
        <v>41</v>
      </c>
      <c r="L9951" t="s">
        <v>57</v>
      </c>
      <c r="M9951" t="s">
        <v>58</v>
      </c>
      <c r="N9951">
        <v>41.139876000000001</v>
      </c>
      <c r="O9951">
        <v>-112.03085900000001</v>
      </c>
      <c r="P9951">
        <v>4449.4890059999998</v>
      </c>
      <c r="Q9951">
        <v>309</v>
      </c>
      <c r="R9951">
        <v>0</v>
      </c>
    </row>
    <row r="9952" spans="1:18" x14ac:dyDescent="0.25">
      <c r="A9952">
        <v>9801</v>
      </c>
      <c r="B9952">
        <v>94</v>
      </c>
      <c r="C9952" t="s">
        <v>1176</v>
      </c>
      <c r="D9952" t="s">
        <v>436</v>
      </c>
      <c r="E9952">
        <v>0.251</v>
      </c>
      <c r="F9952" t="s">
        <v>21</v>
      </c>
      <c r="G9952" t="s">
        <v>20</v>
      </c>
      <c r="H9952" t="s">
        <v>21</v>
      </c>
      <c r="I9952" t="s">
        <v>20</v>
      </c>
      <c r="J9952" t="s">
        <v>20</v>
      </c>
      <c r="K9952" t="s">
        <v>22</v>
      </c>
      <c r="L9952" t="s">
        <v>234</v>
      </c>
      <c r="M9952" t="s">
        <v>98</v>
      </c>
      <c r="N9952">
        <v>40.517659000000002</v>
      </c>
      <c r="O9952">
        <v>-109.54262300000001</v>
      </c>
      <c r="P9952">
        <v>5496.7530909999996</v>
      </c>
      <c r="Q9952">
        <v>441</v>
      </c>
      <c r="R9952">
        <v>0</v>
      </c>
    </row>
    <row r="9953" spans="1:18" x14ac:dyDescent="0.25">
      <c r="A9953">
        <v>9802</v>
      </c>
      <c r="B9953">
        <v>94</v>
      </c>
      <c r="C9953" t="e">
        <f>-IoI7Pp7G_ywMEhJYNgjkk</f>
        <v>#NAME?</v>
      </c>
      <c r="D9953" t="s">
        <v>408</v>
      </c>
      <c r="E9953">
        <v>0.251</v>
      </c>
      <c r="F9953" t="s">
        <v>21</v>
      </c>
      <c r="G9953" t="s">
        <v>26</v>
      </c>
      <c r="H9953" t="s">
        <v>21</v>
      </c>
      <c r="I9953" t="s">
        <v>20</v>
      </c>
      <c r="J9953" t="s">
        <v>20</v>
      </c>
      <c r="K9953" t="s">
        <v>27</v>
      </c>
      <c r="L9953" t="s">
        <v>75</v>
      </c>
      <c r="M9953" t="s">
        <v>366</v>
      </c>
      <c r="N9953">
        <v>38.682983999999998</v>
      </c>
      <c r="O9953">
        <v>-112.152676</v>
      </c>
      <c r="P9953">
        <v>5283.1953700000004</v>
      </c>
      <c r="Q9953">
        <v>428</v>
      </c>
      <c r="R9953">
        <v>0</v>
      </c>
    </row>
    <row r="9954" spans="1:18" x14ac:dyDescent="0.25">
      <c r="A9954">
        <v>9803</v>
      </c>
      <c r="B9954">
        <v>94</v>
      </c>
      <c r="C9954">
        <v>31517374</v>
      </c>
      <c r="D9954" t="s">
        <v>396</v>
      </c>
      <c r="E9954">
        <v>0.251</v>
      </c>
      <c r="F9954" t="s">
        <v>21</v>
      </c>
      <c r="G9954" t="s">
        <v>26</v>
      </c>
      <c r="H9954" t="s">
        <v>21</v>
      </c>
      <c r="I9954" t="s">
        <v>20</v>
      </c>
      <c r="J9954" t="s">
        <v>20</v>
      </c>
      <c r="K9954" t="s">
        <v>41</v>
      </c>
      <c r="L9954" t="s">
        <v>255</v>
      </c>
      <c r="M9954" t="s">
        <v>138</v>
      </c>
      <c r="N9954">
        <v>41.138990999999997</v>
      </c>
      <c r="O9954">
        <v>-111.825254</v>
      </c>
      <c r="P9954">
        <v>4797.6796320000003</v>
      </c>
      <c r="Q9954">
        <v>1434</v>
      </c>
      <c r="R9954">
        <v>0</v>
      </c>
    </row>
    <row r="9955" spans="1:18" x14ac:dyDescent="0.25">
      <c r="A9955">
        <v>9804</v>
      </c>
      <c r="B9955">
        <v>94</v>
      </c>
      <c r="C9955">
        <v>531773</v>
      </c>
      <c r="D9955" t="s">
        <v>77</v>
      </c>
      <c r="E9955">
        <v>0.252</v>
      </c>
      <c r="F9955" t="s">
        <v>21</v>
      </c>
      <c r="G9955" t="s">
        <v>26</v>
      </c>
      <c r="H9955" t="s">
        <v>21</v>
      </c>
      <c r="I9955" t="s">
        <v>20</v>
      </c>
      <c r="J9955" t="s">
        <v>20</v>
      </c>
      <c r="K9955" t="s">
        <v>31</v>
      </c>
      <c r="L9955" t="s">
        <v>48</v>
      </c>
      <c r="M9955" t="s">
        <v>79</v>
      </c>
      <c r="N9955">
        <v>40.642223000000001</v>
      </c>
      <c r="O9955">
        <v>-112.024584</v>
      </c>
      <c r="P9955">
        <v>4764.6426110000002</v>
      </c>
      <c r="Q9955">
        <v>1436</v>
      </c>
      <c r="R9955">
        <v>0</v>
      </c>
    </row>
    <row r="9956" spans="1:18" x14ac:dyDescent="0.25">
      <c r="A9956">
        <v>9805</v>
      </c>
      <c r="B9956">
        <v>94</v>
      </c>
      <c r="C9956">
        <v>31390245</v>
      </c>
      <c r="D9956" t="s">
        <v>124</v>
      </c>
      <c r="E9956">
        <v>0.253</v>
      </c>
      <c r="F9956" t="s">
        <v>21</v>
      </c>
      <c r="G9956" t="s">
        <v>26</v>
      </c>
      <c r="H9956" t="s">
        <v>21</v>
      </c>
      <c r="I9956" t="s">
        <v>20</v>
      </c>
      <c r="J9956" t="s">
        <v>20</v>
      </c>
      <c r="K9956" t="s">
        <v>22</v>
      </c>
      <c r="L9956" t="s">
        <v>193</v>
      </c>
      <c r="M9956" t="s">
        <v>194</v>
      </c>
      <c r="N9956">
        <v>39.955658999999997</v>
      </c>
      <c r="O9956">
        <v>-111.956288</v>
      </c>
      <c r="P9956">
        <v>4635.6233419999999</v>
      </c>
      <c r="Q9956">
        <v>1368</v>
      </c>
      <c r="R9956">
        <v>0</v>
      </c>
    </row>
    <row r="9957" spans="1:18" x14ac:dyDescent="0.25">
      <c r="A9957">
        <v>9806</v>
      </c>
      <c r="B9957">
        <v>94</v>
      </c>
      <c r="C9957">
        <v>1434385</v>
      </c>
      <c r="D9957" t="s">
        <v>999</v>
      </c>
      <c r="E9957">
        <v>0.254</v>
      </c>
      <c r="F9957" t="s">
        <v>21</v>
      </c>
      <c r="G9957" t="s">
        <v>26</v>
      </c>
      <c r="H9957" t="s">
        <v>21</v>
      </c>
      <c r="I9957" t="s">
        <v>20</v>
      </c>
      <c r="J9957" t="s">
        <v>20</v>
      </c>
      <c r="K9957" t="s">
        <v>41</v>
      </c>
      <c r="L9957" t="s">
        <v>223</v>
      </c>
      <c r="M9957" t="s">
        <v>238</v>
      </c>
      <c r="N9957">
        <v>41.635010999999999</v>
      </c>
      <c r="O9957">
        <v>-112.097893</v>
      </c>
      <c r="P9957">
        <v>4217.2633740000001</v>
      </c>
      <c r="Q9957">
        <v>425</v>
      </c>
      <c r="R9957">
        <v>0</v>
      </c>
    </row>
    <row r="9958" spans="1:18" x14ac:dyDescent="0.25">
      <c r="A9958">
        <v>9807</v>
      </c>
      <c r="B9958">
        <v>94</v>
      </c>
      <c r="C9958">
        <v>1002378</v>
      </c>
      <c r="D9958" t="s">
        <v>171</v>
      </c>
      <c r="E9958">
        <v>0.255</v>
      </c>
      <c r="F9958" t="s">
        <v>21</v>
      </c>
      <c r="G9958" t="s">
        <v>20</v>
      </c>
      <c r="H9958" t="s">
        <v>21</v>
      </c>
      <c r="I9958" t="s">
        <v>20</v>
      </c>
      <c r="J9958" t="s">
        <v>20</v>
      </c>
      <c r="K9958" t="s">
        <v>31</v>
      </c>
      <c r="L9958" t="s">
        <v>78</v>
      </c>
      <c r="M9958" t="s">
        <v>79</v>
      </c>
      <c r="N9958">
        <v>40.696483000000001</v>
      </c>
      <c r="O9958">
        <v>-112.086966</v>
      </c>
      <c r="P9958">
        <v>4352.1164419999996</v>
      </c>
      <c r="Q9958">
        <v>346</v>
      </c>
      <c r="R9958">
        <v>0</v>
      </c>
    </row>
    <row r="9959" spans="1:18" x14ac:dyDescent="0.25">
      <c r="A9959">
        <v>9808</v>
      </c>
      <c r="B9959">
        <v>94</v>
      </c>
      <c r="C9959">
        <v>31595858</v>
      </c>
      <c r="D9959" t="s">
        <v>50</v>
      </c>
      <c r="E9959">
        <v>0.25600000000000001</v>
      </c>
      <c r="F9959" t="s">
        <v>21</v>
      </c>
      <c r="G9959" t="s">
        <v>20</v>
      </c>
      <c r="H9959" t="s">
        <v>21</v>
      </c>
      <c r="I9959" t="s">
        <v>20</v>
      </c>
      <c r="J9959" t="s">
        <v>20</v>
      </c>
      <c r="K9959" t="s">
        <v>27</v>
      </c>
      <c r="L9959" t="s">
        <v>51</v>
      </c>
      <c r="M9959" t="s">
        <v>52</v>
      </c>
      <c r="N9959">
        <v>37.838481000000002</v>
      </c>
      <c r="O9959">
        <v>-112.866659</v>
      </c>
      <c r="P9959">
        <v>5768.1804899999997</v>
      </c>
      <c r="Q9959">
        <v>1418</v>
      </c>
      <c r="R9959">
        <v>0</v>
      </c>
    </row>
    <row r="9960" spans="1:18" x14ac:dyDescent="0.25">
      <c r="A9960">
        <v>9809</v>
      </c>
      <c r="B9960">
        <v>94</v>
      </c>
      <c r="C9960">
        <v>31757589</v>
      </c>
      <c r="D9960" t="s">
        <v>105</v>
      </c>
      <c r="E9960">
        <v>0.25600000000000001</v>
      </c>
      <c r="F9960" t="s">
        <v>21</v>
      </c>
      <c r="G9960" t="s">
        <v>26</v>
      </c>
      <c r="H9960" t="s">
        <v>21</v>
      </c>
      <c r="I9960" t="s">
        <v>20</v>
      </c>
      <c r="J9960" t="s">
        <v>20</v>
      </c>
      <c r="K9960" t="s">
        <v>27</v>
      </c>
      <c r="L9960" t="s">
        <v>51</v>
      </c>
      <c r="M9960" t="s">
        <v>106</v>
      </c>
      <c r="N9960">
        <v>37.853122999999997</v>
      </c>
      <c r="O9960">
        <v>-112.824015</v>
      </c>
      <c r="P9960">
        <v>5874.2018699999999</v>
      </c>
      <c r="Q9960">
        <v>432</v>
      </c>
      <c r="R9960">
        <v>0</v>
      </c>
    </row>
    <row r="9961" spans="1:18" x14ac:dyDescent="0.25">
      <c r="A9961">
        <v>9810</v>
      </c>
      <c r="B9961">
        <v>94</v>
      </c>
      <c r="C9961">
        <v>31465199</v>
      </c>
      <c r="D9961" t="s">
        <v>404</v>
      </c>
      <c r="E9961">
        <v>0.25900000000000001</v>
      </c>
      <c r="F9961" t="s">
        <v>21</v>
      </c>
      <c r="G9961" t="s">
        <v>26</v>
      </c>
      <c r="H9961" t="s">
        <v>21</v>
      </c>
      <c r="I9961" t="s">
        <v>20</v>
      </c>
      <c r="J9961" t="s">
        <v>20</v>
      </c>
      <c r="K9961" t="s">
        <v>27</v>
      </c>
      <c r="L9961" t="s">
        <v>405</v>
      </c>
      <c r="M9961" t="s">
        <v>238</v>
      </c>
      <c r="N9961">
        <v>38.964517999999998</v>
      </c>
      <c r="O9961">
        <v>-109.722459</v>
      </c>
      <c r="P9961">
        <v>5022.9821590000001</v>
      </c>
      <c r="Q9961">
        <v>325</v>
      </c>
      <c r="R9961">
        <v>0</v>
      </c>
    </row>
    <row r="9962" spans="1:18" x14ac:dyDescent="0.25">
      <c r="A9962">
        <v>9811</v>
      </c>
      <c r="B9962">
        <v>94</v>
      </c>
      <c r="C9962">
        <v>506853</v>
      </c>
      <c r="D9962" t="s">
        <v>135</v>
      </c>
      <c r="E9962">
        <v>0.26</v>
      </c>
      <c r="F9962" t="s">
        <v>19</v>
      </c>
      <c r="G9962" t="s">
        <v>20</v>
      </c>
      <c r="H9962" t="s">
        <v>21</v>
      </c>
      <c r="I9962" t="s">
        <v>20</v>
      </c>
      <c r="J9962" t="s">
        <v>20</v>
      </c>
      <c r="K9962" t="s">
        <v>31</v>
      </c>
      <c r="L9962" t="s">
        <v>48</v>
      </c>
      <c r="M9962" t="s">
        <v>144</v>
      </c>
      <c r="N9962">
        <v>40.56203</v>
      </c>
      <c r="O9962">
        <v>-111.97208000000001</v>
      </c>
      <c r="P9962">
        <v>4580.7977060000003</v>
      </c>
      <c r="Q9962">
        <v>1423</v>
      </c>
      <c r="R9962">
        <v>0</v>
      </c>
    </row>
    <row r="9963" spans="1:18" x14ac:dyDescent="0.25">
      <c r="A9963">
        <v>9812</v>
      </c>
      <c r="B9963">
        <v>94</v>
      </c>
      <c r="C9963">
        <v>31530651</v>
      </c>
      <c r="D9963" t="s">
        <v>228</v>
      </c>
      <c r="E9963">
        <v>0.30399999999999999</v>
      </c>
      <c r="F9963" t="s">
        <v>21</v>
      </c>
      <c r="G9963" t="s">
        <v>26</v>
      </c>
      <c r="H9963" t="s">
        <v>21</v>
      </c>
      <c r="I9963" t="s">
        <v>20</v>
      </c>
      <c r="J9963" t="s">
        <v>20</v>
      </c>
      <c r="K9963" t="s">
        <v>22</v>
      </c>
      <c r="L9963" t="s">
        <v>155</v>
      </c>
      <c r="M9963" t="s">
        <v>76</v>
      </c>
      <c r="N9963">
        <v>39.482824000000001</v>
      </c>
      <c r="O9963">
        <v>-111.97796700000001</v>
      </c>
      <c r="P9963">
        <v>4992.3361240000004</v>
      </c>
      <c r="Q9963">
        <v>320</v>
      </c>
      <c r="R9963">
        <v>0</v>
      </c>
    </row>
    <row r="9964" spans="1:18" x14ac:dyDescent="0.25">
      <c r="A9964">
        <v>9813</v>
      </c>
      <c r="B9964">
        <v>94</v>
      </c>
      <c r="C9964" t="e">
        <f>-IoI818mFi5JRx3qgqgpPF</f>
        <v>#NAME?</v>
      </c>
      <c r="D9964" t="s">
        <v>408</v>
      </c>
      <c r="E9964">
        <v>0.68300000000000005</v>
      </c>
      <c r="F9964" t="s">
        <v>21</v>
      </c>
      <c r="G9964" t="s">
        <v>26</v>
      </c>
      <c r="H9964" t="s">
        <v>21</v>
      </c>
      <c r="I9964" t="s">
        <v>20</v>
      </c>
      <c r="J9964" t="s">
        <v>20</v>
      </c>
      <c r="K9964" t="s">
        <v>27</v>
      </c>
      <c r="L9964" t="s">
        <v>75</v>
      </c>
      <c r="M9964" t="s">
        <v>366</v>
      </c>
      <c r="N9964">
        <v>38.683050000000001</v>
      </c>
      <c r="O9964">
        <v>-112.144627</v>
      </c>
      <c r="P9964">
        <v>5283.8670480000001</v>
      </c>
      <c r="Q9964">
        <v>428</v>
      </c>
      <c r="R9964">
        <v>0</v>
      </c>
    </row>
    <row r="9965" spans="1:18" x14ac:dyDescent="0.25">
      <c r="A9965">
        <v>9814</v>
      </c>
      <c r="B9965">
        <v>94</v>
      </c>
      <c r="C9965">
        <v>31860280</v>
      </c>
      <c r="D9965" t="s">
        <v>135</v>
      </c>
      <c r="E9965">
        <v>0.68300000000000005</v>
      </c>
      <c r="F9965" t="s">
        <v>21</v>
      </c>
      <c r="G9965" t="s">
        <v>26</v>
      </c>
      <c r="H9965" t="s">
        <v>21</v>
      </c>
      <c r="I9965" t="s">
        <v>20</v>
      </c>
      <c r="J9965" t="s">
        <v>20</v>
      </c>
      <c r="K9965" t="s">
        <v>31</v>
      </c>
      <c r="L9965" t="s">
        <v>48</v>
      </c>
      <c r="M9965" t="s">
        <v>144</v>
      </c>
      <c r="N9965">
        <v>40.562206000000003</v>
      </c>
      <c r="O9965">
        <v>-111.964009</v>
      </c>
      <c r="P9965">
        <v>4535.8288350000003</v>
      </c>
      <c r="Q9965">
        <v>1423</v>
      </c>
      <c r="R9965">
        <v>0</v>
      </c>
    </row>
    <row r="9966" spans="1:18" x14ac:dyDescent="0.25">
      <c r="A9966">
        <v>9815</v>
      </c>
      <c r="B9966">
        <v>94</v>
      </c>
      <c r="C9966" t="e">
        <f>-JNU8g_VHwyvXfPMr079CV</f>
        <v>#NAME?</v>
      </c>
      <c r="D9966" t="s">
        <v>187</v>
      </c>
      <c r="E9966">
        <v>0.68600000000000005</v>
      </c>
      <c r="F9966" t="s">
        <v>21</v>
      </c>
      <c r="G9966" t="s">
        <v>26</v>
      </c>
      <c r="H9966" t="s">
        <v>21</v>
      </c>
      <c r="I9966" t="s">
        <v>20</v>
      </c>
      <c r="J9966" t="s">
        <v>20</v>
      </c>
      <c r="K9966" t="s">
        <v>31</v>
      </c>
      <c r="L9966" t="s">
        <v>188</v>
      </c>
      <c r="M9966" t="s">
        <v>90</v>
      </c>
      <c r="N9966">
        <v>40.759591999999998</v>
      </c>
      <c r="O9966">
        <v>-111.841151</v>
      </c>
      <c r="P9966">
        <v>4693.2937190000002</v>
      </c>
      <c r="Q9966">
        <v>435</v>
      </c>
      <c r="R9966">
        <v>0</v>
      </c>
    </row>
    <row r="9967" spans="1:18" x14ac:dyDescent="0.25">
      <c r="A9967">
        <v>9816</v>
      </c>
      <c r="B9967">
        <v>94</v>
      </c>
      <c r="C9967">
        <v>31387760</v>
      </c>
      <c r="D9967" t="s">
        <v>364</v>
      </c>
      <c r="E9967">
        <v>0.68600000000000005</v>
      </c>
      <c r="F9967" t="s">
        <v>21</v>
      </c>
      <c r="G9967" t="s">
        <v>20</v>
      </c>
      <c r="H9967" t="s">
        <v>21</v>
      </c>
      <c r="I9967" t="s">
        <v>20</v>
      </c>
      <c r="J9967" t="s">
        <v>20</v>
      </c>
      <c r="K9967" t="s">
        <v>22</v>
      </c>
      <c r="L9967" t="s">
        <v>198</v>
      </c>
      <c r="M9967" t="s">
        <v>85</v>
      </c>
      <c r="N9967">
        <v>40.054622000000002</v>
      </c>
      <c r="O9967">
        <v>-111.732225</v>
      </c>
      <c r="P9967">
        <v>4530.844126</v>
      </c>
      <c r="Q9967">
        <v>1401</v>
      </c>
      <c r="R9967">
        <v>0</v>
      </c>
    </row>
    <row r="9968" spans="1:18" x14ac:dyDescent="0.25">
      <c r="A9968">
        <v>9817</v>
      </c>
      <c r="B9968">
        <v>94</v>
      </c>
      <c r="C9968">
        <v>31529555</v>
      </c>
      <c r="D9968" t="s">
        <v>944</v>
      </c>
      <c r="E9968">
        <v>0.68700000000000006</v>
      </c>
      <c r="F9968" t="s">
        <v>21</v>
      </c>
      <c r="G9968" t="s">
        <v>20</v>
      </c>
      <c r="H9968" t="s">
        <v>21</v>
      </c>
      <c r="I9968" t="s">
        <v>20</v>
      </c>
      <c r="J9968" t="s">
        <v>20</v>
      </c>
      <c r="K9968" t="s">
        <v>27</v>
      </c>
      <c r="L9968" t="s">
        <v>327</v>
      </c>
      <c r="M9968" t="s">
        <v>318</v>
      </c>
      <c r="N9968">
        <v>37.590170999999998</v>
      </c>
      <c r="O9968">
        <v>-109.918775</v>
      </c>
      <c r="P9968">
        <v>6814.1908830000002</v>
      </c>
      <c r="Q9968">
        <v>363</v>
      </c>
      <c r="R9968">
        <v>0</v>
      </c>
    </row>
    <row r="9969" spans="1:18" x14ac:dyDescent="0.25">
      <c r="A9969">
        <v>9818</v>
      </c>
      <c r="B9969">
        <v>94</v>
      </c>
      <c r="C9969">
        <v>31390928</v>
      </c>
      <c r="D9969" t="s">
        <v>124</v>
      </c>
      <c r="E9969">
        <v>0.68700000000000006</v>
      </c>
      <c r="F9969" t="s">
        <v>21</v>
      </c>
      <c r="G9969" t="s">
        <v>26</v>
      </c>
      <c r="H9969" t="s">
        <v>21</v>
      </c>
      <c r="I9969" t="s">
        <v>20</v>
      </c>
      <c r="J9969" t="s">
        <v>20</v>
      </c>
      <c r="K9969" t="s">
        <v>22</v>
      </c>
      <c r="L9969" t="s">
        <v>193</v>
      </c>
      <c r="M9969" t="s">
        <v>194</v>
      </c>
      <c r="N9969">
        <v>39.961967000000001</v>
      </c>
      <c r="O9969">
        <v>-111.95649</v>
      </c>
      <c r="P9969">
        <v>4616.1897120000003</v>
      </c>
      <c r="Q9969">
        <v>1368</v>
      </c>
      <c r="R9969">
        <v>0</v>
      </c>
    </row>
    <row r="9970" spans="1:18" x14ac:dyDescent="0.25">
      <c r="A9970">
        <v>9819</v>
      </c>
      <c r="B9970">
        <v>94</v>
      </c>
      <c r="C9970">
        <v>31387315</v>
      </c>
      <c r="D9970" t="s">
        <v>369</v>
      </c>
      <c r="E9970">
        <v>0.68799999999999994</v>
      </c>
      <c r="F9970" t="s">
        <v>21</v>
      </c>
      <c r="G9970" t="s">
        <v>26</v>
      </c>
      <c r="H9970" t="s">
        <v>21</v>
      </c>
      <c r="I9970" t="s">
        <v>20</v>
      </c>
      <c r="J9970" t="s">
        <v>20</v>
      </c>
      <c r="K9970" t="s">
        <v>22</v>
      </c>
      <c r="L9970" t="s">
        <v>198</v>
      </c>
      <c r="M9970" t="s">
        <v>76</v>
      </c>
      <c r="N9970">
        <v>40.031337000000001</v>
      </c>
      <c r="O9970">
        <v>-111.745638</v>
      </c>
      <c r="P9970">
        <v>4593.6286630000004</v>
      </c>
      <c r="Q9970">
        <v>347</v>
      </c>
      <c r="R9970">
        <v>0</v>
      </c>
    </row>
    <row r="9971" spans="1:18" x14ac:dyDescent="0.25">
      <c r="A9971">
        <v>9820</v>
      </c>
      <c r="B9971">
        <v>94</v>
      </c>
      <c r="C9971">
        <v>31766943</v>
      </c>
      <c r="D9971" t="s">
        <v>184</v>
      </c>
      <c r="E9971">
        <v>0.68799999999999994</v>
      </c>
      <c r="F9971" t="s">
        <v>21</v>
      </c>
      <c r="G9971" t="s">
        <v>20</v>
      </c>
      <c r="H9971" t="s">
        <v>21</v>
      </c>
      <c r="I9971" t="s">
        <v>20</v>
      </c>
      <c r="J9971" t="s">
        <v>20</v>
      </c>
      <c r="K9971" t="s">
        <v>27</v>
      </c>
      <c r="L9971" t="s">
        <v>54</v>
      </c>
      <c r="M9971" t="s">
        <v>55</v>
      </c>
      <c r="N9971">
        <v>37.658752</v>
      </c>
      <c r="O9971">
        <v>-113.073556</v>
      </c>
      <c r="P9971">
        <v>5904.6234590000004</v>
      </c>
      <c r="Q9971">
        <v>1410</v>
      </c>
      <c r="R9971">
        <v>0</v>
      </c>
    </row>
    <row r="9972" spans="1:18" x14ac:dyDescent="0.25">
      <c r="A9972">
        <v>9821</v>
      </c>
      <c r="B9972">
        <v>94</v>
      </c>
      <c r="C9972">
        <v>31530762</v>
      </c>
      <c r="D9972" t="s">
        <v>228</v>
      </c>
      <c r="E9972">
        <v>0.35799999999999998</v>
      </c>
      <c r="F9972" t="s">
        <v>21</v>
      </c>
      <c r="G9972" t="s">
        <v>20</v>
      </c>
      <c r="H9972" t="s">
        <v>21</v>
      </c>
      <c r="I9972" t="s">
        <v>20</v>
      </c>
      <c r="J9972" t="s">
        <v>20</v>
      </c>
      <c r="K9972" t="s">
        <v>22</v>
      </c>
      <c r="L9972" t="s">
        <v>155</v>
      </c>
      <c r="M9972" t="s">
        <v>76</v>
      </c>
      <c r="N9972">
        <v>39.482469000000002</v>
      </c>
      <c r="O9972">
        <v>-111.977075</v>
      </c>
      <c r="P9972">
        <v>4992.838084</v>
      </c>
      <c r="Q9972">
        <v>320</v>
      </c>
      <c r="R9972">
        <v>0</v>
      </c>
    </row>
    <row r="9973" spans="1:18" x14ac:dyDescent="0.25">
      <c r="A9973">
        <v>9822</v>
      </c>
      <c r="B9973">
        <v>94</v>
      </c>
      <c r="C9973" t="e">
        <f>-IoI7Y7qHTyhzZ1EJMh8ik</f>
        <v>#NAME?</v>
      </c>
      <c r="D9973" t="s">
        <v>408</v>
      </c>
      <c r="E9973">
        <v>0.35799999999999998</v>
      </c>
      <c r="F9973" t="s">
        <v>21</v>
      </c>
      <c r="G9973" t="s">
        <v>26</v>
      </c>
      <c r="H9973" t="s">
        <v>21</v>
      </c>
      <c r="I9973" t="s">
        <v>20</v>
      </c>
      <c r="J9973" t="s">
        <v>20</v>
      </c>
      <c r="K9973" t="s">
        <v>27</v>
      </c>
      <c r="L9973" t="s">
        <v>75</v>
      </c>
      <c r="M9973" t="s">
        <v>366</v>
      </c>
      <c r="N9973">
        <v>38.683003999999997</v>
      </c>
      <c r="O9973">
        <v>-112.150684</v>
      </c>
      <c r="P9973">
        <v>5280.2983539999996</v>
      </c>
      <c r="Q9973">
        <v>428</v>
      </c>
      <c r="R9973">
        <v>0</v>
      </c>
    </row>
    <row r="9974" spans="1:18" x14ac:dyDescent="0.25">
      <c r="A9974">
        <v>9823</v>
      </c>
      <c r="B9974">
        <v>94</v>
      </c>
      <c r="C9974">
        <v>31307961</v>
      </c>
      <c r="D9974" t="s">
        <v>215</v>
      </c>
      <c r="E9974">
        <v>0.35899999999999999</v>
      </c>
      <c r="F9974" t="s">
        <v>19</v>
      </c>
      <c r="G9974" t="s">
        <v>20</v>
      </c>
      <c r="H9974" t="s">
        <v>21</v>
      </c>
      <c r="I9974" t="s">
        <v>20</v>
      </c>
      <c r="J9974" t="s">
        <v>20</v>
      </c>
      <c r="K9974" t="s">
        <v>22</v>
      </c>
      <c r="L9974" t="s">
        <v>23</v>
      </c>
      <c r="M9974" t="s">
        <v>85</v>
      </c>
      <c r="N9974">
        <v>40.233784999999997</v>
      </c>
      <c r="O9974">
        <v>-111.674468</v>
      </c>
      <c r="P9974">
        <v>4480.030377</v>
      </c>
      <c r="Q9974">
        <v>330</v>
      </c>
      <c r="R9974">
        <v>0</v>
      </c>
    </row>
    <row r="9975" spans="1:18" x14ac:dyDescent="0.25">
      <c r="A9975">
        <v>9824</v>
      </c>
      <c r="B9975">
        <v>94</v>
      </c>
      <c r="C9975">
        <v>31764131</v>
      </c>
      <c r="D9975" t="s">
        <v>115</v>
      </c>
      <c r="E9975">
        <v>0.35899999999999999</v>
      </c>
      <c r="F9975" t="s">
        <v>21</v>
      </c>
      <c r="G9975" t="s">
        <v>26</v>
      </c>
      <c r="H9975" t="s">
        <v>21</v>
      </c>
      <c r="I9975" t="s">
        <v>20</v>
      </c>
      <c r="J9975" t="s">
        <v>20</v>
      </c>
      <c r="K9975" t="s">
        <v>31</v>
      </c>
      <c r="L9975" t="s">
        <v>48</v>
      </c>
      <c r="M9975" t="s">
        <v>70</v>
      </c>
      <c r="N9975">
        <v>40.653588999999997</v>
      </c>
      <c r="O9975">
        <v>-112.06988699999999</v>
      </c>
      <c r="P9975">
        <v>4978.3994720000001</v>
      </c>
      <c r="Q9975">
        <v>1437</v>
      </c>
      <c r="R9975">
        <v>0</v>
      </c>
    </row>
    <row r="9976" spans="1:18" x14ac:dyDescent="0.25">
      <c r="A9976">
        <v>9825</v>
      </c>
      <c r="B9976">
        <v>94</v>
      </c>
      <c r="C9976">
        <v>31657130</v>
      </c>
      <c r="D9976" t="s">
        <v>156</v>
      </c>
      <c r="E9976">
        <v>0.36</v>
      </c>
      <c r="F9976" t="s">
        <v>21</v>
      </c>
      <c r="G9976" t="s">
        <v>26</v>
      </c>
      <c r="H9976" t="s">
        <v>21</v>
      </c>
      <c r="I9976" t="s">
        <v>20</v>
      </c>
      <c r="J9976" t="s">
        <v>20</v>
      </c>
      <c r="K9976" t="s">
        <v>41</v>
      </c>
      <c r="L9976" t="s">
        <v>81</v>
      </c>
      <c r="M9976" t="s">
        <v>93</v>
      </c>
      <c r="N9976">
        <v>41.264508999999997</v>
      </c>
      <c r="O9976">
        <v>-111.96954599999999</v>
      </c>
      <c r="P9976">
        <v>4244.2818189999998</v>
      </c>
      <c r="Q9976">
        <v>424</v>
      </c>
      <c r="R9976">
        <v>0</v>
      </c>
    </row>
    <row r="9977" spans="1:18" x14ac:dyDescent="0.25">
      <c r="A9977">
        <v>9826</v>
      </c>
      <c r="B9977">
        <v>94</v>
      </c>
      <c r="C9977">
        <v>31402981</v>
      </c>
      <c r="D9977" t="s">
        <v>124</v>
      </c>
      <c r="E9977">
        <v>45.347999999999999</v>
      </c>
      <c r="F9977" t="s">
        <v>21</v>
      </c>
      <c r="G9977" t="s">
        <v>26</v>
      </c>
      <c r="H9977" t="s">
        <v>21</v>
      </c>
      <c r="I9977" t="s">
        <v>20</v>
      </c>
      <c r="J9977" t="s">
        <v>20</v>
      </c>
      <c r="K9977" t="s">
        <v>31</v>
      </c>
      <c r="L9977" t="s">
        <v>48</v>
      </c>
      <c r="M9977" t="s">
        <v>125</v>
      </c>
      <c r="N9977">
        <v>40.566428000000002</v>
      </c>
      <c r="O9977">
        <v>-111.938675</v>
      </c>
      <c r="P9977">
        <v>4406.8155939999997</v>
      </c>
      <c r="Q9977">
        <v>1368</v>
      </c>
      <c r="R9977">
        <v>0</v>
      </c>
    </row>
    <row r="9978" spans="1:18" x14ac:dyDescent="0.25">
      <c r="A9978">
        <v>9827</v>
      </c>
      <c r="B9978">
        <v>94</v>
      </c>
      <c r="C9978" t="s">
        <v>1177</v>
      </c>
      <c r="D9978" t="s">
        <v>203</v>
      </c>
      <c r="E9978">
        <v>45.408999999999999</v>
      </c>
      <c r="F9978" t="s">
        <v>21</v>
      </c>
      <c r="G9978" t="s">
        <v>20</v>
      </c>
      <c r="H9978" t="s">
        <v>21</v>
      </c>
      <c r="I9978" t="s">
        <v>20</v>
      </c>
      <c r="J9978" t="s">
        <v>20</v>
      </c>
      <c r="K9978" t="s">
        <v>41</v>
      </c>
      <c r="L9978" t="s">
        <v>325</v>
      </c>
      <c r="M9978" t="s">
        <v>204</v>
      </c>
      <c r="N9978">
        <v>41.436002999999999</v>
      </c>
      <c r="O9978">
        <v>-111.504176</v>
      </c>
      <c r="P9978">
        <v>8917.6756000000005</v>
      </c>
      <c r="Q9978">
        <v>1349</v>
      </c>
      <c r="R9978">
        <v>0</v>
      </c>
    </row>
    <row r="9979" spans="1:18" x14ac:dyDescent="0.25">
      <c r="A9979">
        <v>9828</v>
      </c>
      <c r="B9979">
        <v>94</v>
      </c>
      <c r="C9979">
        <v>31744538</v>
      </c>
      <c r="D9979" t="s">
        <v>290</v>
      </c>
      <c r="E9979">
        <v>43.927999999999997</v>
      </c>
      <c r="F9979" t="s">
        <v>21</v>
      </c>
      <c r="G9979" t="s">
        <v>20</v>
      </c>
      <c r="H9979" t="s">
        <v>21</v>
      </c>
      <c r="I9979" t="s">
        <v>20</v>
      </c>
      <c r="J9979" t="s">
        <v>20</v>
      </c>
      <c r="K9979" t="s">
        <v>41</v>
      </c>
      <c r="L9979" t="s">
        <v>291</v>
      </c>
      <c r="M9979" t="s">
        <v>238</v>
      </c>
      <c r="N9979">
        <v>41.763030000000001</v>
      </c>
      <c r="O9979">
        <v>-113.511458</v>
      </c>
      <c r="P9979">
        <v>5287.0901519999998</v>
      </c>
      <c r="Q9979">
        <v>1343</v>
      </c>
      <c r="R9979">
        <v>0</v>
      </c>
    </row>
    <row r="9980" spans="1:18" x14ac:dyDescent="0.25">
      <c r="A9980">
        <v>9829</v>
      </c>
      <c r="B9980">
        <v>94</v>
      </c>
      <c r="C9980">
        <v>31503320</v>
      </c>
      <c r="D9980" t="s">
        <v>129</v>
      </c>
      <c r="E9980">
        <v>43.941000000000003</v>
      </c>
      <c r="F9980" t="s">
        <v>21</v>
      </c>
      <c r="G9980" t="s">
        <v>26</v>
      </c>
      <c r="H9980" t="s">
        <v>21</v>
      </c>
      <c r="I9980" t="s">
        <v>20</v>
      </c>
      <c r="J9980" t="s">
        <v>20</v>
      </c>
      <c r="K9980" t="s">
        <v>31</v>
      </c>
      <c r="L9980" t="s">
        <v>130</v>
      </c>
      <c r="M9980" t="s">
        <v>328</v>
      </c>
      <c r="N9980">
        <v>40.850413000000003</v>
      </c>
      <c r="O9980">
        <v>-110.846834</v>
      </c>
      <c r="P9980">
        <v>8715.24928</v>
      </c>
      <c r="Q9980">
        <v>340</v>
      </c>
      <c r="R9980">
        <v>0</v>
      </c>
    </row>
    <row r="9981" spans="1:18" x14ac:dyDescent="0.25">
      <c r="A9981">
        <v>9830</v>
      </c>
      <c r="B9981">
        <v>94</v>
      </c>
      <c r="C9981" t="e">
        <f>-IpVNznUIc1VUOPJhntstV</f>
        <v>#NAME?</v>
      </c>
      <c r="D9981" t="s">
        <v>272</v>
      </c>
      <c r="E9981">
        <v>430.16899999999998</v>
      </c>
      <c r="F9981" t="s">
        <v>21</v>
      </c>
      <c r="G9981" t="s">
        <v>20</v>
      </c>
      <c r="H9981" t="s">
        <v>21</v>
      </c>
      <c r="I9981" t="s">
        <v>20</v>
      </c>
      <c r="J9981" t="s">
        <v>20</v>
      </c>
      <c r="K9981" t="s">
        <v>41</v>
      </c>
      <c r="L9981" t="s">
        <v>177</v>
      </c>
      <c r="M9981" t="s">
        <v>46</v>
      </c>
      <c r="N9981">
        <v>41.442436999999998</v>
      </c>
      <c r="O9981">
        <v>-112.037004</v>
      </c>
      <c r="P9981">
        <v>4275.6456710000002</v>
      </c>
      <c r="Q9981">
        <v>1384</v>
      </c>
      <c r="R9981">
        <v>0</v>
      </c>
    </row>
    <row r="9982" spans="1:18" x14ac:dyDescent="0.25">
      <c r="A9982">
        <v>9831</v>
      </c>
      <c r="B9982">
        <v>94</v>
      </c>
      <c r="C9982" t="s">
        <v>1178</v>
      </c>
      <c r="D9982" t="s">
        <v>272</v>
      </c>
      <c r="E9982">
        <v>430.31900000000002</v>
      </c>
      <c r="F9982" t="s">
        <v>21</v>
      </c>
      <c r="G9982" t="s">
        <v>26</v>
      </c>
      <c r="H9982" t="s">
        <v>21</v>
      </c>
      <c r="I9982" t="s">
        <v>20</v>
      </c>
      <c r="J9982" t="s">
        <v>20</v>
      </c>
      <c r="K9982" t="s">
        <v>41</v>
      </c>
      <c r="L9982" t="s">
        <v>177</v>
      </c>
      <c r="M9982" t="s">
        <v>46</v>
      </c>
      <c r="N9982">
        <v>41.444589000000001</v>
      </c>
      <c r="O9982">
        <v>-112.037316</v>
      </c>
      <c r="P9982">
        <v>4274.031035</v>
      </c>
      <c r="Q9982">
        <v>1384</v>
      </c>
      <c r="R9982">
        <v>0</v>
      </c>
    </row>
    <row r="9983" spans="1:18" x14ac:dyDescent="0.25">
      <c r="A9983">
        <v>9832</v>
      </c>
      <c r="B9983">
        <v>94</v>
      </c>
      <c r="C9983" t="e">
        <f>-IpVOTRVIJXXRi55NY8Gzk</f>
        <v>#NAME?</v>
      </c>
      <c r="D9983" t="s">
        <v>272</v>
      </c>
      <c r="E9983">
        <v>430.51400000000001</v>
      </c>
      <c r="F9983" t="s">
        <v>21</v>
      </c>
      <c r="G9983" t="s">
        <v>26</v>
      </c>
      <c r="H9983" t="s">
        <v>21</v>
      </c>
      <c r="I9983" t="s">
        <v>20</v>
      </c>
      <c r="J9983" t="s">
        <v>20</v>
      </c>
      <c r="K9983" t="s">
        <v>41</v>
      </c>
      <c r="L9983" t="s">
        <v>177</v>
      </c>
      <c r="M9983" t="s">
        <v>46</v>
      </c>
      <c r="N9983">
        <v>41.447367999999997</v>
      </c>
      <c r="O9983">
        <v>-112.03772499999999</v>
      </c>
      <c r="P9983">
        <v>4298.7780620000003</v>
      </c>
      <c r="Q9983">
        <v>1384</v>
      </c>
      <c r="R9983">
        <v>0</v>
      </c>
    </row>
    <row r="9984" spans="1:18" x14ac:dyDescent="0.25">
      <c r="A9984">
        <v>9833</v>
      </c>
      <c r="B9984">
        <v>94</v>
      </c>
      <c r="C9984" t="s">
        <v>1179</v>
      </c>
      <c r="D9984" t="s">
        <v>272</v>
      </c>
      <c r="E9984">
        <v>430.57499999999999</v>
      </c>
      <c r="F9984" t="s">
        <v>21</v>
      </c>
      <c r="G9984" t="s">
        <v>20</v>
      </c>
      <c r="H9984" t="s">
        <v>21</v>
      </c>
      <c r="I9984" t="s">
        <v>20</v>
      </c>
      <c r="J9984" t="s">
        <v>20</v>
      </c>
      <c r="K9984" t="s">
        <v>41</v>
      </c>
      <c r="L9984" t="s">
        <v>177</v>
      </c>
      <c r="M9984" t="s">
        <v>46</v>
      </c>
      <c r="N9984">
        <v>41.448242</v>
      </c>
      <c r="O9984">
        <v>-112.037856</v>
      </c>
      <c r="P9984">
        <v>4307.3607199999997</v>
      </c>
      <c r="Q9984">
        <v>1384</v>
      </c>
      <c r="R9984">
        <v>0</v>
      </c>
    </row>
    <row r="9985" spans="1:18" x14ac:dyDescent="0.25">
      <c r="A9985">
        <v>9834</v>
      </c>
      <c r="B9985">
        <v>94</v>
      </c>
      <c r="C9985" t="e">
        <f>-IpVPK7eIUXzhp1BiQdVZk</f>
        <v>#NAME?</v>
      </c>
      <c r="D9985" t="s">
        <v>272</v>
      </c>
      <c r="E9985">
        <v>431.08</v>
      </c>
      <c r="F9985" t="s">
        <v>21</v>
      </c>
      <c r="G9985" t="s">
        <v>26</v>
      </c>
      <c r="H9985" t="s">
        <v>21</v>
      </c>
      <c r="I9985" t="s">
        <v>20</v>
      </c>
      <c r="J9985" t="s">
        <v>20</v>
      </c>
      <c r="K9985" t="s">
        <v>41</v>
      </c>
      <c r="L9985" t="s">
        <v>177</v>
      </c>
      <c r="M9985" t="s">
        <v>46</v>
      </c>
      <c r="N9985">
        <v>41.455466999999999</v>
      </c>
      <c r="O9985">
        <v>-112.038678</v>
      </c>
      <c r="P9985">
        <v>4343.0859700000001</v>
      </c>
      <c r="Q9985">
        <v>1384</v>
      </c>
      <c r="R9985">
        <v>0</v>
      </c>
    </row>
    <row r="9986" spans="1:18" x14ac:dyDescent="0.25">
      <c r="A9986">
        <v>9835</v>
      </c>
      <c r="B9986">
        <v>94</v>
      </c>
      <c r="C9986" t="e">
        <f>-IpVQ4NGFx5Pep1YOQs_Ek</f>
        <v>#NAME?</v>
      </c>
      <c r="D9986" t="s">
        <v>272</v>
      </c>
      <c r="E9986">
        <v>431.202</v>
      </c>
      <c r="F9986" t="s">
        <v>21</v>
      </c>
      <c r="G9986" t="s">
        <v>20</v>
      </c>
      <c r="H9986" t="s">
        <v>21</v>
      </c>
      <c r="I9986" t="s">
        <v>20</v>
      </c>
      <c r="J9986" t="s">
        <v>20</v>
      </c>
      <c r="K9986" t="s">
        <v>41</v>
      </c>
      <c r="L9986" t="s">
        <v>177</v>
      </c>
      <c r="M9986" t="s">
        <v>46</v>
      </c>
      <c r="N9986">
        <v>41.457200999999998</v>
      </c>
      <c r="O9986">
        <v>-112.03818099999999</v>
      </c>
      <c r="P9986">
        <v>4337.5119969999996</v>
      </c>
      <c r="Q9986">
        <v>1384</v>
      </c>
      <c r="R9986">
        <v>0</v>
      </c>
    </row>
    <row r="9987" spans="1:18" x14ac:dyDescent="0.25">
      <c r="A9987">
        <v>9836</v>
      </c>
      <c r="B9987">
        <v>94</v>
      </c>
      <c r="C9987" t="e">
        <f>-IpVQDNcIuiFPV5zuqLRgF</f>
        <v>#NAME?</v>
      </c>
      <c r="D9987" t="s">
        <v>272</v>
      </c>
      <c r="E9987">
        <v>431.29599999999999</v>
      </c>
      <c r="F9987" t="s">
        <v>21</v>
      </c>
      <c r="G9987" t="s">
        <v>26</v>
      </c>
      <c r="H9987" t="s">
        <v>21</v>
      </c>
      <c r="I9987" t="s">
        <v>20</v>
      </c>
      <c r="J9987" t="s">
        <v>20</v>
      </c>
      <c r="K9987" t="s">
        <v>41</v>
      </c>
      <c r="L9987" t="s">
        <v>177</v>
      </c>
      <c r="M9987" t="s">
        <v>46</v>
      </c>
      <c r="N9987">
        <v>41.458494999999999</v>
      </c>
      <c r="O9987">
        <v>-112.037711</v>
      </c>
      <c r="P9987">
        <v>4332.1522080000004</v>
      </c>
      <c r="Q9987">
        <v>1384</v>
      </c>
      <c r="R9987">
        <v>0</v>
      </c>
    </row>
    <row r="9988" spans="1:18" x14ac:dyDescent="0.25">
      <c r="A9988">
        <v>9837</v>
      </c>
      <c r="B9988">
        <v>94</v>
      </c>
      <c r="C9988" t="s">
        <v>1180</v>
      </c>
      <c r="D9988" t="s">
        <v>272</v>
      </c>
      <c r="E9988">
        <v>431.30599999999998</v>
      </c>
      <c r="F9988" t="s">
        <v>21</v>
      </c>
      <c r="G9988" t="s">
        <v>26</v>
      </c>
      <c r="H9988" t="s">
        <v>21</v>
      </c>
      <c r="I9988" t="s">
        <v>20</v>
      </c>
      <c r="J9988" t="s">
        <v>20</v>
      </c>
      <c r="K9988" t="s">
        <v>41</v>
      </c>
      <c r="L9988" t="s">
        <v>177</v>
      </c>
      <c r="M9988" t="s">
        <v>46</v>
      </c>
      <c r="N9988">
        <v>41.458634000000004</v>
      </c>
      <c r="O9988">
        <v>-112.037667</v>
      </c>
      <c r="P9988">
        <v>4331.6897040000003</v>
      </c>
      <c r="Q9988">
        <v>1384</v>
      </c>
      <c r="R9988">
        <v>0</v>
      </c>
    </row>
    <row r="9989" spans="1:18" x14ac:dyDescent="0.25">
      <c r="A9989">
        <v>9838</v>
      </c>
      <c r="B9989">
        <v>94</v>
      </c>
      <c r="C9989" t="e">
        <f>-IpVQcURFR9XtSanFTIcbF</f>
        <v>#NAME?</v>
      </c>
      <c r="D9989" t="s">
        <v>272</v>
      </c>
      <c r="E9989">
        <v>431.47300000000001</v>
      </c>
      <c r="F9989" t="s">
        <v>21</v>
      </c>
      <c r="G9989" t="s">
        <v>26</v>
      </c>
      <c r="H9989" t="s">
        <v>21</v>
      </c>
      <c r="I9989" t="s">
        <v>20</v>
      </c>
      <c r="J9989" t="s">
        <v>20</v>
      </c>
      <c r="K9989" t="s">
        <v>41</v>
      </c>
      <c r="L9989" t="s">
        <v>177</v>
      </c>
      <c r="M9989" t="s">
        <v>46</v>
      </c>
      <c r="N9989">
        <v>41.460925000000003</v>
      </c>
      <c r="O9989">
        <v>-112.036703</v>
      </c>
      <c r="P9989">
        <v>4321.3597040000004</v>
      </c>
      <c r="Q9989">
        <v>1384</v>
      </c>
      <c r="R9989">
        <v>0</v>
      </c>
    </row>
    <row r="9990" spans="1:18" x14ac:dyDescent="0.25">
      <c r="A9990">
        <v>9839</v>
      </c>
      <c r="B9990">
        <v>94</v>
      </c>
      <c r="C9990" t="s">
        <v>1181</v>
      </c>
      <c r="D9990" t="s">
        <v>272</v>
      </c>
      <c r="E9990">
        <v>431.63499999999999</v>
      </c>
      <c r="F9990" t="s">
        <v>21</v>
      </c>
      <c r="G9990" t="s">
        <v>26</v>
      </c>
      <c r="H9990" t="s">
        <v>21</v>
      </c>
      <c r="I9990" t="s">
        <v>20</v>
      </c>
      <c r="J9990" t="s">
        <v>20</v>
      </c>
      <c r="K9990" t="s">
        <v>41</v>
      </c>
      <c r="L9990" t="s">
        <v>177</v>
      </c>
      <c r="M9990" t="s">
        <v>46</v>
      </c>
      <c r="N9990">
        <v>41.462961</v>
      </c>
      <c r="O9990">
        <v>-112.035202</v>
      </c>
      <c r="P9990">
        <v>4310.421206</v>
      </c>
      <c r="Q9990">
        <v>1384</v>
      </c>
      <c r="R9990">
        <v>0</v>
      </c>
    </row>
    <row r="9991" spans="1:18" x14ac:dyDescent="0.25">
      <c r="A9991">
        <v>9840</v>
      </c>
      <c r="B9991">
        <v>94</v>
      </c>
      <c r="C9991">
        <v>31373021</v>
      </c>
      <c r="D9991" t="s">
        <v>142</v>
      </c>
      <c r="E9991">
        <v>85.975999999999999</v>
      </c>
      <c r="F9991" t="s">
        <v>21</v>
      </c>
      <c r="G9991" t="s">
        <v>20</v>
      </c>
      <c r="H9991" t="s">
        <v>21</v>
      </c>
      <c r="I9991" t="s">
        <v>20</v>
      </c>
      <c r="J9991" t="s">
        <v>20</v>
      </c>
      <c r="K9991" t="s">
        <v>27</v>
      </c>
      <c r="L9991" t="s">
        <v>143</v>
      </c>
      <c r="M9991" t="s">
        <v>106</v>
      </c>
      <c r="N9991">
        <v>38.278225999999997</v>
      </c>
      <c r="O9991">
        <v>-112.96183000000001</v>
      </c>
      <c r="P9991">
        <v>5161.6204310000003</v>
      </c>
      <c r="Q9991">
        <v>305</v>
      </c>
      <c r="R9991">
        <v>0</v>
      </c>
    </row>
    <row r="9992" spans="1:18" x14ac:dyDescent="0.25">
      <c r="A9992">
        <v>9841</v>
      </c>
      <c r="B9992">
        <v>94</v>
      </c>
      <c r="C9992">
        <v>31772535</v>
      </c>
      <c r="D9992" t="s">
        <v>118</v>
      </c>
      <c r="E9992">
        <v>86.069000000000003</v>
      </c>
      <c r="F9992" t="s">
        <v>21</v>
      </c>
      <c r="G9992" t="s">
        <v>26</v>
      </c>
      <c r="H9992" t="s">
        <v>21</v>
      </c>
      <c r="I9992" t="s">
        <v>20</v>
      </c>
      <c r="J9992" t="s">
        <v>20</v>
      </c>
      <c r="K9992" t="s">
        <v>22</v>
      </c>
      <c r="L9992" t="s">
        <v>253</v>
      </c>
      <c r="M9992" t="s">
        <v>120</v>
      </c>
      <c r="N9992">
        <v>40.163389000000002</v>
      </c>
      <c r="O9992">
        <v>-110.410006</v>
      </c>
      <c r="P9992">
        <v>5466.1349849999997</v>
      </c>
      <c r="Q9992">
        <v>310</v>
      </c>
      <c r="R9992">
        <v>0</v>
      </c>
    </row>
    <row r="9993" spans="1:18" x14ac:dyDescent="0.25">
      <c r="A9993">
        <v>9842</v>
      </c>
      <c r="B9993">
        <v>94</v>
      </c>
      <c r="C9993" t="s">
        <v>1182</v>
      </c>
      <c r="D9993" t="s">
        <v>272</v>
      </c>
      <c r="E9993">
        <v>86.088999999999999</v>
      </c>
      <c r="F9993" t="s">
        <v>21</v>
      </c>
      <c r="G9993" t="s">
        <v>20</v>
      </c>
      <c r="H9993" t="s">
        <v>21</v>
      </c>
      <c r="I9993" t="s">
        <v>20</v>
      </c>
      <c r="J9993" t="s">
        <v>20</v>
      </c>
      <c r="K9993" t="s">
        <v>27</v>
      </c>
      <c r="L9993" t="s">
        <v>279</v>
      </c>
      <c r="M9993" t="s">
        <v>214</v>
      </c>
      <c r="N9993">
        <v>37.276128</v>
      </c>
      <c r="O9993">
        <v>-112.631624</v>
      </c>
      <c r="P9993">
        <v>5411.7740409999997</v>
      </c>
      <c r="Q9993">
        <v>1384</v>
      </c>
      <c r="R9993">
        <v>0</v>
      </c>
    </row>
    <row r="9994" spans="1:18" x14ac:dyDescent="0.25">
      <c r="A9994">
        <v>9843</v>
      </c>
      <c r="B9994">
        <v>94</v>
      </c>
      <c r="C9994" t="s">
        <v>1183</v>
      </c>
      <c r="D9994" t="s">
        <v>272</v>
      </c>
      <c r="E9994">
        <v>91.372</v>
      </c>
      <c r="F9994" t="s">
        <v>21</v>
      </c>
      <c r="G9994" t="s">
        <v>26</v>
      </c>
      <c r="H9994" t="s">
        <v>21</v>
      </c>
      <c r="I9994" t="s">
        <v>20</v>
      </c>
      <c r="J9994" t="s">
        <v>20</v>
      </c>
      <c r="K9994" t="s">
        <v>27</v>
      </c>
      <c r="L9994" t="s">
        <v>279</v>
      </c>
      <c r="M9994" t="s">
        <v>214</v>
      </c>
      <c r="N9994">
        <v>37.340690000000002</v>
      </c>
      <c r="O9994">
        <v>-112.605166</v>
      </c>
      <c r="P9994">
        <v>5833.4852570000003</v>
      </c>
      <c r="Q9994">
        <v>1384</v>
      </c>
      <c r="R9994">
        <v>0</v>
      </c>
    </row>
    <row r="9995" spans="1:18" x14ac:dyDescent="0.25">
      <c r="A9995">
        <v>9844</v>
      </c>
      <c r="B9995">
        <v>94</v>
      </c>
      <c r="C9995" t="e">
        <f>-JOj2JwtGR5UNpCx7RqlSF</f>
        <v>#NAME?</v>
      </c>
      <c r="D9995" t="s">
        <v>244</v>
      </c>
      <c r="E9995">
        <v>91.51</v>
      </c>
      <c r="F9995" t="s">
        <v>21</v>
      </c>
      <c r="G9995" t="s">
        <v>26</v>
      </c>
      <c r="H9995" t="s">
        <v>21</v>
      </c>
      <c r="I9995" t="s">
        <v>20</v>
      </c>
      <c r="J9995" t="s">
        <v>20</v>
      </c>
      <c r="K9995" t="s">
        <v>27</v>
      </c>
      <c r="L9995" t="s">
        <v>266</v>
      </c>
      <c r="M9995" t="s">
        <v>270</v>
      </c>
      <c r="N9995">
        <v>38.270826999999997</v>
      </c>
      <c r="O9995">
        <v>-111.081771</v>
      </c>
      <c r="P9995">
        <v>4828.8268639999997</v>
      </c>
      <c r="Q9995">
        <v>1340</v>
      </c>
      <c r="R9995">
        <v>0</v>
      </c>
    </row>
    <row r="9996" spans="1:18" x14ac:dyDescent="0.25">
      <c r="A9996">
        <v>9845</v>
      </c>
      <c r="B9996">
        <v>94</v>
      </c>
      <c r="C9996">
        <v>31774066</v>
      </c>
      <c r="D9996" t="s">
        <v>290</v>
      </c>
      <c r="E9996">
        <v>91.653999999999996</v>
      </c>
      <c r="F9996" t="s">
        <v>21</v>
      </c>
      <c r="G9996" t="s">
        <v>26</v>
      </c>
      <c r="H9996" t="s">
        <v>21</v>
      </c>
      <c r="I9996" t="s">
        <v>20</v>
      </c>
      <c r="J9996" t="s">
        <v>20</v>
      </c>
      <c r="K9996" t="s">
        <v>41</v>
      </c>
      <c r="L9996" t="s">
        <v>223</v>
      </c>
      <c r="M9996" t="s">
        <v>152</v>
      </c>
      <c r="N9996">
        <v>41.784855999999998</v>
      </c>
      <c r="O9996">
        <v>-112.154129</v>
      </c>
      <c r="P9996">
        <v>4313.4886349999997</v>
      </c>
      <c r="Q9996">
        <v>1343</v>
      </c>
      <c r="R9996">
        <v>0</v>
      </c>
    </row>
    <row r="9997" spans="1:18" x14ac:dyDescent="0.25">
      <c r="A9997">
        <v>9846</v>
      </c>
      <c r="B9997">
        <v>94</v>
      </c>
      <c r="C9997">
        <v>28246160</v>
      </c>
      <c r="D9997" t="s">
        <v>220</v>
      </c>
      <c r="E9997">
        <v>91.697000000000003</v>
      </c>
      <c r="F9997" t="s">
        <v>21</v>
      </c>
      <c r="G9997" t="s">
        <v>26</v>
      </c>
      <c r="H9997" t="s">
        <v>21</v>
      </c>
      <c r="I9997" t="s">
        <v>20</v>
      </c>
      <c r="J9997" t="s">
        <v>20</v>
      </c>
      <c r="K9997" t="s">
        <v>27</v>
      </c>
      <c r="L9997" t="s">
        <v>28</v>
      </c>
      <c r="M9997" t="s">
        <v>366</v>
      </c>
      <c r="N9997">
        <v>37.976582000000001</v>
      </c>
      <c r="O9997">
        <v>-111.431016</v>
      </c>
      <c r="P9997">
        <v>7490.1645269999999</v>
      </c>
      <c r="Q9997">
        <v>1328</v>
      </c>
      <c r="R9997">
        <v>0</v>
      </c>
    </row>
    <row r="9998" spans="1:18" x14ac:dyDescent="0.25">
      <c r="A9998">
        <v>9847</v>
      </c>
      <c r="B9998">
        <v>94</v>
      </c>
      <c r="C9998">
        <v>31373531</v>
      </c>
      <c r="D9998" t="s">
        <v>142</v>
      </c>
      <c r="E9998">
        <v>91.804000000000002</v>
      </c>
      <c r="F9998" t="s">
        <v>21</v>
      </c>
      <c r="G9998" t="s">
        <v>26</v>
      </c>
      <c r="H9998" t="s">
        <v>21</v>
      </c>
      <c r="I9998" t="s">
        <v>20</v>
      </c>
      <c r="J9998" t="s">
        <v>20</v>
      </c>
      <c r="K9998" t="s">
        <v>27</v>
      </c>
      <c r="L9998" t="s">
        <v>143</v>
      </c>
      <c r="M9998" t="s">
        <v>106</v>
      </c>
      <c r="N9998">
        <v>38.219380999999998</v>
      </c>
      <c r="O9998">
        <v>-112.900248</v>
      </c>
      <c r="P9998">
        <v>5272.3232379999999</v>
      </c>
      <c r="Q9998">
        <v>305</v>
      </c>
      <c r="R9998">
        <v>0</v>
      </c>
    </row>
    <row r="9999" spans="1:18" x14ac:dyDescent="0.25">
      <c r="A9999">
        <v>9848</v>
      </c>
      <c r="B9999">
        <v>94</v>
      </c>
      <c r="C9999">
        <v>31774077</v>
      </c>
      <c r="D9999" t="s">
        <v>290</v>
      </c>
      <c r="E9999">
        <v>91.807000000000002</v>
      </c>
      <c r="F9999" t="s">
        <v>21</v>
      </c>
      <c r="G9999" t="s">
        <v>26</v>
      </c>
      <c r="H9999" t="s">
        <v>21</v>
      </c>
      <c r="I9999" t="s">
        <v>20</v>
      </c>
      <c r="J9999" t="s">
        <v>20</v>
      </c>
      <c r="K9999" t="s">
        <v>41</v>
      </c>
      <c r="L9999" t="s">
        <v>223</v>
      </c>
      <c r="M9999" t="s">
        <v>152</v>
      </c>
      <c r="N9999">
        <v>41.784905999999999</v>
      </c>
      <c r="O9999">
        <v>-112.15116999999999</v>
      </c>
      <c r="P9999">
        <v>4311.9825259999998</v>
      </c>
      <c r="Q9999">
        <v>1343</v>
      </c>
      <c r="R9999">
        <v>0</v>
      </c>
    </row>
    <row r="10000" spans="1:18" x14ac:dyDescent="0.25">
      <c r="A10000">
        <v>9849</v>
      </c>
      <c r="B10000">
        <v>94</v>
      </c>
      <c r="C10000">
        <v>31634356</v>
      </c>
      <c r="D10000" t="s">
        <v>121</v>
      </c>
      <c r="E10000">
        <v>83.149000000000001</v>
      </c>
      <c r="F10000" t="s">
        <v>21</v>
      </c>
      <c r="G10000" t="s">
        <v>20</v>
      </c>
      <c r="H10000" t="s">
        <v>21</v>
      </c>
      <c r="I10000" t="s">
        <v>20</v>
      </c>
      <c r="J10000" t="s">
        <v>20</v>
      </c>
      <c r="K10000" t="s">
        <v>27</v>
      </c>
      <c r="L10000" t="s">
        <v>327</v>
      </c>
      <c r="M10000" t="s">
        <v>123</v>
      </c>
      <c r="N10000">
        <v>37.508420999999998</v>
      </c>
      <c r="O10000">
        <v>-110.11676900000001</v>
      </c>
      <c r="P10000">
        <v>5529.89941</v>
      </c>
      <c r="Q10000">
        <v>1283</v>
      </c>
      <c r="R10000">
        <v>0</v>
      </c>
    </row>
    <row r="10001" spans="1:18" x14ac:dyDescent="0.25">
      <c r="A10001">
        <v>9850</v>
      </c>
      <c r="B10001">
        <v>94</v>
      </c>
      <c r="C10001">
        <v>31892723</v>
      </c>
      <c r="D10001" t="s">
        <v>272</v>
      </c>
      <c r="E10001">
        <v>83.168000000000006</v>
      </c>
      <c r="F10001" t="s">
        <v>21</v>
      </c>
      <c r="G10001" t="s">
        <v>26</v>
      </c>
      <c r="H10001" t="s">
        <v>21</v>
      </c>
      <c r="I10001" t="s">
        <v>20</v>
      </c>
      <c r="J10001" t="s">
        <v>20</v>
      </c>
      <c r="K10001" t="s">
        <v>27</v>
      </c>
      <c r="L10001" t="s">
        <v>279</v>
      </c>
      <c r="M10001" t="s">
        <v>214</v>
      </c>
      <c r="N10001">
        <v>37.247672000000001</v>
      </c>
      <c r="O10001">
        <v>-112.66428399999999</v>
      </c>
      <c r="P10001">
        <v>5243.4053160000003</v>
      </c>
      <c r="Q10001">
        <v>1384</v>
      </c>
      <c r="R10001">
        <v>0</v>
      </c>
    </row>
    <row r="10002" spans="1:18" x14ac:dyDescent="0.25">
      <c r="A10002">
        <v>9851</v>
      </c>
      <c r="B10002">
        <v>94</v>
      </c>
      <c r="C10002">
        <v>31547223</v>
      </c>
      <c r="D10002" t="s">
        <v>213</v>
      </c>
      <c r="E10002">
        <v>83.180999999999997</v>
      </c>
      <c r="F10002" t="s">
        <v>21</v>
      </c>
      <c r="G10002" t="s">
        <v>26</v>
      </c>
      <c r="H10002" t="s">
        <v>21</v>
      </c>
      <c r="I10002" t="s">
        <v>20</v>
      </c>
      <c r="J10002" t="s">
        <v>20</v>
      </c>
      <c r="K10002" t="s">
        <v>27</v>
      </c>
      <c r="L10002" t="s">
        <v>173</v>
      </c>
      <c r="M10002" t="s">
        <v>214</v>
      </c>
      <c r="N10002">
        <v>39.330733000000002</v>
      </c>
      <c r="O10002">
        <v>-112.665631</v>
      </c>
      <c r="P10002">
        <v>4537.6593370000001</v>
      </c>
      <c r="Q10002">
        <v>1332</v>
      </c>
      <c r="R10002">
        <v>0</v>
      </c>
    </row>
    <row r="10003" spans="1:18" x14ac:dyDescent="0.25">
      <c r="A10003">
        <v>9852</v>
      </c>
      <c r="B10003">
        <v>94</v>
      </c>
      <c r="C10003">
        <v>28238679</v>
      </c>
      <c r="D10003" t="s">
        <v>220</v>
      </c>
      <c r="E10003">
        <v>83.269000000000005</v>
      </c>
      <c r="F10003" t="s">
        <v>21</v>
      </c>
      <c r="G10003" t="s">
        <v>26</v>
      </c>
      <c r="H10003" t="s">
        <v>21</v>
      </c>
      <c r="I10003" t="s">
        <v>20</v>
      </c>
      <c r="J10003" t="s">
        <v>20</v>
      </c>
      <c r="K10003" t="s">
        <v>27</v>
      </c>
      <c r="L10003" t="s">
        <v>28</v>
      </c>
      <c r="M10003" t="s">
        <v>366</v>
      </c>
      <c r="N10003">
        <v>37.888330000000003</v>
      </c>
      <c r="O10003">
        <v>-111.45804200000001</v>
      </c>
      <c r="P10003">
        <v>6705.7984180000003</v>
      </c>
      <c r="Q10003">
        <v>1328</v>
      </c>
      <c r="R10003">
        <v>0</v>
      </c>
    </row>
    <row r="10004" spans="1:18" x14ac:dyDescent="0.25">
      <c r="A10004">
        <v>9853</v>
      </c>
      <c r="B10004">
        <v>94</v>
      </c>
      <c r="C10004">
        <v>31892734</v>
      </c>
      <c r="D10004" t="s">
        <v>272</v>
      </c>
      <c r="E10004">
        <v>83.271000000000001</v>
      </c>
      <c r="F10004" t="s">
        <v>21</v>
      </c>
      <c r="G10004" t="s">
        <v>26</v>
      </c>
      <c r="H10004" t="s">
        <v>21</v>
      </c>
      <c r="I10004" t="s">
        <v>20</v>
      </c>
      <c r="J10004" t="s">
        <v>20</v>
      </c>
      <c r="K10004" t="s">
        <v>27</v>
      </c>
      <c r="L10004" t="s">
        <v>279</v>
      </c>
      <c r="M10004" t="s">
        <v>214</v>
      </c>
      <c r="N10004">
        <v>37.248781000000001</v>
      </c>
      <c r="O10004">
        <v>-112.66302399999999</v>
      </c>
      <c r="P10004">
        <v>5247.7228009999999</v>
      </c>
      <c r="Q10004">
        <v>1384</v>
      </c>
      <c r="R10004">
        <v>0</v>
      </c>
    </row>
    <row r="10005" spans="1:18" x14ac:dyDescent="0.25">
      <c r="A10005">
        <v>9854</v>
      </c>
      <c r="B10005">
        <v>94</v>
      </c>
      <c r="C10005">
        <v>31366192</v>
      </c>
      <c r="D10005" t="s">
        <v>229</v>
      </c>
      <c r="E10005">
        <v>9.4E-2</v>
      </c>
      <c r="F10005" t="s">
        <v>21</v>
      </c>
      <c r="G10005" t="s">
        <v>26</v>
      </c>
      <c r="H10005" t="s">
        <v>21</v>
      </c>
      <c r="I10005" t="s">
        <v>20</v>
      </c>
      <c r="J10005" t="s">
        <v>20</v>
      </c>
      <c r="K10005" t="s">
        <v>27</v>
      </c>
      <c r="L10005" t="s">
        <v>230</v>
      </c>
      <c r="M10005" t="s">
        <v>82</v>
      </c>
      <c r="N10005">
        <v>39.488405</v>
      </c>
      <c r="O10005">
        <v>-111.637073</v>
      </c>
      <c r="P10005">
        <v>5573.8611469999996</v>
      </c>
      <c r="Q10005">
        <v>331</v>
      </c>
      <c r="R10005">
        <v>0</v>
      </c>
    </row>
    <row r="10006" spans="1:18" x14ac:dyDescent="0.25">
      <c r="A10006">
        <v>9855</v>
      </c>
      <c r="B10006">
        <v>94</v>
      </c>
      <c r="C10006" t="s">
        <v>1184</v>
      </c>
      <c r="D10006" t="s">
        <v>216</v>
      </c>
      <c r="E10006">
        <v>9.7000000000000003E-2</v>
      </c>
      <c r="F10006" t="s">
        <v>21</v>
      </c>
      <c r="G10006" t="s">
        <v>26</v>
      </c>
      <c r="H10006" t="s">
        <v>21</v>
      </c>
      <c r="I10006" t="s">
        <v>20</v>
      </c>
      <c r="J10006" t="s">
        <v>20</v>
      </c>
      <c r="K10006" t="s">
        <v>27</v>
      </c>
      <c r="L10006" t="s">
        <v>158</v>
      </c>
      <c r="M10006" t="s">
        <v>159</v>
      </c>
      <c r="N10006">
        <v>39.682637</v>
      </c>
      <c r="O10006">
        <v>-110.856324</v>
      </c>
      <c r="P10006">
        <v>5752.6625549999999</v>
      </c>
      <c r="Q10006">
        <v>1428</v>
      </c>
      <c r="R10006">
        <v>0</v>
      </c>
    </row>
    <row r="10007" spans="1:18" x14ac:dyDescent="0.25">
      <c r="A10007">
        <v>9856</v>
      </c>
      <c r="B10007">
        <v>94</v>
      </c>
      <c r="C10007">
        <v>31638943</v>
      </c>
      <c r="D10007" t="s">
        <v>157</v>
      </c>
      <c r="E10007">
        <v>9.7000000000000003E-2</v>
      </c>
      <c r="F10007" t="s">
        <v>21</v>
      </c>
      <c r="G10007" t="s">
        <v>26</v>
      </c>
      <c r="H10007" t="s">
        <v>21</v>
      </c>
      <c r="I10007" t="s">
        <v>20</v>
      </c>
      <c r="J10007" t="s">
        <v>20</v>
      </c>
      <c r="K10007" t="s">
        <v>27</v>
      </c>
      <c r="L10007" t="s">
        <v>158</v>
      </c>
      <c r="M10007" t="s">
        <v>159</v>
      </c>
      <c r="N10007">
        <v>39.600873</v>
      </c>
      <c r="O10007">
        <v>-110.826559</v>
      </c>
      <c r="P10007">
        <v>5483.7781089999999</v>
      </c>
      <c r="Q10007">
        <v>1360</v>
      </c>
      <c r="R10007">
        <v>0</v>
      </c>
    </row>
    <row r="10008" spans="1:18" x14ac:dyDescent="0.25">
      <c r="A10008">
        <v>9857</v>
      </c>
      <c r="B10008">
        <v>94</v>
      </c>
      <c r="C10008" t="s">
        <v>1185</v>
      </c>
      <c r="D10008" t="s">
        <v>1186</v>
      </c>
      <c r="E10008">
        <v>9.7000000000000003E-2</v>
      </c>
      <c r="F10008" t="s">
        <v>21</v>
      </c>
      <c r="G10008" t="s">
        <v>26</v>
      </c>
      <c r="H10008" t="s">
        <v>21</v>
      </c>
      <c r="I10008" t="s">
        <v>20</v>
      </c>
      <c r="J10008" t="s">
        <v>20</v>
      </c>
      <c r="K10008" t="s">
        <v>27</v>
      </c>
      <c r="L10008" t="s">
        <v>72</v>
      </c>
      <c r="M10008" t="s">
        <v>948</v>
      </c>
      <c r="N10008">
        <v>37.405141999999998</v>
      </c>
      <c r="O10008">
        <v>-113.23751900000001</v>
      </c>
      <c r="P10008">
        <v>4716.8849209999998</v>
      </c>
      <c r="Q10008">
        <v>1333</v>
      </c>
      <c r="R10008">
        <v>0</v>
      </c>
    </row>
    <row r="10009" spans="1:18" x14ac:dyDescent="0.25">
      <c r="A10009">
        <v>9858</v>
      </c>
      <c r="B10009">
        <v>94</v>
      </c>
      <c r="C10009">
        <v>27284823</v>
      </c>
      <c r="D10009" t="s">
        <v>154</v>
      </c>
      <c r="E10009">
        <v>9.7000000000000003E-2</v>
      </c>
      <c r="F10009" t="s">
        <v>21</v>
      </c>
      <c r="G10009" t="s">
        <v>26</v>
      </c>
      <c r="H10009" t="s">
        <v>21</v>
      </c>
      <c r="I10009" t="s">
        <v>20</v>
      </c>
      <c r="J10009" t="s">
        <v>20</v>
      </c>
      <c r="K10009" t="s">
        <v>22</v>
      </c>
      <c r="L10009" t="s">
        <v>155</v>
      </c>
      <c r="M10009" t="s">
        <v>76</v>
      </c>
      <c r="N10009">
        <v>39.819096000000002</v>
      </c>
      <c r="O10009">
        <v>-111.85331100000001</v>
      </c>
      <c r="P10009">
        <v>4916.342944</v>
      </c>
      <c r="Q10009">
        <v>1359</v>
      </c>
      <c r="R10009">
        <v>0</v>
      </c>
    </row>
    <row r="10010" spans="1:18" x14ac:dyDescent="0.25">
      <c r="A10010">
        <v>9859</v>
      </c>
      <c r="B10010">
        <v>94</v>
      </c>
      <c r="C10010" t="s">
        <v>1187</v>
      </c>
      <c r="D10010" t="s">
        <v>18</v>
      </c>
      <c r="E10010">
        <v>9.7000000000000003E-2</v>
      </c>
      <c r="F10010" t="s">
        <v>21</v>
      </c>
      <c r="G10010" t="s">
        <v>26</v>
      </c>
      <c r="H10010" t="s">
        <v>21</v>
      </c>
      <c r="I10010" t="s">
        <v>20</v>
      </c>
      <c r="J10010" t="s">
        <v>20</v>
      </c>
      <c r="K10010" t="s">
        <v>22</v>
      </c>
      <c r="L10010" t="s">
        <v>23</v>
      </c>
      <c r="M10010" t="s">
        <v>24</v>
      </c>
      <c r="N10010">
        <v>40.275241000000001</v>
      </c>
      <c r="O10010">
        <v>-111.72545</v>
      </c>
      <c r="P10010">
        <v>4485.5540579999997</v>
      </c>
      <c r="Q10010">
        <v>1281</v>
      </c>
      <c r="R10010">
        <v>0</v>
      </c>
    </row>
    <row r="10011" spans="1:18" x14ac:dyDescent="0.25">
      <c r="A10011">
        <v>9860</v>
      </c>
      <c r="B10011">
        <v>94</v>
      </c>
      <c r="C10011">
        <v>31585272</v>
      </c>
      <c r="D10011" t="s">
        <v>187</v>
      </c>
      <c r="E10011">
        <v>0.46899999999999997</v>
      </c>
      <c r="F10011" t="s">
        <v>21</v>
      </c>
      <c r="G10011" t="s">
        <v>361</v>
      </c>
      <c r="H10011" t="s">
        <v>19</v>
      </c>
      <c r="I10011">
        <v>282</v>
      </c>
      <c r="J10011" t="s">
        <v>20</v>
      </c>
      <c r="K10011" t="s">
        <v>31</v>
      </c>
      <c r="L10011" t="s">
        <v>188</v>
      </c>
      <c r="M10011" t="s">
        <v>90</v>
      </c>
      <c r="N10011">
        <v>40.759551000000002</v>
      </c>
      <c r="O10011">
        <v>-111.84500800000001</v>
      </c>
      <c r="P10011">
        <v>4649.8234659999998</v>
      </c>
      <c r="Q10011">
        <v>435</v>
      </c>
      <c r="R10011">
        <v>0</v>
      </c>
    </row>
    <row r="10012" spans="1:18" x14ac:dyDescent="0.25">
      <c r="A10012">
        <v>9861</v>
      </c>
      <c r="B10012">
        <v>94</v>
      </c>
      <c r="C10012">
        <v>31368768</v>
      </c>
      <c r="D10012" t="s">
        <v>199</v>
      </c>
      <c r="E10012">
        <v>0.47</v>
      </c>
      <c r="F10012" t="s">
        <v>21</v>
      </c>
      <c r="G10012" t="s">
        <v>26</v>
      </c>
      <c r="H10012" t="s">
        <v>21</v>
      </c>
      <c r="I10012" t="s">
        <v>20</v>
      </c>
      <c r="J10012" t="s">
        <v>20</v>
      </c>
      <c r="K10012" t="s">
        <v>27</v>
      </c>
      <c r="L10012" t="s">
        <v>103</v>
      </c>
      <c r="M10012" t="s">
        <v>200</v>
      </c>
      <c r="N10012">
        <v>38.276964999999997</v>
      </c>
      <c r="O10012">
        <v>-112.632666</v>
      </c>
      <c r="P10012">
        <v>5872.9184009999999</v>
      </c>
      <c r="Q10012">
        <v>341</v>
      </c>
      <c r="R10012">
        <v>0</v>
      </c>
    </row>
    <row r="10013" spans="1:18" x14ac:dyDescent="0.25">
      <c r="A10013">
        <v>9862</v>
      </c>
      <c r="B10013">
        <v>94</v>
      </c>
      <c r="C10013">
        <v>31513140</v>
      </c>
      <c r="D10013" t="s">
        <v>390</v>
      </c>
      <c r="E10013">
        <v>0.47199999999999998</v>
      </c>
      <c r="F10013" t="s">
        <v>19</v>
      </c>
      <c r="G10013" t="s">
        <v>20</v>
      </c>
      <c r="H10013" t="s">
        <v>21</v>
      </c>
      <c r="I10013" t="s">
        <v>20</v>
      </c>
      <c r="J10013" t="s">
        <v>20</v>
      </c>
      <c r="K10013" t="s">
        <v>22</v>
      </c>
      <c r="L10013" t="s">
        <v>84</v>
      </c>
      <c r="M10013" t="s">
        <v>335</v>
      </c>
      <c r="N10013">
        <v>40.431583000000003</v>
      </c>
      <c r="O10013">
        <v>-111.886726</v>
      </c>
      <c r="P10013">
        <v>4619.461225</v>
      </c>
      <c r="Q10013">
        <v>1386</v>
      </c>
      <c r="R10013">
        <v>0</v>
      </c>
    </row>
    <row r="10014" spans="1:18" x14ac:dyDescent="0.25">
      <c r="A10014">
        <v>9863</v>
      </c>
      <c r="B10014">
        <v>94</v>
      </c>
      <c r="C10014">
        <v>31527547</v>
      </c>
      <c r="D10014" t="s">
        <v>182</v>
      </c>
      <c r="E10014">
        <v>0.47399999999999998</v>
      </c>
      <c r="F10014" t="s">
        <v>21</v>
      </c>
      <c r="G10014" t="s">
        <v>26</v>
      </c>
      <c r="H10014" t="s">
        <v>21</v>
      </c>
      <c r="I10014" t="s">
        <v>20</v>
      </c>
      <c r="J10014" t="s">
        <v>20</v>
      </c>
      <c r="K10014" t="s">
        <v>27</v>
      </c>
      <c r="L10014" t="s">
        <v>183</v>
      </c>
      <c r="M10014" t="s">
        <v>76</v>
      </c>
      <c r="N10014">
        <v>38.908774999999999</v>
      </c>
      <c r="O10014">
        <v>-111.940485</v>
      </c>
      <c r="P10014">
        <v>5125.2244609999998</v>
      </c>
      <c r="Q10014">
        <v>429</v>
      </c>
      <c r="R10014">
        <v>0</v>
      </c>
    </row>
    <row r="10015" spans="1:18" x14ac:dyDescent="0.25">
      <c r="A10015">
        <v>9864</v>
      </c>
      <c r="B10015">
        <v>94</v>
      </c>
      <c r="C10015">
        <v>1723105</v>
      </c>
      <c r="D10015" t="s">
        <v>715</v>
      </c>
      <c r="E10015">
        <v>0.47499999999999998</v>
      </c>
      <c r="F10015" t="s">
        <v>21</v>
      </c>
      <c r="G10015" t="s">
        <v>26</v>
      </c>
      <c r="H10015" t="s">
        <v>21</v>
      </c>
      <c r="I10015" t="s">
        <v>20</v>
      </c>
      <c r="J10015" t="s">
        <v>20</v>
      </c>
      <c r="K10015" t="s">
        <v>41</v>
      </c>
      <c r="L10015" t="s">
        <v>87</v>
      </c>
      <c r="M10015" t="s">
        <v>46</v>
      </c>
      <c r="N10015">
        <v>40.980508999999998</v>
      </c>
      <c r="O10015">
        <v>-111.891907</v>
      </c>
      <c r="P10015">
        <v>4232.7282059999998</v>
      </c>
      <c r="Q10015">
        <v>1277</v>
      </c>
      <c r="R10015">
        <v>0</v>
      </c>
    </row>
    <row r="10016" spans="1:18" x14ac:dyDescent="0.25">
      <c r="A10016">
        <v>9865</v>
      </c>
      <c r="B10016">
        <v>94</v>
      </c>
      <c r="C10016">
        <v>27337889</v>
      </c>
      <c r="D10016" t="s">
        <v>185</v>
      </c>
      <c r="E10016">
        <v>0.47599999999999998</v>
      </c>
      <c r="F10016" t="s">
        <v>21</v>
      </c>
      <c r="G10016" t="s">
        <v>26</v>
      </c>
      <c r="H10016" t="s">
        <v>21</v>
      </c>
      <c r="I10016" t="s">
        <v>20</v>
      </c>
      <c r="J10016" t="s">
        <v>20</v>
      </c>
      <c r="K10016" t="s">
        <v>41</v>
      </c>
      <c r="L10016" t="s">
        <v>57</v>
      </c>
      <c r="M10016" t="s">
        <v>58</v>
      </c>
      <c r="N10016">
        <v>41.139879000000001</v>
      </c>
      <c r="O10016">
        <v>-112.035212</v>
      </c>
      <c r="P10016">
        <v>4420.4237830000002</v>
      </c>
      <c r="Q10016">
        <v>309</v>
      </c>
      <c r="R10016">
        <v>0</v>
      </c>
    </row>
    <row r="10017" spans="1:18" x14ac:dyDescent="0.25">
      <c r="A10017">
        <v>9866</v>
      </c>
      <c r="B10017">
        <v>94</v>
      </c>
      <c r="C10017" t="e">
        <f>-JMRWTSOIcqb49fF66zLkF</f>
        <v>#NAME?</v>
      </c>
      <c r="D10017" t="s">
        <v>187</v>
      </c>
      <c r="E10017">
        <v>0.48099999999999998</v>
      </c>
      <c r="F10017" t="s">
        <v>21</v>
      </c>
      <c r="G10017" t="s">
        <v>361</v>
      </c>
      <c r="H10017" t="s">
        <v>19</v>
      </c>
      <c r="I10017">
        <v>282</v>
      </c>
      <c r="J10017" t="s">
        <v>20</v>
      </c>
      <c r="K10017" t="s">
        <v>31</v>
      </c>
      <c r="L10017" t="s">
        <v>188</v>
      </c>
      <c r="M10017" t="s">
        <v>90</v>
      </c>
      <c r="N10017">
        <v>40.759655000000002</v>
      </c>
      <c r="O10017">
        <v>-111.844746</v>
      </c>
      <c r="P10017">
        <v>4652.7039839999998</v>
      </c>
      <c r="Q10017">
        <v>435</v>
      </c>
      <c r="R10017">
        <v>0</v>
      </c>
    </row>
    <row r="10018" spans="1:18" x14ac:dyDescent="0.25">
      <c r="A10018">
        <v>9867</v>
      </c>
      <c r="B10018">
        <v>94</v>
      </c>
      <c r="C10018">
        <v>31195041</v>
      </c>
      <c r="D10018" t="s">
        <v>354</v>
      </c>
      <c r="E10018">
        <v>0.48199999999999998</v>
      </c>
      <c r="F10018" t="s">
        <v>21</v>
      </c>
      <c r="G10018" t="s">
        <v>20</v>
      </c>
      <c r="H10018" t="s">
        <v>21</v>
      </c>
      <c r="I10018" t="s">
        <v>20</v>
      </c>
      <c r="J10018" t="s">
        <v>20</v>
      </c>
      <c r="K10018" t="s">
        <v>27</v>
      </c>
      <c r="L10018" t="s">
        <v>64</v>
      </c>
      <c r="M10018" t="s">
        <v>58</v>
      </c>
      <c r="N10018">
        <v>38.095115999999997</v>
      </c>
      <c r="O10018">
        <v>-111.983509</v>
      </c>
      <c r="P10018">
        <v>6450.4683219999997</v>
      </c>
      <c r="Q10018">
        <v>1338</v>
      </c>
      <c r="R10018">
        <v>0</v>
      </c>
    </row>
    <row r="10019" spans="1:18" x14ac:dyDescent="0.25">
      <c r="A10019">
        <v>9868</v>
      </c>
      <c r="B10019">
        <v>94</v>
      </c>
      <c r="C10019">
        <v>992465</v>
      </c>
      <c r="D10019" t="s">
        <v>375</v>
      </c>
      <c r="E10019">
        <v>0.58099999999999996</v>
      </c>
      <c r="F10019" t="s">
        <v>19</v>
      </c>
      <c r="G10019" t="s">
        <v>20</v>
      </c>
      <c r="H10019" t="s">
        <v>21</v>
      </c>
      <c r="I10019" t="s">
        <v>20</v>
      </c>
      <c r="J10019" t="s">
        <v>20</v>
      </c>
      <c r="K10019" t="s">
        <v>41</v>
      </c>
      <c r="L10019" t="s">
        <v>87</v>
      </c>
      <c r="M10019" t="s">
        <v>67</v>
      </c>
      <c r="N10019">
        <v>40.991408</v>
      </c>
      <c r="O10019">
        <v>-111.896759</v>
      </c>
      <c r="P10019">
        <v>4224.4818939999996</v>
      </c>
      <c r="Q10019">
        <v>422</v>
      </c>
      <c r="R10019">
        <v>0</v>
      </c>
    </row>
    <row r="10020" spans="1:18" x14ac:dyDescent="0.25">
      <c r="A10020">
        <v>9869</v>
      </c>
      <c r="B10020">
        <v>94</v>
      </c>
      <c r="C10020">
        <v>27086106</v>
      </c>
      <c r="D10020" t="s">
        <v>351</v>
      </c>
      <c r="E10020">
        <v>0.58099999999999996</v>
      </c>
      <c r="F10020" t="s">
        <v>21</v>
      </c>
      <c r="G10020" t="s">
        <v>26</v>
      </c>
      <c r="H10020" t="s">
        <v>21</v>
      </c>
      <c r="I10020" t="s">
        <v>20</v>
      </c>
      <c r="J10020" t="s">
        <v>20</v>
      </c>
      <c r="K10020" t="s">
        <v>22</v>
      </c>
      <c r="L10020" t="s">
        <v>140</v>
      </c>
      <c r="M10020" t="s">
        <v>125</v>
      </c>
      <c r="N10020">
        <v>40.122396000000002</v>
      </c>
      <c r="O10020">
        <v>-111.629679</v>
      </c>
      <c r="P10020">
        <v>4565.3022019999999</v>
      </c>
      <c r="Q10020">
        <v>1357</v>
      </c>
      <c r="R10020">
        <v>0</v>
      </c>
    </row>
    <row r="10021" spans="1:18" x14ac:dyDescent="0.25">
      <c r="A10021">
        <v>9870</v>
      </c>
      <c r="B10021">
        <v>94</v>
      </c>
      <c r="C10021">
        <v>963946</v>
      </c>
      <c r="D10021" t="s">
        <v>175</v>
      </c>
      <c r="E10021">
        <v>0.58299999999999996</v>
      </c>
      <c r="F10021" t="s">
        <v>21</v>
      </c>
      <c r="G10021" t="s">
        <v>26</v>
      </c>
      <c r="H10021" t="s">
        <v>21</v>
      </c>
      <c r="I10021" t="s">
        <v>20</v>
      </c>
      <c r="J10021" t="s">
        <v>20</v>
      </c>
      <c r="K10021" t="s">
        <v>41</v>
      </c>
      <c r="L10021" t="s">
        <v>87</v>
      </c>
      <c r="M10021" t="s">
        <v>93</v>
      </c>
      <c r="N10021">
        <v>41.060077999999997</v>
      </c>
      <c r="O10021">
        <v>-111.954919</v>
      </c>
      <c r="P10021">
        <v>4314.1604020000004</v>
      </c>
      <c r="Q10021">
        <v>1397</v>
      </c>
      <c r="R10021">
        <v>0</v>
      </c>
    </row>
    <row r="10022" spans="1:18" x14ac:dyDescent="0.25">
      <c r="A10022">
        <v>9871</v>
      </c>
      <c r="B10022">
        <v>94</v>
      </c>
      <c r="C10022">
        <v>31657888</v>
      </c>
      <c r="D10022" t="s">
        <v>156</v>
      </c>
      <c r="E10022">
        <v>0.58499999999999996</v>
      </c>
      <c r="F10022" t="s">
        <v>21</v>
      </c>
      <c r="G10022" t="s">
        <v>20</v>
      </c>
      <c r="H10022" t="s">
        <v>21</v>
      </c>
      <c r="I10022" t="s">
        <v>20</v>
      </c>
      <c r="J10022" t="s">
        <v>20</v>
      </c>
      <c r="K10022" t="s">
        <v>41</v>
      </c>
      <c r="L10022" t="s">
        <v>81</v>
      </c>
      <c r="M10022" t="s">
        <v>93</v>
      </c>
      <c r="N10022">
        <v>41.267794000000002</v>
      </c>
      <c r="O10022">
        <v>-111.96947</v>
      </c>
      <c r="P10022">
        <v>4250.4857220000004</v>
      </c>
      <c r="Q10022">
        <v>424</v>
      </c>
      <c r="R10022">
        <v>0</v>
      </c>
    </row>
    <row r="10023" spans="1:18" x14ac:dyDescent="0.25">
      <c r="A10023">
        <v>9872</v>
      </c>
      <c r="B10023">
        <v>94</v>
      </c>
      <c r="C10023">
        <v>31561312</v>
      </c>
      <c r="D10023" t="s">
        <v>80</v>
      </c>
      <c r="E10023">
        <v>0.58499999999999996</v>
      </c>
      <c r="F10023" t="s">
        <v>19</v>
      </c>
      <c r="G10023" t="s">
        <v>20</v>
      </c>
      <c r="H10023" t="s">
        <v>21</v>
      </c>
      <c r="I10023" t="s">
        <v>20</v>
      </c>
      <c r="J10023" t="s">
        <v>20</v>
      </c>
      <c r="K10023" t="s">
        <v>41</v>
      </c>
      <c r="L10023" t="s">
        <v>81</v>
      </c>
      <c r="M10023" t="s">
        <v>82</v>
      </c>
      <c r="N10023">
        <v>41.228617</v>
      </c>
      <c r="O10023">
        <v>-112.014166</v>
      </c>
      <c r="P10023">
        <v>4213.2578350000003</v>
      </c>
      <c r="Q10023">
        <v>1393</v>
      </c>
      <c r="R10023">
        <v>0</v>
      </c>
    </row>
    <row r="10024" spans="1:18" x14ac:dyDescent="0.25">
      <c r="A10024">
        <v>9873</v>
      </c>
      <c r="B10024">
        <v>94</v>
      </c>
      <c r="C10024">
        <v>31366247</v>
      </c>
      <c r="D10024" t="s">
        <v>229</v>
      </c>
      <c r="E10024">
        <v>0.58499999999999996</v>
      </c>
      <c r="F10024" t="s">
        <v>21</v>
      </c>
      <c r="G10024" t="s">
        <v>26</v>
      </c>
      <c r="H10024" t="s">
        <v>21</v>
      </c>
      <c r="I10024" t="s">
        <v>20</v>
      </c>
      <c r="J10024" t="s">
        <v>20</v>
      </c>
      <c r="K10024" t="s">
        <v>27</v>
      </c>
      <c r="L10024" t="s">
        <v>230</v>
      </c>
      <c r="M10024" t="s">
        <v>82</v>
      </c>
      <c r="N10024">
        <v>39.482647999999998</v>
      </c>
      <c r="O10024">
        <v>-111.635097</v>
      </c>
      <c r="P10024">
        <v>5578.887084</v>
      </c>
      <c r="Q10024">
        <v>331</v>
      </c>
      <c r="R10024">
        <v>0</v>
      </c>
    </row>
    <row r="10025" spans="1:18" x14ac:dyDescent="0.25">
      <c r="A10025">
        <v>9874</v>
      </c>
      <c r="B10025">
        <v>94</v>
      </c>
      <c r="C10025">
        <v>3394887</v>
      </c>
      <c r="D10025" t="s">
        <v>1020</v>
      </c>
      <c r="E10025">
        <v>0.58699999999999997</v>
      </c>
      <c r="F10025" t="s">
        <v>19</v>
      </c>
      <c r="G10025" t="s">
        <v>20</v>
      </c>
      <c r="H10025" t="s">
        <v>21</v>
      </c>
      <c r="I10025" t="s">
        <v>20</v>
      </c>
      <c r="J10025" t="s">
        <v>20</v>
      </c>
      <c r="K10025" t="s">
        <v>31</v>
      </c>
      <c r="L10025" t="s">
        <v>66</v>
      </c>
      <c r="M10025" t="s">
        <v>67</v>
      </c>
      <c r="N10025">
        <v>40.782364999999999</v>
      </c>
      <c r="O10025">
        <v>-111.90255399999999</v>
      </c>
      <c r="P10025">
        <v>4175.1037569999999</v>
      </c>
      <c r="Q10025">
        <v>257</v>
      </c>
      <c r="R10025">
        <v>0</v>
      </c>
    </row>
    <row r="10026" spans="1:18" x14ac:dyDescent="0.25">
      <c r="A10026">
        <v>9875</v>
      </c>
      <c r="B10026">
        <v>94</v>
      </c>
      <c r="C10026">
        <v>979995</v>
      </c>
      <c r="D10026" t="s">
        <v>397</v>
      </c>
      <c r="E10026">
        <v>0.58699999999999997</v>
      </c>
      <c r="F10026" t="s">
        <v>21</v>
      </c>
      <c r="G10026" t="s">
        <v>26</v>
      </c>
      <c r="H10026" t="s">
        <v>21</v>
      </c>
      <c r="I10026" t="s">
        <v>20</v>
      </c>
      <c r="J10026" t="s">
        <v>20</v>
      </c>
      <c r="K10026" t="s">
        <v>41</v>
      </c>
      <c r="L10026" t="s">
        <v>177</v>
      </c>
      <c r="M10026" t="s">
        <v>163</v>
      </c>
      <c r="N10026">
        <v>41.505831000000001</v>
      </c>
      <c r="O10026">
        <v>-112.004441</v>
      </c>
      <c r="P10026">
        <v>4469.3577560000003</v>
      </c>
      <c r="Q10026">
        <v>1385</v>
      </c>
      <c r="R10026">
        <v>0</v>
      </c>
    </row>
    <row r="10027" spans="1:18" x14ac:dyDescent="0.25">
      <c r="A10027">
        <v>9876</v>
      </c>
      <c r="B10027">
        <v>94</v>
      </c>
      <c r="C10027">
        <v>31526562</v>
      </c>
      <c r="D10027" t="s">
        <v>936</v>
      </c>
      <c r="E10027">
        <v>0.58799999999999997</v>
      </c>
      <c r="F10027" t="s">
        <v>21</v>
      </c>
      <c r="G10027" t="s">
        <v>26</v>
      </c>
      <c r="H10027" t="s">
        <v>21</v>
      </c>
      <c r="I10027" t="s">
        <v>20</v>
      </c>
      <c r="J10027" t="s">
        <v>20</v>
      </c>
      <c r="K10027" t="s">
        <v>22</v>
      </c>
      <c r="L10027" t="s">
        <v>60</v>
      </c>
      <c r="M10027" t="s">
        <v>36</v>
      </c>
      <c r="N10027">
        <v>40.414177000000002</v>
      </c>
      <c r="O10027">
        <v>-111.507214</v>
      </c>
      <c r="P10027">
        <v>5418.3652499999998</v>
      </c>
      <c r="Q10027">
        <v>445</v>
      </c>
      <c r="R10027">
        <v>0</v>
      </c>
    </row>
    <row r="10028" spans="1:18" x14ac:dyDescent="0.25">
      <c r="A10028">
        <v>9877</v>
      </c>
      <c r="B10028">
        <v>94</v>
      </c>
      <c r="C10028">
        <v>1001152</v>
      </c>
      <c r="D10028" t="s">
        <v>604</v>
      </c>
      <c r="E10028">
        <v>0.59</v>
      </c>
      <c r="F10028" t="s">
        <v>21</v>
      </c>
      <c r="G10028" t="s">
        <v>26</v>
      </c>
      <c r="H10028" t="s">
        <v>21</v>
      </c>
      <c r="I10028" t="s">
        <v>20</v>
      </c>
      <c r="J10028" t="s">
        <v>20</v>
      </c>
      <c r="K10028" t="s">
        <v>41</v>
      </c>
      <c r="L10028" t="s">
        <v>45</v>
      </c>
      <c r="M10028" t="s">
        <v>46</v>
      </c>
      <c r="N10028">
        <v>40.921441999999999</v>
      </c>
      <c r="O10028">
        <v>-111.889055</v>
      </c>
      <c r="P10028">
        <v>4185.6810699999996</v>
      </c>
      <c r="Q10028">
        <v>1394</v>
      </c>
      <c r="R10028">
        <v>0</v>
      </c>
    </row>
    <row r="10029" spans="1:18" x14ac:dyDescent="0.25">
      <c r="A10029">
        <v>9878</v>
      </c>
      <c r="B10029">
        <v>94</v>
      </c>
      <c r="C10029">
        <v>31418412</v>
      </c>
      <c r="D10029" t="s">
        <v>220</v>
      </c>
      <c r="E10029">
        <v>0.59099999999999997</v>
      </c>
      <c r="F10029" t="s">
        <v>21</v>
      </c>
      <c r="G10029" t="s">
        <v>20</v>
      </c>
      <c r="H10029" t="s">
        <v>21</v>
      </c>
      <c r="I10029" t="s">
        <v>20</v>
      </c>
      <c r="J10029" t="s">
        <v>20</v>
      </c>
      <c r="K10029" t="s">
        <v>27</v>
      </c>
      <c r="L10029" t="s">
        <v>247</v>
      </c>
      <c r="M10029" t="s">
        <v>29</v>
      </c>
      <c r="N10029">
        <v>37.748921000000003</v>
      </c>
      <c r="O10029">
        <v>-112.36601899999999</v>
      </c>
      <c r="P10029">
        <v>6730.6563889999998</v>
      </c>
      <c r="Q10029">
        <v>1328</v>
      </c>
      <c r="R10029">
        <v>0</v>
      </c>
    </row>
    <row r="10030" spans="1:18" x14ac:dyDescent="0.25">
      <c r="A10030">
        <v>9879</v>
      </c>
      <c r="B10030">
        <v>94</v>
      </c>
      <c r="C10030">
        <v>1022227</v>
      </c>
      <c r="D10030" t="s">
        <v>715</v>
      </c>
      <c r="E10030">
        <v>0.59299999999999997</v>
      </c>
      <c r="F10030" t="s">
        <v>21</v>
      </c>
      <c r="G10030" t="s">
        <v>26</v>
      </c>
      <c r="H10030" t="s">
        <v>21</v>
      </c>
      <c r="I10030" t="s">
        <v>20</v>
      </c>
      <c r="J10030" t="s">
        <v>20</v>
      </c>
      <c r="K10030" t="s">
        <v>41</v>
      </c>
      <c r="L10030" t="s">
        <v>87</v>
      </c>
      <c r="M10030" t="s">
        <v>46</v>
      </c>
      <c r="N10030">
        <v>40.980497999999997</v>
      </c>
      <c r="O10030">
        <v>-111.889751</v>
      </c>
      <c r="P10030">
        <v>4237.9973380000001</v>
      </c>
      <c r="Q10030">
        <v>1277</v>
      </c>
      <c r="R10030">
        <v>0</v>
      </c>
    </row>
    <row r="10031" spans="1:18" x14ac:dyDescent="0.25">
      <c r="A10031">
        <v>9880</v>
      </c>
      <c r="B10031">
        <v>94</v>
      </c>
      <c r="C10031" t="e">
        <f>-JOAJjt-IQ9LBoLMe8_HeV</f>
        <v>#NAME?</v>
      </c>
      <c r="D10031" t="s">
        <v>541</v>
      </c>
      <c r="E10031">
        <v>0.51</v>
      </c>
      <c r="F10031" t="s">
        <v>21</v>
      </c>
      <c r="G10031" t="s">
        <v>20</v>
      </c>
      <c r="H10031" t="s">
        <v>21</v>
      </c>
      <c r="I10031" t="s">
        <v>20</v>
      </c>
      <c r="J10031" t="s">
        <v>20</v>
      </c>
      <c r="K10031" t="s">
        <v>27</v>
      </c>
      <c r="L10031" t="s">
        <v>158</v>
      </c>
      <c r="M10031" t="s">
        <v>112</v>
      </c>
      <c r="N10031">
        <v>39.484189999999998</v>
      </c>
      <c r="O10031">
        <v>-110.997229</v>
      </c>
      <c r="P10031">
        <v>6974.0022239999998</v>
      </c>
      <c r="Q10031">
        <v>1406</v>
      </c>
      <c r="R10031">
        <v>0</v>
      </c>
    </row>
    <row r="10032" spans="1:18" x14ac:dyDescent="0.25">
      <c r="A10032">
        <v>9881</v>
      </c>
      <c r="B10032">
        <v>94</v>
      </c>
      <c r="C10032">
        <v>31631551</v>
      </c>
      <c r="D10032" t="s">
        <v>402</v>
      </c>
      <c r="E10032">
        <v>1.0149999999999999</v>
      </c>
      <c r="F10032" t="s">
        <v>21</v>
      </c>
      <c r="G10032" t="s">
        <v>26</v>
      </c>
      <c r="H10032" t="s">
        <v>21</v>
      </c>
      <c r="I10032" t="s">
        <v>20</v>
      </c>
      <c r="J10032" t="s">
        <v>20</v>
      </c>
      <c r="K10032" t="s">
        <v>27</v>
      </c>
      <c r="L10032" t="s">
        <v>350</v>
      </c>
      <c r="M10032" t="s">
        <v>58</v>
      </c>
      <c r="N10032">
        <v>39.359793000000003</v>
      </c>
      <c r="O10032">
        <v>-111.584216</v>
      </c>
      <c r="P10032">
        <v>5491.8825880000004</v>
      </c>
      <c r="Q10032">
        <v>438</v>
      </c>
      <c r="R10032">
        <v>0</v>
      </c>
    </row>
    <row r="10033" spans="1:18" x14ac:dyDescent="0.25">
      <c r="A10033">
        <v>9882</v>
      </c>
      <c r="B10033">
        <v>94</v>
      </c>
      <c r="C10033">
        <v>31658254</v>
      </c>
      <c r="D10033" t="s">
        <v>156</v>
      </c>
      <c r="E10033">
        <v>1.016</v>
      </c>
      <c r="F10033" t="s">
        <v>21</v>
      </c>
      <c r="G10033" t="s">
        <v>26</v>
      </c>
      <c r="H10033" t="s">
        <v>21</v>
      </c>
      <c r="I10033" t="s">
        <v>20</v>
      </c>
      <c r="J10033" t="s">
        <v>20</v>
      </c>
      <c r="K10033" t="s">
        <v>41</v>
      </c>
      <c r="L10033" t="s">
        <v>81</v>
      </c>
      <c r="M10033" t="s">
        <v>93</v>
      </c>
      <c r="N10033">
        <v>41.274064000000003</v>
      </c>
      <c r="O10033">
        <v>-111.969348</v>
      </c>
      <c r="P10033">
        <v>4261.7063109999999</v>
      </c>
      <c r="Q10033">
        <v>424</v>
      </c>
      <c r="R10033">
        <v>0</v>
      </c>
    </row>
    <row r="10034" spans="1:18" x14ac:dyDescent="0.25">
      <c r="A10034">
        <v>9883</v>
      </c>
      <c r="B10034">
        <v>94</v>
      </c>
      <c r="C10034">
        <v>31366380</v>
      </c>
      <c r="D10034" t="s">
        <v>229</v>
      </c>
      <c r="E10034">
        <v>1.0169999999999999</v>
      </c>
      <c r="F10034" t="s">
        <v>21</v>
      </c>
      <c r="G10034" t="s">
        <v>26</v>
      </c>
      <c r="H10034" t="s">
        <v>21</v>
      </c>
      <c r="I10034" t="s">
        <v>20</v>
      </c>
      <c r="J10034" t="s">
        <v>20</v>
      </c>
      <c r="K10034" t="s">
        <v>27</v>
      </c>
      <c r="L10034" t="s">
        <v>230</v>
      </c>
      <c r="M10034" t="s">
        <v>82</v>
      </c>
      <c r="N10034">
        <v>39.476239999999997</v>
      </c>
      <c r="O10034">
        <v>-111.634922</v>
      </c>
      <c r="P10034">
        <v>5578.8076540000002</v>
      </c>
      <c r="Q10034">
        <v>331</v>
      </c>
      <c r="R10034">
        <v>0</v>
      </c>
    </row>
    <row r="10035" spans="1:18" x14ac:dyDescent="0.25">
      <c r="A10035">
        <v>9884</v>
      </c>
      <c r="B10035">
        <v>94</v>
      </c>
      <c r="C10035">
        <v>27340522</v>
      </c>
      <c r="D10035" t="s">
        <v>185</v>
      </c>
      <c r="E10035">
        <v>0.92400000000000004</v>
      </c>
      <c r="F10035" t="s">
        <v>21</v>
      </c>
      <c r="G10035" t="s">
        <v>26</v>
      </c>
      <c r="H10035" t="s">
        <v>21</v>
      </c>
      <c r="I10035" t="s">
        <v>20</v>
      </c>
      <c r="J10035" t="s">
        <v>20</v>
      </c>
      <c r="K10035" t="s">
        <v>41</v>
      </c>
      <c r="L10035" t="s">
        <v>57</v>
      </c>
      <c r="M10035" t="s">
        <v>58</v>
      </c>
      <c r="N10035">
        <v>41.139892000000003</v>
      </c>
      <c r="O10035">
        <v>-112.043836</v>
      </c>
      <c r="P10035">
        <v>4373.5053989999997</v>
      </c>
      <c r="Q10035">
        <v>309</v>
      </c>
      <c r="R10035">
        <v>0</v>
      </c>
    </row>
    <row r="10036" spans="1:18" x14ac:dyDescent="0.25">
      <c r="A10036">
        <v>9885</v>
      </c>
      <c r="B10036">
        <v>94</v>
      </c>
      <c r="C10036">
        <v>31382859</v>
      </c>
      <c r="D10036" t="s">
        <v>184</v>
      </c>
      <c r="E10036">
        <v>0.92600000000000005</v>
      </c>
      <c r="F10036" t="s">
        <v>21</v>
      </c>
      <c r="G10036" t="s">
        <v>26</v>
      </c>
      <c r="H10036" t="s">
        <v>21</v>
      </c>
      <c r="I10036" t="s">
        <v>20</v>
      </c>
      <c r="J10036" t="s">
        <v>20</v>
      </c>
      <c r="K10036" t="s">
        <v>27</v>
      </c>
      <c r="L10036" t="s">
        <v>54</v>
      </c>
      <c r="M10036" t="s">
        <v>55</v>
      </c>
      <c r="N10036">
        <v>37.661085999999997</v>
      </c>
      <c r="O10036">
        <v>-113.070465</v>
      </c>
      <c r="P10036">
        <v>5873.3383249999997</v>
      </c>
      <c r="Q10036">
        <v>1410</v>
      </c>
      <c r="R10036">
        <v>0</v>
      </c>
    </row>
    <row r="10037" spans="1:18" x14ac:dyDescent="0.25">
      <c r="A10037">
        <v>9886</v>
      </c>
      <c r="B10037">
        <v>94</v>
      </c>
      <c r="C10037">
        <v>31700055</v>
      </c>
      <c r="D10037" t="s">
        <v>245</v>
      </c>
      <c r="E10037">
        <v>0.92700000000000005</v>
      </c>
      <c r="F10037" t="s">
        <v>21</v>
      </c>
      <c r="G10037" t="s">
        <v>26</v>
      </c>
      <c r="H10037" t="s">
        <v>21</v>
      </c>
      <c r="I10037" t="s">
        <v>20</v>
      </c>
      <c r="J10037" t="s">
        <v>20</v>
      </c>
      <c r="K10037" t="s">
        <v>22</v>
      </c>
      <c r="L10037" t="s">
        <v>97</v>
      </c>
      <c r="M10037" t="s">
        <v>98</v>
      </c>
      <c r="N10037">
        <v>40.871999000000002</v>
      </c>
      <c r="O10037">
        <v>-109.496667</v>
      </c>
      <c r="P10037">
        <v>7360.3547490000001</v>
      </c>
      <c r="Q10037">
        <v>1353</v>
      </c>
      <c r="R10037">
        <v>0</v>
      </c>
    </row>
    <row r="10038" spans="1:18" x14ac:dyDescent="0.25">
      <c r="A10038">
        <v>9887</v>
      </c>
      <c r="B10038">
        <v>94</v>
      </c>
      <c r="C10038">
        <v>31415288</v>
      </c>
      <c r="D10038" t="s">
        <v>107</v>
      </c>
      <c r="E10038">
        <v>0.93100000000000005</v>
      </c>
      <c r="F10038" t="s">
        <v>21</v>
      </c>
      <c r="G10038" t="s">
        <v>26</v>
      </c>
      <c r="H10038" t="s">
        <v>21</v>
      </c>
      <c r="I10038" t="s">
        <v>20</v>
      </c>
      <c r="J10038" t="s">
        <v>20</v>
      </c>
      <c r="K10038" t="s">
        <v>41</v>
      </c>
      <c r="L10038" t="s">
        <v>81</v>
      </c>
      <c r="M10038" t="s">
        <v>93</v>
      </c>
      <c r="N10038">
        <v>41.206130999999999</v>
      </c>
      <c r="O10038">
        <v>-111.979271</v>
      </c>
      <c r="P10038">
        <v>4261.3092120000001</v>
      </c>
      <c r="Q10038">
        <v>413</v>
      </c>
      <c r="R10038">
        <v>0</v>
      </c>
    </row>
    <row r="10039" spans="1:18" x14ac:dyDescent="0.25">
      <c r="A10039">
        <v>9888</v>
      </c>
      <c r="B10039">
        <v>94</v>
      </c>
      <c r="C10039">
        <v>506420</v>
      </c>
      <c r="D10039" t="s">
        <v>135</v>
      </c>
      <c r="E10039">
        <v>0.93400000000000005</v>
      </c>
      <c r="F10039" t="s">
        <v>21</v>
      </c>
      <c r="G10039" t="s">
        <v>26</v>
      </c>
      <c r="H10039" t="s">
        <v>21</v>
      </c>
      <c r="I10039" t="s">
        <v>20</v>
      </c>
      <c r="J10039" t="s">
        <v>20</v>
      </c>
      <c r="K10039" t="s">
        <v>31</v>
      </c>
      <c r="L10039" t="s">
        <v>48</v>
      </c>
      <c r="M10039" t="s">
        <v>144</v>
      </c>
      <c r="N10039">
        <v>40.562168</v>
      </c>
      <c r="O10039">
        <v>-111.95920599999999</v>
      </c>
      <c r="P10039">
        <v>4506.9903210000002</v>
      </c>
      <c r="Q10039">
        <v>1423</v>
      </c>
      <c r="R10039">
        <v>0</v>
      </c>
    </row>
    <row r="10040" spans="1:18" x14ac:dyDescent="0.25">
      <c r="A10040">
        <v>9889</v>
      </c>
      <c r="B10040">
        <v>94</v>
      </c>
      <c r="C10040">
        <v>529498</v>
      </c>
      <c r="D10040" t="s">
        <v>47</v>
      </c>
      <c r="E10040">
        <v>0.93500000000000005</v>
      </c>
      <c r="F10040" t="s">
        <v>19</v>
      </c>
      <c r="G10040" t="s">
        <v>20</v>
      </c>
      <c r="H10040" t="s">
        <v>21</v>
      </c>
      <c r="I10040" t="s">
        <v>20</v>
      </c>
      <c r="J10040" t="s">
        <v>20</v>
      </c>
      <c r="K10040" t="s">
        <v>31</v>
      </c>
      <c r="L10040" t="s">
        <v>48</v>
      </c>
      <c r="M10040" t="s">
        <v>49</v>
      </c>
      <c r="N10040">
        <v>40.544131</v>
      </c>
      <c r="O10040">
        <v>-111.966156</v>
      </c>
      <c r="P10040">
        <v>4508.5730530000001</v>
      </c>
      <c r="Q10040">
        <v>6715</v>
      </c>
      <c r="R10040">
        <v>0</v>
      </c>
    </row>
    <row r="10041" spans="1:18" x14ac:dyDescent="0.25">
      <c r="A10041">
        <v>9890</v>
      </c>
      <c r="B10041">
        <v>94</v>
      </c>
      <c r="C10041">
        <v>512801</v>
      </c>
      <c r="D10041" t="s">
        <v>44</v>
      </c>
      <c r="E10041">
        <v>0.93600000000000005</v>
      </c>
      <c r="F10041" t="s">
        <v>21</v>
      </c>
      <c r="G10041" t="s">
        <v>26</v>
      </c>
      <c r="H10041" t="s">
        <v>21</v>
      </c>
      <c r="I10041" t="s">
        <v>20</v>
      </c>
      <c r="J10041" t="s">
        <v>20</v>
      </c>
      <c r="K10041" t="s">
        <v>41</v>
      </c>
      <c r="L10041" t="s">
        <v>45</v>
      </c>
      <c r="M10041" t="s">
        <v>46</v>
      </c>
      <c r="N10041">
        <v>40.893656999999997</v>
      </c>
      <c r="O10041">
        <v>-111.882954</v>
      </c>
      <c r="P10041">
        <v>4288.0687710000002</v>
      </c>
      <c r="Q10041">
        <v>1395</v>
      </c>
      <c r="R10041">
        <v>0</v>
      </c>
    </row>
    <row r="10042" spans="1:18" x14ac:dyDescent="0.25">
      <c r="A10042">
        <v>9891</v>
      </c>
      <c r="B10042">
        <v>94</v>
      </c>
      <c r="C10042">
        <v>1004172</v>
      </c>
      <c r="D10042" t="s">
        <v>171</v>
      </c>
      <c r="E10042">
        <v>1.026</v>
      </c>
      <c r="F10042" t="s">
        <v>21</v>
      </c>
      <c r="G10042" t="s">
        <v>26</v>
      </c>
      <c r="H10042" t="s">
        <v>21</v>
      </c>
      <c r="I10042" t="s">
        <v>20</v>
      </c>
      <c r="J10042" t="s">
        <v>20</v>
      </c>
      <c r="K10042" t="s">
        <v>31</v>
      </c>
      <c r="L10042" t="s">
        <v>78</v>
      </c>
      <c r="M10042" t="s">
        <v>79</v>
      </c>
      <c r="N10042">
        <v>40.696494000000001</v>
      </c>
      <c r="O10042">
        <v>-112.07223999999999</v>
      </c>
      <c r="P10042">
        <v>4314.3432629999998</v>
      </c>
      <c r="Q10042">
        <v>346</v>
      </c>
      <c r="R10042">
        <v>0</v>
      </c>
    </row>
    <row r="10043" spans="1:18" x14ac:dyDescent="0.25">
      <c r="A10043">
        <v>9892</v>
      </c>
      <c r="B10043">
        <v>94</v>
      </c>
      <c r="C10043">
        <v>31750019</v>
      </c>
      <c r="D10043" t="s">
        <v>370</v>
      </c>
      <c r="E10043">
        <v>1.026</v>
      </c>
      <c r="F10043" t="s">
        <v>21</v>
      </c>
      <c r="G10043" t="s">
        <v>26</v>
      </c>
      <c r="H10043" t="s">
        <v>21</v>
      </c>
      <c r="I10043" t="s">
        <v>20</v>
      </c>
      <c r="J10043" t="s">
        <v>20</v>
      </c>
      <c r="K10043" t="s">
        <v>41</v>
      </c>
      <c r="L10043" t="s">
        <v>87</v>
      </c>
      <c r="M10043" t="s">
        <v>58</v>
      </c>
      <c r="N10043">
        <v>41.164250000000003</v>
      </c>
      <c r="O10043">
        <v>-112.00809</v>
      </c>
      <c r="P10043">
        <v>4373.383167</v>
      </c>
      <c r="Q10043">
        <v>1435</v>
      </c>
      <c r="R10043">
        <v>0</v>
      </c>
    </row>
    <row r="10044" spans="1:18" x14ac:dyDescent="0.25">
      <c r="A10044">
        <v>9893</v>
      </c>
      <c r="B10044">
        <v>94</v>
      </c>
      <c r="C10044">
        <v>494246</v>
      </c>
      <c r="D10044" t="s">
        <v>249</v>
      </c>
      <c r="E10044">
        <v>1.0269999999999999</v>
      </c>
      <c r="F10044" t="s">
        <v>21</v>
      </c>
      <c r="G10044" t="s">
        <v>26</v>
      </c>
      <c r="H10044" t="s">
        <v>21</v>
      </c>
      <c r="I10044" t="s">
        <v>20</v>
      </c>
      <c r="J10044" t="s">
        <v>20</v>
      </c>
      <c r="K10044" t="s">
        <v>31</v>
      </c>
      <c r="L10044" t="s">
        <v>89</v>
      </c>
      <c r="M10044" t="s">
        <v>24</v>
      </c>
      <c r="N10044">
        <v>40.486282000000003</v>
      </c>
      <c r="O10044">
        <v>-111.924674</v>
      </c>
      <c r="P10044">
        <v>4334.9249710000004</v>
      </c>
      <c r="Q10044">
        <v>337</v>
      </c>
      <c r="R10044">
        <v>0</v>
      </c>
    </row>
    <row r="10045" spans="1:18" x14ac:dyDescent="0.25">
      <c r="A10045">
        <v>9894</v>
      </c>
      <c r="B10045">
        <v>94</v>
      </c>
      <c r="C10045">
        <v>31289530</v>
      </c>
      <c r="D10045" t="s">
        <v>308</v>
      </c>
      <c r="E10045">
        <v>1.0289999999999999</v>
      </c>
      <c r="F10045" t="s">
        <v>21</v>
      </c>
      <c r="G10045" t="s">
        <v>26</v>
      </c>
      <c r="H10045" t="s">
        <v>21</v>
      </c>
      <c r="I10045" t="s">
        <v>20</v>
      </c>
      <c r="J10045" t="s">
        <v>20</v>
      </c>
      <c r="K10045" t="s">
        <v>27</v>
      </c>
      <c r="L10045" t="s">
        <v>230</v>
      </c>
      <c r="M10045" t="s">
        <v>82</v>
      </c>
      <c r="N10045">
        <v>39.638320999999998</v>
      </c>
      <c r="O10045">
        <v>-111.424047</v>
      </c>
      <c r="P10045">
        <v>6141.1833150000002</v>
      </c>
      <c r="Q10045">
        <v>1344</v>
      </c>
      <c r="R10045">
        <v>0</v>
      </c>
    </row>
    <row r="10046" spans="1:18" x14ac:dyDescent="0.25">
      <c r="A10046">
        <v>9895</v>
      </c>
      <c r="B10046">
        <v>94</v>
      </c>
      <c r="C10046">
        <v>1129284</v>
      </c>
      <c r="D10046" t="s">
        <v>56</v>
      </c>
      <c r="E10046">
        <v>1.03</v>
      </c>
      <c r="F10046" t="s">
        <v>21</v>
      </c>
      <c r="G10046" t="s">
        <v>26</v>
      </c>
      <c r="H10046" t="s">
        <v>21</v>
      </c>
      <c r="I10046" t="s">
        <v>20</v>
      </c>
      <c r="J10046" t="s">
        <v>20</v>
      </c>
      <c r="K10046" t="s">
        <v>41</v>
      </c>
      <c r="L10046" t="s">
        <v>57</v>
      </c>
      <c r="M10046" t="s">
        <v>58</v>
      </c>
      <c r="N10046">
        <v>41.163896999999999</v>
      </c>
      <c r="O10046">
        <v>-112.10302</v>
      </c>
      <c r="P10046">
        <v>4187.8010780000004</v>
      </c>
      <c r="Q10046">
        <v>1459</v>
      </c>
      <c r="R10046">
        <v>0</v>
      </c>
    </row>
    <row r="10047" spans="1:18" x14ac:dyDescent="0.25">
      <c r="A10047">
        <v>9896</v>
      </c>
      <c r="B10047">
        <v>94</v>
      </c>
      <c r="C10047">
        <v>31190749</v>
      </c>
      <c r="D10047" t="s">
        <v>310</v>
      </c>
      <c r="E10047">
        <v>1.0309999999999999</v>
      </c>
      <c r="F10047" t="s">
        <v>21</v>
      </c>
      <c r="G10047" t="s">
        <v>20</v>
      </c>
      <c r="H10047" t="s">
        <v>21</v>
      </c>
      <c r="I10047" t="s">
        <v>20</v>
      </c>
      <c r="J10047" t="s">
        <v>20</v>
      </c>
      <c r="K10047" t="s">
        <v>31</v>
      </c>
      <c r="L10047" t="s">
        <v>285</v>
      </c>
      <c r="M10047" t="s">
        <v>206</v>
      </c>
      <c r="N10047">
        <v>40.697282000000001</v>
      </c>
      <c r="O10047">
        <v>-112.53012699999999</v>
      </c>
      <c r="P10047">
        <v>4163.3891149999999</v>
      </c>
      <c r="Q10047">
        <v>1414</v>
      </c>
      <c r="R10047">
        <v>0</v>
      </c>
    </row>
    <row r="10048" spans="1:18" x14ac:dyDescent="0.25">
      <c r="A10048">
        <v>9897</v>
      </c>
      <c r="B10048">
        <v>94</v>
      </c>
      <c r="C10048">
        <v>31398612</v>
      </c>
      <c r="D10048" t="s">
        <v>250</v>
      </c>
      <c r="E10048">
        <v>0</v>
      </c>
      <c r="F10048" t="s">
        <v>21</v>
      </c>
      <c r="G10048" t="s">
        <v>26</v>
      </c>
      <c r="H10048" t="s">
        <v>19</v>
      </c>
      <c r="I10048">
        <v>118</v>
      </c>
      <c r="J10048" t="s">
        <v>20</v>
      </c>
      <c r="K10048" t="s">
        <v>27</v>
      </c>
      <c r="L10048" t="s">
        <v>75</v>
      </c>
      <c r="M10048" t="s">
        <v>76</v>
      </c>
      <c r="N10048">
        <v>38.772672999999998</v>
      </c>
      <c r="O10048">
        <v>-112.06871</v>
      </c>
      <c r="P10048">
        <v>5239.5033030000004</v>
      </c>
      <c r="Q10048">
        <v>1404</v>
      </c>
      <c r="R10048">
        <v>0</v>
      </c>
    </row>
    <row r="10049" spans="1:18" x14ac:dyDescent="0.25">
      <c r="A10049">
        <v>9898</v>
      </c>
      <c r="B10049">
        <v>94</v>
      </c>
      <c r="C10049" t="e">
        <f>-IpkosxYHAH4xIdpurPwJF</f>
        <v>#NAME?</v>
      </c>
      <c r="D10049" t="s">
        <v>1188</v>
      </c>
      <c r="E10049">
        <v>0</v>
      </c>
      <c r="F10049" t="s">
        <v>21</v>
      </c>
      <c r="G10049" t="s">
        <v>26</v>
      </c>
      <c r="H10049" t="s">
        <v>21</v>
      </c>
      <c r="I10049" t="s">
        <v>20</v>
      </c>
      <c r="J10049" t="s">
        <v>20</v>
      </c>
      <c r="K10049" t="s">
        <v>41</v>
      </c>
      <c r="L10049" t="s">
        <v>45</v>
      </c>
      <c r="M10049" t="s">
        <v>178</v>
      </c>
      <c r="N10049">
        <v>40.883954000000003</v>
      </c>
      <c r="O10049">
        <v>-111.938205</v>
      </c>
      <c r="P10049">
        <v>4191.8141400000004</v>
      </c>
      <c r="Q10049">
        <v>6502</v>
      </c>
      <c r="R10049">
        <v>0</v>
      </c>
    </row>
    <row r="10050" spans="1:18" x14ac:dyDescent="0.25">
      <c r="A10050">
        <v>9899</v>
      </c>
      <c r="B10050">
        <v>94</v>
      </c>
      <c r="C10050">
        <v>31363117</v>
      </c>
      <c r="D10050" t="s">
        <v>343</v>
      </c>
      <c r="E10050">
        <v>0</v>
      </c>
      <c r="F10050" t="s">
        <v>21</v>
      </c>
      <c r="G10050" t="s">
        <v>26</v>
      </c>
      <c r="H10050" t="s">
        <v>19</v>
      </c>
      <c r="I10050">
        <v>132</v>
      </c>
      <c r="J10050" t="s">
        <v>20</v>
      </c>
      <c r="K10050" t="s">
        <v>27</v>
      </c>
      <c r="L10050" t="s">
        <v>230</v>
      </c>
      <c r="M10050" t="s">
        <v>82</v>
      </c>
      <c r="N10050">
        <v>39.524911000000003</v>
      </c>
      <c r="O10050">
        <v>-111.57624300000001</v>
      </c>
      <c r="P10050">
        <v>5494.4329530000005</v>
      </c>
      <c r="Q10050">
        <v>1402</v>
      </c>
      <c r="R10050">
        <v>0</v>
      </c>
    </row>
    <row r="10051" spans="1:18" x14ac:dyDescent="0.25">
      <c r="A10051">
        <v>9900</v>
      </c>
      <c r="B10051">
        <v>94</v>
      </c>
      <c r="C10051">
        <v>3395026</v>
      </c>
      <c r="D10051" t="s">
        <v>1020</v>
      </c>
      <c r="E10051">
        <v>0</v>
      </c>
      <c r="F10051" t="s">
        <v>21</v>
      </c>
      <c r="G10051" t="s">
        <v>26</v>
      </c>
      <c r="H10051" t="s">
        <v>21</v>
      </c>
      <c r="I10051" t="s">
        <v>20</v>
      </c>
      <c r="J10051" t="s">
        <v>20</v>
      </c>
      <c r="K10051" t="s">
        <v>31</v>
      </c>
      <c r="L10051" t="s">
        <v>66</v>
      </c>
      <c r="M10051" t="s">
        <v>67</v>
      </c>
      <c r="N10051">
        <v>40.782389000000002</v>
      </c>
      <c r="O10051">
        <v>-111.91399</v>
      </c>
      <c r="P10051">
        <v>4164.1004940000003</v>
      </c>
      <c r="Q10051">
        <v>257</v>
      </c>
      <c r="R10051">
        <v>0</v>
      </c>
    </row>
    <row r="10052" spans="1:18" x14ac:dyDescent="0.25">
      <c r="A10052">
        <v>9901</v>
      </c>
      <c r="B10052">
        <v>94</v>
      </c>
      <c r="C10052" t="s">
        <v>1189</v>
      </c>
      <c r="D10052" t="s">
        <v>1190</v>
      </c>
      <c r="E10052">
        <v>0</v>
      </c>
      <c r="F10052" t="s">
        <v>21</v>
      </c>
      <c r="G10052" t="s">
        <v>26</v>
      </c>
      <c r="H10052" t="s">
        <v>21</v>
      </c>
      <c r="I10052" t="s">
        <v>20</v>
      </c>
      <c r="J10052" t="s">
        <v>20</v>
      </c>
      <c r="K10052" t="s">
        <v>41</v>
      </c>
      <c r="L10052" t="s">
        <v>181</v>
      </c>
      <c r="M10052" t="s">
        <v>368</v>
      </c>
      <c r="N10052">
        <v>41.800592000000002</v>
      </c>
      <c r="O10052">
        <v>-112.30401999999999</v>
      </c>
      <c r="P10052">
        <v>4851.3404719999999</v>
      </c>
      <c r="Q10052">
        <v>6664</v>
      </c>
      <c r="R10052">
        <v>0</v>
      </c>
    </row>
    <row r="10053" spans="1:18" x14ac:dyDescent="0.25">
      <c r="A10053">
        <v>9902</v>
      </c>
      <c r="B10053">
        <v>94</v>
      </c>
      <c r="C10053" t="e">
        <f>-JQyWEgoGVy0i7BNR_UJiV</f>
        <v>#NAME?</v>
      </c>
      <c r="D10053" t="s">
        <v>1191</v>
      </c>
      <c r="E10053">
        <v>0</v>
      </c>
      <c r="F10053" t="s">
        <v>21</v>
      </c>
      <c r="G10053" t="s">
        <v>26</v>
      </c>
      <c r="H10053" t="s">
        <v>21</v>
      </c>
      <c r="I10053" t="s">
        <v>20</v>
      </c>
      <c r="J10053" t="s">
        <v>20</v>
      </c>
      <c r="K10053" t="s">
        <v>27</v>
      </c>
      <c r="L10053" t="s">
        <v>405</v>
      </c>
      <c r="M10053" t="s">
        <v>973</v>
      </c>
      <c r="N10053">
        <v>38.938997999999998</v>
      </c>
      <c r="O10053">
        <v>-109.40826300000001</v>
      </c>
      <c r="P10053">
        <v>4396.5787819999996</v>
      </c>
      <c r="Q10053">
        <v>6662</v>
      </c>
      <c r="R10053">
        <v>0</v>
      </c>
    </row>
    <row r="10054" spans="1:18" x14ac:dyDescent="0.25">
      <c r="A10054">
        <v>9903</v>
      </c>
      <c r="B10054">
        <v>94</v>
      </c>
      <c r="C10054">
        <v>31439058</v>
      </c>
      <c r="D10054" t="s">
        <v>91</v>
      </c>
      <c r="E10054">
        <v>0</v>
      </c>
      <c r="F10054" t="s">
        <v>21</v>
      </c>
      <c r="G10054" t="s">
        <v>26</v>
      </c>
      <c r="H10054" t="s">
        <v>19</v>
      </c>
      <c r="I10054">
        <v>91</v>
      </c>
      <c r="J10054" t="s">
        <v>20</v>
      </c>
      <c r="K10054" t="s">
        <v>41</v>
      </c>
      <c r="L10054" t="s">
        <v>42</v>
      </c>
      <c r="M10054" t="s">
        <v>73</v>
      </c>
      <c r="N10054">
        <v>41.616084999999998</v>
      </c>
      <c r="O10054">
        <v>-111.933459</v>
      </c>
      <c r="P10054">
        <v>4611.8219220000001</v>
      </c>
      <c r="Q10054">
        <v>1339</v>
      </c>
      <c r="R10054">
        <v>0</v>
      </c>
    </row>
    <row r="10055" spans="1:18" x14ac:dyDescent="0.25">
      <c r="A10055">
        <v>9904</v>
      </c>
      <c r="B10055">
        <v>94</v>
      </c>
      <c r="C10055">
        <v>31537536</v>
      </c>
      <c r="D10055" t="s">
        <v>401</v>
      </c>
      <c r="E10055">
        <v>0</v>
      </c>
      <c r="F10055" t="s">
        <v>19</v>
      </c>
      <c r="G10055" t="s">
        <v>20</v>
      </c>
      <c r="H10055" t="s">
        <v>19</v>
      </c>
      <c r="I10055">
        <v>126</v>
      </c>
      <c r="J10055" t="s">
        <v>20</v>
      </c>
      <c r="K10055" t="s">
        <v>41</v>
      </c>
      <c r="L10055" t="s">
        <v>57</v>
      </c>
      <c r="M10055" t="s">
        <v>58</v>
      </c>
      <c r="N10055">
        <v>41.123057000000003</v>
      </c>
      <c r="O10055">
        <v>-112.025999</v>
      </c>
      <c r="P10055">
        <v>4499.5528700000004</v>
      </c>
      <c r="Q10055">
        <v>327</v>
      </c>
      <c r="R10055">
        <v>0</v>
      </c>
    </row>
    <row r="10056" spans="1:18" x14ac:dyDescent="0.25">
      <c r="A10056">
        <v>9905</v>
      </c>
      <c r="B10056">
        <v>94</v>
      </c>
      <c r="C10056" t="s">
        <v>1192</v>
      </c>
      <c r="D10056" t="s">
        <v>1193</v>
      </c>
      <c r="E10056">
        <v>0</v>
      </c>
      <c r="F10056" t="s">
        <v>21</v>
      </c>
      <c r="G10056" t="s">
        <v>26</v>
      </c>
      <c r="H10056" t="s">
        <v>21</v>
      </c>
      <c r="I10056" t="s">
        <v>20</v>
      </c>
      <c r="J10056" t="s">
        <v>20</v>
      </c>
      <c r="K10056" t="s">
        <v>31</v>
      </c>
      <c r="L10056" t="s">
        <v>433</v>
      </c>
      <c r="M10056" t="s">
        <v>147</v>
      </c>
      <c r="N10056">
        <v>41.153531000000001</v>
      </c>
      <c r="O10056">
        <v>-111.14515</v>
      </c>
      <c r="P10056">
        <v>6329.9542090000004</v>
      </c>
      <c r="Q10056">
        <v>6663</v>
      </c>
      <c r="R10056">
        <v>0</v>
      </c>
    </row>
    <row r="10057" spans="1:18" x14ac:dyDescent="0.25">
      <c r="A10057">
        <v>9906</v>
      </c>
      <c r="B10057">
        <v>94</v>
      </c>
      <c r="C10057">
        <v>31499224</v>
      </c>
      <c r="D10057" t="s">
        <v>292</v>
      </c>
      <c r="E10057">
        <v>0</v>
      </c>
      <c r="F10057" t="s">
        <v>19</v>
      </c>
      <c r="G10057" t="s">
        <v>20</v>
      </c>
      <c r="H10057" t="s">
        <v>19</v>
      </c>
      <c r="I10057">
        <v>40</v>
      </c>
      <c r="J10057">
        <v>191</v>
      </c>
      <c r="K10057" t="s">
        <v>22</v>
      </c>
      <c r="L10057" t="s">
        <v>253</v>
      </c>
      <c r="M10057" t="s">
        <v>134</v>
      </c>
      <c r="N10057">
        <v>40.163397000000003</v>
      </c>
      <c r="O10057">
        <v>-110.401377</v>
      </c>
      <c r="P10057">
        <v>5457.6848620000001</v>
      </c>
      <c r="Q10057">
        <v>323</v>
      </c>
      <c r="R10057">
        <v>0</v>
      </c>
    </row>
    <row r="10058" spans="1:18" x14ac:dyDescent="0.25">
      <c r="A10058">
        <v>9907</v>
      </c>
      <c r="B10058">
        <v>94</v>
      </c>
      <c r="C10058" t="e">
        <f>-Iq8dPCSIL9gQJ2XObPQ5k</f>
        <v>#NAME?</v>
      </c>
      <c r="D10058" t="s">
        <v>1194</v>
      </c>
      <c r="E10058">
        <v>0</v>
      </c>
      <c r="F10058" t="s">
        <v>21</v>
      </c>
      <c r="G10058" t="s">
        <v>26</v>
      </c>
      <c r="H10058" t="s">
        <v>21</v>
      </c>
      <c r="I10058" t="s">
        <v>20</v>
      </c>
      <c r="J10058" t="s">
        <v>20</v>
      </c>
      <c r="K10058" t="s">
        <v>27</v>
      </c>
      <c r="L10058" t="s">
        <v>242</v>
      </c>
      <c r="M10058" t="s">
        <v>973</v>
      </c>
      <c r="N10058">
        <v>38.812446999999999</v>
      </c>
      <c r="O10058">
        <v>-111.210684</v>
      </c>
      <c r="P10058">
        <v>5635.5824780000003</v>
      </c>
      <c r="Q10058">
        <v>6662</v>
      </c>
      <c r="R10058">
        <v>0</v>
      </c>
    </row>
    <row r="10059" spans="1:18" x14ac:dyDescent="0.25">
      <c r="A10059">
        <v>9908</v>
      </c>
      <c r="B10059">
        <v>94</v>
      </c>
      <c r="C10059" t="s">
        <v>1195</v>
      </c>
      <c r="D10059" t="s">
        <v>1196</v>
      </c>
      <c r="E10059">
        <v>0</v>
      </c>
      <c r="F10059" t="s">
        <v>21</v>
      </c>
      <c r="G10059" t="s">
        <v>26</v>
      </c>
      <c r="H10059" t="s">
        <v>21</v>
      </c>
      <c r="I10059" t="s">
        <v>20</v>
      </c>
      <c r="J10059" t="s">
        <v>20</v>
      </c>
      <c r="K10059" t="s">
        <v>27</v>
      </c>
      <c r="L10059" t="s">
        <v>405</v>
      </c>
      <c r="M10059" t="s">
        <v>238</v>
      </c>
      <c r="N10059">
        <v>39.114209000000002</v>
      </c>
      <c r="O10059">
        <v>-109.18451399999999</v>
      </c>
      <c r="P10059">
        <v>4480.8628079999999</v>
      </c>
      <c r="Q10059">
        <v>6662</v>
      </c>
      <c r="R10059">
        <v>0</v>
      </c>
    </row>
    <row r="10060" spans="1:18" x14ac:dyDescent="0.25">
      <c r="A10060">
        <v>9909</v>
      </c>
      <c r="B10060">
        <v>94</v>
      </c>
      <c r="C10060">
        <v>31654636</v>
      </c>
      <c r="D10060" t="s">
        <v>71</v>
      </c>
      <c r="E10060">
        <v>0</v>
      </c>
      <c r="F10060" t="s">
        <v>21</v>
      </c>
      <c r="G10060" t="s">
        <v>26</v>
      </c>
      <c r="H10060" t="s">
        <v>21</v>
      </c>
      <c r="I10060" t="s">
        <v>20</v>
      </c>
      <c r="J10060" t="s">
        <v>20</v>
      </c>
      <c r="K10060" t="s">
        <v>27</v>
      </c>
      <c r="L10060" t="s">
        <v>72</v>
      </c>
      <c r="M10060" t="s">
        <v>73</v>
      </c>
      <c r="N10060">
        <v>37.228735</v>
      </c>
      <c r="O10060">
        <v>-113.373344</v>
      </c>
      <c r="P10060">
        <v>3257.5483410000002</v>
      </c>
      <c r="Q10060">
        <v>423</v>
      </c>
      <c r="R10060">
        <v>0</v>
      </c>
    </row>
    <row r="10061" spans="1:18" x14ac:dyDescent="0.25">
      <c r="A10061">
        <v>9910</v>
      </c>
      <c r="B10061">
        <v>94</v>
      </c>
      <c r="C10061">
        <v>31560666</v>
      </c>
      <c r="D10061" t="s">
        <v>172</v>
      </c>
      <c r="E10061">
        <v>0</v>
      </c>
      <c r="F10061" t="s">
        <v>21</v>
      </c>
      <c r="G10061" t="s">
        <v>26</v>
      </c>
      <c r="H10061" t="s">
        <v>21</v>
      </c>
      <c r="I10061">
        <v>6</v>
      </c>
      <c r="J10061" t="s">
        <v>20</v>
      </c>
      <c r="K10061" t="s">
        <v>27</v>
      </c>
      <c r="L10061" t="s">
        <v>173</v>
      </c>
      <c r="M10061" t="s">
        <v>174</v>
      </c>
      <c r="N10061">
        <v>39.524521</v>
      </c>
      <c r="O10061">
        <v>-112.371994</v>
      </c>
      <c r="P10061">
        <v>4726.5126639999999</v>
      </c>
      <c r="Q10061">
        <v>1411</v>
      </c>
      <c r="R10061">
        <v>0</v>
      </c>
    </row>
    <row r="10062" spans="1:18" x14ac:dyDescent="0.25">
      <c r="A10062">
        <v>9911</v>
      </c>
      <c r="B10062">
        <v>94</v>
      </c>
      <c r="C10062">
        <v>31527525</v>
      </c>
      <c r="D10062" t="s">
        <v>182</v>
      </c>
      <c r="E10062">
        <v>0</v>
      </c>
      <c r="F10062" t="s">
        <v>21</v>
      </c>
      <c r="G10062" t="s">
        <v>26</v>
      </c>
      <c r="H10062" t="s">
        <v>19</v>
      </c>
      <c r="I10062">
        <v>24</v>
      </c>
      <c r="J10062" t="s">
        <v>20</v>
      </c>
      <c r="K10062" t="s">
        <v>27</v>
      </c>
      <c r="L10062" t="s">
        <v>183</v>
      </c>
      <c r="M10062" t="s">
        <v>76</v>
      </c>
      <c r="N10062">
        <v>38.902037999999997</v>
      </c>
      <c r="O10062">
        <v>-111.94099199999999</v>
      </c>
      <c r="P10062">
        <v>5127.9909239999997</v>
      </c>
      <c r="Q10062">
        <v>429</v>
      </c>
      <c r="R10062">
        <v>0</v>
      </c>
    </row>
    <row r="10063" spans="1:18" x14ac:dyDescent="0.25">
      <c r="A10063">
        <v>9912</v>
      </c>
      <c r="B10063">
        <v>94</v>
      </c>
      <c r="C10063" t="e">
        <f>-IqCjvaDGLqz3_B07jW2VF</f>
        <v>#NAME?</v>
      </c>
      <c r="D10063" t="s">
        <v>1197</v>
      </c>
      <c r="E10063">
        <v>0</v>
      </c>
      <c r="F10063" t="s">
        <v>21</v>
      </c>
      <c r="G10063" t="s">
        <v>26</v>
      </c>
      <c r="H10063" t="s">
        <v>21</v>
      </c>
      <c r="I10063" t="s">
        <v>20</v>
      </c>
      <c r="J10063" t="s">
        <v>20</v>
      </c>
      <c r="K10063" t="s">
        <v>27</v>
      </c>
      <c r="L10063" t="s">
        <v>51</v>
      </c>
      <c r="M10063" t="s">
        <v>106</v>
      </c>
      <c r="N10063">
        <v>37.859943000000001</v>
      </c>
      <c r="O10063">
        <v>-112.82954599999999</v>
      </c>
      <c r="P10063">
        <v>5830.0011430000004</v>
      </c>
      <c r="Q10063">
        <v>6661</v>
      </c>
      <c r="R10063">
        <v>0</v>
      </c>
    </row>
    <row r="10064" spans="1:18" x14ac:dyDescent="0.25">
      <c r="A10064">
        <v>9913</v>
      </c>
      <c r="B10064">
        <v>94</v>
      </c>
      <c r="C10064">
        <v>31399720</v>
      </c>
      <c r="D10064" t="s">
        <v>139</v>
      </c>
      <c r="E10064">
        <v>0.36</v>
      </c>
      <c r="F10064" t="s">
        <v>21</v>
      </c>
      <c r="G10064" t="s">
        <v>26</v>
      </c>
      <c r="H10064" t="s">
        <v>21</v>
      </c>
      <c r="I10064" t="s">
        <v>20</v>
      </c>
      <c r="J10064" t="s">
        <v>20</v>
      </c>
      <c r="K10064" t="s">
        <v>22</v>
      </c>
      <c r="L10064" t="s">
        <v>140</v>
      </c>
      <c r="M10064" t="s">
        <v>141</v>
      </c>
      <c r="N10064">
        <v>40.111190999999998</v>
      </c>
      <c r="O10064">
        <v>-111.65478899999999</v>
      </c>
      <c r="P10064">
        <v>4525.2248749999999</v>
      </c>
      <c r="Q10064">
        <v>342</v>
      </c>
      <c r="R10064">
        <v>0</v>
      </c>
    </row>
    <row r="10065" spans="1:18" x14ac:dyDescent="0.25">
      <c r="A10065">
        <v>9914</v>
      </c>
      <c r="B10065">
        <v>94</v>
      </c>
      <c r="C10065">
        <v>27337566</v>
      </c>
      <c r="D10065" t="s">
        <v>185</v>
      </c>
      <c r="E10065">
        <v>0.36099999999999999</v>
      </c>
      <c r="F10065" t="s">
        <v>21</v>
      </c>
      <c r="G10065" t="s">
        <v>26</v>
      </c>
      <c r="H10065" t="s">
        <v>21</v>
      </c>
      <c r="I10065" t="s">
        <v>20</v>
      </c>
      <c r="J10065" t="s">
        <v>20</v>
      </c>
      <c r="K10065" t="s">
        <v>41</v>
      </c>
      <c r="L10065" t="s">
        <v>57</v>
      </c>
      <c r="M10065" t="s">
        <v>58</v>
      </c>
      <c r="N10065">
        <v>41.139876000000001</v>
      </c>
      <c r="O10065">
        <v>-112.032978</v>
      </c>
      <c r="P10065">
        <v>4432.2547329999998</v>
      </c>
      <c r="Q10065">
        <v>309</v>
      </c>
      <c r="R10065">
        <v>0</v>
      </c>
    </row>
    <row r="10066" spans="1:18" x14ac:dyDescent="0.25">
      <c r="A10066">
        <v>9915</v>
      </c>
      <c r="B10066">
        <v>94</v>
      </c>
      <c r="C10066">
        <v>31341812</v>
      </c>
      <c r="D10066" t="s">
        <v>220</v>
      </c>
      <c r="E10066">
        <v>0.36099999999999999</v>
      </c>
      <c r="F10066" t="s">
        <v>21</v>
      </c>
      <c r="G10066" t="s">
        <v>26</v>
      </c>
      <c r="H10066" t="s">
        <v>21</v>
      </c>
      <c r="I10066" t="s">
        <v>20</v>
      </c>
      <c r="J10066" t="s">
        <v>20</v>
      </c>
      <c r="K10066" t="s">
        <v>27</v>
      </c>
      <c r="L10066" t="s">
        <v>247</v>
      </c>
      <c r="M10066" t="s">
        <v>29</v>
      </c>
      <c r="N10066">
        <v>37.749203999999999</v>
      </c>
      <c r="O10066">
        <v>-112.370227</v>
      </c>
      <c r="P10066">
        <v>6695.1411289999996</v>
      </c>
      <c r="Q10066">
        <v>1328</v>
      </c>
      <c r="R10066">
        <v>0</v>
      </c>
    </row>
    <row r="10067" spans="1:18" x14ac:dyDescent="0.25">
      <c r="A10067">
        <v>9916</v>
      </c>
      <c r="B10067">
        <v>94</v>
      </c>
      <c r="C10067">
        <v>31655038</v>
      </c>
      <c r="D10067" t="s">
        <v>71</v>
      </c>
      <c r="E10067">
        <v>0.36299999999999999</v>
      </c>
      <c r="F10067" t="s">
        <v>21</v>
      </c>
      <c r="G10067" t="s">
        <v>26</v>
      </c>
      <c r="H10067" t="s">
        <v>21</v>
      </c>
      <c r="I10067" t="s">
        <v>20</v>
      </c>
      <c r="J10067" t="s">
        <v>20</v>
      </c>
      <c r="K10067" t="s">
        <v>27</v>
      </c>
      <c r="L10067" t="s">
        <v>72</v>
      </c>
      <c r="M10067" t="s">
        <v>73</v>
      </c>
      <c r="N10067">
        <v>37.232055000000003</v>
      </c>
      <c r="O10067">
        <v>-113.368348</v>
      </c>
      <c r="P10067">
        <v>3307.243481</v>
      </c>
      <c r="Q10067">
        <v>423</v>
      </c>
      <c r="R10067">
        <v>0</v>
      </c>
    </row>
    <row r="10068" spans="1:18" x14ac:dyDescent="0.25">
      <c r="A10068">
        <v>9917</v>
      </c>
      <c r="B10068">
        <v>94</v>
      </c>
      <c r="C10068">
        <v>1078668</v>
      </c>
      <c r="D10068" t="s">
        <v>367</v>
      </c>
      <c r="E10068">
        <v>0.36299999999999999</v>
      </c>
      <c r="F10068" t="s">
        <v>21</v>
      </c>
      <c r="G10068" t="s">
        <v>26</v>
      </c>
      <c r="H10068" t="s">
        <v>21</v>
      </c>
      <c r="I10068" t="s">
        <v>20</v>
      </c>
      <c r="J10068" t="s">
        <v>20</v>
      </c>
      <c r="K10068" t="s">
        <v>41</v>
      </c>
      <c r="L10068" t="s">
        <v>177</v>
      </c>
      <c r="M10068" t="s">
        <v>368</v>
      </c>
      <c r="N10068">
        <v>41.415283000000002</v>
      </c>
      <c r="O10068">
        <v>-112.05162300000001</v>
      </c>
      <c r="P10068">
        <v>4185.9053729999996</v>
      </c>
      <c r="Q10068">
        <v>266</v>
      </c>
      <c r="R10068">
        <v>0</v>
      </c>
    </row>
    <row r="10069" spans="1:18" x14ac:dyDescent="0.25">
      <c r="A10069">
        <v>9918</v>
      </c>
      <c r="B10069">
        <v>94</v>
      </c>
      <c r="C10069" t="s">
        <v>1198</v>
      </c>
      <c r="D10069" t="s">
        <v>170</v>
      </c>
      <c r="E10069">
        <v>0.36399999999999999</v>
      </c>
      <c r="F10069" t="s">
        <v>21</v>
      </c>
      <c r="G10069" t="s">
        <v>361</v>
      </c>
      <c r="H10069" t="s">
        <v>21</v>
      </c>
      <c r="I10069" t="s">
        <v>20</v>
      </c>
      <c r="J10069" t="s">
        <v>20</v>
      </c>
      <c r="K10069" t="s">
        <v>41</v>
      </c>
      <c r="L10069" t="s">
        <v>81</v>
      </c>
      <c r="M10069" t="s">
        <v>82</v>
      </c>
      <c r="N10069">
        <v>41.193333000000003</v>
      </c>
      <c r="O10069">
        <v>-111.947541</v>
      </c>
      <c r="P10069">
        <v>4558.1250229999996</v>
      </c>
      <c r="Q10069">
        <v>1284</v>
      </c>
      <c r="R10069">
        <v>0</v>
      </c>
    </row>
    <row r="10070" spans="1:18" x14ac:dyDescent="0.25">
      <c r="A10070">
        <v>9919</v>
      </c>
      <c r="B10070">
        <v>94</v>
      </c>
      <c r="C10070">
        <v>31192342</v>
      </c>
      <c r="D10070" t="s">
        <v>395</v>
      </c>
      <c r="E10070">
        <v>0.36399999999999999</v>
      </c>
      <c r="F10070" t="s">
        <v>21</v>
      </c>
      <c r="G10070" t="s">
        <v>26</v>
      </c>
      <c r="H10070" t="s">
        <v>21</v>
      </c>
      <c r="I10070" t="s">
        <v>20</v>
      </c>
      <c r="J10070" t="s">
        <v>20</v>
      </c>
      <c r="K10070" t="s">
        <v>27</v>
      </c>
      <c r="L10070" t="s">
        <v>165</v>
      </c>
      <c r="M10070" t="s">
        <v>166</v>
      </c>
      <c r="N10070">
        <v>38.799210000000002</v>
      </c>
      <c r="O10070">
        <v>-112.43769399999999</v>
      </c>
      <c r="P10070">
        <v>4960.3687909999999</v>
      </c>
      <c r="Q10070">
        <v>335</v>
      </c>
      <c r="R10070">
        <v>0</v>
      </c>
    </row>
    <row r="10071" spans="1:18" x14ac:dyDescent="0.25">
      <c r="A10071">
        <v>9920</v>
      </c>
      <c r="B10071">
        <v>94</v>
      </c>
      <c r="C10071" t="e">
        <f>-IpVIauVGC1J6q7hg0yA9k</f>
        <v>#NAME?</v>
      </c>
      <c r="D10071" t="s">
        <v>179</v>
      </c>
      <c r="E10071">
        <v>0.36599999999999999</v>
      </c>
      <c r="F10071" t="s">
        <v>21</v>
      </c>
      <c r="G10071" t="s">
        <v>26</v>
      </c>
      <c r="H10071" t="s">
        <v>21</v>
      </c>
      <c r="I10071" t="s">
        <v>20</v>
      </c>
      <c r="J10071" t="s">
        <v>20</v>
      </c>
      <c r="K10071" t="s">
        <v>31</v>
      </c>
      <c r="L10071" t="s">
        <v>66</v>
      </c>
      <c r="M10071" t="s">
        <v>67</v>
      </c>
      <c r="N10071">
        <v>40.75629</v>
      </c>
      <c r="O10071">
        <v>-111.898549</v>
      </c>
      <c r="P10071">
        <v>4175.9676040000004</v>
      </c>
      <c r="Q10071">
        <v>362</v>
      </c>
      <c r="R10071">
        <v>0</v>
      </c>
    </row>
    <row r="10072" spans="1:18" x14ac:dyDescent="0.25">
      <c r="A10072">
        <v>9921</v>
      </c>
      <c r="B10072">
        <v>94</v>
      </c>
      <c r="C10072">
        <v>31368647</v>
      </c>
      <c r="D10072" t="s">
        <v>345</v>
      </c>
      <c r="E10072">
        <v>0.36899999999999999</v>
      </c>
      <c r="F10072" t="s">
        <v>21</v>
      </c>
      <c r="G10072" t="s">
        <v>26</v>
      </c>
      <c r="H10072" t="s">
        <v>21</v>
      </c>
      <c r="I10072" t="s">
        <v>20</v>
      </c>
      <c r="J10072" t="s">
        <v>20</v>
      </c>
      <c r="K10072" t="s">
        <v>27</v>
      </c>
      <c r="L10072" t="s">
        <v>75</v>
      </c>
      <c r="M10072" t="s">
        <v>76</v>
      </c>
      <c r="N10072">
        <v>38.624214000000002</v>
      </c>
      <c r="O10072">
        <v>-112.220527</v>
      </c>
      <c r="P10072">
        <v>5393.5477629999996</v>
      </c>
      <c r="Q10072">
        <v>1403</v>
      </c>
      <c r="R10072">
        <v>0</v>
      </c>
    </row>
    <row r="10073" spans="1:18" x14ac:dyDescent="0.25">
      <c r="A10073">
        <v>9922</v>
      </c>
      <c r="B10073">
        <v>94</v>
      </c>
      <c r="C10073">
        <v>31414576</v>
      </c>
      <c r="D10073" t="s">
        <v>107</v>
      </c>
      <c r="E10073">
        <v>0.36899999999999999</v>
      </c>
      <c r="F10073" t="s">
        <v>19</v>
      </c>
      <c r="G10073" t="s">
        <v>20</v>
      </c>
      <c r="H10073" t="s">
        <v>21</v>
      </c>
      <c r="I10073" t="s">
        <v>20</v>
      </c>
      <c r="J10073" t="s">
        <v>20</v>
      </c>
      <c r="K10073" t="s">
        <v>41</v>
      </c>
      <c r="L10073" t="s">
        <v>81</v>
      </c>
      <c r="M10073" t="s">
        <v>93</v>
      </c>
      <c r="N10073">
        <v>41.197887999999999</v>
      </c>
      <c r="O10073">
        <v>-111.97941899999999</v>
      </c>
      <c r="P10073">
        <v>4279.301614</v>
      </c>
      <c r="Q10073">
        <v>413</v>
      </c>
      <c r="R10073">
        <v>0</v>
      </c>
    </row>
    <row r="10074" spans="1:18" x14ac:dyDescent="0.25">
      <c r="A10074">
        <v>9923</v>
      </c>
      <c r="B10074">
        <v>94</v>
      </c>
      <c r="C10074">
        <v>506751</v>
      </c>
      <c r="D10074" t="s">
        <v>135</v>
      </c>
      <c r="E10074">
        <v>0.36899999999999999</v>
      </c>
      <c r="F10074" t="s">
        <v>21</v>
      </c>
      <c r="G10074" t="s">
        <v>26</v>
      </c>
      <c r="H10074" t="s">
        <v>21</v>
      </c>
      <c r="I10074" t="s">
        <v>20</v>
      </c>
      <c r="J10074" t="s">
        <v>20</v>
      </c>
      <c r="K10074" t="s">
        <v>31</v>
      </c>
      <c r="L10074" t="s">
        <v>48</v>
      </c>
      <c r="M10074" t="s">
        <v>144</v>
      </c>
      <c r="N10074">
        <v>40.562125999999999</v>
      </c>
      <c r="O10074">
        <v>-111.970006</v>
      </c>
      <c r="P10074">
        <v>4573.5447109999996</v>
      </c>
      <c r="Q10074">
        <v>1423</v>
      </c>
      <c r="R10074">
        <v>0</v>
      </c>
    </row>
    <row r="10075" spans="1:18" x14ac:dyDescent="0.25">
      <c r="A10075">
        <v>9924</v>
      </c>
      <c r="B10075">
        <v>94</v>
      </c>
      <c r="C10075">
        <v>27236466</v>
      </c>
      <c r="D10075" t="s">
        <v>351</v>
      </c>
      <c r="E10075">
        <v>0.37</v>
      </c>
      <c r="F10075" t="s">
        <v>21</v>
      </c>
      <c r="G10075" t="s">
        <v>26</v>
      </c>
      <c r="H10075" t="s">
        <v>21</v>
      </c>
      <c r="I10075" t="s">
        <v>20</v>
      </c>
      <c r="J10075" t="s">
        <v>20</v>
      </c>
      <c r="K10075" t="s">
        <v>22</v>
      </c>
      <c r="L10075" t="s">
        <v>140</v>
      </c>
      <c r="M10075" t="s">
        <v>125</v>
      </c>
      <c r="N10075">
        <v>40.119844000000001</v>
      </c>
      <c r="O10075">
        <v>-111.631955</v>
      </c>
      <c r="P10075">
        <v>4573.7892689999999</v>
      </c>
      <c r="Q10075">
        <v>1357</v>
      </c>
      <c r="R10075">
        <v>0</v>
      </c>
    </row>
    <row r="10076" spans="1:18" x14ac:dyDescent="0.25">
      <c r="A10076">
        <v>9925</v>
      </c>
      <c r="B10076">
        <v>94</v>
      </c>
      <c r="C10076">
        <v>527716</v>
      </c>
      <c r="D10076" t="s">
        <v>135</v>
      </c>
      <c r="E10076">
        <v>0.37</v>
      </c>
      <c r="F10076" t="s">
        <v>21</v>
      </c>
      <c r="G10076" t="s">
        <v>26</v>
      </c>
      <c r="H10076" t="s">
        <v>21</v>
      </c>
      <c r="I10076" t="s">
        <v>20</v>
      </c>
      <c r="J10076" t="s">
        <v>20</v>
      </c>
      <c r="K10076" t="s">
        <v>31</v>
      </c>
      <c r="L10076" t="s">
        <v>48</v>
      </c>
      <c r="M10076" t="s">
        <v>49</v>
      </c>
      <c r="N10076">
        <v>40.562230999999997</v>
      </c>
      <c r="O10076">
        <v>-111.969995</v>
      </c>
      <c r="P10076">
        <v>4573.4076290000003</v>
      </c>
      <c r="Q10076">
        <v>1423</v>
      </c>
      <c r="R10076">
        <v>0</v>
      </c>
    </row>
    <row r="10077" spans="1:18" x14ac:dyDescent="0.25">
      <c r="A10077">
        <v>9926</v>
      </c>
      <c r="B10077">
        <v>94</v>
      </c>
      <c r="C10077">
        <v>31269409</v>
      </c>
      <c r="D10077" t="s">
        <v>278</v>
      </c>
      <c r="E10077">
        <v>0.371</v>
      </c>
      <c r="F10077" t="s">
        <v>21</v>
      </c>
      <c r="G10077" t="s">
        <v>26</v>
      </c>
      <c r="H10077" t="s">
        <v>21</v>
      </c>
      <c r="I10077" t="s">
        <v>20</v>
      </c>
      <c r="J10077" t="s">
        <v>20</v>
      </c>
      <c r="K10077" t="s">
        <v>27</v>
      </c>
      <c r="L10077" t="s">
        <v>501</v>
      </c>
      <c r="M10077" t="s">
        <v>280</v>
      </c>
      <c r="N10077">
        <v>37.677410000000002</v>
      </c>
      <c r="O10077">
        <v>-113.05488800000001</v>
      </c>
      <c r="P10077">
        <v>5793.5943930000003</v>
      </c>
      <c r="Q10077">
        <v>1330</v>
      </c>
      <c r="R10077">
        <v>0</v>
      </c>
    </row>
    <row r="10078" spans="1:18" x14ac:dyDescent="0.25">
      <c r="A10078">
        <v>9927</v>
      </c>
      <c r="B10078">
        <v>94</v>
      </c>
      <c r="C10078">
        <v>31764373</v>
      </c>
      <c r="D10078" t="s">
        <v>312</v>
      </c>
      <c r="E10078">
        <v>0.75800000000000001</v>
      </c>
      <c r="F10078" t="s">
        <v>21</v>
      </c>
      <c r="G10078" t="s">
        <v>26</v>
      </c>
      <c r="H10078" t="s">
        <v>21</v>
      </c>
      <c r="I10078" t="s">
        <v>20</v>
      </c>
      <c r="J10078" t="s">
        <v>20</v>
      </c>
      <c r="K10078" t="s">
        <v>27</v>
      </c>
      <c r="L10078" t="s">
        <v>143</v>
      </c>
      <c r="M10078" t="s">
        <v>313</v>
      </c>
      <c r="N10078">
        <v>38.408023</v>
      </c>
      <c r="O10078">
        <v>-113.009874</v>
      </c>
      <c r="P10078">
        <v>4927.2028899999996</v>
      </c>
      <c r="Q10078">
        <v>255</v>
      </c>
      <c r="R10078">
        <v>0</v>
      </c>
    </row>
    <row r="10079" spans="1:18" x14ac:dyDescent="0.25">
      <c r="A10079">
        <v>9928</v>
      </c>
      <c r="B10079">
        <v>94</v>
      </c>
      <c r="C10079">
        <v>27518216</v>
      </c>
      <c r="D10079" t="s">
        <v>157</v>
      </c>
      <c r="E10079">
        <v>0.75900000000000001</v>
      </c>
      <c r="F10079" t="s">
        <v>21</v>
      </c>
      <c r="G10079" t="s">
        <v>26</v>
      </c>
      <c r="H10079" t="s">
        <v>21</v>
      </c>
      <c r="I10079" t="s">
        <v>20</v>
      </c>
      <c r="J10079" t="s">
        <v>20</v>
      </c>
      <c r="K10079" t="s">
        <v>27</v>
      </c>
      <c r="L10079" t="s">
        <v>158</v>
      </c>
      <c r="M10079" t="s">
        <v>159</v>
      </c>
      <c r="N10079">
        <v>39.600979000000002</v>
      </c>
      <c r="O10079">
        <v>-110.81416400000001</v>
      </c>
      <c r="P10079">
        <v>5509.1914530000004</v>
      </c>
      <c r="Q10079">
        <v>1360</v>
      </c>
      <c r="R10079">
        <v>0</v>
      </c>
    </row>
    <row r="10080" spans="1:18" x14ac:dyDescent="0.25">
      <c r="A10080">
        <v>9929</v>
      </c>
      <c r="B10080">
        <v>94</v>
      </c>
      <c r="C10080">
        <v>31387337</v>
      </c>
      <c r="D10080" t="s">
        <v>369</v>
      </c>
      <c r="E10080">
        <v>0.76</v>
      </c>
      <c r="F10080" t="s">
        <v>21</v>
      </c>
      <c r="G10080" t="s">
        <v>26</v>
      </c>
      <c r="H10080" t="s">
        <v>21</v>
      </c>
      <c r="I10080" t="s">
        <v>20</v>
      </c>
      <c r="J10080" t="s">
        <v>20</v>
      </c>
      <c r="K10080" t="s">
        <v>22</v>
      </c>
      <c r="L10080" t="s">
        <v>198</v>
      </c>
      <c r="M10080" t="s">
        <v>76</v>
      </c>
      <c r="N10080">
        <v>40.031340999999998</v>
      </c>
      <c r="O10080">
        <v>-111.744258</v>
      </c>
      <c r="P10080">
        <v>4595.886297</v>
      </c>
      <c r="Q10080">
        <v>347</v>
      </c>
      <c r="R10080">
        <v>0</v>
      </c>
    </row>
    <row r="10081" spans="1:18" x14ac:dyDescent="0.25">
      <c r="A10081">
        <v>9930</v>
      </c>
      <c r="B10081">
        <v>94</v>
      </c>
      <c r="C10081" t="e">
        <f>-JOi-nYPICahwKKIpGNjVk</f>
        <v>#NAME?</v>
      </c>
      <c r="D10081" t="s">
        <v>244</v>
      </c>
      <c r="E10081">
        <v>0.76200000000000001</v>
      </c>
      <c r="F10081" t="s">
        <v>21</v>
      </c>
      <c r="G10081" t="s">
        <v>26</v>
      </c>
      <c r="H10081" t="s">
        <v>21</v>
      </c>
      <c r="I10081" t="s">
        <v>20</v>
      </c>
      <c r="J10081" t="s">
        <v>20</v>
      </c>
      <c r="K10081" t="s">
        <v>27</v>
      </c>
      <c r="L10081" t="s">
        <v>183</v>
      </c>
      <c r="M10081" t="s">
        <v>58</v>
      </c>
      <c r="N10081">
        <v>38.946503</v>
      </c>
      <c r="O10081">
        <v>-111.88090099999999</v>
      </c>
      <c r="P10081">
        <v>5077.4804199999999</v>
      </c>
      <c r="Q10081">
        <v>1340</v>
      </c>
      <c r="R10081">
        <v>0</v>
      </c>
    </row>
    <row r="10082" spans="1:18" x14ac:dyDescent="0.25">
      <c r="A10082">
        <v>9931</v>
      </c>
      <c r="B10082">
        <v>94</v>
      </c>
      <c r="C10082">
        <v>31655371</v>
      </c>
      <c r="D10082" t="s">
        <v>71</v>
      </c>
      <c r="E10082">
        <v>0.76400000000000001</v>
      </c>
      <c r="F10082" t="s">
        <v>21</v>
      </c>
      <c r="G10082" t="s">
        <v>26</v>
      </c>
      <c r="H10082" t="s">
        <v>21</v>
      </c>
      <c r="I10082" t="s">
        <v>20</v>
      </c>
      <c r="J10082" t="s">
        <v>20</v>
      </c>
      <c r="K10082" t="s">
        <v>27</v>
      </c>
      <c r="L10082" t="s">
        <v>72</v>
      </c>
      <c r="M10082" t="s">
        <v>73</v>
      </c>
      <c r="N10082">
        <v>37.235956000000002</v>
      </c>
      <c r="O10082">
        <v>-113.362962</v>
      </c>
      <c r="P10082">
        <v>3360.3593660000001</v>
      </c>
      <c r="Q10082">
        <v>423</v>
      </c>
      <c r="R10082">
        <v>0</v>
      </c>
    </row>
    <row r="10083" spans="1:18" x14ac:dyDescent="0.25">
      <c r="A10083">
        <v>9932</v>
      </c>
      <c r="B10083">
        <v>94</v>
      </c>
      <c r="C10083">
        <v>31562166</v>
      </c>
      <c r="D10083" t="s">
        <v>80</v>
      </c>
      <c r="E10083">
        <v>0.76400000000000001</v>
      </c>
      <c r="F10083" t="s">
        <v>19</v>
      </c>
      <c r="G10083" t="s">
        <v>20</v>
      </c>
      <c r="H10083" t="s">
        <v>21</v>
      </c>
      <c r="I10083" t="s">
        <v>20</v>
      </c>
      <c r="J10083" t="s">
        <v>20</v>
      </c>
      <c r="K10083" t="s">
        <v>41</v>
      </c>
      <c r="L10083" t="s">
        <v>81</v>
      </c>
      <c r="M10083" t="s">
        <v>82</v>
      </c>
      <c r="N10083">
        <v>41.228892999999999</v>
      </c>
      <c r="O10083">
        <v>-112.01069099999999</v>
      </c>
      <c r="P10083">
        <v>4214.6762870000002</v>
      </c>
      <c r="Q10083">
        <v>1393</v>
      </c>
      <c r="R10083">
        <v>0</v>
      </c>
    </row>
    <row r="10084" spans="1:18" x14ac:dyDescent="0.25">
      <c r="A10084">
        <v>9933</v>
      </c>
      <c r="B10084">
        <v>94</v>
      </c>
      <c r="C10084" t="s">
        <v>1199</v>
      </c>
      <c r="D10084" t="s">
        <v>113</v>
      </c>
      <c r="E10084">
        <v>0.76500000000000001</v>
      </c>
      <c r="F10084" t="s">
        <v>21</v>
      </c>
      <c r="G10084" t="s">
        <v>26</v>
      </c>
      <c r="H10084" t="s">
        <v>21</v>
      </c>
      <c r="I10084" t="s">
        <v>20</v>
      </c>
      <c r="J10084" t="s">
        <v>20</v>
      </c>
      <c r="K10084" t="s">
        <v>41</v>
      </c>
      <c r="L10084" t="s">
        <v>87</v>
      </c>
      <c r="M10084" t="s">
        <v>58</v>
      </c>
      <c r="N10084">
        <v>41.166356999999998</v>
      </c>
      <c r="O10084">
        <v>-112.00754000000001</v>
      </c>
      <c r="P10084">
        <v>4339.2771190000003</v>
      </c>
      <c r="Q10084">
        <v>1363</v>
      </c>
      <c r="R10084">
        <v>0</v>
      </c>
    </row>
    <row r="10085" spans="1:18" x14ac:dyDescent="0.25">
      <c r="A10085">
        <v>9934</v>
      </c>
      <c r="B10085">
        <v>94</v>
      </c>
      <c r="C10085">
        <v>31860258</v>
      </c>
      <c r="D10085" t="s">
        <v>135</v>
      </c>
      <c r="E10085">
        <v>0.76600000000000001</v>
      </c>
      <c r="F10085" t="s">
        <v>21</v>
      </c>
      <c r="G10085" t="s">
        <v>26</v>
      </c>
      <c r="H10085" t="s">
        <v>21</v>
      </c>
      <c r="I10085" t="s">
        <v>20</v>
      </c>
      <c r="J10085" t="s">
        <v>20</v>
      </c>
      <c r="K10085" t="s">
        <v>31</v>
      </c>
      <c r="L10085" t="s">
        <v>48</v>
      </c>
      <c r="M10085" t="s">
        <v>144</v>
      </c>
      <c r="N10085">
        <v>40.562207999999998</v>
      </c>
      <c r="O10085">
        <v>-111.962431</v>
      </c>
      <c r="P10085">
        <v>4524.6822519999996</v>
      </c>
      <c r="Q10085">
        <v>1423</v>
      </c>
      <c r="R10085">
        <v>0</v>
      </c>
    </row>
    <row r="10086" spans="1:18" x14ac:dyDescent="0.25">
      <c r="A10086">
        <v>9935</v>
      </c>
      <c r="B10086">
        <v>94</v>
      </c>
      <c r="C10086">
        <v>31290347</v>
      </c>
      <c r="D10086" t="s">
        <v>203</v>
      </c>
      <c r="E10086">
        <v>0.76600000000000001</v>
      </c>
      <c r="F10086" t="s">
        <v>21</v>
      </c>
      <c r="G10086" t="s">
        <v>26</v>
      </c>
      <c r="H10086" t="s">
        <v>21</v>
      </c>
      <c r="I10086" t="s">
        <v>20</v>
      </c>
      <c r="J10086" t="s">
        <v>20</v>
      </c>
      <c r="K10086" t="s">
        <v>41</v>
      </c>
      <c r="L10086" t="s">
        <v>57</v>
      </c>
      <c r="M10086" t="s">
        <v>204</v>
      </c>
      <c r="N10086">
        <v>41.244396999999999</v>
      </c>
      <c r="O10086">
        <v>-112.078226</v>
      </c>
      <c r="P10086">
        <v>4183.6036969999996</v>
      </c>
      <c r="Q10086">
        <v>1349</v>
      </c>
      <c r="R10086">
        <v>0</v>
      </c>
    </row>
    <row r="10087" spans="1:18" x14ac:dyDescent="0.25">
      <c r="A10087">
        <v>9936</v>
      </c>
      <c r="B10087">
        <v>94</v>
      </c>
      <c r="C10087">
        <v>31631529</v>
      </c>
      <c r="D10087" t="s">
        <v>402</v>
      </c>
      <c r="E10087">
        <v>0.76900000000000002</v>
      </c>
      <c r="F10087" t="s">
        <v>21</v>
      </c>
      <c r="G10087" t="s">
        <v>26</v>
      </c>
      <c r="H10087" t="s">
        <v>21</v>
      </c>
      <c r="I10087" t="s">
        <v>20</v>
      </c>
      <c r="J10087" t="s">
        <v>20</v>
      </c>
      <c r="K10087" t="s">
        <v>27</v>
      </c>
      <c r="L10087" t="s">
        <v>350</v>
      </c>
      <c r="M10087" t="s">
        <v>58</v>
      </c>
      <c r="N10087">
        <v>39.359769999999997</v>
      </c>
      <c r="O10087">
        <v>-111.57947900000001</v>
      </c>
      <c r="P10087">
        <v>5512.2029560000001</v>
      </c>
      <c r="Q10087">
        <v>438</v>
      </c>
      <c r="R10087">
        <v>0</v>
      </c>
    </row>
    <row r="10088" spans="1:18" x14ac:dyDescent="0.25">
      <c r="A10088">
        <v>9937</v>
      </c>
      <c r="B10088">
        <v>94</v>
      </c>
      <c r="C10088">
        <v>31759496</v>
      </c>
      <c r="D10088" t="s">
        <v>65</v>
      </c>
      <c r="E10088">
        <v>2.1379999999999999</v>
      </c>
      <c r="F10088" t="s">
        <v>21</v>
      </c>
      <c r="G10088" t="s">
        <v>26</v>
      </c>
      <c r="H10088" t="s">
        <v>21</v>
      </c>
      <c r="I10088" t="s">
        <v>20</v>
      </c>
      <c r="J10088" t="s">
        <v>20</v>
      </c>
      <c r="K10088" t="s">
        <v>31</v>
      </c>
      <c r="L10088" t="s">
        <v>66</v>
      </c>
      <c r="M10088" t="s">
        <v>67</v>
      </c>
      <c r="N10088">
        <v>40.768310999999997</v>
      </c>
      <c r="O10088">
        <v>-111.888166</v>
      </c>
      <c r="P10088">
        <v>4274.3980659999997</v>
      </c>
      <c r="Q10088">
        <v>402</v>
      </c>
      <c r="R10088">
        <v>0</v>
      </c>
    </row>
    <row r="10089" spans="1:18" x14ac:dyDescent="0.25">
      <c r="A10089">
        <v>9938</v>
      </c>
      <c r="B10089">
        <v>94</v>
      </c>
      <c r="C10089">
        <v>27651568</v>
      </c>
      <c r="D10089" t="s">
        <v>196</v>
      </c>
      <c r="E10089">
        <v>2.1379999999999999</v>
      </c>
      <c r="F10089" t="s">
        <v>19</v>
      </c>
      <c r="G10089" t="s">
        <v>20</v>
      </c>
      <c r="H10089" t="s">
        <v>21</v>
      </c>
      <c r="I10089" t="s">
        <v>20</v>
      </c>
      <c r="J10089" t="s">
        <v>20</v>
      </c>
      <c r="K10089" t="s">
        <v>27</v>
      </c>
      <c r="L10089" t="s">
        <v>72</v>
      </c>
      <c r="M10089" t="s">
        <v>73</v>
      </c>
      <c r="N10089">
        <v>37.109786999999997</v>
      </c>
      <c r="O10089">
        <v>-113.554636</v>
      </c>
      <c r="P10089">
        <v>2711.6924060000001</v>
      </c>
      <c r="Q10089">
        <v>308</v>
      </c>
      <c r="R10089">
        <v>0</v>
      </c>
    </row>
    <row r="10090" spans="1:18" x14ac:dyDescent="0.25">
      <c r="A10090">
        <v>9939</v>
      </c>
      <c r="B10090">
        <v>94</v>
      </c>
      <c r="C10090">
        <v>1374067</v>
      </c>
      <c r="D10090" t="s">
        <v>437</v>
      </c>
      <c r="E10090">
        <v>2.141</v>
      </c>
      <c r="F10090" t="s">
        <v>21</v>
      </c>
      <c r="G10090" t="s">
        <v>26</v>
      </c>
      <c r="H10090" t="s">
        <v>21</v>
      </c>
      <c r="I10090" t="s">
        <v>20</v>
      </c>
      <c r="J10090" t="s">
        <v>20</v>
      </c>
      <c r="K10090" t="s">
        <v>41</v>
      </c>
      <c r="L10090" t="s">
        <v>223</v>
      </c>
      <c r="M10090" t="s">
        <v>43</v>
      </c>
      <c r="N10090">
        <v>41.809637000000002</v>
      </c>
      <c r="O10090">
        <v>-112.116032</v>
      </c>
      <c r="P10090">
        <v>4323.7492769999999</v>
      </c>
      <c r="Q10090">
        <v>1378</v>
      </c>
      <c r="R10090">
        <v>0</v>
      </c>
    </row>
    <row r="10091" spans="1:18" x14ac:dyDescent="0.25">
      <c r="A10091">
        <v>9940</v>
      </c>
      <c r="B10091">
        <v>94</v>
      </c>
      <c r="C10091">
        <v>505029</v>
      </c>
      <c r="D10091" t="s">
        <v>135</v>
      </c>
      <c r="E10091">
        <v>2.1419999999999999</v>
      </c>
      <c r="F10091" t="s">
        <v>19</v>
      </c>
      <c r="G10091" t="s">
        <v>20</v>
      </c>
      <c r="H10091" t="s">
        <v>21</v>
      </c>
      <c r="I10091" t="s">
        <v>20</v>
      </c>
      <c r="J10091" t="s">
        <v>20</v>
      </c>
      <c r="K10091" t="s">
        <v>31</v>
      </c>
      <c r="L10091" t="s">
        <v>89</v>
      </c>
      <c r="M10091" t="s">
        <v>144</v>
      </c>
      <c r="N10091">
        <v>40.562350000000002</v>
      </c>
      <c r="O10091">
        <v>-111.93604999999999</v>
      </c>
      <c r="P10091">
        <v>4404.6497209999998</v>
      </c>
      <c r="Q10091">
        <v>1423</v>
      </c>
      <c r="R10091">
        <v>0</v>
      </c>
    </row>
    <row r="10092" spans="1:18" x14ac:dyDescent="0.25">
      <c r="A10092">
        <v>9941</v>
      </c>
      <c r="B10092">
        <v>94</v>
      </c>
      <c r="C10092" t="s">
        <v>1200</v>
      </c>
      <c r="D10092" t="s">
        <v>308</v>
      </c>
      <c r="E10092">
        <v>18.41</v>
      </c>
      <c r="F10092" t="s">
        <v>21</v>
      </c>
      <c r="G10092" t="s">
        <v>26</v>
      </c>
      <c r="H10092" t="s">
        <v>21</v>
      </c>
      <c r="I10092" t="s">
        <v>20</v>
      </c>
      <c r="J10092" t="s">
        <v>20</v>
      </c>
      <c r="K10092" t="s">
        <v>27</v>
      </c>
      <c r="L10092" t="s">
        <v>111</v>
      </c>
      <c r="M10092" t="s">
        <v>82</v>
      </c>
      <c r="N10092">
        <v>39.582534000000003</v>
      </c>
      <c r="O10092">
        <v>-111.25118500000001</v>
      </c>
      <c r="P10092">
        <v>8917.6632210000007</v>
      </c>
      <c r="Q10092">
        <v>1344</v>
      </c>
      <c r="R10092">
        <v>0</v>
      </c>
    </row>
    <row r="10093" spans="1:18" x14ac:dyDescent="0.25">
      <c r="A10093">
        <v>9942</v>
      </c>
      <c r="B10093">
        <v>94</v>
      </c>
      <c r="C10093">
        <v>31283006</v>
      </c>
      <c r="D10093" t="s">
        <v>288</v>
      </c>
      <c r="E10093">
        <v>18.425999999999998</v>
      </c>
      <c r="F10093" t="s">
        <v>21</v>
      </c>
      <c r="G10093" t="s">
        <v>20</v>
      </c>
      <c r="H10093" t="s">
        <v>21</v>
      </c>
      <c r="I10093" t="s">
        <v>20</v>
      </c>
      <c r="J10093" t="s">
        <v>20</v>
      </c>
      <c r="K10093" t="s">
        <v>27</v>
      </c>
      <c r="L10093" t="s">
        <v>211</v>
      </c>
      <c r="M10093" t="s">
        <v>318</v>
      </c>
      <c r="N10093">
        <v>37.231133</v>
      </c>
      <c r="O10093">
        <v>-109.614943</v>
      </c>
      <c r="P10093">
        <v>4503.9376119999997</v>
      </c>
      <c r="Q10093">
        <v>350</v>
      </c>
      <c r="R10093">
        <v>0</v>
      </c>
    </row>
    <row r="10094" spans="1:18" x14ac:dyDescent="0.25">
      <c r="A10094">
        <v>9943</v>
      </c>
      <c r="B10094">
        <v>94</v>
      </c>
      <c r="C10094">
        <v>31754266</v>
      </c>
      <c r="D10094" t="s">
        <v>128</v>
      </c>
      <c r="E10094">
        <v>0</v>
      </c>
      <c r="F10094" t="s">
        <v>21</v>
      </c>
      <c r="G10094" t="s">
        <v>26</v>
      </c>
      <c r="H10094" t="s">
        <v>19</v>
      </c>
      <c r="I10094">
        <v>89</v>
      </c>
      <c r="J10094" t="s">
        <v>20</v>
      </c>
      <c r="K10094" t="s">
        <v>41</v>
      </c>
      <c r="L10094" t="s">
        <v>42</v>
      </c>
      <c r="M10094" t="s">
        <v>73</v>
      </c>
      <c r="N10094">
        <v>41.697518000000002</v>
      </c>
      <c r="O10094">
        <v>-111.859708</v>
      </c>
      <c r="P10094">
        <v>4433.0809660000004</v>
      </c>
      <c r="Q10094">
        <v>5943</v>
      </c>
      <c r="R10094">
        <v>0</v>
      </c>
    </row>
    <row r="10095" spans="1:18" x14ac:dyDescent="0.25">
      <c r="A10095">
        <v>9944</v>
      </c>
      <c r="B10095">
        <v>94</v>
      </c>
      <c r="C10095">
        <v>27036562</v>
      </c>
      <c r="D10095" t="s">
        <v>351</v>
      </c>
      <c r="E10095">
        <v>0</v>
      </c>
      <c r="F10095" t="s">
        <v>21</v>
      </c>
      <c r="G10095" t="s">
        <v>26</v>
      </c>
      <c r="H10095" t="s">
        <v>19</v>
      </c>
      <c r="I10095">
        <v>147</v>
      </c>
      <c r="J10095" t="s">
        <v>20</v>
      </c>
      <c r="K10095" t="s">
        <v>22</v>
      </c>
      <c r="L10095" t="s">
        <v>140</v>
      </c>
      <c r="M10095" t="s">
        <v>125</v>
      </c>
      <c r="N10095">
        <v>40.115177000000003</v>
      </c>
      <c r="O10095">
        <v>-111.635109</v>
      </c>
      <c r="P10095">
        <v>4607.5926890000001</v>
      </c>
      <c r="Q10095">
        <v>1357</v>
      </c>
      <c r="R10095">
        <v>0</v>
      </c>
    </row>
    <row r="10096" spans="1:18" x14ac:dyDescent="0.25">
      <c r="A10096">
        <v>9945</v>
      </c>
      <c r="B10096">
        <v>94</v>
      </c>
      <c r="C10096" t="s">
        <v>1201</v>
      </c>
      <c r="D10096" t="s">
        <v>1202</v>
      </c>
      <c r="E10096">
        <v>0</v>
      </c>
      <c r="F10096" t="s">
        <v>21</v>
      </c>
      <c r="G10096" t="s">
        <v>26</v>
      </c>
      <c r="H10096" t="s">
        <v>21</v>
      </c>
      <c r="I10096" t="s">
        <v>20</v>
      </c>
      <c r="J10096" t="s">
        <v>20</v>
      </c>
      <c r="K10096" t="s">
        <v>27</v>
      </c>
      <c r="L10096" t="s">
        <v>151</v>
      </c>
      <c r="M10096" t="s">
        <v>973</v>
      </c>
      <c r="N10096">
        <v>38.921731000000001</v>
      </c>
      <c r="O10096">
        <v>-109.935658</v>
      </c>
      <c r="P10096">
        <v>4558.0524020000003</v>
      </c>
      <c r="Q10096">
        <v>6662</v>
      </c>
      <c r="R10096">
        <v>0</v>
      </c>
    </row>
    <row r="10097" spans="1:18" x14ac:dyDescent="0.25">
      <c r="A10097">
        <v>9946</v>
      </c>
      <c r="B10097">
        <v>94</v>
      </c>
      <c r="C10097" t="s">
        <v>1203</v>
      </c>
      <c r="D10097" t="s">
        <v>1204</v>
      </c>
      <c r="E10097">
        <v>0</v>
      </c>
      <c r="F10097" t="s">
        <v>21</v>
      </c>
      <c r="G10097" t="s">
        <v>26</v>
      </c>
      <c r="H10097" t="s">
        <v>21</v>
      </c>
      <c r="I10097" t="s">
        <v>20</v>
      </c>
      <c r="J10097" t="s">
        <v>20</v>
      </c>
      <c r="K10097" t="s">
        <v>27</v>
      </c>
      <c r="L10097" t="s">
        <v>183</v>
      </c>
      <c r="M10097" t="s">
        <v>379</v>
      </c>
      <c r="N10097">
        <v>38.879153000000002</v>
      </c>
      <c r="O10097">
        <v>-111.564437</v>
      </c>
      <c r="P10097">
        <v>6695.994882</v>
      </c>
      <c r="Q10097">
        <v>6662</v>
      </c>
      <c r="R10097">
        <v>0</v>
      </c>
    </row>
    <row r="10098" spans="1:18" x14ac:dyDescent="0.25">
      <c r="A10098">
        <v>9947</v>
      </c>
      <c r="B10098">
        <v>94</v>
      </c>
      <c r="C10098">
        <v>31397360</v>
      </c>
      <c r="D10098" t="s">
        <v>224</v>
      </c>
      <c r="E10098">
        <v>0</v>
      </c>
      <c r="F10098" t="s">
        <v>21</v>
      </c>
      <c r="G10098" t="s">
        <v>26</v>
      </c>
      <c r="H10098" t="s">
        <v>21</v>
      </c>
      <c r="I10098" t="s">
        <v>20</v>
      </c>
      <c r="J10098" t="s">
        <v>20</v>
      </c>
      <c r="K10098" t="s">
        <v>22</v>
      </c>
      <c r="L10098" t="s">
        <v>198</v>
      </c>
      <c r="M10098" t="s">
        <v>194</v>
      </c>
      <c r="N10098">
        <v>39.975597999999998</v>
      </c>
      <c r="O10098">
        <v>-111.771449</v>
      </c>
      <c r="P10098">
        <v>4906.7833529999998</v>
      </c>
      <c r="Q10098">
        <v>408</v>
      </c>
      <c r="R10098">
        <v>0</v>
      </c>
    </row>
    <row r="10099" spans="1:18" x14ac:dyDescent="0.25">
      <c r="A10099">
        <v>9948</v>
      </c>
      <c r="B10099">
        <v>94</v>
      </c>
      <c r="C10099">
        <v>31190242</v>
      </c>
      <c r="D10099" t="s">
        <v>334</v>
      </c>
      <c r="E10099">
        <v>0</v>
      </c>
      <c r="F10099" t="s">
        <v>21</v>
      </c>
      <c r="G10099" t="s">
        <v>26</v>
      </c>
      <c r="H10099" t="s">
        <v>21</v>
      </c>
      <c r="I10099" t="s">
        <v>20</v>
      </c>
      <c r="J10099" t="s">
        <v>20</v>
      </c>
      <c r="K10099" t="s">
        <v>22</v>
      </c>
      <c r="L10099" t="s">
        <v>84</v>
      </c>
      <c r="M10099" t="s">
        <v>335</v>
      </c>
      <c r="N10099">
        <v>40.453699</v>
      </c>
      <c r="O10099">
        <v>-111.662245</v>
      </c>
      <c r="P10099">
        <v>6023.9095129999996</v>
      </c>
      <c r="Q10099">
        <v>338</v>
      </c>
      <c r="R10099">
        <v>0</v>
      </c>
    </row>
    <row r="10100" spans="1:18" x14ac:dyDescent="0.25">
      <c r="A10100">
        <v>9949</v>
      </c>
      <c r="B10100">
        <v>94</v>
      </c>
      <c r="C10100" t="s">
        <v>1205</v>
      </c>
      <c r="D10100" t="s">
        <v>1206</v>
      </c>
      <c r="E10100">
        <v>0</v>
      </c>
      <c r="F10100" t="s">
        <v>21</v>
      </c>
      <c r="G10100" t="s">
        <v>26</v>
      </c>
      <c r="H10100" t="s">
        <v>21</v>
      </c>
      <c r="I10100" t="s">
        <v>20</v>
      </c>
      <c r="J10100" t="s">
        <v>20</v>
      </c>
      <c r="K10100" t="s">
        <v>31</v>
      </c>
      <c r="L10100" t="s">
        <v>209</v>
      </c>
      <c r="M10100" t="s">
        <v>46</v>
      </c>
      <c r="N10100">
        <v>40.753518</v>
      </c>
      <c r="O10100">
        <v>-111.614152</v>
      </c>
      <c r="P10100">
        <v>6855.8218980000001</v>
      </c>
      <c r="Q10100">
        <v>6663</v>
      </c>
      <c r="R10100">
        <v>0</v>
      </c>
    </row>
    <row r="10101" spans="1:18" x14ac:dyDescent="0.25">
      <c r="A10101">
        <v>9950</v>
      </c>
      <c r="B10101">
        <v>94</v>
      </c>
      <c r="C10101" t="e">
        <f>-IqDmaiKFvPLpoyy2WskiV</f>
        <v>#NAME?</v>
      </c>
      <c r="D10101" t="s">
        <v>1207</v>
      </c>
      <c r="E10101">
        <v>0</v>
      </c>
      <c r="F10101" t="s">
        <v>21</v>
      </c>
      <c r="G10101" t="s">
        <v>26</v>
      </c>
      <c r="H10101" t="s">
        <v>21</v>
      </c>
      <c r="I10101" t="s">
        <v>20</v>
      </c>
      <c r="J10101" t="s">
        <v>20</v>
      </c>
      <c r="K10101" t="s">
        <v>27</v>
      </c>
      <c r="L10101" t="s">
        <v>165</v>
      </c>
      <c r="M10101" t="s">
        <v>365</v>
      </c>
      <c r="N10101">
        <v>38.894747000000002</v>
      </c>
      <c r="O10101">
        <v>-112.411885</v>
      </c>
      <c r="P10101">
        <v>4757.2802650000003</v>
      </c>
      <c r="Q10101">
        <v>6661</v>
      </c>
      <c r="R10101">
        <v>0</v>
      </c>
    </row>
    <row r="10102" spans="1:18" x14ac:dyDescent="0.25">
      <c r="A10102">
        <v>9951</v>
      </c>
      <c r="B10102">
        <v>94</v>
      </c>
      <c r="C10102">
        <v>31579978</v>
      </c>
      <c r="D10102" t="s">
        <v>601</v>
      </c>
      <c r="E10102">
        <v>0</v>
      </c>
      <c r="F10102" t="s">
        <v>21</v>
      </c>
      <c r="G10102" t="s">
        <v>26</v>
      </c>
      <c r="H10102" t="s">
        <v>21</v>
      </c>
      <c r="I10102" t="s">
        <v>20</v>
      </c>
      <c r="J10102" t="s">
        <v>20</v>
      </c>
      <c r="K10102" t="s">
        <v>31</v>
      </c>
      <c r="L10102" t="s">
        <v>149</v>
      </c>
      <c r="M10102" t="s">
        <v>82</v>
      </c>
      <c r="N10102">
        <v>40.912106000000001</v>
      </c>
      <c r="O10102">
        <v>-111.404422</v>
      </c>
      <c r="P10102">
        <v>5524.2160780000004</v>
      </c>
      <c r="Q10102">
        <v>259</v>
      </c>
      <c r="R10102">
        <v>0</v>
      </c>
    </row>
    <row r="10103" spans="1:18" x14ac:dyDescent="0.25">
      <c r="A10103">
        <v>9952</v>
      </c>
      <c r="B10103">
        <v>94</v>
      </c>
      <c r="C10103" t="s">
        <v>1208</v>
      </c>
      <c r="D10103" t="s">
        <v>1209</v>
      </c>
      <c r="E10103">
        <v>0</v>
      </c>
      <c r="F10103" t="s">
        <v>21</v>
      </c>
      <c r="G10103" t="s">
        <v>26</v>
      </c>
      <c r="H10103" t="s">
        <v>21</v>
      </c>
      <c r="I10103" t="s">
        <v>20</v>
      </c>
      <c r="J10103" t="s">
        <v>20</v>
      </c>
      <c r="K10103" t="s">
        <v>27</v>
      </c>
      <c r="L10103" t="s">
        <v>151</v>
      </c>
      <c r="M10103" t="s">
        <v>973</v>
      </c>
      <c r="N10103">
        <v>38.975555999999997</v>
      </c>
      <c r="O10103">
        <v>-110.12136099999999</v>
      </c>
      <c r="P10103">
        <v>4084.073844</v>
      </c>
      <c r="Q10103">
        <v>1370</v>
      </c>
      <c r="R10103">
        <v>0</v>
      </c>
    </row>
    <row r="10104" spans="1:18" x14ac:dyDescent="0.25">
      <c r="A10104">
        <v>9953</v>
      </c>
      <c r="B10104">
        <v>94</v>
      </c>
      <c r="C10104" t="e">
        <f>-Iq-xZ8KIjLsPDumEZKDLF</f>
        <v>#NAME?</v>
      </c>
      <c r="D10104" t="s">
        <v>1210</v>
      </c>
      <c r="E10104">
        <v>0</v>
      </c>
      <c r="F10104" t="s">
        <v>21</v>
      </c>
      <c r="G10104" t="s">
        <v>26</v>
      </c>
      <c r="H10104" t="s">
        <v>21</v>
      </c>
      <c r="I10104" t="s">
        <v>20</v>
      </c>
      <c r="J10104" t="s">
        <v>20</v>
      </c>
      <c r="K10104" t="s">
        <v>41</v>
      </c>
      <c r="L10104" t="s">
        <v>181</v>
      </c>
      <c r="M10104" t="s">
        <v>368</v>
      </c>
      <c r="N10104">
        <v>41.719949</v>
      </c>
      <c r="O10104">
        <v>-112.228857</v>
      </c>
      <c r="P10104">
        <v>4405.8925319999998</v>
      </c>
      <c r="Q10104">
        <v>1381</v>
      </c>
      <c r="R10104">
        <v>0</v>
      </c>
    </row>
    <row r="10105" spans="1:18" x14ac:dyDescent="0.25">
      <c r="A10105">
        <v>9954</v>
      </c>
      <c r="B10105">
        <v>94</v>
      </c>
      <c r="C10105">
        <v>31752919</v>
      </c>
      <c r="D10105" t="s">
        <v>600</v>
      </c>
      <c r="E10105">
        <v>0</v>
      </c>
      <c r="F10105" t="s">
        <v>19</v>
      </c>
      <c r="G10105" t="s">
        <v>20</v>
      </c>
      <c r="H10105" t="s">
        <v>19</v>
      </c>
      <c r="I10105">
        <v>114</v>
      </c>
      <c r="J10105" t="s">
        <v>20</v>
      </c>
      <c r="K10105" t="s">
        <v>22</v>
      </c>
      <c r="L10105" t="s">
        <v>23</v>
      </c>
      <c r="M10105" t="s">
        <v>24</v>
      </c>
      <c r="N10105">
        <v>40.326270000000001</v>
      </c>
      <c r="O10105">
        <v>-111.73733</v>
      </c>
      <c r="P10105">
        <v>4496.5078549999998</v>
      </c>
      <c r="Q10105">
        <v>426</v>
      </c>
      <c r="R10105">
        <v>0</v>
      </c>
    </row>
    <row r="10106" spans="1:18" x14ac:dyDescent="0.25">
      <c r="A10106">
        <v>9955</v>
      </c>
      <c r="B10106">
        <v>94</v>
      </c>
      <c r="C10106" t="e">
        <f>-Iq7965bGZDgP8paWe3Dwk</f>
        <v>#NAME?</v>
      </c>
      <c r="D10106" t="s">
        <v>1211</v>
      </c>
      <c r="E10106">
        <v>0</v>
      </c>
      <c r="F10106" t="s">
        <v>21</v>
      </c>
      <c r="G10106" t="s">
        <v>26</v>
      </c>
      <c r="H10106" t="s">
        <v>21</v>
      </c>
      <c r="I10106" t="s">
        <v>20</v>
      </c>
      <c r="J10106" t="s">
        <v>20</v>
      </c>
      <c r="K10106" t="s">
        <v>27</v>
      </c>
      <c r="L10106" t="s">
        <v>183</v>
      </c>
      <c r="M10106" t="s">
        <v>978</v>
      </c>
      <c r="N10106">
        <v>38.915913000000003</v>
      </c>
      <c r="O10106">
        <v>-111.74022100000001</v>
      </c>
      <c r="P10106">
        <v>5693.1212839999998</v>
      </c>
      <c r="Q10106">
        <v>1370</v>
      </c>
      <c r="R10106">
        <v>0</v>
      </c>
    </row>
    <row r="10107" spans="1:18" x14ac:dyDescent="0.25">
      <c r="A10107">
        <v>9956</v>
      </c>
      <c r="B10107">
        <v>94</v>
      </c>
      <c r="C10107" t="e">
        <f>-Iq3lTDpGpPIPMz5yXwIJk</f>
        <v>#NAME?</v>
      </c>
      <c r="D10107" t="s">
        <v>1212</v>
      </c>
      <c r="E10107">
        <v>0</v>
      </c>
      <c r="F10107" t="s">
        <v>21</v>
      </c>
      <c r="G10107" t="s">
        <v>26</v>
      </c>
      <c r="H10107" t="s">
        <v>21</v>
      </c>
      <c r="I10107" t="s">
        <v>20</v>
      </c>
      <c r="J10107" t="s">
        <v>20</v>
      </c>
      <c r="K10107" t="s">
        <v>41</v>
      </c>
      <c r="L10107" t="s">
        <v>137</v>
      </c>
      <c r="M10107" t="s">
        <v>328</v>
      </c>
      <c r="N10107">
        <v>41.050727999999999</v>
      </c>
      <c r="O10107">
        <v>-111.62496400000001</v>
      </c>
      <c r="P10107">
        <v>5077.8637239999998</v>
      </c>
      <c r="Q10107">
        <v>1381</v>
      </c>
      <c r="R10107">
        <v>0</v>
      </c>
    </row>
    <row r="10108" spans="1:18" x14ac:dyDescent="0.25">
      <c r="A10108">
        <v>9957</v>
      </c>
      <c r="B10108">
        <v>94</v>
      </c>
      <c r="C10108">
        <v>27817662</v>
      </c>
      <c r="D10108" t="s">
        <v>245</v>
      </c>
      <c r="E10108">
        <v>0</v>
      </c>
      <c r="F10108" t="s">
        <v>21</v>
      </c>
      <c r="G10108" t="s">
        <v>26</v>
      </c>
      <c r="H10108" t="s">
        <v>19</v>
      </c>
      <c r="I10108">
        <v>191</v>
      </c>
      <c r="J10108" t="s">
        <v>20</v>
      </c>
      <c r="K10108" t="s">
        <v>22</v>
      </c>
      <c r="L10108" t="s">
        <v>97</v>
      </c>
      <c r="M10108" t="s">
        <v>98</v>
      </c>
      <c r="N10108">
        <v>40.864251000000003</v>
      </c>
      <c r="O10108">
        <v>-109.482874</v>
      </c>
      <c r="P10108">
        <v>7448.2986119999996</v>
      </c>
      <c r="Q10108">
        <v>1353</v>
      </c>
      <c r="R10108">
        <v>0</v>
      </c>
    </row>
    <row r="10109" spans="1:18" x14ac:dyDescent="0.25">
      <c r="A10109">
        <v>9958</v>
      </c>
      <c r="B10109">
        <v>94</v>
      </c>
      <c r="C10109" t="e">
        <f>-JRHKZMgIiqcUWuWGWhx_k</f>
        <v>#NAME?</v>
      </c>
      <c r="D10109" t="s">
        <v>1213</v>
      </c>
      <c r="E10109">
        <v>0</v>
      </c>
      <c r="F10109" t="s">
        <v>21</v>
      </c>
      <c r="G10109" t="s">
        <v>26</v>
      </c>
      <c r="H10109" t="s">
        <v>21</v>
      </c>
      <c r="I10109" t="s">
        <v>20</v>
      </c>
      <c r="J10109" t="s">
        <v>20</v>
      </c>
      <c r="K10109" t="s">
        <v>27</v>
      </c>
      <c r="L10109" t="s">
        <v>242</v>
      </c>
      <c r="M10109" t="s">
        <v>978</v>
      </c>
      <c r="N10109">
        <v>38.841782000000002</v>
      </c>
      <c r="O10109">
        <v>-111.063959</v>
      </c>
      <c r="P10109">
        <v>5542.580199</v>
      </c>
      <c r="Q10109">
        <v>1370</v>
      </c>
      <c r="R10109">
        <v>0</v>
      </c>
    </row>
    <row r="10110" spans="1:18" x14ac:dyDescent="0.25">
      <c r="A10110">
        <v>9959</v>
      </c>
      <c r="B10110">
        <v>94</v>
      </c>
      <c r="C10110" t="s">
        <v>1214</v>
      </c>
      <c r="D10110" t="s">
        <v>1215</v>
      </c>
      <c r="E10110">
        <v>0</v>
      </c>
      <c r="F10110" t="s">
        <v>21</v>
      </c>
      <c r="G10110" t="s">
        <v>26</v>
      </c>
      <c r="H10110" t="s">
        <v>21</v>
      </c>
      <c r="I10110" t="s">
        <v>20</v>
      </c>
      <c r="J10110" t="s">
        <v>20</v>
      </c>
      <c r="K10110" t="s">
        <v>31</v>
      </c>
      <c r="L10110" t="s">
        <v>433</v>
      </c>
      <c r="M10110" t="s">
        <v>147</v>
      </c>
      <c r="N10110">
        <v>41.120018999999999</v>
      </c>
      <c r="O10110">
        <v>-111.19203899999999</v>
      </c>
      <c r="P10110">
        <v>6260.14606</v>
      </c>
      <c r="Q10110">
        <v>6663</v>
      </c>
      <c r="R10110">
        <v>0</v>
      </c>
    </row>
    <row r="10111" spans="1:18" x14ac:dyDescent="0.25">
      <c r="A10111">
        <v>9960</v>
      </c>
      <c r="B10111">
        <v>94</v>
      </c>
      <c r="C10111" t="e">
        <f>-Iq3ZYU1FvH163VfbsvYzV</f>
        <v>#NAME?</v>
      </c>
      <c r="D10111" t="s">
        <v>1216</v>
      </c>
      <c r="E10111">
        <v>0</v>
      </c>
      <c r="F10111" t="s">
        <v>21</v>
      </c>
      <c r="G10111" t="s">
        <v>26</v>
      </c>
      <c r="H10111" t="s">
        <v>21</v>
      </c>
      <c r="I10111" t="s">
        <v>20</v>
      </c>
      <c r="J10111" t="s">
        <v>20</v>
      </c>
      <c r="K10111" t="s">
        <v>31</v>
      </c>
      <c r="L10111" t="s">
        <v>149</v>
      </c>
      <c r="M10111" t="s">
        <v>147</v>
      </c>
      <c r="N10111">
        <v>40.775202</v>
      </c>
      <c r="O10111">
        <v>-111.467866</v>
      </c>
      <c r="P10111">
        <v>6253.7582339999999</v>
      </c>
      <c r="Q10111">
        <v>321</v>
      </c>
      <c r="R10111">
        <v>0</v>
      </c>
    </row>
    <row r="10112" spans="1:18" x14ac:dyDescent="0.25">
      <c r="A10112">
        <v>9961</v>
      </c>
      <c r="B10112">
        <v>94</v>
      </c>
      <c r="C10112">
        <v>31191412</v>
      </c>
      <c r="D10112" t="s">
        <v>126</v>
      </c>
      <c r="E10112">
        <v>0</v>
      </c>
      <c r="F10112" t="s">
        <v>19</v>
      </c>
      <c r="G10112" t="s">
        <v>20</v>
      </c>
      <c r="H10112" t="s">
        <v>19</v>
      </c>
      <c r="I10112">
        <v>37</v>
      </c>
      <c r="J10112" t="s">
        <v>20</v>
      </c>
      <c r="K10112" t="s">
        <v>41</v>
      </c>
      <c r="L10112" t="s">
        <v>57</v>
      </c>
      <c r="M10112" t="s">
        <v>93</v>
      </c>
      <c r="N10112">
        <v>41.190773</v>
      </c>
      <c r="O10112">
        <v>-112.09304899999999</v>
      </c>
      <c r="P10112">
        <v>4187.7111080000004</v>
      </c>
      <c r="Q10112">
        <v>1412</v>
      </c>
      <c r="R10112">
        <v>0</v>
      </c>
    </row>
    <row r="10113" spans="1:18" x14ac:dyDescent="0.25">
      <c r="A10113">
        <v>9962</v>
      </c>
      <c r="B10113">
        <v>94</v>
      </c>
      <c r="C10113">
        <v>27682861</v>
      </c>
      <c r="D10113" t="s">
        <v>217</v>
      </c>
      <c r="E10113">
        <v>1.448</v>
      </c>
      <c r="F10113" t="s">
        <v>21</v>
      </c>
      <c r="G10113" t="s">
        <v>26</v>
      </c>
      <c r="H10113" t="s">
        <v>21</v>
      </c>
      <c r="I10113" t="s">
        <v>20</v>
      </c>
      <c r="J10113" t="s">
        <v>20</v>
      </c>
      <c r="K10113" t="s">
        <v>27</v>
      </c>
      <c r="L10113" t="s">
        <v>72</v>
      </c>
      <c r="M10113" t="s">
        <v>163</v>
      </c>
      <c r="N10113">
        <v>37.101277000000003</v>
      </c>
      <c r="O10113">
        <v>-113.58996999999999</v>
      </c>
      <c r="P10113">
        <v>2616.7481010000001</v>
      </c>
      <c r="Q10113">
        <v>304</v>
      </c>
      <c r="R10113">
        <v>0</v>
      </c>
    </row>
    <row r="10114" spans="1:18" x14ac:dyDescent="0.25">
      <c r="A10114">
        <v>9963</v>
      </c>
      <c r="B10114">
        <v>94</v>
      </c>
      <c r="C10114">
        <v>31193047</v>
      </c>
      <c r="D10114" t="s">
        <v>395</v>
      </c>
      <c r="E10114">
        <v>1.452</v>
      </c>
      <c r="F10114" t="s">
        <v>21</v>
      </c>
      <c r="G10114" t="s">
        <v>26</v>
      </c>
      <c r="H10114" t="s">
        <v>21</v>
      </c>
      <c r="I10114" t="s">
        <v>20</v>
      </c>
      <c r="J10114" t="s">
        <v>20</v>
      </c>
      <c r="K10114" t="s">
        <v>27</v>
      </c>
      <c r="L10114" t="s">
        <v>165</v>
      </c>
      <c r="M10114" t="s">
        <v>166</v>
      </c>
      <c r="N10114">
        <v>38.814760999999997</v>
      </c>
      <c r="O10114">
        <v>-112.435855</v>
      </c>
      <c r="P10114">
        <v>4890.5902139999998</v>
      </c>
      <c r="Q10114">
        <v>335</v>
      </c>
      <c r="R10114">
        <v>0</v>
      </c>
    </row>
    <row r="10115" spans="1:18" x14ac:dyDescent="0.25">
      <c r="A10115">
        <v>9964</v>
      </c>
      <c r="B10115">
        <v>94</v>
      </c>
      <c r="C10115">
        <v>1227055</v>
      </c>
      <c r="D10115" t="s">
        <v>189</v>
      </c>
      <c r="E10115">
        <v>1.2649999999999999</v>
      </c>
      <c r="F10115" t="s">
        <v>21</v>
      </c>
      <c r="G10115" t="s">
        <v>26</v>
      </c>
      <c r="H10115" t="s">
        <v>21</v>
      </c>
      <c r="I10115" t="s">
        <v>20</v>
      </c>
      <c r="J10115" t="s">
        <v>20</v>
      </c>
      <c r="K10115" t="s">
        <v>41</v>
      </c>
      <c r="L10115" t="s">
        <v>81</v>
      </c>
      <c r="M10115" t="s">
        <v>190</v>
      </c>
      <c r="N10115">
        <v>41.171706</v>
      </c>
      <c r="O10115">
        <v>-111.94792200000001</v>
      </c>
      <c r="P10115">
        <v>4729.697365</v>
      </c>
      <c r="Q10115">
        <v>412</v>
      </c>
      <c r="R10115">
        <v>0</v>
      </c>
    </row>
    <row r="10116" spans="1:18" x14ac:dyDescent="0.25">
      <c r="A10116">
        <v>9965</v>
      </c>
      <c r="B10116">
        <v>94</v>
      </c>
      <c r="C10116">
        <v>31369202</v>
      </c>
      <c r="D10116" t="s">
        <v>345</v>
      </c>
      <c r="E10116">
        <v>1.2669999999999999</v>
      </c>
      <c r="F10116" t="s">
        <v>21</v>
      </c>
      <c r="G10116" t="s">
        <v>26</v>
      </c>
      <c r="H10116" t="s">
        <v>21</v>
      </c>
      <c r="I10116" t="s">
        <v>20</v>
      </c>
      <c r="J10116" t="s">
        <v>20</v>
      </c>
      <c r="K10116" t="s">
        <v>27</v>
      </c>
      <c r="L10116" t="s">
        <v>75</v>
      </c>
      <c r="M10116" t="s">
        <v>76</v>
      </c>
      <c r="N10116">
        <v>38.625283000000003</v>
      </c>
      <c r="O10116">
        <v>-112.20415199999999</v>
      </c>
      <c r="P10116">
        <v>5356.6189880000002</v>
      </c>
      <c r="Q10116">
        <v>1403</v>
      </c>
      <c r="R10116">
        <v>0</v>
      </c>
    </row>
    <row r="10117" spans="1:18" x14ac:dyDescent="0.25">
      <c r="A10117">
        <v>9966</v>
      </c>
      <c r="B10117">
        <v>94</v>
      </c>
      <c r="C10117">
        <v>27871279</v>
      </c>
      <c r="D10117" t="s">
        <v>136</v>
      </c>
      <c r="E10117">
        <v>1.6E-2</v>
      </c>
      <c r="F10117" t="s">
        <v>21</v>
      </c>
      <c r="G10117" t="s">
        <v>26</v>
      </c>
      <c r="H10117" t="s">
        <v>21</v>
      </c>
      <c r="I10117" t="s">
        <v>20</v>
      </c>
      <c r="J10117" t="s">
        <v>20</v>
      </c>
      <c r="K10117" t="s">
        <v>41</v>
      </c>
      <c r="L10117" t="s">
        <v>137</v>
      </c>
      <c r="M10117" t="s">
        <v>138</v>
      </c>
      <c r="N10117">
        <v>40.926636999999999</v>
      </c>
      <c r="O10117">
        <v>-111.572969</v>
      </c>
      <c r="P10117">
        <v>5719.4357360000004</v>
      </c>
      <c r="Q10117">
        <v>317</v>
      </c>
      <c r="R10117">
        <v>0</v>
      </c>
    </row>
    <row r="10118" spans="1:18" x14ac:dyDescent="0.25">
      <c r="A10118">
        <v>9967</v>
      </c>
      <c r="B10118">
        <v>94</v>
      </c>
      <c r="C10118" t="s">
        <v>1217</v>
      </c>
      <c r="D10118" t="s">
        <v>993</v>
      </c>
      <c r="E10118">
        <v>1.7000000000000001E-2</v>
      </c>
      <c r="F10118" t="s">
        <v>21</v>
      </c>
      <c r="G10118" t="s">
        <v>26</v>
      </c>
      <c r="H10118" t="s">
        <v>21</v>
      </c>
      <c r="I10118" t="s">
        <v>20</v>
      </c>
      <c r="J10118" t="s">
        <v>20</v>
      </c>
      <c r="K10118" t="s">
        <v>27</v>
      </c>
      <c r="L10118" t="s">
        <v>103</v>
      </c>
      <c r="M10118" t="s">
        <v>125</v>
      </c>
      <c r="N10118">
        <v>38.130960000000002</v>
      </c>
      <c r="O10118">
        <v>-112.628651</v>
      </c>
      <c r="P10118">
        <v>6234.0326960000002</v>
      </c>
      <c r="Q10118">
        <v>1333</v>
      </c>
      <c r="R10118">
        <v>0</v>
      </c>
    </row>
    <row r="10119" spans="1:18" x14ac:dyDescent="0.25">
      <c r="A10119">
        <v>9968</v>
      </c>
      <c r="B10119">
        <v>94</v>
      </c>
      <c r="C10119">
        <v>31727723</v>
      </c>
      <c r="D10119" t="s">
        <v>290</v>
      </c>
      <c r="E10119">
        <v>1.7000000000000001E-2</v>
      </c>
      <c r="F10119" t="s">
        <v>21</v>
      </c>
      <c r="G10119" t="s">
        <v>20</v>
      </c>
      <c r="H10119" t="s">
        <v>21</v>
      </c>
      <c r="I10119" t="s">
        <v>20</v>
      </c>
      <c r="J10119" t="s">
        <v>20</v>
      </c>
      <c r="K10119" t="s">
        <v>41</v>
      </c>
      <c r="L10119" t="s">
        <v>291</v>
      </c>
      <c r="M10119" t="s">
        <v>238</v>
      </c>
      <c r="N10119">
        <v>41.368293999999999</v>
      </c>
      <c r="O10119">
        <v>-114.040291</v>
      </c>
      <c r="P10119">
        <v>4716.7229260000004</v>
      </c>
      <c r="Q10119">
        <v>1343</v>
      </c>
      <c r="R10119">
        <v>0</v>
      </c>
    </row>
    <row r="10120" spans="1:18" x14ac:dyDescent="0.25">
      <c r="A10120">
        <v>9969</v>
      </c>
      <c r="B10120">
        <v>94</v>
      </c>
      <c r="C10120" t="e">
        <f>-IoI77RaH2mizKE-eFkn3k</f>
        <v>#NAME?</v>
      </c>
      <c r="D10120" t="s">
        <v>408</v>
      </c>
      <c r="E10120">
        <v>1.7999999999999999E-2</v>
      </c>
      <c r="F10120" t="s">
        <v>21</v>
      </c>
      <c r="G10120" t="s">
        <v>26</v>
      </c>
      <c r="H10120" t="s">
        <v>21</v>
      </c>
      <c r="I10120" t="s">
        <v>20</v>
      </c>
      <c r="J10120" t="s">
        <v>20</v>
      </c>
      <c r="K10120" t="s">
        <v>27</v>
      </c>
      <c r="L10120" t="s">
        <v>75</v>
      </c>
      <c r="M10120" t="s">
        <v>366</v>
      </c>
      <c r="N10120">
        <v>38.682954000000002</v>
      </c>
      <c r="O10120">
        <v>-112.157014</v>
      </c>
      <c r="P10120">
        <v>5327.7255009999999</v>
      </c>
      <c r="Q10120">
        <v>428</v>
      </c>
      <c r="R10120">
        <v>0</v>
      </c>
    </row>
    <row r="10121" spans="1:18" x14ac:dyDescent="0.25">
      <c r="A10121">
        <v>9970</v>
      </c>
      <c r="B10121">
        <v>94</v>
      </c>
      <c r="C10121">
        <v>31489410</v>
      </c>
      <c r="D10121" t="s">
        <v>353</v>
      </c>
      <c r="E10121">
        <v>2.1999999999999999E-2</v>
      </c>
      <c r="F10121" t="s">
        <v>21</v>
      </c>
      <c r="G10121" t="s">
        <v>26</v>
      </c>
      <c r="H10121" t="s">
        <v>21</v>
      </c>
      <c r="I10121" t="s">
        <v>20</v>
      </c>
      <c r="J10121" t="s">
        <v>20</v>
      </c>
      <c r="K10121" t="s">
        <v>31</v>
      </c>
      <c r="L10121" t="s">
        <v>188</v>
      </c>
      <c r="M10121" t="s">
        <v>138</v>
      </c>
      <c r="N10121">
        <v>40.750985</v>
      </c>
      <c r="O10121">
        <v>-111.71453200000001</v>
      </c>
      <c r="P10121">
        <v>5577.130529</v>
      </c>
      <c r="Q10121">
        <v>1367</v>
      </c>
      <c r="R10121">
        <v>0</v>
      </c>
    </row>
    <row r="10122" spans="1:18" x14ac:dyDescent="0.25">
      <c r="A10122">
        <v>9971</v>
      </c>
      <c r="B10122">
        <v>94</v>
      </c>
      <c r="C10122">
        <v>31772092</v>
      </c>
      <c r="D10122" t="s">
        <v>336</v>
      </c>
      <c r="E10122">
        <v>2.4E-2</v>
      </c>
      <c r="F10122" t="s">
        <v>19</v>
      </c>
      <c r="G10122" t="s">
        <v>20</v>
      </c>
      <c r="H10122" t="s">
        <v>21</v>
      </c>
      <c r="I10122" t="s">
        <v>20</v>
      </c>
      <c r="J10122" t="s">
        <v>20</v>
      </c>
      <c r="K10122" t="s">
        <v>31</v>
      </c>
      <c r="L10122" t="s">
        <v>32</v>
      </c>
      <c r="M10122" t="s">
        <v>33</v>
      </c>
      <c r="N10122">
        <v>40.638077000000003</v>
      </c>
      <c r="O10122">
        <v>-111.809675</v>
      </c>
      <c r="P10122">
        <v>4530.0541739999999</v>
      </c>
      <c r="Q10122">
        <v>404</v>
      </c>
      <c r="R10122">
        <v>0</v>
      </c>
    </row>
    <row r="10123" spans="1:18" x14ac:dyDescent="0.25">
      <c r="A10123">
        <v>9972</v>
      </c>
      <c r="B10123">
        <v>94</v>
      </c>
      <c r="C10123" t="e">
        <f>-IpdV6ibGtye8nw2cI_hoF</f>
        <v>#NAME?</v>
      </c>
      <c r="D10123" t="s">
        <v>187</v>
      </c>
      <c r="E10123">
        <v>1.018</v>
      </c>
      <c r="F10123" t="s">
        <v>19</v>
      </c>
      <c r="G10123" t="s">
        <v>20</v>
      </c>
      <c r="H10123" t="s">
        <v>21</v>
      </c>
      <c r="I10123">
        <v>186</v>
      </c>
      <c r="J10123" t="s">
        <v>20</v>
      </c>
      <c r="K10123" t="s">
        <v>31</v>
      </c>
      <c r="L10123" t="s">
        <v>188</v>
      </c>
      <c r="M10123" t="s">
        <v>90</v>
      </c>
      <c r="N10123">
        <v>40.757308999999999</v>
      </c>
      <c r="O10123">
        <v>-111.835964</v>
      </c>
      <c r="P10123">
        <v>4718.5520720000004</v>
      </c>
      <c r="Q10123">
        <v>435</v>
      </c>
      <c r="R10123">
        <v>0</v>
      </c>
    </row>
    <row r="10124" spans="1:18" x14ac:dyDescent="0.25">
      <c r="A10124">
        <v>9973</v>
      </c>
      <c r="B10124">
        <v>94</v>
      </c>
      <c r="C10124">
        <v>1004021</v>
      </c>
      <c r="D10124" t="s">
        <v>604</v>
      </c>
      <c r="E10124">
        <v>1.0189999999999999</v>
      </c>
      <c r="F10124" t="s">
        <v>21</v>
      </c>
      <c r="G10124" t="s">
        <v>26</v>
      </c>
      <c r="H10124" t="s">
        <v>21</v>
      </c>
      <c r="I10124" t="s">
        <v>20</v>
      </c>
      <c r="J10124" t="s">
        <v>20</v>
      </c>
      <c r="K10124" t="s">
        <v>41</v>
      </c>
      <c r="L10124" t="s">
        <v>45</v>
      </c>
      <c r="M10124" t="s">
        <v>46</v>
      </c>
      <c r="N10124">
        <v>40.921495</v>
      </c>
      <c r="O10124">
        <v>-111.88082300000001</v>
      </c>
      <c r="P10124">
        <v>4220.5574909999996</v>
      </c>
      <c r="Q10124">
        <v>1394</v>
      </c>
      <c r="R10124">
        <v>0</v>
      </c>
    </row>
    <row r="10125" spans="1:18" x14ac:dyDescent="0.25">
      <c r="A10125">
        <v>9974</v>
      </c>
      <c r="B10125">
        <v>94</v>
      </c>
      <c r="C10125">
        <v>980081</v>
      </c>
      <c r="D10125" t="s">
        <v>397</v>
      </c>
      <c r="E10125">
        <v>1.02</v>
      </c>
      <c r="F10125" t="s">
        <v>21</v>
      </c>
      <c r="G10125" t="s">
        <v>26</v>
      </c>
      <c r="H10125" t="s">
        <v>21</v>
      </c>
      <c r="I10125" t="s">
        <v>20</v>
      </c>
      <c r="J10125" t="s">
        <v>20</v>
      </c>
      <c r="K10125" t="s">
        <v>41</v>
      </c>
      <c r="L10125" t="s">
        <v>177</v>
      </c>
      <c r="M10125" t="s">
        <v>163</v>
      </c>
      <c r="N10125">
        <v>41.502068999999999</v>
      </c>
      <c r="O10125">
        <v>-111.997924</v>
      </c>
      <c r="P10125">
        <v>4520.3549460000004</v>
      </c>
      <c r="Q10125">
        <v>1385</v>
      </c>
      <c r="R10125">
        <v>0</v>
      </c>
    </row>
    <row r="10126" spans="1:18" x14ac:dyDescent="0.25">
      <c r="A10126">
        <v>9975</v>
      </c>
      <c r="B10126">
        <v>94</v>
      </c>
      <c r="C10126">
        <v>31382892</v>
      </c>
      <c r="D10126" t="s">
        <v>184</v>
      </c>
      <c r="E10126">
        <v>1.0209999999999999</v>
      </c>
      <c r="F10126" t="s">
        <v>21</v>
      </c>
      <c r="G10126" t="s">
        <v>26</v>
      </c>
      <c r="H10126" t="s">
        <v>21</v>
      </c>
      <c r="I10126" t="s">
        <v>20</v>
      </c>
      <c r="J10126" t="s">
        <v>20</v>
      </c>
      <c r="K10126" t="s">
        <v>27</v>
      </c>
      <c r="L10126" t="s">
        <v>54</v>
      </c>
      <c r="M10126" t="s">
        <v>55</v>
      </c>
      <c r="N10126">
        <v>37.662041000000002</v>
      </c>
      <c r="O10126">
        <v>-113.069239</v>
      </c>
      <c r="P10126">
        <v>5870.6764039999998</v>
      </c>
      <c r="Q10126">
        <v>1410</v>
      </c>
      <c r="R10126">
        <v>0</v>
      </c>
    </row>
    <row r="10127" spans="1:18" x14ac:dyDescent="0.25">
      <c r="A10127">
        <v>9976</v>
      </c>
      <c r="B10127">
        <v>94</v>
      </c>
      <c r="C10127">
        <v>27522284</v>
      </c>
      <c r="D10127" t="s">
        <v>157</v>
      </c>
      <c r="E10127">
        <v>1.0229999999999999</v>
      </c>
      <c r="F10127" t="s">
        <v>21</v>
      </c>
      <c r="G10127" t="s">
        <v>26</v>
      </c>
      <c r="H10127" t="s">
        <v>21</v>
      </c>
      <c r="I10127" t="s">
        <v>20</v>
      </c>
      <c r="J10127" t="s">
        <v>20</v>
      </c>
      <c r="K10127" t="s">
        <v>27</v>
      </c>
      <c r="L10127" t="s">
        <v>158</v>
      </c>
      <c r="M10127" t="s">
        <v>159</v>
      </c>
      <c r="N10127">
        <v>39.601016000000001</v>
      </c>
      <c r="O10127">
        <v>-110.809228</v>
      </c>
      <c r="P10127">
        <v>5519.5108190000001</v>
      </c>
      <c r="Q10127">
        <v>1360</v>
      </c>
      <c r="R10127">
        <v>0</v>
      </c>
    </row>
    <row r="10128" spans="1:18" x14ac:dyDescent="0.25">
      <c r="A10128">
        <v>9977</v>
      </c>
      <c r="B10128">
        <v>94</v>
      </c>
      <c r="C10128">
        <v>614478</v>
      </c>
      <c r="D10128" t="s">
        <v>47</v>
      </c>
      <c r="E10128">
        <v>1.0229999999999999</v>
      </c>
      <c r="F10128" t="s">
        <v>21</v>
      </c>
      <c r="G10128" t="s">
        <v>26</v>
      </c>
      <c r="H10128" t="s">
        <v>21</v>
      </c>
      <c r="I10128" t="s">
        <v>20</v>
      </c>
      <c r="J10128" t="s">
        <v>20</v>
      </c>
      <c r="K10128" t="s">
        <v>31</v>
      </c>
      <c r="L10128" t="s">
        <v>48</v>
      </c>
      <c r="M10128" t="s">
        <v>49</v>
      </c>
      <c r="N10128">
        <v>40.544161000000003</v>
      </c>
      <c r="O10128">
        <v>-111.964482</v>
      </c>
      <c r="P10128">
        <v>4493.1226349999997</v>
      </c>
      <c r="Q10128">
        <v>6715</v>
      </c>
      <c r="R10128">
        <v>0</v>
      </c>
    </row>
    <row r="10129" spans="1:18" x14ac:dyDescent="0.25">
      <c r="A10129">
        <v>9978</v>
      </c>
      <c r="B10129">
        <v>94</v>
      </c>
      <c r="C10129" t="e">
        <f>-IpAyV09GYeQes5Ab0QHEF</f>
        <v>#NAME?</v>
      </c>
      <c r="D10129" t="s">
        <v>414</v>
      </c>
      <c r="E10129">
        <v>1.0229999999999999</v>
      </c>
      <c r="F10129" t="s">
        <v>21</v>
      </c>
      <c r="G10129" t="s">
        <v>26</v>
      </c>
      <c r="H10129" t="s">
        <v>21</v>
      </c>
      <c r="I10129" t="s">
        <v>20</v>
      </c>
      <c r="J10129" t="s">
        <v>20</v>
      </c>
      <c r="K10129" t="s">
        <v>27</v>
      </c>
      <c r="L10129" t="s">
        <v>350</v>
      </c>
      <c r="M10129" t="s">
        <v>58</v>
      </c>
      <c r="N10129">
        <v>39.141781000000002</v>
      </c>
      <c r="O10129">
        <v>-111.799813</v>
      </c>
      <c r="P10129">
        <v>5068.338409</v>
      </c>
      <c r="Q10129">
        <v>336</v>
      </c>
      <c r="R10129">
        <v>0</v>
      </c>
    </row>
    <row r="10130" spans="1:18" x14ac:dyDescent="0.25">
      <c r="A10130">
        <v>9979</v>
      </c>
      <c r="B10130">
        <v>94</v>
      </c>
      <c r="C10130">
        <v>481568</v>
      </c>
      <c r="D10130" t="s">
        <v>83</v>
      </c>
      <c r="E10130">
        <v>1.0249999999999999</v>
      </c>
      <c r="F10130" t="s">
        <v>21</v>
      </c>
      <c r="G10130" t="s">
        <v>26</v>
      </c>
      <c r="H10130" t="s">
        <v>21</v>
      </c>
      <c r="I10130" t="s">
        <v>20</v>
      </c>
      <c r="J10130" t="s">
        <v>20</v>
      </c>
      <c r="K10130" t="s">
        <v>22</v>
      </c>
      <c r="L10130" t="s">
        <v>84</v>
      </c>
      <c r="M10130" t="s">
        <v>85</v>
      </c>
      <c r="N10130">
        <v>40.391708000000001</v>
      </c>
      <c r="O10130">
        <v>-111.79579</v>
      </c>
      <c r="P10130">
        <v>4652.3119020000004</v>
      </c>
      <c r="Q10130">
        <v>319</v>
      </c>
      <c r="R10130">
        <v>0</v>
      </c>
    </row>
    <row r="10131" spans="1:18" x14ac:dyDescent="0.25">
      <c r="A10131">
        <v>9980</v>
      </c>
      <c r="B10131">
        <v>94</v>
      </c>
      <c r="C10131">
        <v>31318862</v>
      </c>
      <c r="D10131" t="s">
        <v>413</v>
      </c>
      <c r="E10131">
        <v>1.0249999999999999</v>
      </c>
      <c r="F10131" t="s">
        <v>21</v>
      </c>
      <c r="G10131" t="s">
        <v>26</v>
      </c>
      <c r="H10131" t="s">
        <v>21</v>
      </c>
      <c r="I10131" t="s">
        <v>20</v>
      </c>
      <c r="J10131" t="s">
        <v>20</v>
      </c>
      <c r="K10131" t="s">
        <v>31</v>
      </c>
      <c r="L10131" t="s">
        <v>78</v>
      </c>
      <c r="M10131" t="s">
        <v>206</v>
      </c>
      <c r="N10131">
        <v>40.725641000000003</v>
      </c>
      <c r="O10131">
        <v>-112.20451300000001</v>
      </c>
      <c r="P10131">
        <v>4177.2825300000004</v>
      </c>
      <c r="Q10131">
        <v>411</v>
      </c>
      <c r="R10131">
        <v>0</v>
      </c>
    </row>
    <row r="10132" spans="1:18" x14ac:dyDescent="0.25">
      <c r="A10132">
        <v>9981</v>
      </c>
      <c r="B10132">
        <v>94</v>
      </c>
      <c r="C10132">
        <v>28577324</v>
      </c>
      <c r="D10132" t="s">
        <v>142</v>
      </c>
      <c r="E10132">
        <v>1.0249999999999999</v>
      </c>
      <c r="F10132" t="s">
        <v>21</v>
      </c>
      <c r="G10132" t="s">
        <v>26</v>
      </c>
      <c r="H10132" t="s">
        <v>19</v>
      </c>
      <c r="I10132">
        <v>159</v>
      </c>
      <c r="J10132" t="s">
        <v>20</v>
      </c>
      <c r="K10132" t="s">
        <v>27</v>
      </c>
      <c r="L10132" t="s">
        <v>143</v>
      </c>
      <c r="M10132" t="s">
        <v>106</v>
      </c>
      <c r="N10132">
        <v>38.940384999999999</v>
      </c>
      <c r="O10132">
        <v>-114.034412</v>
      </c>
      <c r="P10132">
        <v>5200.3998279999996</v>
      </c>
      <c r="Q10132">
        <v>305</v>
      </c>
      <c r="R10132">
        <v>0</v>
      </c>
    </row>
    <row r="10133" spans="1:18" x14ac:dyDescent="0.25">
      <c r="A10133">
        <v>9982</v>
      </c>
      <c r="B10133">
        <v>94</v>
      </c>
      <c r="C10133">
        <v>535328</v>
      </c>
      <c r="D10133" t="s">
        <v>77</v>
      </c>
      <c r="E10133">
        <v>1.2549999999999999</v>
      </c>
      <c r="F10133" t="s">
        <v>21</v>
      </c>
      <c r="G10133" t="s">
        <v>26</v>
      </c>
      <c r="H10133" t="s">
        <v>21</v>
      </c>
      <c r="I10133" t="s">
        <v>20</v>
      </c>
      <c r="J10133" t="s">
        <v>20</v>
      </c>
      <c r="K10133" t="s">
        <v>31</v>
      </c>
      <c r="L10133" t="s">
        <v>78</v>
      </c>
      <c r="M10133" t="s">
        <v>79</v>
      </c>
      <c r="N10133">
        <v>40.656849000000001</v>
      </c>
      <c r="O10133">
        <v>-112.02466200000001</v>
      </c>
      <c r="P10133">
        <v>4691.3678339999997</v>
      </c>
      <c r="Q10133">
        <v>1436</v>
      </c>
      <c r="R10133">
        <v>0</v>
      </c>
    </row>
    <row r="10134" spans="1:18" x14ac:dyDescent="0.25">
      <c r="A10134">
        <v>9983</v>
      </c>
      <c r="B10134">
        <v>94</v>
      </c>
      <c r="C10134">
        <v>31529041</v>
      </c>
      <c r="D10134" t="s">
        <v>716</v>
      </c>
      <c r="E10134">
        <v>1.256</v>
      </c>
      <c r="F10134" t="s">
        <v>21</v>
      </c>
      <c r="G10134" t="s">
        <v>26</v>
      </c>
      <c r="H10134" t="s">
        <v>21</v>
      </c>
      <c r="I10134" t="s">
        <v>20</v>
      </c>
      <c r="J10134" t="s">
        <v>20</v>
      </c>
      <c r="K10134" t="s">
        <v>27</v>
      </c>
      <c r="L10134" t="s">
        <v>51</v>
      </c>
      <c r="M10134" t="s">
        <v>106</v>
      </c>
      <c r="N10134">
        <v>37.859941999999997</v>
      </c>
      <c r="O10134">
        <v>-112.82953999999999</v>
      </c>
      <c r="P10134">
        <v>5829.111629</v>
      </c>
      <c r="Q10134">
        <v>433</v>
      </c>
      <c r="R10134">
        <v>0</v>
      </c>
    </row>
    <row r="10135" spans="1:18" x14ac:dyDescent="0.25">
      <c r="A10135">
        <v>9984</v>
      </c>
      <c r="B10135">
        <v>94</v>
      </c>
      <c r="C10135">
        <v>31465484</v>
      </c>
      <c r="D10135" t="s">
        <v>264</v>
      </c>
      <c r="E10135">
        <v>1.258</v>
      </c>
      <c r="F10135" t="s">
        <v>21</v>
      </c>
      <c r="G10135" t="s">
        <v>26</v>
      </c>
      <c r="H10135" t="s">
        <v>21</v>
      </c>
      <c r="I10135" t="s">
        <v>20</v>
      </c>
      <c r="J10135" t="s">
        <v>20</v>
      </c>
      <c r="K10135" t="s">
        <v>22</v>
      </c>
      <c r="L10135" t="s">
        <v>35</v>
      </c>
      <c r="M10135" t="s">
        <v>36</v>
      </c>
      <c r="N10135">
        <v>40.518509000000002</v>
      </c>
      <c r="O10135">
        <v>-111.48779</v>
      </c>
      <c r="P10135">
        <v>5640.5960109999996</v>
      </c>
      <c r="Q10135">
        <v>420</v>
      </c>
      <c r="R10135">
        <v>0</v>
      </c>
    </row>
    <row r="10136" spans="1:18" x14ac:dyDescent="0.25">
      <c r="A10136">
        <v>9985</v>
      </c>
      <c r="B10136">
        <v>94</v>
      </c>
      <c r="C10136">
        <v>31588354</v>
      </c>
      <c r="D10136" t="s">
        <v>187</v>
      </c>
      <c r="E10136">
        <v>0.63500000000000001</v>
      </c>
      <c r="F10136" t="s">
        <v>19</v>
      </c>
      <c r="G10136" t="s">
        <v>20</v>
      </c>
      <c r="H10136" t="s">
        <v>21</v>
      </c>
      <c r="I10136" t="s">
        <v>20</v>
      </c>
      <c r="J10136" t="s">
        <v>20</v>
      </c>
      <c r="K10136" t="s">
        <v>31</v>
      </c>
      <c r="L10136" t="s">
        <v>188</v>
      </c>
      <c r="M10136" t="s">
        <v>90</v>
      </c>
      <c r="N10136">
        <v>40.759272000000003</v>
      </c>
      <c r="O10136">
        <v>-111.841962</v>
      </c>
      <c r="P10136">
        <v>4681.8298880000002</v>
      </c>
      <c r="Q10136">
        <v>435</v>
      </c>
      <c r="R10136">
        <v>0</v>
      </c>
    </row>
    <row r="10137" spans="1:18" x14ac:dyDescent="0.25">
      <c r="A10137">
        <v>9986</v>
      </c>
      <c r="B10137">
        <v>94</v>
      </c>
      <c r="C10137">
        <v>509303</v>
      </c>
      <c r="D10137" t="s">
        <v>44</v>
      </c>
      <c r="E10137">
        <v>0.63500000000000001</v>
      </c>
      <c r="F10137" t="s">
        <v>21</v>
      </c>
      <c r="G10137" t="s">
        <v>26</v>
      </c>
      <c r="H10137" t="s">
        <v>21</v>
      </c>
      <c r="I10137" t="s">
        <v>20</v>
      </c>
      <c r="J10137" t="s">
        <v>20</v>
      </c>
      <c r="K10137" t="s">
        <v>41</v>
      </c>
      <c r="L10137" t="s">
        <v>45</v>
      </c>
      <c r="M10137" t="s">
        <v>46</v>
      </c>
      <c r="N10137">
        <v>40.894011999999996</v>
      </c>
      <c r="O10137">
        <v>-111.888599</v>
      </c>
      <c r="P10137">
        <v>4261.1578579999996</v>
      </c>
      <c r="Q10137">
        <v>1395</v>
      </c>
      <c r="R10137">
        <v>0</v>
      </c>
    </row>
    <row r="10138" spans="1:18" x14ac:dyDescent="0.25">
      <c r="A10138">
        <v>9987</v>
      </c>
      <c r="B10138">
        <v>94</v>
      </c>
      <c r="C10138">
        <v>31595891</v>
      </c>
      <c r="D10138" t="s">
        <v>50</v>
      </c>
      <c r="E10138">
        <v>0.63700000000000001</v>
      </c>
      <c r="F10138" t="s">
        <v>21</v>
      </c>
      <c r="G10138" t="s">
        <v>20</v>
      </c>
      <c r="H10138" t="s">
        <v>21</v>
      </c>
      <c r="I10138" t="s">
        <v>20</v>
      </c>
      <c r="J10138" t="s">
        <v>20</v>
      </c>
      <c r="K10138" t="s">
        <v>27</v>
      </c>
      <c r="L10138" t="s">
        <v>51</v>
      </c>
      <c r="M10138" t="s">
        <v>52</v>
      </c>
      <c r="N10138">
        <v>37.838526000000002</v>
      </c>
      <c r="O10138">
        <v>-112.859769</v>
      </c>
      <c r="P10138">
        <v>5792.8709170000002</v>
      </c>
      <c r="Q10138">
        <v>1418</v>
      </c>
      <c r="R10138">
        <v>0</v>
      </c>
    </row>
    <row r="10139" spans="1:18" x14ac:dyDescent="0.25">
      <c r="A10139">
        <v>9988</v>
      </c>
      <c r="B10139">
        <v>94</v>
      </c>
      <c r="C10139">
        <v>31346383</v>
      </c>
      <c r="D10139" t="s">
        <v>34</v>
      </c>
      <c r="E10139">
        <v>0.63800000000000001</v>
      </c>
      <c r="F10139" t="s">
        <v>21</v>
      </c>
      <c r="G10139" t="s">
        <v>26</v>
      </c>
      <c r="H10139" t="s">
        <v>21</v>
      </c>
      <c r="I10139" t="s">
        <v>20</v>
      </c>
      <c r="J10139" t="s">
        <v>20</v>
      </c>
      <c r="K10139" t="s">
        <v>22</v>
      </c>
      <c r="L10139" t="s">
        <v>35</v>
      </c>
      <c r="M10139" t="s">
        <v>36</v>
      </c>
      <c r="N10139">
        <v>40.464827</v>
      </c>
      <c r="O10139">
        <v>-111.47171299999999</v>
      </c>
      <c r="P10139">
        <v>5377.5229939999999</v>
      </c>
      <c r="Q10139">
        <v>1400</v>
      </c>
      <c r="R10139">
        <v>0</v>
      </c>
    </row>
    <row r="10140" spans="1:18" x14ac:dyDescent="0.25">
      <c r="A10140">
        <v>9989</v>
      </c>
      <c r="B10140">
        <v>94</v>
      </c>
      <c r="C10140">
        <v>31766932</v>
      </c>
      <c r="D10140" t="s">
        <v>184</v>
      </c>
      <c r="E10140">
        <v>0.64300000000000002</v>
      </c>
      <c r="F10140" t="s">
        <v>21</v>
      </c>
      <c r="G10140" t="s">
        <v>26</v>
      </c>
      <c r="H10140" t="s">
        <v>21</v>
      </c>
      <c r="I10140" t="s">
        <v>20</v>
      </c>
      <c r="J10140" t="s">
        <v>20</v>
      </c>
      <c r="K10140" t="s">
        <v>27</v>
      </c>
      <c r="L10140" t="s">
        <v>54</v>
      </c>
      <c r="M10140" t="s">
        <v>55</v>
      </c>
      <c r="N10140">
        <v>37.658330999999997</v>
      </c>
      <c r="O10140">
        <v>-113.074167</v>
      </c>
      <c r="P10140">
        <v>5906.2773180000004</v>
      </c>
      <c r="Q10140">
        <v>1410</v>
      </c>
      <c r="R10140">
        <v>0</v>
      </c>
    </row>
    <row r="10141" spans="1:18" x14ac:dyDescent="0.25">
      <c r="A10141">
        <v>9990</v>
      </c>
      <c r="B10141">
        <v>94</v>
      </c>
      <c r="C10141">
        <v>31631518</v>
      </c>
      <c r="D10141" t="s">
        <v>402</v>
      </c>
      <c r="E10141">
        <v>0.64600000000000002</v>
      </c>
      <c r="F10141" t="s">
        <v>21</v>
      </c>
      <c r="G10141" t="s">
        <v>26</v>
      </c>
      <c r="H10141" t="s">
        <v>21</v>
      </c>
      <c r="I10141" t="s">
        <v>20</v>
      </c>
      <c r="J10141" t="s">
        <v>20</v>
      </c>
      <c r="K10141" t="s">
        <v>27</v>
      </c>
      <c r="L10141" t="s">
        <v>350</v>
      </c>
      <c r="M10141" t="s">
        <v>58</v>
      </c>
      <c r="N10141">
        <v>39.359782000000003</v>
      </c>
      <c r="O10141">
        <v>-111.57717599999999</v>
      </c>
      <c r="P10141">
        <v>5519.6373860000003</v>
      </c>
      <c r="Q10141">
        <v>438</v>
      </c>
      <c r="R10141">
        <v>0</v>
      </c>
    </row>
    <row r="10142" spans="1:18" x14ac:dyDescent="0.25">
      <c r="A10142">
        <v>9991</v>
      </c>
      <c r="B10142">
        <v>94</v>
      </c>
      <c r="C10142">
        <v>31764362</v>
      </c>
      <c r="D10142" t="s">
        <v>312</v>
      </c>
      <c r="E10142">
        <v>0.64800000000000002</v>
      </c>
      <c r="F10142" t="s">
        <v>21</v>
      </c>
      <c r="G10142" t="s">
        <v>26</v>
      </c>
      <c r="H10142" t="s">
        <v>21</v>
      </c>
      <c r="I10142" t="s">
        <v>20</v>
      </c>
      <c r="J10142" t="s">
        <v>20</v>
      </c>
      <c r="K10142" t="s">
        <v>27</v>
      </c>
      <c r="L10142" t="s">
        <v>143</v>
      </c>
      <c r="M10142" t="s">
        <v>313</v>
      </c>
      <c r="N10142">
        <v>38.406430999999998</v>
      </c>
      <c r="O10142">
        <v>-113.009865</v>
      </c>
      <c r="P10142">
        <v>4924.6911110000001</v>
      </c>
      <c r="Q10142">
        <v>255</v>
      </c>
      <c r="R10142">
        <v>0</v>
      </c>
    </row>
    <row r="10143" spans="1:18" x14ac:dyDescent="0.25">
      <c r="A10143">
        <v>9992</v>
      </c>
      <c r="B10143">
        <v>94</v>
      </c>
      <c r="C10143">
        <v>1078682</v>
      </c>
      <c r="D10143" t="s">
        <v>367</v>
      </c>
      <c r="E10143">
        <v>0.64800000000000002</v>
      </c>
      <c r="F10143" t="s">
        <v>21</v>
      </c>
      <c r="G10143" t="s">
        <v>26</v>
      </c>
      <c r="H10143" t="s">
        <v>21</v>
      </c>
      <c r="I10143" t="s">
        <v>20</v>
      </c>
      <c r="J10143" t="s">
        <v>20</v>
      </c>
      <c r="K10143" t="s">
        <v>41</v>
      </c>
      <c r="L10143" t="s">
        <v>177</v>
      </c>
      <c r="M10143" t="s">
        <v>368</v>
      </c>
      <c r="N10143">
        <v>41.419328</v>
      </c>
      <c r="O10143">
        <v>-112.05271999999999</v>
      </c>
      <c r="P10143">
        <v>4191.7340979999999</v>
      </c>
      <c r="Q10143">
        <v>266</v>
      </c>
      <c r="R10143">
        <v>0</v>
      </c>
    </row>
    <row r="10144" spans="1:18" x14ac:dyDescent="0.25">
      <c r="A10144">
        <v>9993</v>
      </c>
      <c r="B10144">
        <v>94</v>
      </c>
      <c r="C10144">
        <v>2522540</v>
      </c>
      <c r="D10144" t="s">
        <v>176</v>
      </c>
      <c r="E10144">
        <v>0.64900000000000002</v>
      </c>
      <c r="F10144" t="s">
        <v>19</v>
      </c>
      <c r="G10144" t="s">
        <v>20</v>
      </c>
      <c r="H10144" t="s">
        <v>21</v>
      </c>
      <c r="I10144" t="s">
        <v>20</v>
      </c>
      <c r="J10144" t="s">
        <v>20</v>
      </c>
      <c r="K10144" t="s">
        <v>41</v>
      </c>
      <c r="L10144" t="s">
        <v>177</v>
      </c>
      <c r="M10144" t="s">
        <v>178</v>
      </c>
      <c r="N10144">
        <v>41.496001</v>
      </c>
      <c r="O10144">
        <v>-112.01606099999999</v>
      </c>
      <c r="P10144">
        <v>4351.294852</v>
      </c>
      <c r="Q10144">
        <v>1329</v>
      </c>
      <c r="R10144">
        <v>0</v>
      </c>
    </row>
    <row r="10145" spans="1:18" x14ac:dyDescent="0.25">
      <c r="A10145">
        <v>9994</v>
      </c>
      <c r="B10145">
        <v>94</v>
      </c>
      <c r="C10145">
        <v>31387236</v>
      </c>
      <c r="D10145" t="s">
        <v>369</v>
      </c>
      <c r="E10145">
        <v>0.65</v>
      </c>
      <c r="F10145" t="s">
        <v>21</v>
      </c>
      <c r="G10145" t="s">
        <v>26</v>
      </c>
      <c r="H10145" t="s">
        <v>21</v>
      </c>
      <c r="I10145" t="s">
        <v>20</v>
      </c>
      <c r="J10145" t="s">
        <v>20</v>
      </c>
      <c r="K10145" t="s">
        <v>22</v>
      </c>
      <c r="L10145" t="s">
        <v>198</v>
      </c>
      <c r="M10145" t="s">
        <v>76</v>
      </c>
      <c r="N10145">
        <v>40.031340999999998</v>
      </c>
      <c r="O10145">
        <v>-111.746362</v>
      </c>
      <c r="P10145">
        <v>4593.8061209999996</v>
      </c>
      <c r="Q10145">
        <v>347</v>
      </c>
      <c r="R10145">
        <v>0</v>
      </c>
    </row>
    <row r="10146" spans="1:18" x14ac:dyDescent="0.25">
      <c r="A10146">
        <v>9995</v>
      </c>
      <c r="B10146">
        <v>94</v>
      </c>
      <c r="C10146">
        <v>1085830</v>
      </c>
      <c r="D10146" t="s">
        <v>108</v>
      </c>
      <c r="E10146">
        <v>0.65</v>
      </c>
      <c r="F10146" t="s">
        <v>19</v>
      </c>
      <c r="G10146" t="s">
        <v>20</v>
      </c>
      <c r="H10146" t="s">
        <v>21</v>
      </c>
      <c r="I10146" t="s">
        <v>20</v>
      </c>
      <c r="J10146" t="s">
        <v>20</v>
      </c>
      <c r="K10146" t="s">
        <v>41</v>
      </c>
      <c r="L10146" t="s">
        <v>81</v>
      </c>
      <c r="M10146" t="s">
        <v>93</v>
      </c>
      <c r="N10146">
        <v>41.172755000000002</v>
      </c>
      <c r="O10146">
        <v>-112.01568399999999</v>
      </c>
      <c r="P10146">
        <v>4419.135389</v>
      </c>
      <c r="Q10146">
        <v>1341</v>
      </c>
      <c r="R10146">
        <v>0</v>
      </c>
    </row>
    <row r="10147" spans="1:18" x14ac:dyDescent="0.25">
      <c r="A10147">
        <v>9996</v>
      </c>
      <c r="B10147">
        <v>94</v>
      </c>
      <c r="C10147">
        <v>1734325</v>
      </c>
      <c r="D10147" t="s">
        <v>260</v>
      </c>
      <c r="E10147">
        <v>0.65</v>
      </c>
      <c r="F10147" t="s">
        <v>21</v>
      </c>
      <c r="G10147" t="s">
        <v>26</v>
      </c>
      <c r="H10147" t="s">
        <v>21</v>
      </c>
      <c r="I10147" t="s">
        <v>20</v>
      </c>
      <c r="J10147" t="s">
        <v>20</v>
      </c>
      <c r="K10147" t="s">
        <v>41</v>
      </c>
      <c r="L10147" t="s">
        <v>81</v>
      </c>
      <c r="M10147" t="s">
        <v>46</v>
      </c>
      <c r="N10147">
        <v>41.223041000000002</v>
      </c>
      <c r="O10147">
        <v>-111.995482</v>
      </c>
      <c r="P10147">
        <v>4268.474279</v>
      </c>
      <c r="Q10147">
        <v>1358</v>
      </c>
      <c r="R10147">
        <v>0</v>
      </c>
    </row>
    <row r="10148" spans="1:18" x14ac:dyDescent="0.25">
      <c r="A10148">
        <v>9997</v>
      </c>
      <c r="B10148">
        <v>94</v>
      </c>
      <c r="C10148">
        <v>31266458</v>
      </c>
      <c r="D10148" t="s">
        <v>403</v>
      </c>
      <c r="E10148">
        <v>0.65200000000000002</v>
      </c>
      <c r="F10148" t="s">
        <v>21</v>
      </c>
      <c r="G10148" t="s">
        <v>26</v>
      </c>
      <c r="H10148" t="s">
        <v>21</v>
      </c>
      <c r="I10148" t="s">
        <v>20</v>
      </c>
      <c r="J10148" t="s">
        <v>20</v>
      </c>
      <c r="K10148" t="s">
        <v>27</v>
      </c>
      <c r="L10148" t="s">
        <v>72</v>
      </c>
      <c r="M10148" t="s">
        <v>73</v>
      </c>
      <c r="N10148">
        <v>37.123373999999998</v>
      </c>
      <c r="O10148">
        <v>-113.611875</v>
      </c>
      <c r="P10148">
        <v>2766.163509</v>
      </c>
      <c r="Q10148">
        <v>303</v>
      </c>
      <c r="R10148">
        <v>0</v>
      </c>
    </row>
    <row r="10149" spans="1:18" x14ac:dyDescent="0.25">
      <c r="A10149">
        <v>9998</v>
      </c>
      <c r="B10149">
        <v>94</v>
      </c>
      <c r="C10149">
        <v>1625562</v>
      </c>
      <c r="D10149" t="s">
        <v>180</v>
      </c>
      <c r="E10149">
        <v>1.071</v>
      </c>
      <c r="F10149" t="s">
        <v>21</v>
      </c>
      <c r="G10149" t="s">
        <v>26</v>
      </c>
      <c r="H10149" t="s">
        <v>21</v>
      </c>
      <c r="I10149" t="s">
        <v>20</v>
      </c>
      <c r="J10149" t="s">
        <v>20</v>
      </c>
      <c r="K10149" t="s">
        <v>41</v>
      </c>
      <c r="L10149" t="s">
        <v>181</v>
      </c>
      <c r="M10149" t="s">
        <v>117</v>
      </c>
      <c r="N10149">
        <v>41.727553999999998</v>
      </c>
      <c r="O10149">
        <v>-112.162238</v>
      </c>
      <c r="P10149">
        <v>4280.4011090000004</v>
      </c>
      <c r="Q10149">
        <v>1379</v>
      </c>
      <c r="R10149">
        <v>0</v>
      </c>
    </row>
    <row r="10150" spans="1:18" x14ac:dyDescent="0.25">
      <c r="A10150">
        <v>9999</v>
      </c>
      <c r="B10150">
        <v>94</v>
      </c>
      <c r="C10150">
        <v>495630</v>
      </c>
      <c r="D10150" t="s">
        <v>322</v>
      </c>
      <c r="E10150">
        <v>1.073</v>
      </c>
      <c r="F10150" t="s">
        <v>19</v>
      </c>
      <c r="G10150" t="s">
        <v>20</v>
      </c>
      <c r="H10150" t="s">
        <v>21</v>
      </c>
      <c r="I10150" t="s">
        <v>20</v>
      </c>
      <c r="J10150" t="s">
        <v>20</v>
      </c>
      <c r="K10150" t="s">
        <v>22</v>
      </c>
      <c r="L10150" t="s">
        <v>84</v>
      </c>
      <c r="M10150" t="s">
        <v>24</v>
      </c>
      <c r="N10150">
        <v>40.41328</v>
      </c>
      <c r="O10150">
        <v>-111.886819</v>
      </c>
      <c r="P10150">
        <v>4468.509924</v>
      </c>
      <c r="Q10150">
        <v>6660</v>
      </c>
      <c r="R10150">
        <v>0</v>
      </c>
    </row>
    <row r="10151" spans="1:18" x14ac:dyDescent="0.25">
      <c r="A10151">
        <v>10000</v>
      </c>
      <c r="B10151">
        <v>94</v>
      </c>
      <c r="C10151">
        <v>31401452</v>
      </c>
      <c r="D10151" t="s">
        <v>139</v>
      </c>
      <c r="E10151">
        <v>1.0760000000000001</v>
      </c>
      <c r="F10151" t="s">
        <v>21</v>
      </c>
      <c r="G10151" t="s">
        <v>26</v>
      </c>
      <c r="H10151" t="s">
        <v>21</v>
      </c>
      <c r="I10151" t="s">
        <v>20</v>
      </c>
      <c r="J10151" t="s">
        <v>20</v>
      </c>
      <c r="K10151" t="s">
        <v>22</v>
      </c>
      <c r="L10151" t="s">
        <v>140</v>
      </c>
      <c r="M10151" t="s">
        <v>141</v>
      </c>
      <c r="N10151">
        <v>40.121411000000002</v>
      </c>
      <c r="O10151">
        <v>-111.654719</v>
      </c>
      <c r="P10151">
        <v>4502.3469619999996</v>
      </c>
      <c r="Q10151">
        <v>342</v>
      </c>
      <c r="R101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Intersections_2014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jdgibbons</dc:creator>
  <cp:lastModifiedBy>jdgibbons</cp:lastModifiedBy>
  <dcterms:created xsi:type="dcterms:W3CDTF">2017-01-27T21:42:44Z</dcterms:created>
  <dcterms:modified xsi:type="dcterms:W3CDTF">2017-09-21T19:26:00Z</dcterms:modified>
</cp:coreProperties>
</file>